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.shortcut-targets-by-id\0B-ztIc2ABbZna2JzMm1OVUNMM2c\COORDENAÇÃO DE MATERIAL UFF\Licitações\2026\Anexos TR CMAT 2026\"/>
    </mc:Choice>
  </mc:AlternateContent>
  <xr:revisionPtr revIDLastSave="0" documentId="8_{3D9C33FA-33F9-462A-A972-73CADA5F57C6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III'!$A$1:$K$131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F53" i="1"/>
  <c r="G27" i="1"/>
  <c r="F27" i="1"/>
  <c r="G35" i="1"/>
  <c r="G127" i="1" l="1"/>
  <c r="F127" i="1"/>
  <c r="G8" i="1" l="1"/>
  <c r="F8" i="1"/>
  <c r="G49" i="1"/>
  <c r="F49" i="1"/>
  <c r="G103" i="1"/>
  <c r="F103" i="1"/>
  <c r="G120" i="1"/>
  <c r="F120" i="1"/>
  <c r="G107" i="1"/>
  <c r="F107" i="1"/>
  <c r="G68" i="1"/>
  <c r="F68" i="1"/>
  <c r="G57" i="1"/>
  <c r="F57" i="1"/>
  <c r="G56" i="1"/>
  <c r="F56" i="1"/>
  <c r="G55" i="1"/>
  <c r="F55" i="1"/>
  <c r="G23" i="1"/>
  <c r="F23" i="1"/>
  <c r="G86" i="1"/>
  <c r="F86" i="1"/>
  <c r="G51" i="1"/>
  <c r="F51" i="1"/>
  <c r="G50" i="1"/>
  <c r="F50" i="1"/>
  <c r="G69" i="1"/>
  <c r="F69" i="1"/>
  <c r="G15" i="1"/>
  <c r="F15" i="1"/>
  <c r="G22" i="1"/>
  <c r="F22" i="1"/>
  <c r="K108" i="1" l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96" i="1"/>
  <c r="H82" i="1"/>
  <c r="H81" i="1"/>
  <c r="H80" i="1"/>
  <c r="H79" i="1"/>
  <c r="H67" i="1"/>
  <c r="H65" i="1"/>
  <c r="H63" i="1"/>
  <c r="H62" i="1"/>
  <c r="H56" i="1"/>
  <c r="H55" i="1"/>
  <c r="H54" i="1"/>
  <c r="H53" i="1"/>
  <c r="H47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8" i="1"/>
  <c r="H49" i="1"/>
  <c r="H50" i="1"/>
  <c r="H51" i="1"/>
  <c r="H52" i="1"/>
  <c r="H57" i="1"/>
  <c r="H59" i="1"/>
  <c r="H60" i="1"/>
  <c r="H64" i="1"/>
  <c r="H66" i="1"/>
  <c r="H68" i="1"/>
  <c r="H69" i="1"/>
  <c r="H70" i="1"/>
  <c r="H71" i="1"/>
  <c r="H72" i="1"/>
  <c r="H73" i="1"/>
  <c r="H74" i="1"/>
  <c r="H75" i="1"/>
  <c r="H76" i="1"/>
  <c r="H77" i="1"/>
  <c r="H78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6" i="1"/>
  <c r="H61" i="1" l="1"/>
  <c r="H58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H130" i="1" l="1"/>
  <c r="K6" i="1"/>
</calcChain>
</file>

<file path=xl/sharedStrings.xml><?xml version="1.0" encoding="utf-8"?>
<sst xmlns="http://schemas.openxmlformats.org/spreadsheetml/2006/main" count="645" uniqueCount="171">
  <si>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</si>
  <si>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</si>
  <si>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</si>
  <si>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</si>
  <si>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</si>
  <si>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</si>
  <si>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</si>
  <si>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</si>
  <si>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</si>
  <si>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</si>
  <si>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</si>
  <si>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</si>
  <si>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</si>
  <si>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</si>
  <si>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</si>
  <si>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</si>
  <si>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</si>
  <si>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</si>
  <si>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</si>
  <si>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</si>
  <si>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</si>
  <si>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</si>
  <si>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</si>
  <si>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</si>
  <si>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ANEXO III - PLANILHA ESTIMATIVA DE DESCRIÇÃO E PREÇOS</t>
  </si>
  <si>
    <t>1,10- Fenantrolina (Orto-Fenantrolina) P.A. A.C.S - Aspecto físico: Pó, Peso molecular: 198,23 g/mol, Fórmula química: C12H8N2.H2O, Pureza mínima: 99%, Número de referência química: CAS 5144-89-8. Fornecimento em frasco de 25 gramas.</t>
  </si>
  <si>
    <t>Grama</t>
  </si>
  <si>
    <t>frasco de 100g</t>
  </si>
  <si>
    <t>2-Aminoetil Difenilborinato 97% para TLC - Número do CAS: 524-95-8; Formula: (C6H5)2BOCH2CH2NH2; Peso molecular: 225,09; Aspecto físico: sólido branco; Pureza &gt; 97% - fornecimento em frasco de 5g.</t>
  </si>
  <si>
    <t>8-Hidroxiquinolina, 99%, CAS 148-24-3. Fornecimento em frasco de 100 gramas.</t>
  </si>
  <si>
    <t>frasco de 1L</t>
  </si>
  <si>
    <t>Ácido 2,2′-azino-bis(3-etilbenzotiazolina-6-sulfônico). Reagente em sólido em pó. Fórmula molecular C18H24N6O6S4. Pureza ≥98%. CAS Number 30931-67-0. Peso molecular: 548,68. Fornecimento em frasco de 1g.</t>
  </si>
  <si>
    <t xml:space="preserve">Ácido 2-metilhipurico, 98%, peso molecular 193,20; número CAS 42013-20-7; embalagem: frasco contendo 1 grama. </t>
  </si>
  <si>
    <t xml:space="preserve">Ácido 3-cloroperbenzóico - Aspecto físico: Pó Ou Flocos Brancos Ou Esbranquiçados, Fórmula química: ClC6H4CO3H(Ácido 3-Cloroperbenzóico), Peso molecular: 172,57 g/mol, Grau De Pureza: Teor Em Torno De 75%, Número de referência química: CAS 937-14-4 - Fornecimento em frasco de 25 gramas. </t>
  </si>
  <si>
    <t>Ácido 3-metilhipurico, 98%, peso molecular 193,20; número CAS 27115-49-7; embalagem: frasco contendo 1 grama.</t>
  </si>
  <si>
    <t>Ácido Aurintricarboxilico Amoníaco PA (Aluminon PA). CAS: 569-58-4. Fórmula: C22H23N3O9. Peso molecular: 473,43 g/mol. Fornecimento em frasco de 25 gramas.</t>
  </si>
  <si>
    <t>frasco de 500g</t>
  </si>
  <si>
    <t>Ácido L (+) Tartárico (2,3-Di-Hidroxibutanodioico) P.A. - A.C.S. - Aspecto físico: Sólido Cristalino Branco, Inodoro, Peso molecular: 150,9, Fórmula química: C4h6o6, Pureza: 99,0%, Número de referência química Cas 87-69-4. Fornecimento Em Frasco De 500 Gramas</t>
  </si>
  <si>
    <t>Aminoácidos de seda - proteína hidrolisada da seda - Aspecto físico: líquido levemente amarelo a castanho. Indicação: formulação de shampoos, condicionadores, e outros produtos cosméticos. Fornecimento em frasco ou pacote de 100g.</t>
  </si>
  <si>
    <t xml:space="preserve">Anilina P.A.- A.C.S. Fórmula Química: C6h7n; Massa Molar: 93,13 g/MOL; Aspecto Físico: Líquido; Grau De Pureza*: Pureza Mínima De 99,5%; Número De Referência Química: Cas 62-53-3. Reagente fornecido em frasco de 1 litro. </t>
  </si>
  <si>
    <t>Anisol P.S - Aspecto Físico: Líquido Incolor, Fórmula Química: CH3OC6H5, Peso Molecular: 108,14 g/mol, Grau De Pureza: Pureza Mínima De 99%, Reagente para síntese, Número De Referência Química: CAS 100-66-3 - Fornecimento em frasco de 100 mL</t>
  </si>
  <si>
    <t>Mililitro</t>
  </si>
  <si>
    <t>Arabinose L (+) - Aspecto físico: pó branco ou esbranquiçado, Peso molecular 150,13 g/mol, Fórmula química: C5H10O5, Grau de Pureza mínima de 99,5%, Número de referência química: CAS 5328-37-0. Fornecimento em frasco de 25g</t>
  </si>
  <si>
    <t>Frasco 25g</t>
  </si>
  <si>
    <t>Quilograma</t>
  </si>
  <si>
    <t>Bicarbonato de sódio P.A A.C.S - Aspecto físico: sólido, Fórmula química: NaHCO3, Pureza mínima: 99,7%, Peso molecular: 84,01 g/mol, Número de referência química: CAS 144-55-8. Fornecimento em frasco de 500g</t>
  </si>
  <si>
    <t>CTF/APP: FTE - Categoria: Indústria Química; Código:15</t>
  </si>
  <si>
    <t>Biftalato de potássio P.A (Ftalato Ácido) - Aspecto físico: sólido, Fórmula química: C8H5KO4, Pureza mínima: 99,9%, Peso molecular: 204,22 g/mol, Características adicionais: reagente padrão primário, Número de referência química: CAS 877-24-7. Fornecimento em frasco de 100g.</t>
  </si>
  <si>
    <t>CTF/APP: FTE - Categoria: Indústria química; Código:15</t>
  </si>
  <si>
    <t>Cálcio Metálico - Aspecto Físico Granulado, Cor Acinzentada, Inodoro, Peso Molecular 40,8, Fórmula Química Ca Puro, Grau De Pureza Pureza Mínima De 98%, Característica Adicional Reagente, Número De Referência Química Cas 7440-70-2. Fornecimento em frasco de 100g</t>
  </si>
  <si>
    <t>Carbonato de Amônio P.A A.C.S - Aspecto físico: Pó Incolor, Fórmula química: Ch8n2o3, Peso molecular: 96,09 G/Mol, Teor Como Nh3: Mínimo 30%, Número de referência química: Cas 506-87-6. Fornecimento em frasco de 500g.</t>
  </si>
  <si>
    <t>Carbonato de Cálcio P.A. A.C.S - Aspecto físico: Pó Branco, Peso molecular: 100,09 G/Mol, Fórmula química: Caco3, Pureza mínima: 99%, Número de referência química: Cas 471-34-1. Fornecimento em frasco de 500g.</t>
  </si>
  <si>
    <t>Carbonato de potássio anidro P.A. A.C.S – Aspecto físico: pó cristalino branco , Fórmula química: K2CO3, Peso molecular: 138, 21 g/mol,  Pureza: 99%,  Densidade: 2, 43 g/cm3. Número de referência química: CAS 584-08-7. Fornecimento em frasco de 500g.</t>
  </si>
  <si>
    <t>frasco de 500 g</t>
  </si>
  <si>
    <t>Cera Lanette N (álcool cetoestarilico + cetil estearil sulfato de sódio). Matéria-prima grau farmacêutico. Cera emulsificante, Aspecto físico: mistura branca de cetil estearil sulfato de sódio e, aplicação cremes e emulsões, tipo lanette N.</t>
  </si>
  <si>
    <t>Litro</t>
  </si>
  <si>
    <t xml:space="preserve">Ciclohexanol - Aspecto Físico: Líquido Incolor, Higroscópico, Odor Característico, Peso Molecular: 100,16 g/mol, Fórmula Química: C6H11OH, Grau De Pureza: Pureza Mínima De 99%, Característica Adicional: Reagente para síntese. Número De Referência Química: CAS 108-93-0. </t>
  </si>
  <si>
    <t xml:space="preserve">Ciclometicone (DC 344, Silicone volátil)	Matéria-prima grau farmacêutico / cosmético </t>
  </si>
  <si>
    <t>Cloral Hidratado solução 10% - Aspecto físico líquido; CAS: 302-17-0; Fórmula Química: C2h3cl3o2; Peso Molecular: 165,40 G/MOL; concentração 10% (10g/100mL). Fornecimento em frasco de 1L.</t>
  </si>
  <si>
    <t>Cloreto de Cálcio Dihidratado 2 H2o P.A -Aspecto Físico: Cristalino Branco, Fórmula Química: Cacl2.2h20, Peso Molecular: 147,01 G/Mol,  Pureza Mínima: 99%, Número De Referência Química Cas: 10035-04-8. Fornecimento em frasco de 500g.</t>
  </si>
  <si>
    <t>Cloreto De Cetil Piridino monohidratado (H2O) P.A. - CAS 6004-24-6, Fórmula: C21H38NCl . H2O, Peso Molecular: 358,01, Aspecto físico: sólido branco. Fornecimento em frasco de 100g.</t>
  </si>
  <si>
    <t>Cloreto de estanho IV anidro - Aspecto Físico: Líquido Incolor, Fórmula Química: SnCl4 (Cloreto De Estanho IV), Peso Molecular: 260,52 g/mol, Teor De Pureza: Pureza Mínima De 98%, Número De Referência Química: CAS 7646-78-8 - Fornecimento em frasco de 250 g</t>
  </si>
  <si>
    <t>Cobre - Aspecto físico: em aparas, fórmula química: Cu, Peso molecular: 63,54 g/mol, Pureza mínima: 99%, Características adicionais: reagente p.a., número de referência química : cas 7440-50-8. Fornecimento em embalagem de 500g</t>
  </si>
  <si>
    <t>Cocoamidopropilbetaína: Aspecto Físico Transparente, Amarelo Pálido, Fórmula Química C19h38n2o2,  Peso Molecular: 326,52 G/Mol, Teor Mínimo De 29,5%, Número De Referência Química Cas 86438-79-1. Fornecimento em frasco de 1 Litro</t>
  </si>
  <si>
    <t>Composto químico, composição curcumina - Apresentação: pó amarelo alaranjado. Número de referência química CAS 458-37-7. Fornecimento em frasco de 10g</t>
  </si>
  <si>
    <t xml:space="preserve">Corante Eosina Azul de Metileno segundo Giemsa - Aspecto físico líquido, Ponto de ebulição &gt;65 °C (1013 hPa), Densidade 0.99 g/cm3 (20 °C), liimite de explosão 5.5 - 44 %(V) Metanol, Ponto de fulgor 18 °C, Temperatura de ignição 455 °C, Valor do pH 6.1 - 7.0 (H₂O, 20 °C) (Não diluído).  Ponto de ebulição &gt;65 °C (1013 hPa), Densidade 0.99 g/cm3 (20 °C),  liimite de explosão 5.5 - 44 %(V) Metanol,  Ponto de fulgor 18 °C, Temperatura de ignição 455 °C, Valor do pH 6.1 - 7.0 (H₂O, 20 °C) (Não diluído). Fornecimento em frasco de 1 litro. </t>
  </si>
  <si>
    <t>Corante, tipo azul de toluidina - Aspecto físico: pó - Características adicionais:  CI 152040. Fornecimento em frasco de 25g</t>
  </si>
  <si>
    <t>Corante, tipo fucsina básica - Aspecto físico: pó. Característica adicional: CI42510. Fornecimento em frasco de 25g</t>
  </si>
  <si>
    <t>Corante, tipo violeta cristal. Aspecto físico: pó. Características adicionais: CI 42555. Fornecimento em frasco de 25 g</t>
  </si>
  <si>
    <t>frasco de 25 g</t>
  </si>
  <si>
    <t>E.D.T.A Tetrassódico Dihidratado (Ácido etilenodiaminotetracético) - Aspecto físico: pó branco cristalino, Fórmula química: C10H12N2Na4O8.2H2O, Peso molecular: 416,20, Pureza mínima: 98%, Número de referência química: CAS 10378-23-1. Fornecimento em frasco de 500g.</t>
  </si>
  <si>
    <t>Essência aroma menta natural Grau alimentício solúvel embalagem com 100ml Ingredientes: Água, Álcool, Açúcar invertido, aromas idênticos aos naturais e artificiais Não contém glúten Grau alimentício.</t>
  </si>
  <si>
    <t>frasco de 100 mL</t>
  </si>
  <si>
    <t>Essência de cereja, uso alimentício. Fornecimento em frasco de 100 mL</t>
  </si>
  <si>
    <t>Estanho Granulado (20 Mesh) P.A - Aspecto físico: sólido, granulado fino. Peso molecular: 118,71, Número de referência química: CAS 7440-31-5. Fornecimento em frasco de 100 g.</t>
  </si>
  <si>
    <t>Estearato de Magnésio - Formula molecular: C36H70MgO4 Peso molecular: 591.25 Características: Pó Odor: Característico Teor de magnésio: 4,0 - 5,0% Teor base anidra: Min. 95,0% CAS: 557-04-0. Fornecimento em frasco de 500g.</t>
  </si>
  <si>
    <t>Éter de petróleo (30-70°C) P.A. Aspecto físico: líquido incolor, límpido, com odor de gasolina, Fórmula química: mistura de hidrocarbonetos derivados do petróleo, Faixa de destilação: destilados entre 30 e 60°C, Teor de pureza mínima de 99,5%, Número de referência química: CAS 8032-32-4. Fornecimento em frasco de 1 litro</t>
  </si>
  <si>
    <t>Fenol - Aspecto físico: líquido incolor, odor adocicado característico, Fórmula química: C6H5OH, Peso molecular: 94,11 g/mol, Grau de pureza mínima: 90%, Número de referência química: CAS 108-95-2</t>
  </si>
  <si>
    <t>Fenolftaleína P.A A.C.S - Aspecto físico: Cristalino Branco, Fórmula química: C20h14o4, Peso molecular: 318,33 G/Mol, Número de referência química Cas 77-09-8. Fornecimento em frasco de 25g</t>
  </si>
  <si>
    <t>Formaldeído (formol) a 37%. Fornecimento em bombona de 50L</t>
  </si>
  <si>
    <t>Fosfato de Sódio Monobásico Anidro P.A - Aspecto Físico: Pó Branco, Fórmula Química: Nah2po4, Peso Molecular: 119,98 G/Mol, Pureza Mínima: 98%, Número De Referência Química: Cas 7558-80-7. Fornecimento em frasco de 500g</t>
  </si>
  <si>
    <t>Frutose D pura - Aspecto físico: cristal branco, inodoro. Peso molecular: 180,16 g/mol. Fórmula química: C6H12O6 (D-FRUTOSE), Grau de pureza mínima: 99%. Número de referência química: CAS 57-48-7. Fornecimento em frasco de 100g</t>
  </si>
  <si>
    <t xml:space="preserve">Gás comprimido, nome acetileno. Aspecto físico: incolor, odor de alho, inflamável, Fórmula Química: C2H2, Massa molecular: 26,04, Grau: 2.8 absorção atômica, Pureza Mínima: 99,8% Número de referência química: CAS 74-86-2 - Fornecimento como recarga em comodato ou em cilindro de 9Kg. </t>
  </si>
  <si>
    <t>Gelatina U.S.P - Aspecto físico: pó, Número de referência química: cas 9000-70-8</t>
  </si>
  <si>
    <t>Graxa De Silicone Para Alto Vácuo - Aspecto físico: Sólido Pastoso Incolor, Composição: Polímero De Metilsiloxano, Pureza mínima: 99,5%, Número de referência química: Cas 63148-52-7. Fornecimento em frasco de 100g</t>
  </si>
  <si>
    <t>Hidróxido de Bário Anidro - Aspecto físico: pó branco, Peso molecular: 171,34 g/mol, Fórmula química: Ba(OH)2, Pureza mínima: 95%, Número de referência química: CAS 17194-00-2. Fornecimento em frasco de 500g</t>
  </si>
  <si>
    <t>Hidróxido de cobre P.A. - Aspecto físico: pó, fórmula química: Cu(OH)2, Peso molecular: 97,56 g/mol, número de referência química cas 20427-59-2. Fornecimento em frasco de 250g</t>
  </si>
  <si>
    <t>Hidróxido de sódio P.A - Aspecto físico: escamas esbranquiçadas, altamente higroscópico, Peso molecular: 40 g/mol, Fórmula química: NaOH, Pureza mínima de 98%, número de referência química: cas 1310-73-2. Fornecimento em frasco de 1 kg.</t>
  </si>
  <si>
    <t>Hidróxido de sódio P.A A.C.S - Aspecto físico: Sólido – Lentilhas ou micropérolas esbranquiçadas, Peso molecular: 40,00 g/mol, Fórmula química: NaOH, Pureza mínima: 99%, Número de referência química CAS 1310-73-2. Fornecimento em frasco de 1 kg</t>
  </si>
  <si>
    <t>Hidroxietilcelulose (HEC). material não iônico solúvel em água derivado da celulose. CAS 9004-62-0. É atóxico, fibroso ou em pó preparado por eterificação de celulose alcalina e óxido de etileno (ou cloroetanol), que pertence aos éteres de celulose solúveis não iônicos. Características: Pó branco a amarelo claro e inodoro. Fórmula molecular: C4H10O2S2. Fornecimento em frasco de 1kg.</t>
  </si>
  <si>
    <t xml:space="preserve">Hipoclorito de sódio - Aspecto físico: líquido amarelo esverdeado, Concentração: teor mínimo de 10 % de cloro ativo, Características adicionais: produto concentrado, não estabilizado. Fornecimento em galão de 5 litros. </t>
  </si>
  <si>
    <t>Hipoclorito de sódio 5%. Aspecto físico: líquido amarelo esverdeado, Concentração: teor mínimo de 5% de cloro ativo, Características adicionais: produto concentrado, não estabilizado. Fornecimento em galão de 5 litros.</t>
  </si>
  <si>
    <t xml:space="preserve">Hipoclorito De Sódio, Aspecto Físico Líquido Amarelo Esverdeado, Concentração Teor Mínimo De 12 % De Cloro Ativo, Características Adicionais Produto Concentrado, Não Estabilizado. Fornecimento em frasco de 1L. </t>
  </si>
  <si>
    <t>Lauril éter sulfato de sódio - Aspecto físico líquido límpido, incolor a levemente amarelado, Fórmula química C12H25NaO4S, Peso molecular: 384 g/mol, Teor de pureza mínimo de 25% p/p, Número de referência química: CAS 1335-72-4. Fornecimento em frasco de 1 litro</t>
  </si>
  <si>
    <t>Laurilsulfato de sódio - Aspecto físico: pó branco ou levemente amarelado, inodoro, Fórmula química C12H25NaO4S, Massa molecular 288,38 g/mol, Pureza mínima de 90%, Número de referência química: CAS 151-21-3. Fornecimento em frasco de 500g</t>
  </si>
  <si>
    <t>Lítio metálico - Aspecto físico: pedaços, cor acinzentada, inodoro, Peso molecular: 6,94, Fórmula química: Li, Grau de pureza mínima de 98%, Característica adicional: reagente, número de referência química cas 7439-93-2. Fornecimento em frasco de 50g.</t>
  </si>
  <si>
    <t>Frasco de 50g</t>
  </si>
  <si>
    <t>Metabissulfito de potássio P.A - Aspecto físico: cristal incolor ou branco, odor de enxofre, Peso molecular: 222,32g/mol, Fórmula química: K2S2O5, Grau de pureza mínima de 96%, Número de referência química: CAS 16731-55-8. Fornecimento em frasco de 500g.</t>
  </si>
  <si>
    <t>Metanol deuterado - Aspecto físico: líquido límpido, incolor. Fórmula química: CD4O (Tetra deuterado), Peso molecular: 36,07 g/mol, Grau de pureza mínima: 99,8 ATOM % D, contém 0.03 % (v/v) TMS. Número de referência química: CAS 811-98-3. Fornecimento em caixa com 10 ampolas de 0,75mL</t>
  </si>
  <si>
    <t>Metanol deuterado - Aspecto físico: líquido límpido, incolor. Fórmula química: CD4O (Tetra deuterado), Peso molecular: 36,07 g/mol, Grau de pureza mínima: 99,8 ATOM % D, Número de referência química: CAS 811-98-3. Fornecimento em frasco de 10g</t>
  </si>
  <si>
    <t>Nitrato de bário P.A A.C.S - Aspecto físico: Sólido branco, Fórmula química: Ba(NO3)2, Peso molecular: 261,34 g/mol, Pureza mínima: 99%, Número de referência química CAS 10022-31-8. Fornecimento em frasco de 500g</t>
  </si>
  <si>
    <t>Nitrato de bismuto P.A A.C.S - Aspecto físico: Sólido branco, Fórmula química: Bi(NO3)3· 5H2O , Peso molecular: 485.07 g/mol, Pureza mínima: 98%, Número de referência química CAS 10035-06-0. . Fornecimento em frasco de 100g</t>
  </si>
  <si>
    <t>Nitrato de ferro III (ico) Nonahidratado P.A A.C.S - Aspecto físico: Sólido, Peso molecular: 404,00 g/mol, Fórmula química: Fe(NO3)3.9H2O, Pureza mínima: 98%, Número de referência química CAS 7782-61-8. Fornecimento em frasco de 500g.</t>
  </si>
  <si>
    <t>Nitrato de manganês (II) tetrahidratado P.A A.C.S - Aspecto físico: Sólido cristalino vermelho-claro, Fórmula química: Mn(NO3)2.4H2O, Peso molecular: 251,01 g/mol, Pureza mínima: 99%, Número de referência química CAS 20694-39-7. Fornecimento em frasco de 250g.</t>
  </si>
  <si>
    <t>Nitrato de prata P.A A.C.S - Aspecto físico: Sólido incolor, Fórmula química: AgNO3, Peso molecular: 169,87 g/mol, Pureza mínima: 99,0%, Número de referência química CAS 7761-88-8. Fornecimento em frasco de 250g.</t>
  </si>
  <si>
    <t>Nitrato de sódio P.A A.C.S - Aspecto físico: Sólido, Fórmula química: NaNO3, Peso molecular: 84,99 g/mol, Pureza mínima: 99%, Número de referência química CAS 7631-99-4. Fornecimento em frasco de 500g.</t>
  </si>
  <si>
    <t>Nitroprussiato de sódio dihidratado (Nitroferricianeto (III) de sódio dihidratado) P.A A.C.S - Aspecto físico: Sólido; Fórmula química: Na2[Fe(CN)5NO].2H2O, Peso molecular: 297,95 g/mol, Pureza mínima: 99%, Número de referência química: CAS 13755-38-9. Fornecimento em frasco de 100g.</t>
  </si>
  <si>
    <t>Óxido de cálcio P.A. granulado puro - Aspecto físico: Sólido branco ou levemente amarelado , Peso Molecular: 56,08 G/Mol, Fórmula química: CaO , Pureza Mínima: 95%, Número de referência química: CAS 1305-78-8. Fornecimento em frasco de 500g</t>
  </si>
  <si>
    <t>Óxido de estanho P.A. - aspecto físico pó branco, levemente acinzentado, inodoro, fórmula química SnO2 (óxido estânico - IV), peso molecular 150,71, grau de pureza pureza mínima de 99,8%, número de referência química cas 18282-10-5. Fornecimento em frasco de 500g</t>
  </si>
  <si>
    <t>Óxido de Térbio (III) - Aspecto físico: pó,  Peso molecular: 365, 85, Fórmula linear:Tb2O3. Pureza mínima de 99,9%, Número de referência química: CAS 12036-41-8. Fornecimento em frasco de 2g.</t>
  </si>
  <si>
    <t>Óxido de Zinco P.A. - Aspecto físico: Sólido pó finíssimo, branco amarelado, Peso molecular: 81,39 g/mol, Fórmula química: ZnO, Pureza mínima: 99%, Número de referência química: CAS 1314-13-2. Fornecimento em frasco de 500g</t>
  </si>
  <si>
    <t>Parafina, Ponto de fusão: 58-62°C - Aspecto físico: sólido, Apresentação: Granular. Número de referência química: CAS 8002-74-2. Fornecimento em pacote de 1Kg.</t>
  </si>
  <si>
    <t>Paraformaldeído PA - Aspecto físico: pó branco, odor forte e pungente. Peso molecular: 30,03  Fórmula química: (CH2O)N (p- formaldeído), Grau de Pureza mínima de 95%, Número de referência química CAS 30525-89-4. Fornecimento em frasco de 500g</t>
  </si>
  <si>
    <t>Potássio metálico - Aspecto físico: pedaços, cor acinzentada, inodoro, Peso molecular: 39,10, Fórmula química K , Grau de pureza mínima de 98%, Característica adicional: reagente, número de referência química cas 7440-09-7. Fornecimento em frasco de 100g</t>
  </si>
  <si>
    <t>Queratina hidrolizada -  Fórmula molecular: C2H2BrClO2; Peso molecular: 173,39; CAS 69430-36-0; Aspecto líquido amarelo</t>
  </si>
  <si>
    <t>Querosene - composição 100% destilado de petróleo, aplicação limpeza em geral, para diluição produtos quimicos, características adicionais sem benzeno ou álcool e sem água. Fornecimento em Frasco de 1 litro</t>
  </si>
  <si>
    <t>Resazurina sódica – corante, Aspecto físico: pó, Fórmula química: C12H6NNaO4, Peso molecular: 251,17. Teor mínimo: 96%, Número de referência química CAS: 62758-13-8. Fornecimento em frasco de 25g</t>
  </si>
  <si>
    <t>Frasco de 25g</t>
  </si>
  <si>
    <t>Sílica gel - Composição: SIO2, Cor branca, Aspecto físico: pó, Uso colunas cromatográficas – Características adicionais: partícula 70-230 mesh, poro 60. Fornecimento em frasco de 500g</t>
  </si>
  <si>
    <t>Sílica Gel azul P.A - Aspecto físico: Sólido granulado, Granulometria dos grãos: 4 a 8 mm, com indicador de umidade, Fórmula química: SiO2,Número de referência química: CAS 112926-00-8. Fornecimento em frasco de 500g</t>
  </si>
  <si>
    <t>Calcon ou sal de sódio Ácido 1-(2-hidróxi-1-naftilazo)-2-naftol-4-sulfônico ou Azul preto de eriocromo R® ou Preto mordente 17 ou ainda preto palatina cromo 6BN.  Fórmula química: C₂₀H₁₃N₂NaO₅S. CAS N.° 2538-85-4. Fornecimento em frasco de 50 gramas.</t>
  </si>
  <si>
    <t>Solução conservante composto por mistura de parabenos e fenoxietanol, tipo CHEMYNOL® - Grau farmacêutico/cosmético. Fornecimento em frasco de 1L.</t>
  </si>
  <si>
    <t>frasco de 500ml</t>
  </si>
  <si>
    <t>Solução tampão (Buffer solution) - pH 6,86 +/- 0,01 a 25C +/- 0,2.</t>
  </si>
  <si>
    <t>Solução tampão (Buffer solution) - pH 9,00 +/- 0,02 a 25C +/- 0,2</t>
  </si>
  <si>
    <t>Substrato para fosfatase (4- nitrofenil fosfato, sal dissódico hexahidratado) -  Fórmula química: O2NC6H4OP(O)(ONa)2 · 6H2O  Peso molecular: 371,14 g/mol  Número de referência química: CAS 333338-18-4. Fornecimento em frasco de 5 gramas.</t>
  </si>
  <si>
    <t>Sulfato de cromo III hidratado P.A. A.C.S - Aspecto físico: sólido, Fórmula química: Cr2(SO4)3 · xH2O, Peso molecular: 392.18 g/mol (base anidra), Número de referência química: CAS 15244-38-9. Fornecimento em frasco de 500g.</t>
  </si>
  <si>
    <t>Tartarato de sódio dihidratado P.A - Aspecto físico: Sólido, Peso molecular: 230,08 g/mol, Fórmula química: C4H4Na2O6.2H2O,  Pureza mínima: 99,5%, Número de referência química CAS 6106-24-7. Fornecimento em frasco de 250g</t>
  </si>
  <si>
    <t>Tetracloreto de carbono P.A : Aspecto Físico Líquido Límpido, Incolor, Cheiro Doce Característico , Peso molecular: 153,82,Fórmula Química CCL4, Grau De Pureza Mínima de 99,8%, Número de Referência Química CAS 56-23-5. Fornecimento em frasco de 1 litro.</t>
  </si>
  <si>
    <t>Tween 40 – Polímero, tipo copolímero de óxido de etileno (polioxietileno), composição polissorbato 40 (monopalmitato de sorbitano poe), Aspecto físico: líquido viscoso amarelo, límpido a turvo, Fórmula química: C62H122O26, Massa molar 1284, Número de referência química: CAS 9005-66-7. Fornecimento em frasco de 1 litro</t>
  </si>
  <si>
    <t>Vermelho De Metila P.A A.C.S - Aspecto físico: Pó Violeta Escuro, Fórmula química: C15h15n3o2,  Peso molecular: 269,31 G/Mol, Número de referência química: Cas 493-52-7. Fornecimento em frasco de 25g</t>
  </si>
  <si>
    <t>Xileno P.A (Xilol), Aspecto físico líquido límpido, incolor, inflamável, Peso molecular: 106,17, Fórmula química C6H4(CH3)2 – Mistura de isômeros orto, para e meta, Grau de pureza Pureza mínima de 99,8%, Característica adicional reagente P.A ACS, Número de referência química CAS 1330-20-7. Fornecimento em Frasco de 1 litro</t>
  </si>
  <si>
    <t>Zinco em pó P.A: - Aspecto físico pó branco-azulado ou cinza prata, inodoro, Fórmula química: Zn, Peso molecular: 65,38, Grau de pureza mínima: 99,8%, número de referência química cas 7440-66-6. Fornecimento em frasco de 250g</t>
  </si>
  <si>
    <t>Zinco granulado P.A.(20 Mesh) -  Aspecto físico: grânulos branco-azulados ou cinza prata, inodoros, Fórmula química: Zn, Peso molecular: 65,38 g/mol, grau de pureza mínima: 99,9%, granulação específica, Número de referência química: CAS 7440-66-6. Fornecimento em frasco de 250g</t>
  </si>
  <si>
    <t>Arbutina  (4-Hidroxifenil-β-D-glucopyranoside, p -Arbutin, hidroquinona β- D-glucopiranósido), Apresentação: pó, Fórmula empírica: C12H16O7 Peso Molecular: 272.25, Pureza mínima de 98%, Número CAS: 497-76-7. Fornecimento em frasco de 25g.</t>
  </si>
  <si>
    <t>Ácido cloroacético - Aspecto físico: pó cristalino / flocos brancos, odor característico, Fórmula química: C2H2ClO2, Peso molecular: 94,51, Grau de Pureza mínima: 98%, Número de referência química: CAS 79-11-8. Fornecimento em frasco de 500 gramas.</t>
  </si>
  <si>
    <t>Piridina P.A. A.C.S. 100% - Aspecto físico: líquido; Formula: C5H5N; Peso Molecular: 79,10; CAS: 110-86-1; densidade 0.98 g/cm3 (20 °C). Fornecimento em frasco de 1 Litro.</t>
  </si>
  <si>
    <t>Tintura de Agrião - extrato líquido obtido a partir da planta Agrião (Nasturtium officinale), que pertence à família das Brassicaceae. A parte utilizada para a extração da tintura são as folhas e os caules, que são ricos em compostos bioativos como vitaminas A e C, minerais, antioxidantes e glucosinolatos. CAS 84775-70-2. Fornecimento em frasco de 1 Litro.</t>
  </si>
  <si>
    <t>Tintura de Arnica - Extrato hidroalcoólico de Arnica montana. Usado na cosmética e em preparações farmacêuticas; CAS: 68990-11-4; aspecto físico líquido marrom. Fornecimento em frasco de 1 Litro.</t>
  </si>
  <si>
    <t>Tintura de castanha da Índia. Extrato líquido feito a partir das sementes da árvore castanha da Índia, uma árvore nativa da Europa e da Ásia. As sementes da castanha da Índia (Aesculus hippocastanum L.) contêm de 3 a 10% de uma mistura complexa de saponinas, tendo como principal componente a β-aescina. CAS 7732-18-5, 64-17-5, 8053-39-2. Aspecto físico: líquido de cor castanho alaranjado. Fornecimento em frasco de 1 Litro.</t>
  </si>
  <si>
    <t>Alquilpoliglicosídeo - Lauril glucosídeo - Plantaren® 1200 N UP - alquil-poliglucósido (APG®) surfactantes não iônicos. CAS: 110615-47-9. Aspecto Físico: Pasta à liquido viscoso. Teor de Sólidos (%): 48,0 – 55,0. Substância Ativa (%): 48,0 – 52,0. Fornecimento em frasco de 1Kg.</t>
  </si>
  <si>
    <t>Dihidrocloreto de 4’,6 – diamidino-2- fenilindol (DAPI) - Fórmula química: C₁₆H₁₅N₅*2HCl; Peso molecular: 350.25 g/mol; Pureza mínima: 98%, CAS 28718-90-3. Fornecimento em frasco de 10mg.</t>
  </si>
  <si>
    <t>Miligrama</t>
  </si>
  <si>
    <t>Ampola de 0,75mL</t>
  </si>
  <si>
    <t>Beta-cariofileno (-)-trans-cariofileno 98%, mistura de enantiômeros (padrão analítico para CG). Aspecto Físico: Líquido Oleoso, Límpido, Incolor À Leve Amarelado; Fórmula Química: C15h24 (Beta-Cariofileno); Peso Molecular: 204,35 G/MOL; Grau De Pureza: Teor 98%; Número De Referência Química: CAS No.: 87-44-5. Padrão para análises quantitativas em óleos essenciais obtidos a partir de fontes vegetais. Fornecimento em frasco de 5 mL.</t>
  </si>
  <si>
    <t>Essência aromática, aspecto físico líquido amarelado, tipo de origem vegetal, planta originária passiflora edulis, odor maracujá, uso cosmetico. Fornecimento em frasco de 100 mL.</t>
  </si>
  <si>
    <t>Essência aromática, aspecto físico líquido, tipo de origem vegetal, planta originária pimpinella anisum l., odor erva-doce, uso cosmético. Fornecimento em frasco de 100 mL.</t>
  </si>
  <si>
    <t>Essência aromática, aspecto físico: líquido castanho claro, tipo de origem vegetal, planta originária avena sativa l., odor aveia, uso cosmético. Fornecimento em frasco de 100 mL.</t>
  </si>
  <si>
    <t xml:space="preserve">Furfural P.S. Aspecto Físico: Líquido Incolor A Levemente Amarelado; Fórmula Química: C5h4o2; Peso Molecular: 96,08 G/MOL; Grau De Pureza: Pureza Mínima De 98%; Característica Adicional: Reagente P.S; Número De Referência Química: Cas 98-01-1. Fornecimento em frasco de 500 ml </t>
  </si>
  <si>
    <t>Reagente Folin e Ciocalteu para doseamento de fenólicos - Aspecto líquido: Coloração Amarelo-esverdeada, Odor acre, pH &lt; 0.5 a 20 °C. Mistura contendo os seguintes componentes: Sulfato de lítio (No. CAS 10377-48-7, No. CE 233-820-4); Ácido clorídrico (No. CAS 7647-01-0, No. CE 231-595-7); Ácido fosfórico (No. CAS 7664-38-2, No. CE 231-633-2); Tungstato dissódico dihidratado (No. CAS 10213-10-2, No. CE 236-743-4). Fornecimento em frasco de 500 mL.</t>
  </si>
  <si>
    <t>Tintura de açafrão -  Ativo farmacêutico fitoterápico. Fornecimento em frasco de 100 mL.</t>
  </si>
  <si>
    <t>Ciclohexano P.A. A.C.S  - Aspecto Físico: Liquido Incolor,  Peso Molecular: 84,16 G/Mol, Fórmula Química: C6h12,  Pureza Mínima: 99,5%, Número De Referência Química Cas: 110-82-7. Fornecimento em frasco de 1 Litro</t>
  </si>
  <si>
    <t>Cloreto de Cromo III (Ico) Anidro P.A - Aspecto Físico: Cristal Preto Esverdeado À Violáceo, Fórmula Química: Crcl3 Anidro, Peso Molecular: 158,36 G/Mol, Pureza Mínima: 98%, Número De Referência Química Cas 10025-73-7. Fornecimento em frasco de 250g.</t>
  </si>
  <si>
    <t>Cloreto de fosforila (oxicloreto de fósforo V) - Fórmula Química: POCl3, Aspecto Físico: Líquido incolor, inodoro, Peso Molecular: 153,33 g/mol, Grau De Pureza: Pureza Mínima De 99% Característica Adicional: Reagente para síntese, Número De Referência Química: CAS 10025-87-3 - Fornecimento em frasco de 250 mL.</t>
  </si>
  <si>
    <t>Fosfato de sódio monobásico monohidratado P.A.-A.C.S. Fórmula Molecular: NaH2PO4.H2O, Peso molecular: 137,99, Aspecto físico grânulos brancos cristalinos, grau de pureza mínima de 99%, número de referência química cas 10049-21-5. Fornecimento em frasco de 500g.</t>
  </si>
  <si>
    <t>Gás CO2 com pureza mínima de 99,9%, fornecido em cilindros de 33kg sob regime de comodato ou em cilindro.</t>
  </si>
  <si>
    <t>Hidróxido de potássio P.A A.C.S - Aspecto físico: Sólido - lentilha branca, Peso molecular: 56,11 g/mol, Fórmula química: KOH, Pureza mínima: 85%, densidade relativa: 2,044 g/cm3, Número de referência química: CAS 1310-58-3. Fornecimento em frasco de 500g.</t>
  </si>
  <si>
    <t>Telurito de potássio Hidratado P.A. Fórmula: K2TeO3.H2O; Peso Molecular: 253,79 (anidro); Pureza&gt; 90% Aspecto físico: pó branco granular higroscópico; Ponto de fusão: 460-470 ºC; CAS 7790-58-1. Fornecimento em frasco de 25g.</t>
  </si>
  <si>
    <t>Primidona, padrão analítico, 97,5%, peso molecular 218,25; número CAS 125-33-7. Fornecimento em frasco com 100mg.</t>
  </si>
  <si>
    <t>Digoxina (padrão analítico) - Fórmula Química: C41H64O14, Peso molecular: 780,94 g/mol, Material certificado farmacopeico. Número de referência química CAS 20830-75-5. Fornecimento em frasco de 300mg.</t>
  </si>
  <si>
    <t>4-aminoantipirina, padrão analítico, peso molecular 203,42; numero CAS 83-07-8. Fornecimento em frasco com 100 miligramas.</t>
  </si>
  <si>
    <t>SIM</t>
  </si>
  <si>
    <t>NÃO</t>
  </si>
  <si>
    <t xml:space="preserve">Zearalenona, peso molecular 318,36; número CAS 17924-92-4. Fornecimento em frasco com 10 miligramas. </t>
  </si>
  <si>
    <t xml:space="preserve">CTF/APP: FTE - Categoria: Indústria Química; Código:15
Margem Normal MedNac: 5% 
Margem Adicional MedIFANac: 10% </t>
  </si>
  <si>
    <t>CTF/APP: FTE - Categoria: Indústria de Produtos Alimentares e Bebida; Código:16</t>
  </si>
  <si>
    <r>
      <t>Dimetilsulfóxido</t>
    </r>
    <r>
      <rPr>
        <sz val="8"/>
        <color theme="1"/>
        <rFont val="Calibri"/>
        <family val="2"/>
        <scheme val="minor"/>
      </rPr>
      <t xml:space="preserve"> deuterado-D6 99% com 0,03</t>
    </r>
    <r>
      <rPr>
        <sz val="8"/>
        <rFont val="Calibri"/>
        <family val="2"/>
        <scheme val="minor"/>
      </rPr>
      <t>% de TMS (DMSO-d6). Utilizado na solubilização de substâncias orgânicas para análises espectroscópicas por RMN (Ressonância Magnética Nuclear). Aspecto físico líquido límpido, incolor, odor suave, Peso molecular: 84,17, composição química CD3SOCD3 (hexadeuterado), teor de pureza pureza isotópica de 99,9 atom % d, característica adicional com 0,0</t>
    </r>
    <r>
      <rPr>
        <sz val="8"/>
        <color theme="1"/>
        <rFont val="Calibri"/>
        <family val="2"/>
        <scheme val="minor"/>
      </rPr>
      <t xml:space="preserve">3% v/v de TMS, número de referência química CAS 2206-27-1. Fornecimento em caixa </t>
    </r>
    <r>
      <rPr>
        <sz val="8"/>
        <rFont val="Calibri"/>
        <family val="2"/>
        <scheme val="minor"/>
      </rPr>
      <t>com 10 ampolas de 0,75mL.</t>
    </r>
  </si>
  <si>
    <t>Citrato de sódio anidro USP/ FCC - Aspecto físico cristal fino, composição C6H5O7NA3 , Peso Molecular 258, 07, grau de pureza minima de 99%, número de referencia química CAS 68-04-2. Fornecimento em embalagem de 1Kg.</t>
  </si>
  <si>
    <t>Propionato de cálcio P.A. Fórmula molecular: C6H10CaO4 Massa molar: 186,22 g/mol. Aspecto físico: Sólido cristalino branco. Número CAS 4075-81-4. Sal de cálcio do Ácido propanoico. Fornecimento em frasco de 250g.</t>
  </si>
  <si>
    <r>
      <t xml:space="preserve">Carbômero 980 (Carbopol 980) - Polímero carboxivinílico. Ácido poliacrílico. Agente espessante, agente estabilizante de emulsões e modificador de fluxo. Formula molecular: [-CH2-CH(COOH)-]n, CAS 9003-01-4. </t>
    </r>
    <r>
      <rPr>
        <sz val="8"/>
        <color rgb="FFFF0000"/>
        <rFont val="Calibri"/>
        <family val="2"/>
        <scheme val="minor"/>
      </rPr>
      <t>Fornecimento em frasco de 500g.</t>
    </r>
  </si>
  <si>
    <t>Espessante alimentar para deglutição - Produto sem sabor composto por Maltodextrina, espessante goma xantana e gelificante cloreto de potássio. Carboidratos: 100% Maltodextrina. Fornecimento em frasco de 225 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</si>
</sst>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44" fontId="4" fillId="0" borderId="0" xfId="0" applyNumberFormat="1" applyFont="1"/>
    <xf numFmtId="0" fontId="2" fillId="0" borderId="0" xfId="0" applyFont="1" applyAlignment="1">
      <alignment horizontal="center" wrapText="1"/>
    </xf>
    <xf numFmtId="0" fontId="7" fillId="5" borderId="1" xfId="0" applyFont="1" applyFill="1" applyBorder="1" applyAlignment="1">
      <alignment vertical="center" wrapText="1"/>
    </xf>
    <xf numFmtId="44" fontId="7" fillId="5" borderId="1" xfId="1" applyFont="1" applyFill="1" applyBorder="1" applyAlignment="1">
      <alignment vertical="center" wrapText="1"/>
    </xf>
    <xf numFmtId="0" fontId="7" fillId="5" borderId="1" xfId="0" applyFont="1" applyFill="1" applyBorder="1" applyAlignment="1">
      <alignment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30"/>
  <sheetViews>
    <sheetView tabSelected="1" topLeftCell="A45" zoomScaleNormal="100" zoomScaleSheetLayoutView="80" workbookViewId="0">
      <selection activeCell="E52" sqref="E52"/>
    </sheetView>
  </sheetViews>
  <sheetFormatPr defaultColWidth="9.109375" defaultRowHeight="13.8" x14ac:dyDescent="0.3"/>
  <cols>
    <col min="1" max="1" width="8.109375" style="2" customWidth="1"/>
    <col min="2" max="2" width="49.5546875" style="2" customWidth="1"/>
    <col min="3" max="3" width="14.33203125" style="2" bestFit="1" customWidth="1"/>
    <col min="4" max="4" width="9" style="2" customWidth="1"/>
    <col min="5" max="5" width="28.6640625" style="3" customWidth="1"/>
    <col min="6" max="6" width="10" style="4" customWidth="1"/>
    <col min="7" max="7" width="10.109375" style="4" bestFit="1" customWidth="1"/>
    <col min="8" max="8" width="12.21875" style="4" bestFit="1" customWidth="1"/>
    <col min="9" max="9" width="8.109375" style="4" customWidth="1"/>
    <col min="10" max="10" width="7.109375" style="7" bestFit="1" customWidth="1"/>
    <col min="11" max="11" width="8.5546875" style="4" customWidth="1"/>
    <col min="12" max="12" width="21.33203125" style="1" bestFit="1" customWidth="1"/>
    <col min="13" max="14" width="9.109375" style="1"/>
    <col min="15" max="15" width="21.88671875" style="1" customWidth="1"/>
    <col min="16" max="16" width="20.33203125" style="1" customWidth="1"/>
    <col min="17" max="16384" width="9.109375" style="1"/>
  </cols>
  <sheetData>
    <row r="1" spans="1:11" ht="12.7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2.75" customHeight="1" x14ac:dyDescent="0.3">
      <c r="A2" s="23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12.75" customHeight="1" x14ac:dyDescent="0.3">
      <c r="A3" s="23" t="s">
        <v>24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11" ht="20.399999999999999" x14ac:dyDescent="0.3">
      <c r="A5" s="5" t="s">
        <v>17</v>
      </c>
      <c r="B5" s="6" t="s">
        <v>3</v>
      </c>
      <c r="C5" s="6" t="s">
        <v>1</v>
      </c>
      <c r="D5" s="6" t="s">
        <v>5</v>
      </c>
      <c r="E5" s="6" t="s">
        <v>23</v>
      </c>
      <c r="F5" s="6" t="s">
        <v>19</v>
      </c>
      <c r="G5" s="6" t="s">
        <v>18</v>
      </c>
      <c r="H5" s="6" t="s">
        <v>6</v>
      </c>
      <c r="I5" s="6" t="s">
        <v>22</v>
      </c>
      <c r="J5" s="6" t="s">
        <v>20</v>
      </c>
      <c r="K5" s="6" t="s">
        <v>21</v>
      </c>
    </row>
    <row r="6" spans="1:11" s="16" customFormat="1" ht="40.799999999999997" x14ac:dyDescent="0.2">
      <c r="A6" s="17">
        <v>1</v>
      </c>
      <c r="B6" s="18" t="s">
        <v>25</v>
      </c>
      <c r="C6" s="18" t="s">
        <v>26</v>
      </c>
      <c r="D6" s="19">
        <v>392002</v>
      </c>
      <c r="E6" s="18" t="s">
        <v>46</v>
      </c>
      <c r="F6" s="18">
        <v>325</v>
      </c>
      <c r="G6" s="20">
        <v>11.81</v>
      </c>
      <c r="H6" s="20">
        <f>F6*ROUND(G6,2)</f>
        <v>3838.25</v>
      </c>
      <c r="I6" s="20" t="s">
        <v>161</v>
      </c>
      <c r="J6" s="8" t="s">
        <v>4</v>
      </c>
      <c r="K6" s="21">
        <f>VLOOKUP(G6, Intervalos!$B$3:$C$8,2,TRUE)</f>
        <v>0.03</v>
      </c>
    </row>
    <row r="7" spans="1:11" s="16" customFormat="1" ht="30.6" x14ac:dyDescent="0.2">
      <c r="A7" s="17">
        <v>2</v>
      </c>
      <c r="B7" s="18" t="s">
        <v>28</v>
      </c>
      <c r="C7" s="18" t="s">
        <v>26</v>
      </c>
      <c r="D7" s="19">
        <v>379728</v>
      </c>
      <c r="E7" s="18" t="s">
        <v>46</v>
      </c>
      <c r="F7" s="18">
        <v>125</v>
      </c>
      <c r="G7" s="20">
        <v>245.87</v>
      </c>
      <c r="H7" s="20">
        <f t="shared" ref="H7:H45" si="0">F7*ROUND(G7,2)</f>
        <v>30733.75</v>
      </c>
      <c r="I7" s="20" t="s">
        <v>161</v>
      </c>
      <c r="J7" s="8" t="s">
        <v>4</v>
      </c>
      <c r="K7" s="21" t="str">
        <f>VLOOKUP(G7, Intervalos!$B$3:$C$8,2,TRUE)</f>
        <v>0,10%</v>
      </c>
    </row>
    <row r="8" spans="1:11" s="16" customFormat="1" ht="20.399999999999999" x14ac:dyDescent="0.2">
      <c r="A8" s="17">
        <v>3</v>
      </c>
      <c r="B8" s="18" t="s">
        <v>160</v>
      </c>
      <c r="C8" s="18" t="s">
        <v>142</v>
      </c>
      <c r="D8" s="19">
        <v>360798</v>
      </c>
      <c r="E8" s="18" t="s">
        <v>46</v>
      </c>
      <c r="F8" s="18">
        <f>4*100</f>
        <v>400</v>
      </c>
      <c r="G8" s="20">
        <f>380/100</f>
        <v>3.8</v>
      </c>
      <c r="H8" s="20">
        <f t="shared" si="0"/>
        <v>1520</v>
      </c>
      <c r="I8" s="20" t="s">
        <v>161</v>
      </c>
      <c r="J8" s="8" t="s">
        <v>4</v>
      </c>
      <c r="K8" s="21">
        <f>VLOOKUP(G8, Intervalos!$B$3:$C$8,2,TRUE)</f>
        <v>0.01</v>
      </c>
    </row>
    <row r="9" spans="1:11" s="16" customFormat="1" ht="20.399999999999999" x14ac:dyDescent="0.2">
      <c r="A9" s="17">
        <v>4</v>
      </c>
      <c r="B9" s="18" t="s">
        <v>29</v>
      </c>
      <c r="C9" s="18" t="s">
        <v>26</v>
      </c>
      <c r="D9" s="19">
        <v>420508</v>
      </c>
      <c r="E9" s="18" t="s">
        <v>46</v>
      </c>
      <c r="F9" s="18">
        <v>300</v>
      </c>
      <c r="G9" s="20">
        <v>2.2200000000000002</v>
      </c>
      <c r="H9" s="20">
        <f t="shared" si="0"/>
        <v>666.00000000000011</v>
      </c>
      <c r="I9" s="20" t="s">
        <v>161</v>
      </c>
      <c r="J9" s="8" t="s">
        <v>4</v>
      </c>
      <c r="K9" s="21">
        <f>VLOOKUP(G9, Intervalos!$B$3:$C$8,2,TRUE)</f>
        <v>0.01</v>
      </c>
    </row>
    <row r="10" spans="1:11" s="16" customFormat="1" ht="30.6" x14ac:dyDescent="0.2">
      <c r="A10" s="17">
        <v>5</v>
      </c>
      <c r="B10" s="18" t="s">
        <v>31</v>
      </c>
      <c r="C10" s="18" t="s">
        <v>26</v>
      </c>
      <c r="D10" s="19">
        <v>356993</v>
      </c>
      <c r="E10" s="18" t="s">
        <v>46</v>
      </c>
      <c r="F10" s="18">
        <v>3</v>
      </c>
      <c r="G10" s="20">
        <v>749.23</v>
      </c>
      <c r="H10" s="20">
        <f t="shared" si="0"/>
        <v>2247.69</v>
      </c>
      <c r="I10" s="20" t="s">
        <v>161</v>
      </c>
      <c r="J10" s="8" t="s">
        <v>4</v>
      </c>
      <c r="K10" s="21" t="str">
        <f>VLOOKUP(G10, Intervalos!$B$3:$C$8,2,TRUE)</f>
        <v>0,10%</v>
      </c>
    </row>
    <row r="11" spans="1:11" s="16" customFormat="1" ht="20.399999999999999" x14ac:dyDescent="0.2">
      <c r="A11" s="17">
        <v>6</v>
      </c>
      <c r="B11" s="18" t="s">
        <v>32</v>
      </c>
      <c r="C11" s="18" t="s">
        <v>26</v>
      </c>
      <c r="D11" s="19">
        <v>435112</v>
      </c>
      <c r="E11" s="18" t="s">
        <v>46</v>
      </c>
      <c r="F11" s="18">
        <v>9</v>
      </c>
      <c r="G11" s="20">
        <v>658.5</v>
      </c>
      <c r="H11" s="20">
        <f t="shared" si="0"/>
        <v>5926.5</v>
      </c>
      <c r="I11" s="20" t="s">
        <v>161</v>
      </c>
      <c r="J11" s="8" t="s">
        <v>4</v>
      </c>
      <c r="K11" s="21" t="str">
        <f>VLOOKUP(G11, Intervalos!$B$3:$C$8,2,TRUE)</f>
        <v>0,10%</v>
      </c>
    </row>
    <row r="12" spans="1:11" s="16" customFormat="1" ht="51" x14ac:dyDescent="0.2">
      <c r="A12" s="17">
        <v>7</v>
      </c>
      <c r="B12" s="18" t="s">
        <v>33</v>
      </c>
      <c r="C12" s="18" t="s">
        <v>26</v>
      </c>
      <c r="D12" s="19">
        <v>381842</v>
      </c>
      <c r="E12" s="18" t="s">
        <v>46</v>
      </c>
      <c r="F12" s="18">
        <v>50</v>
      </c>
      <c r="G12" s="20">
        <v>23.78</v>
      </c>
      <c r="H12" s="20">
        <f t="shared" si="0"/>
        <v>1189</v>
      </c>
      <c r="I12" s="20" t="s">
        <v>161</v>
      </c>
      <c r="J12" s="8" t="s">
        <v>4</v>
      </c>
      <c r="K12" s="21">
        <f>VLOOKUP(G12, Intervalos!$B$3:$C$8,2,TRUE)</f>
        <v>0.05</v>
      </c>
    </row>
    <row r="13" spans="1:11" s="16" customFormat="1" ht="20.399999999999999" x14ac:dyDescent="0.2">
      <c r="A13" s="17">
        <v>8</v>
      </c>
      <c r="B13" s="18" t="s">
        <v>34</v>
      </c>
      <c r="C13" s="18" t="s">
        <v>26</v>
      </c>
      <c r="D13" s="19">
        <v>435110</v>
      </c>
      <c r="E13" s="18" t="s">
        <v>46</v>
      </c>
      <c r="F13" s="18">
        <v>4</v>
      </c>
      <c r="G13" s="20">
        <v>622.5</v>
      </c>
      <c r="H13" s="20">
        <f t="shared" si="0"/>
        <v>2490</v>
      </c>
      <c r="I13" s="20" t="s">
        <v>161</v>
      </c>
      <c r="J13" s="8" t="s">
        <v>4</v>
      </c>
      <c r="K13" s="21" t="str">
        <f>VLOOKUP(G13, Intervalos!$B$3:$C$8,2,TRUE)</f>
        <v>0,10%</v>
      </c>
    </row>
    <row r="14" spans="1:11" s="16" customFormat="1" ht="30.6" x14ac:dyDescent="0.2">
      <c r="A14" s="17">
        <v>9</v>
      </c>
      <c r="B14" s="18" t="s">
        <v>35</v>
      </c>
      <c r="C14" s="18" t="s">
        <v>26</v>
      </c>
      <c r="D14" s="19">
        <v>387365</v>
      </c>
      <c r="E14" s="18" t="s">
        <v>46</v>
      </c>
      <c r="F14" s="18">
        <v>75</v>
      </c>
      <c r="G14" s="20">
        <v>7.81</v>
      </c>
      <c r="H14" s="20">
        <f t="shared" si="0"/>
        <v>585.75</v>
      </c>
      <c r="I14" s="20" t="s">
        <v>161</v>
      </c>
      <c r="J14" s="8" t="s">
        <v>4</v>
      </c>
      <c r="K14" s="21">
        <f>VLOOKUP(G14, Intervalos!$B$3:$C$8,2,TRUE)</f>
        <v>0.02</v>
      </c>
    </row>
    <row r="15" spans="1:11" s="16" customFormat="1" ht="40.799999999999997" x14ac:dyDescent="0.2">
      <c r="A15" s="17">
        <v>10</v>
      </c>
      <c r="B15" s="18" t="s">
        <v>135</v>
      </c>
      <c r="C15" s="18" t="s">
        <v>26</v>
      </c>
      <c r="D15" s="19">
        <v>393102</v>
      </c>
      <c r="E15" s="18" t="s">
        <v>46</v>
      </c>
      <c r="F15" s="18">
        <f>25*500</f>
        <v>12500</v>
      </c>
      <c r="G15" s="20">
        <f>81.44/500</f>
        <v>0.16288</v>
      </c>
      <c r="H15" s="20">
        <f t="shared" si="0"/>
        <v>2000</v>
      </c>
      <c r="I15" s="20" t="s">
        <v>161</v>
      </c>
      <c r="J15" s="8" t="s">
        <v>4</v>
      </c>
      <c r="K15" s="21">
        <f>VLOOKUP(G15, Intervalos!$B$3:$C$8,2,TRUE)</f>
        <v>0.01</v>
      </c>
    </row>
    <row r="16" spans="1:11" s="16" customFormat="1" ht="40.799999999999997" x14ac:dyDescent="0.2">
      <c r="A16" s="17">
        <v>11</v>
      </c>
      <c r="B16" s="18" t="s">
        <v>37</v>
      </c>
      <c r="C16" s="18" t="s">
        <v>26</v>
      </c>
      <c r="D16" s="19">
        <v>370125</v>
      </c>
      <c r="E16" s="18" t="s">
        <v>46</v>
      </c>
      <c r="F16" s="18">
        <v>1500</v>
      </c>
      <c r="G16" s="20">
        <v>0.18</v>
      </c>
      <c r="H16" s="20">
        <f t="shared" si="0"/>
        <v>270</v>
      </c>
      <c r="I16" s="20" t="s">
        <v>161</v>
      </c>
      <c r="J16" s="8" t="s">
        <v>4</v>
      </c>
      <c r="K16" s="21">
        <f>VLOOKUP(G16, Intervalos!$B$3:$C$8,2,TRUE)</f>
        <v>0.01</v>
      </c>
    </row>
    <row r="17" spans="1:11" s="16" customFormat="1" ht="40.799999999999997" x14ac:dyDescent="0.2">
      <c r="A17" s="17">
        <v>12</v>
      </c>
      <c r="B17" s="18" t="s">
        <v>140</v>
      </c>
      <c r="C17" s="18" t="s">
        <v>44</v>
      </c>
      <c r="D17" s="19">
        <v>429626</v>
      </c>
      <c r="E17" s="18" t="s">
        <v>46</v>
      </c>
      <c r="F17" s="18">
        <v>13</v>
      </c>
      <c r="G17" s="20">
        <v>69.959999999999994</v>
      </c>
      <c r="H17" s="20">
        <f t="shared" si="0"/>
        <v>909.4799999999999</v>
      </c>
      <c r="I17" s="20" t="s">
        <v>161</v>
      </c>
      <c r="J17" s="8" t="s">
        <v>4</v>
      </c>
      <c r="K17" s="21">
        <f>VLOOKUP(G17, Intervalos!$B$3:$C$8,2,TRUE)</f>
        <v>0.1</v>
      </c>
    </row>
    <row r="18" spans="1:11" s="16" customFormat="1" ht="40.799999999999997" x14ac:dyDescent="0.2">
      <c r="A18" s="17">
        <v>13</v>
      </c>
      <c r="B18" s="18" t="s">
        <v>38</v>
      </c>
      <c r="C18" s="18" t="s">
        <v>26</v>
      </c>
      <c r="D18" s="19">
        <v>454459</v>
      </c>
      <c r="E18" s="18" t="s">
        <v>46</v>
      </c>
      <c r="F18" s="18">
        <v>300</v>
      </c>
      <c r="G18" s="20">
        <v>18.399999999999999</v>
      </c>
      <c r="H18" s="20">
        <f t="shared" si="0"/>
        <v>5520</v>
      </c>
      <c r="I18" s="20" t="s">
        <v>161</v>
      </c>
      <c r="J18" s="8" t="s">
        <v>4</v>
      </c>
      <c r="K18" s="21">
        <f>VLOOKUP(G18, Intervalos!$B$3:$C$8,2,TRUE)</f>
        <v>0.03</v>
      </c>
    </row>
    <row r="19" spans="1:11" s="16" customFormat="1" ht="44.4" customHeight="1" x14ac:dyDescent="0.2">
      <c r="A19" s="17">
        <v>14</v>
      </c>
      <c r="B19" s="18" t="s">
        <v>39</v>
      </c>
      <c r="C19" s="18" t="s">
        <v>55</v>
      </c>
      <c r="D19" s="19">
        <v>456243</v>
      </c>
      <c r="E19" s="18" t="s">
        <v>46</v>
      </c>
      <c r="F19" s="18">
        <v>7</v>
      </c>
      <c r="G19" s="20">
        <v>130.34</v>
      </c>
      <c r="H19" s="20">
        <f t="shared" si="0"/>
        <v>912.38</v>
      </c>
      <c r="I19" s="20" t="s">
        <v>161</v>
      </c>
      <c r="J19" s="8" t="s">
        <v>4</v>
      </c>
      <c r="K19" s="21" t="str">
        <f>VLOOKUP(G19, Intervalos!$B$3:$C$8,2,TRUE)</f>
        <v>0,10%</v>
      </c>
    </row>
    <row r="20" spans="1:11" s="16" customFormat="1" ht="40.799999999999997" x14ac:dyDescent="0.2">
      <c r="A20" s="17">
        <v>15</v>
      </c>
      <c r="B20" s="18" t="s">
        <v>40</v>
      </c>
      <c r="C20" s="18" t="s">
        <v>41</v>
      </c>
      <c r="D20" s="19">
        <v>382238</v>
      </c>
      <c r="E20" s="18" t="s">
        <v>46</v>
      </c>
      <c r="F20" s="18">
        <v>200</v>
      </c>
      <c r="G20" s="20">
        <v>6.52</v>
      </c>
      <c r="H20" s="20">
        <f t="shared" si="0"/>
        <v>1304</v>
      </c>
      <c r="I20" s="20" t="s">
        <v>161</v>
      </c>
      <c r="J20" s="8" t="s">
        <v>4</v>
      </c>
      <c r="K20" s="21">
        <f>VLOOKUP(G20, Intervalos!$B$3:$C$8,2,TRUE)</f>
        <v>0.02</v>
      </c>
    </row>
    <row r="21" spans="1:11" s="16" customFormat="1" ht="40.799999999999997" x14ac:dyDescent="0.2">
      <c r="A21" s="17">
        <v>16</v>
      </c>
      <c r="B21" s="18" t="s">
        <v>42</v>
      </c>
      <c r="C21" s="18" t="s">
        <v>26</v>
      </c>
      <c r="D21" s="19">
        <v>414404</v>
      </c>
      <c r="E21" s="18" t="s">
        <v>46</v>
      </c>
      <c r="F21" s="18">
        <v>75</v>
      </c>
      <c r="G21" s="20">
        <v>7.71</v>
      </c>
      <c r="H21" s="20">
        <f t="shared" si="0"/>
        <v>578.25</v>
      </c>
      <c r="I21" s="20" t="s">
        <v>161</v>
      </c>
      <c r="J21" s="8" t="s">
        <v>4</v>
      </c>
      <c r="K21" s="21">
        <f>VLOOKUP(G21, Intervalos!$B$3:$C$8,2,TRUE)</f>
        <v>0.02</v>
      </c>
    </row>
    <row r="22" spans="1:11" s="16" customFormat="1" ht="40.799999999999997" x14ac:dyDescent="0.2">
      <c r="A22" s="17">
        <v>17</v>
      </c>
      <c r="B22" s="18" t="s">
        <v>134</v>
      </c>
      <c r="C22" s="18" t="s">
        <v>26</v>
      </c>
      <c r="D22" s="19">
        <v>626764</v>
      </c>
      <c r="E22" s="18" t="s">
        <v>46</v>
      </c>
      <c r="F22" s="18">
        <f>3*25</f>
        <v>75</v>
      </c>
      <c r="G22" s="20">
        <f>4393.5/25</f>
        <v>175.74</v>
      </c>
      <c r="H22" s="20">
        <f t="shared" si="0"/>
        <v>13180.5</v>
      </c>
      <c r="I22" s="20" t="s">
        <v>161</v>
      </c>
      <c r="J22" s="8" t="s">
        <v>4</v>
      </c>
      <c r="K22" s="21" t="str">
        <f>VLOOKUP(G22, Intervalos!$B$3:$C$8,2,TRUE)</f>
        <v>0,10%</v>
      </c>
    </row>
    <row r="23" spans="1:11" s="16" customFormat="1" ht="78" customHeight="1" x14ac:dyDescent="0.2">
      <c r="A23" s="17">
        <v>18</v>
      </c>
      <c r="B23" s="18" t="s">
        <v>144</v>
      </c>
      <c r="C23" s="18" t="s">
        <v>41</v>
      </c>
      <c r="D23" s="19">
        <v>380224</v>
      </c>
      <c r="E23" s="18" t="s">
        <v>46</v>
      </c>
      <c r="F23" s="18">
        <f>5*5</f>
        <v>25</v>
      </c>
      <c r="G23" s="20">
        <f>2416.5/5</f>
        <v>483.3</v>
      </c>
      <c r="H23" s="20">
        <f t="shared" si="0"/>
        <v>12082.5</v>
      </c>
      <c r="I23" s="20" t="s">
        <v>161</v>
      </c>
      <c r="J23" s="8" t="s">
        <v>4</v>
      </c>
      <c r="K23" s="21" t="str">
        <f>VLOOKUP(G23, Intervalos!$B$3:$C$8,2,TRUE)</f>
        <v>0,10%</v>
      </c>
    </row>
    <row r="24" spans="1:11" s="16" customFormat="1" ht="30.6" x14ac:dyDescent="0.2">
      <c r="A24" s="17">
        <v>19</v>
      </c>
      <c r="B24" s="18" t="s">
        <v>45</v>
      </c>
      <c r="C24" s="18" t="s">
        <v>26</v>
      </c>
      <c r="D24" s="19">
        <v>401189</v>
      </c>
      <c r="E24" s="18" t="s">
        <v>46</v>
      </c>
      <c r="F24" s="18">
        <v>16500</v>
      </c>
      <c r="G24" s="20">
        <v>0.03</v>
      </c>
      <c r="H24" s="20">
        <f t="shared" si="0"/>
        <v>495</v>
      </c>
      <c r="I24" s="20" t="s">
        <v>161</v>
      </c>
      <c r="J24" s="8" t="s">
        <v>4</v>
      </c>
      <c r="K24" s="21">
        <f>VLOOKUP(G24, Intervalos!$B$3:$C$8,2,TRUE)</f>
        <v>0.01</v>
      </c>
    </row>
    <row r="25" spans="1:11" s="16" customFormat="1" ht="40.799999999999997" x14ac:dyDescent="0.2">
      <c r="A25" s="17">
        <v>20</v>
      </c>
      <c r="B25" s="18" t="s">
        <v>47</v>
      </c>
      <c r="C25" s="18" t="s">
        <v>26</v>
      </c>
      <c r="D25" s="19">
        <v>347386</v>
      </c>
      <c r="E25" s="18" t="s">
        <v>48</v>
      </c>
      <c r="F25" s="18">
        <v>1000</v>
      </c>
      <c r="G25" s="20">
        <v>2.58</v>
      </c>
      <c r="H25" s="20">
        <f t="shared" si="0"/>
        <v>2580</v>
      </c>
      <c r="I25" s="20" t="s">
        <v>161</v>
      </c>
      <c r="J25" s="8" t="s">
        <v>4</v>
      </c>
      <c r="K25" s="21">
        <f>VLOOKUP(G25, Intervalos!$B$3:$C$8,2,TRUE)</f>
        <v>0.01</v>
      </c>
    </row>
    <row r="26" spans="1:11" s="16" customFormat="1" ht="40.799999999999997" x14ac:dyDescent="0.2">
      <c r="A26" s="17">
        <v>21</v>
      </c>
      <c r="B26" s="18" t="s">
        <v>49</v>
      </c>
      <c r="C26" s="18" t="s">
        <v>26</v>
      </c>
      <c r="D26" s="19">
        <v>348061</v>
      </c>
      <c r="E26" s="18" t="s">
        <v>46</v>
      </c>
      <c r="F26" s="18">
        <v>300</v>
      </c>
      <c r="G26" s="20">
        <v>650</v>
      </c>
      <c r="H26" s="20">
        <f t="shared" si="0"/>
        <v>195000</v>
      </c>
      <c r="I26" s="20" t="s">
        <v>162</v>
      </c>
      <c r="J26" s="8" t="s">
        <v>4</v>
      </c>
      <c r="K26" s="21" t="str">
        <f>VLOOKUP(G26, Intervalos!$B$3:$C$8,2,TRUE)</f>
        <v>0,10%</v>
      </c>
    </row>
    <row r="27" spans="1:11" s="16" customFormat="1" ht="40.799999999999997" x14ac:dyDescent="0.2">
      <c r="A27" s="17">
        <v>22</v>
      </c>
      <c r="B27" s="18" t="s">
        <v>169</v>
      </c>
      <c r="C27" s="24" t="s">
        <v>26</v>
      </c>
      <c r="D27" s="19">
        <v>414033</v>
      </c>
      <c r="E27" s="18" t="s">
        <v>46</v>
      </c>
      <c r="F27" s="24">
        <f>2*500</f>
        <v>1000</v>
      </c>
      <c r="G27" s="25">
        <f>230.52/500</f>
        <v>0.46104000000000001</v>
      </c>
      <c r="H27" s="20">
        <f t="shared" si="0"/>
        <v>460</v>
      </c>
      <c r="I27" s="20" t="s">
        <v>161</v>
      </c>
      <c r="J27" s="8" t="s">
        <v>4</v>
      </c>
      <c r="K27" s="21">
        <f>VLOOKUP(G27, Intervalos!$B$3:$C$8,2,TRUE)</f>
        <v>0.01</v>
      </c>
    </row>
    <row r="28" spans="1:11" s="16" customFormat="1" ht="40.799999999999997" x14ac:dyDescent="0.2">
      <c r="A28" s="17">
        <v>23</v>
      </c>
      <c r="B28" s="18" t="s">
        <v>50</v>
      </c>
      <c r="C28" s="18" t="s">
        <v>26</v>
      </c>
      <c r="D28" s="19">
        <v>375316</v>
      </c>
      <c r="E28" s="18" t="s">
        <v>46</v>
      </c>
      <c r="F28" s="18">
        <v>3500</v>
      </c>
      <c r="G28" s="20">
        <v>0.09</v>
      </c>
      <c r="H28" s="20">
        <f t="shared" si="0"/>
        <v>315</v>
      </c>
      <c r="I28" s="20" t="s">
        <v>161</v>
      </c>
      <c r="J28" s="8" t="s">
        <v>4</v>
      </c>
      <c r="K28" s="21">
        <f>VLOOKUP(G28, Intervalos!$B$3:$C$8,2,TRUE)</f>
        <v>0.01</v>
      </c>
    </row>
    <row r="29" spans="1:11" s="16" customFormat="1" ht="30.6" x14ac:dyDescent="0.2">
      <c r="A29" s="17">
        <v>24</v>
      </c>
      <c r="B29" s="18" t="s">
        <v>51</v>
      </c>
      <c r="C29" s="18" t="s">
        <v>26</v>
      </c>
      <c r="D29" s="19">
        <v>347884</v>
      </c>
      <c r="E29" s="18" t="s">
        <v>46</v>
      </c>
      <c r="F29" s="18">
        <v>15000</v>
      </c>
      <c r="G29" s="20">
        <v>0.03</v>
      </c>
      <c r="H29" s="20">
        <f t="shared" si="0"/>
        <v>450</v>
      </c>
      <c r="I29" s="20" t="s">
        <v>161</v>
      </c>
      <c r="J29" s="8" t="s">
        <v>4</v>
      </c>
      <c r="K29" s="21">
        <f>VLOOKUP(G29, Intervalos!$B$3:$C$8,2,TRUE)</f>
        <v>0.01</v>
      </c>
    </row>
    <row r="30" spans="1:11" s="16" customFormat="1" ht="40.799999999999997" x14ac:dyDescent="0.2">
      <c r="A30" s="17">
        <v>25</v>
      </c>
      <c r="B30" s="18" t="s">
        <v>52</v>
      </c>
      <c r="C30" s="18" t="s">
        <v>26</v>
      </c>
      <c r="D30" s="19">
        <v>347951</v>
      </c>
      <c r="E30" s="18" t="s">
        <v>46</v>
      </c>
      <c r="F30" s="18">
        <v>3500</v>
      </c>
      <c r="G30" s="20">
        <v>0.08</v>
      </c>
      <c r="H30" s="20">
        <f t="shared" si="0"/>
        <v>280</v>
      </c>
      <c r="I30" s="20" t="s">
        <v>161</v>
      </c>
      <c r="J30" s="8" t="s">
        <v>4</v>
      </c>
      <c r="K30" s="21">
        <f>VLOOKUP(G30, Intervalos!$B$3:$C$8,2,TRUE)</f>
        <v>0.01</v>
      </c>
    </row>
    <row r="31" spans="1:11" s="16" customFormat="1" ht="40.799999999999997" x14ac:dyDescent="0.2">
      <c r="A31" s="17">
        <v>26</v>
      </c>
      <c r="B31" s="18" t="s">
        <v>54</v>
      </c>
      <c r="C31" s="18" t="s">
        <v>36</v>
      </c>
      <c r="D31" s="19">
        <v>307435</v>
      </c>
      <c r="E31" s="18" t="s">
        <v>46</v>
      </c>
      <c r="F31" s="18">
        <v>2</v>
      </c>
      <c r="G31" s="20">
        <v>183.59</v>
      </c>
      <c r="H31" s="20">
        <f t="shared" si="0"/>
        <v>367.18</v>
      </c>
      <c r="I31" s="20" t="s">
        <v>161</v>
      </c>
      <c r="J31" s="8" t="s">
        <v>4</v>
      </c>
      <c r="K31" s="21" t="str">
        <f>VLOOKUP(G31, Intervalos!$B$3:$C$8,2,TRUE)</f>
        <v>0,10%</v>
      </c>
    </row>
    <row r="32" spans="1:11" s="16" customFormat="1" ht="30.6" x14ac:dyDescent="0.2">
      <c r="A32" s="17">
        <v>27</v>
      </c>
      <c r="B32" s="18" t="s">
        <v>151</v>
      </c>
      <c r="C32" s="18" t="s">
        <v>55</v>
      </c>
      <c r="D32" s="19">
        <v>348089</v>
      </c>
      <c r="E32" s="18" t="s">
        <v>46</v>
      </c>
      <c r="F32" s="18">
        <v>5</v>
      </c>
      <c r="G32" s="20">
        <v>70.77</v>
      </c>
      <c r="H32" s="20">
        <f t="shared" si="0"/>
        <v>353.84999999999997</v>
      </c>
      <c r="I32" s="20" t="s">
        <v>161</v>
      </c>
      <c r="J32" s="8" t="s">
        <v>4</v>
      </c>
      <c r="K32" s="21">
        <f>VLOOKUP(G32, Intervalos!$B$3:$C$8,2,TRUE)</f>
        <v>0.1</v>
      </c>
    </row>
    <row r="33" spans="1:12" s="16" customFormat="1" ht="40.799999999999997" x14ac:dyDescent="0.2">
      <c r="A33" s="17">
        <v>28</v>
      </c>
      <c r="B33" s="18" t="s">
        <v>56</v>
      </c>
      <c r="C33" s="18" t="s">
        <v>55</v>
      </c>
      <c r="D33" s="19">
        <v>412964</v>
      </c>
      <c r="E33" s="18" t="s">
        <v>46</v>
      </c>
      <c r="F33" s="18">
        <v>7</v>
      </c>
      <c r="G33" s="20">
        <v>448.31</v>
      </c>
      <c r="H33" s="20">
        <f t="shared" si="0"/>
        <v>3138.17</v>
      </c>
      <c r="I33" s="20" t="s">
        <v>161</v>
      </c>
      <c r="J33" s="8" t="s">
        <v>4</v>
      </c>
      <c r="K33" s="21" t="str">
        <f>VLOOKUP(G33, Intervalos!$B$3:$C$8,2,TRUE)</f>
        <v>0,10%</v>
      </c>
    </row>
    <row r="34" spans="1:12" s="16" customFormat="1" ht="20.399999999999999" x14ac:dyDescent="0.2">
      <c r="A34" s="17">
        <v>29</v>
      </c>
      <c r="B34" s="18" t="s">
        <v>57</v>
      </c>
      <c r="C34" s="18" t="s">
        <v>55</v>
      </c>
      <c r="D34" s="19">
        <v>368971</v>
      </c>
      <c r="E34" s="18" t="s">
        <v>46</v>
      </c>
      <c r="F34" s="18">
        <v>15</v>
      </c>
      <c r="G34" s="20">
        <v>182.3</v>
      </c>
      <c r="H34" s="20">
        <f t="shared" si="0"/>
        <v>2734.5</v>
      </c>
      <c r="I34" s="20" t="s">
        <v>161</v>
      </c>
      <c r="J34" s="8" t="s">
        <v>4</v>
      </c>
      <c r="K34" s="21" t="str">
        <f>VLOOKUP(G34, Intervalos!$B$3:$C$8,2,TRUE)</f>
        <v>0,10%</v>
      </c>
    </row>
    <row r="35" spans="1:12" s="16" customFormat="1" ht="43.2" customHeight="1" x14ac:dyDescent="0.2">
      <c r="A35" s="17">
        <v>30</v>
      </c>
      <c r="B35" s="18" t="s">
        <v>167</v>
      </c>
      <c r="C35" s="18" t="s">
        <v>44</v>
      </c>
      <c r="D35" s="19">
        <v>397999</v>
      </c>
      <c r="E35" s="18" t="s">
        <v>46</v>
      </c>
      <c r="F35" s="18">
        <v>25</v>
      </c>
      <c r="G35" s="20">
        <f>0.06*1000</f>
        <v>60</v>
      </c>
      <c r="H35" s="20">
        <f t="shared" si="0"/>
        <v>1500</v>
      </c>
      <c r="I35" s="20" t="s">
        <v>161</v>
      </c>
      <c r="J35" s="8" t="s">
        <v>4</v>
      </c>
      <c r="K35" s="21">
        <f>VLOOKUP(G35, Intervalos!$B$3:$C$8,2,TRUE)</f>
        <v>0.1</v>
      </c>
      <c r="L35" s="22"/>
    </row>
    <row r="36" spans="1:12" s="16" customFormat="1" ht="30.6" x14ac:dyDescent="0.2">
      <c r="A36" s="17">
        <v>31</v>
      </c>
      <c r="B36" s="18" t="s">
        <v>58</v>
      </c>
      <c r="C36" s="18" t="s">
        <v>55</v>
      </c>
      <c r="D36" s="19">
        <v>385476</v>
      </c>
      <c r="E36" s="18" t="s">
        <v>46</v>
      </c>
      <c r="F36" s="18">
        <v>4</v>
      </c>
      <c r="G36" s="20">
        <v>537.91</v>
      </c>
      <c r="H36" s="20">
        <f t="shared" si="0"/>
        <v>2151.64</v>
      </c>
      <c r="I36" s="20" t="s">
        <v>161</v>
      </c>
      <c r="J36" s="8" t="s">
        <v>4</v>
      </c>
      <c r="K36" s="21" t="str">
        <f>VLOOKUP(G36, Intervalos!$B$3:$C$8,2,TRUE)</f>
        <v>0,10%</v>
      </c>
    </row>
    <row r="37" spans="1:12" s="16" customFormat="1" ht="40.799999999999997" x14ac:dyDescent="0.2">
      <c r="A37" s="17">
        <v>32</v>
      </c>
      <c r="B37" s="18" t="s">
        <v>59</v>
      </c>
      <c r="C37" s="18" t="s">
        <v>26</v>
      </c>
      <c r="D37" s="19">
        <v>412633</v>
      </c>
      <c r="E37" s="18" t="s">
        <v>46</v>
      </c>
      <c r="F37" s="18">
        <v>5000</v>
      </c>
      <c r="G37" s="20">
        <v>0.06</v>
      </c>
      <c r="H37" s="20">
        <f t="shared" si="0"/>
        <v>300</v>
      </c>
      <c r="I37" s="20" t="s">
        <v>161</v>
      </c>
      <c r="J37" s="8" t="s">
        <v>4</v>
      </c>
      <c r="K37" s="21">
        <f>VLOOKUP(G37, Intervalos!$B$3:$C$8,2,TRUE)</f>
        <v>0.01</v>
      </c>
    </row>
    <row r="38" spans="1:12" s="16" customFormat="1" ht="30.6" x14ac:dyDescent="0.2">
      <c r="A38" s="17">
        <v>33</v>
      </c>
      <c r="B38" s="18" t="s">
        <v>60</v>
      </c>
      <c r="C38" s="18" t="s">
        <v>26</v>
      </c>
      <c r="D38" s="19">
        <v>353524</v>
      </c>
      <c r="E38" s="18" t="s">
        <v>46</v>
      </c>
      <c r="F38" s="18">
        <v>500</v>
      </c>
      <c r="G38" s="20">
        <v>1.05</v>
      </c>
      <c r="H38" s="20">
        <f t="shared" si="0"/>
        <v>525</v>
      </c>
      <c r="I38" s="20" t="s">
        <v>161</v>
      </c>
      <c r="J38" s="8" t="s">
        <v>4</v>
      </c>
      <c r="K38" s="21">
        <f>VLOOKUP(G38, Intervalos!$B$3:$C$8,2,TRUE)</f>
        <v>0.01</v>
      </c>
    </row>
    <row r="39" spans="1:12" s="16" customFormat="1" ht="48.6" customHeight="1" x14ac:dyDescent="0.2">
      <c r="A39" s="17">
        <v>34</v>
      </c>
      <c r="B39" s="18" t="s">
        <v>152</v>
      </c>
      <c r="C39" s="18" t="s">
        <v>26</v>
      </c>
      <c r="D39" s="19">
        <v>374564</v>
      </c>
      <c r="E39" s="18" t="s">
        <v>46</v>
      </c>
      <c r="F39" s="18">
        <v>750</v>
      </c>
      <c r="G39" s="20">
        <v>67.83</v>
      </c>
      <c r="H39" s="20">
        <f t="shared" si="0"/>
        <v>50872.5</v>
      </c>
      <c r="I39" s="20" t="s">
        <v>161</v>
      </c>
      <c r="J39" s="8" t="s">
        <v>4</v>
      </c>
      <c r="K39" s="21">
        <f>VLOOKUP(G39, Intervalos!$B$3:$C$8,2,TRUE)</f>
        <v>0.1</v>
      </c>
    </row>
    <row r="40" spans="1:12" s="16" customFormat="1" ht="40.799999999999997" x14ac:dyDescent="0.2">
      <c r="A40" s="17">
        <v>35</v>
      </c>
      <c r="B40" s="18" t="s">
        <v>61</v>
      </c>
      <c r="C40" s="18" t="s">
        <v>26</v>
      </c>
      <c r="D40" s="19">
        <v>381591</v>
      </c>
      <c r="E40" s="18" t="s">
        <v>46</v>
      </c>
      <c r="F40" s="18">
        <v>500</v>
      </c>
      <c r="G40" s="20">
        <v>2.99</v>
      </c>
      <c r="H40" s="20">
        <f t="shared" si="0"/>
        <v>1495</v>
      </c>
      <c r="I40" s="20" t="s">
        <v>161</v>
      </c>
      <c r="J40" s="8" t="s">
        <v>4</v>
      </c>
      <c r="K40" s="21">
        <f>VLOOKUP(G40, Intervalos!$B$3:$C$8,2,TRUE)</f>
        <v>0.01</v>
      </c>
    </row>
    <row r="41" spans="1:12" s="16" customFormat="1" ht="51" x14ac:dyDescent="0.2">
      <c r="A41" s="17">
        <v>36</v>
      </c>
      <c r="B41" s="18" t="s">
        <v>153</v>
      </c>
      <c r="C41" s="18" t="s">
        <v>41</v>
      </c>
      <c r="D41" s="19">
        <v>381298</v>
      </c>
      <c r="E41" s="18" t="s">
        <v>46</v>
      </c>
      <c r="F41" s="18">
        <v>500</v>
      </c>
      <c r="G41" s="20">
        <v>1.53</v>
      </c>
      <c r="H41" s="20">
        <f t="shared" si="0"/>
        <v>765</v>
      </c>
      <c r="I41" s="20" t="s">
        <v>161</v>
      </c>
      <c r="J41" s="8" t="s">
        <v>4</v>
      </c>
      <c r="K41" s="21">
        <f>VLOOKUP(G41, Intervalos!$B$3:$C$8,2,TRUE)</f>
        <v>0.01</v>
      </c>
    </row>
    <row r="42" spans="1:12" s="16" customFormat="1" ht="40.799999999999997" x14ac:dyDescent="0.2">
      <c r="A42" s="17">
        <v>37</v>
      </c>
      <c r="B42" s="18" t="s">
        <v>62</v>
      </c>
      <c r="C42" s="18" t="s">
        <v>26</v>
      </c>
      <c r="D42" s="19">
        <v>436172</v>
      </c>
      <c r="E42" s="18" t="s">
        <v>46</v>
      </c>
      <c r="F42" s="18">
        <v>3500</v>
      </c>
      <c r="G42" s="20">
        <v>0.61</v>
      </c>
      <c r="H42" s="20">
        <f t="shared" si="0"/>
        <v>2135</v>
      </c>
      <c r="I42" s="20" t="s">
        <v>161</v>
      </c>
      <c r="J42" s="8" t="s">
        <v>4</v>
      </c>
      <c r="K42" s="21">
        <f>VLOOKUP(G42, Intervalos!$B$3:$C$8,2,TRUE)</f>
        <v>0.01</v>
      </c>
    </row>
    <row r="43" spans="1:12" s="16" customFormat="1" ht="40.799999999999997" x14ac:dyDescent="0.2">
      <c r="A43" s="17">
        <v>38</v>
      </c>
      <c r="B43" s="18" t="s">
        <v>63</v>
      </c>
      <c r="C43" s="18" t="s">
        <v>55</v>
      </c>
      <c r="D43" s="19">
        <v>348555</v>
      </c>
      <c r="E43" s="18" t="s">
        <v>46</v>
      </c>
      <c r="F43" s="18">
        <v>13</v>
      </c>
      <c r="G43" s="20">
        <v>25.78</v>
      </c>
      <c r="H43" s="20">
        <f t="shared" si="0"/>
        <v>335.14</v>
      </c>
      <c r="I43" s="20" t="s">
        <v>161</v>
      </c>
      <c r="J43" s="8" t="s">
        <v>4</v>
      </c>
      <c r="K43" s="21">
        <f>VLOOKUP(G43, Intervalos!$B$3:$C$8,2,TRUE)</f>
        <v>0.05</v>
      </c>
    </row>
    <row r="44" spans="1:12" s="16" customFormat="1" ht="30.6" x14ac:dyDescent="0.2">
      <c r="A44" s="17">
        <v>39</v>
      </c>
      <c r="B44" s="18" t="s">
        <v>64</v>
      </c>
      <c r="C44" s="18" t="s">
        <v>26</v>
      </c>
      <c r="D44" s="19">
        <v>630022</v>
      </c>
      <c r="E44" s="18" t="s">
        <v>46</v>
      </c>
      <c r="F44" s="18">
        <v>130</v>
      </c>
      <c r="G44" s="20">
        <v>11.6</v>
      </c>
      <c r="H44" s="20">
        <f t="shared" si="0"/>
        <v>1508</v>
      </c>
      <c r="I44" s="20" t="s">
        <v>161</v>
      </c>
      <c r="J44" s="8" t="s">
        <v>4</v>
      </c>
      <c r="K44" s="21">
        <f>VLOOKUP(G44, Intervalos!$B$3:$C$8,2,TRUE)</f>
        <v>0.03</v>
      </c>
    </row>
    <row r="45" spans="1:12" s="16" customFormat="1" ht="81.599999999999994" x14ac:dyDescent="0.2">
      <c r="A45" s="17">
        <v>40</v>
      </c>
      <c r="B45" s="18" t="s">
        <v>65</v>
      </c>
      <c r="C45" s="18" t="s">
        <v>55</v>
      </c>
      <c r="D45" s="19">
        <v>327358</v>
      </c>
      <c r="E45" s="18" t="s">
        <v>48</v>
      </c>
      <c r="F45" s="18">
        <v>15</v>
      </c>
      <c r="G45" s="20">
        <v>202.22</v>
      </c>
      <c r="H45" s="20">
        <f t="shared" si="0"/>
        <v>3033.3</v>
      </c>
      <c r="I45" s="20" t="s">
        <v>161</v>
      </c>
      <c r="J45" s="8" t="s">
        <v>4</v>
      </c>
      <c r="K45" s="21" t="str">
        <f>VLOOKUP(G45, Intervalos!$B$3:$C$8,2,TRUE)</f>
        <v>0,10%</v>
      </c>
    </row>
    <row r="46" spans="1:12" s="16" customFormat="1" ht="20.399999999999999" x14ac:dyDescent="0.2">
      <c r="A46" s="17">
        <v>41</v>
      </c>
      <c r="B46" s="18" t="s">
        <v>66</v>
      </c>
      <c r="C46" s="18" t="s">
        <v>43</v>
      </c>
      <c r="D46" s="19">
        <v>361068</v>
      </c>
      <c r="E46" s="18" t="s">
        <v>46</v>
      </c>
      <c r="F46" s="18">
        <v>13</v>
      </c>
      <c r="G46" s="20">
        <v>95.5</v>
      </c>
      <c r="H46" s="20">
        <f t="shared" ref="H46:H88" si="1">F46*ROUND(G46,2)</f>
        <v>1241.5</v>
      </c>
      <c r="I46" s="20" t="s">
        <v>161</v>
      </c>
      <c r="J46" s="8" t="s">
        <v>4</v>
      </c>
      <c r="K46" s="21">
        <f>VLOOKUP(G46, Intervalos!$B$3:$C$8,2,TRUE)</f>
        <v>0.1</v>
      </c>
    </row>
    <row r="47" spans="1:12" s="16" customFormat="1" ht="20.399999999999999" x14ac:dyDescent="0.2">
      <c r="A47" s="17">
        <v>42</v>
      </c>
      <c r="B47" s="18" t="s">
        <v>67</v>
      </c>
      <c r="C47" s="18" t="s">
        <v>43</v>
      </c>
      <c r="D47" s="19">
        <v>331021</v>
      </c>
      <c r="E47" s="18" t="s">
        <v>46</v>
      </c>
      <c r="F47" s="18">
        <v>13</v>
      </c>
      <c r="G47" s="20">
        <v>25.55</v>
      </c>
      <c r="H47" s="20">
        <f t="shared" si="1"/>
        <v>332.15000000000003</v>
      </c>
      <c r="I47" s="20" t="s">
        <v>161</v>
      </c>
      <c r="J47" s="8" t="s">
        <v>4</v>
      </c>
      <c r="K47" s="21">
        <f>VLOOKUP(G47, Intervalos!$B$3:$C$8,2,TRUE)</f>
        <v>0.05</v>
      </c>
    </row>
    <row r="48" spans="1:12" s="16" customFormat="1" ht="20.399999999999999" x14ac:dyDescent="0.2">
      <c r="A48" s="17">
        <v>43</v>
      </c>
      <c r="B48" s="18" t="s">
        <v>68</v>
      </c>
      <c r="C48" s="18" t="s">
        <v>69</v>
      </c>
      <c r="D48" s="19">
        <v>327487</v>
      </c>
      <c r="E48" s="18" t="s">
        <v>46</v>
      </c>
      <c r="F48" s="18">
        <v>25</v>
      </c>
      <c r="G48" s="20">
        <v>26.67</v>
      </c>
      <c r="H48" s="20">
        <f t="shared" si="1"/>
        <v>666.75</v>
      </c>
      <c r="I48" s="20" t="s">
        <v>161</v>
      </c>
      <c r="J48" s="8" t="s">
        <v>4</v>
      </c>
      <c r="K48" s="21">
        <f>VLOOKUP(G48, Intervalos!$B$3:$C$8,2,TRUE)</f>
        <v>0.05</v>
      </c>
    </row>
    <row r="49" spans="1:11" s="16" customFormat="1" ht="30.6" x14ac:dyDescent="0.2">
      <c r="A49" s="17">
        <v>44</v>
      </c>
      <c r="B49" s="18" t="s">
        <v>159</v>
      </c>
      <c r="C49" s="18" t="s">
        <v>142</v>
      </c>
      <c r="D49" s="19">
        <v>624945</v>
      </c>
      <c r="E49" s="18" t="s">
        <v>46</v>
      </c>
      <c r="F49" s="18">
        <f>13*300</f>
        <v>3900</v>
      </c>
      <c r="G49" s="20">
        <f>2335.37/300</f>
        <v>7.7845666666666666</v>
      </c>
      <c r="H49" s="20">
        <f t="shared" si="1"/>
        <v>30342</v>
      </c>
      <c r="I49" s="20" t="s">
        <v>161</v>
      </c>
      <c r="J49" s="8" t="s">
        <v>4</v>
      </c>
      <c r="K49" s="21">
        <f>VLOOKUP(G49, Intervalos!$B$3:$C$8,2,TRUE)</f>
        <v>0.02</v>
      </c>
    </row>
    <row r="50" spans="1:11" s="16" customFormat="1" ht="30.6" x14ac:dyDescent="0.2">
      <c r="A50" s="17">
        <v>45</v>
      </c>
      <c r="B50" s="18" t="s">
        <v>141</v>
      </c>
      <c r="C50" s="18" t="s">
        <v>142</v>
      </c>
      <c r="D50" s="19">
        <v>630040</v>
      </c>
      <c r="E50" s="18" t="s">
        <v>46</v>
      </c>
      <c r="F50" s="18">
        <f>13*10</f>
        <v>130</v>
      </c>
      <c r="G50" s="20">
        <f>1316.49/10</f>
        <v>131.649</v>
      </c>
      <c r="H50" s="20">
        <f t="shared" si="1"/>
        <v>17114.5</v>
      </c>
      <c r="I50" s="20" t="s">
        <v>161</v>
      </c>
      <c r="J50" s="8" t="s">
        <v>4</v>
      </c>
      <c r="K50" s="21" t="str">
        <f>VLOOKUP(G50, Intervalos!$B$3:$C$8,2,TRUE)</f>
        <v>0,10%</v>
      </c>
    </row>
    <row r="51" spans="1:11" s="16" customFormat="1" ht="91.8" customHeight="1" x14ac:dyDescent="0.2">
      <c r="A51" s="17">
        <v>46</v>
      </c>
      <c r="B51" s="18" t="s">
        <v>166</v>
      </c>
      <c r="C51" s="18" t="s">
        <v>143</v>
      </c>
      <c r="D51" s="19">
        <v>419288</v>
      </c>
      <c r="E51" s="18" t="s">
        <v>46</v>
      </c>
      <c r="F51" s="18">
        <f>3*10</f>
        <v>30</v>
      </c>
      <c r="G51" s="20">
        <f>276/10</f>
        <v>27.6</v>
      </c>
      <c r="H51" s="20">
        <f t="shared" si="1"/>
        <v>828</v>
      </c>
      <c r="I51" s="20" t="s">
        <v>161</v>
      </c>
      <c r="J51" s="8" t="s">
        <v>4</v>
      </c>
      <c r="K51" s="21">
        <f>VLOOKUP(G51, Intervalos!$B$3:$C$8,2,TRUE)</f>
        <v>0.05</v>
      </c>
    </row>
    <row r="52" spans="1:11" s="16" customFormat="1" ht="40.799999999999997" x14ac:dyDescent="0.2">
      <c r="A52" s="17">
        <v>47</v>
      </c>
      <c r="B52" s="18" t="s">
        <v>70</v>
      </c>
      <c r="C52" s="18" t="s">
        <v>26</v>
      </c>
      <c r="D52" s="19">
        <v>420808</v>
      </c>
      <c r="E52" s="18" t="s">
        <v>46</v>
      </c>
      <c r="F52" s="18">
        <v>1000</v>
      </c>
      <c r="G52" s="20">
        <v>1.69</v>
      </c>
      <c r="H52" s="20">
        <f t="shared" si="1"/>
        <v>1690</v>
      </c>
      <c r="I52" s="20" t="s">
        <v>161</v>
      </c>
      <c r="J52" s="8" t="s">
        <v>4</v>
      </c>
      <c r="K52" s="21">
        <f>VLOOKUP(G52, Intervalos!$B$3:$C$8,2,TRUE)</f>
        <v>0.01</v>
      </c>
    </row>
    <row r="53" spans="1:11" s="16" customFormat="1" ht="49.8" customHeight="1" x14ac:dyDescent="0.2">
      <c r="A53" s="17">
        <v>48</v>
      </c>
      <c r="B53" s="18" t="s">
        <v>170</v>
      </c>
      <c r="C53" s="24" t="s">
        <v>26</v>
      </c>
      <c r="D53" s="26">
        <v>469233</v>
      </c>
      <c r="E53" s="18" t="s">
        <v>165</v>
      </c>
      <c r="F53" s="24">
        <f>13*225</f>
        <v>2925</v>
      </c>
      <c r="G53" s="25">
        <f>41.74/225</f>
        <v>0.18551111111111113</v>
      </c>
      <c r="H53" s="20">
        <f t="shared" si="1"/>
        <v>555.75</v>
      </c>
      <c r="I53" s="20" t="s">
        <v>161</v>
      </c>
      <c r="J53" s="8" t="s">
        <v>4</v>
      </c>
      <c r="K53" s="21">
        <f>VLOOKUP(G53, Intervalos!$B$3:$C$8,2,TRUE)</f>
        <v>0.01</v>
      </c>
    </row>
    <row r="54" spans="1:11" s="16" customFormat="1" ht="30.6" x14ac:dyDescent="0.2">
      <c r="A54" s="17">
        <v>49</v>
      </c>
      <c r="B54" s="18" t="s">
        <v>71</v>
      </c>
      <c r="C54" s="18" t="s">
        <v>72</v>
      </c>
      <c r="D54" s="19">
        <v>389473</v>
      </c>
      <c r="E54" s="18" t="s">
        <v>46</v>
      </c>
      <c r="F54" s="18">
        <v>8</v>
      </c>
      <c r="G54" s="20">
        <v>34.21</v>
      </c>
      <c r="H54" s="20">
        <f t="shared" si="1"/>
        <v>273.68</v>
      </c>
      <c r="I54" s="20" t="s">
        <v>161</v>
      </c>
      <c r="J54" s="8" t="s">
        <v>4</v>
      </c>
      <c r="K54" s="21">
        <f>VLOOKUP(G54, Intervalos!$B$3:$C$8,2,TRUE)</f>
        <v>0.05</v>
      </c>
    </row>
    <row r="55" spans="1:11" s="16" customFormat="1" ht="30.6" x14ac:dyDescent="0.2">
      <c r="A55" s="17">
        <v>50</v>
      </c>
      <c r="B55" s="18" t="s">
        <v>145</v>
      </c>
      <c r="C55" s="18" t="s">
        <v>41</v>
      </c>
      <c r="D55" s="19">
        <v>422629</v>
      </c>
      <c r="E55" s="18" t="s">
        <v>46</v>
      </c>
      <c r="F55" s="18">
        <f>25*100</f>
        <v>2500</v>
      </c>
      <c r="G55" s="20">
        <f>22.32/100</f>
        <v>0.22320000000000001</v>
      </c>
      <c r="H55" s="20">
        <f t="shared" si="1"/>
        <v>550</v>
      </c>
      <c r="I55" s="20" t="s">
        <v>161</v>
      </c>
      <c r="J55" s="8" t="s">
        <v>4</v>
      </c>
      <c r="K55" s="21">
        <f>VLOOKUP(G55, Intervalos!$B$3:$C$8,2,TRUE)</f>
        <v>0.01</v>
      </c>
    </row>
    <row r="56" spans="1:11" s="16" customFormat="1" ht="30.6" x14ac:dyDescent="0.2">
      <c r="A56" s="17">
        <v>51</v>
      </c>
      <c r="B56" s="18" t="s">
        <v>146</v>
      </c>
      <c r="C56" s="18" t="s">
        <v>41</v>
      </c>
      <c r="D56" s="19">
        <v>367771</v>
      </c>
      <c r="E56" s="18" t="s">
        <v>46</v>
      </c>
      <c r="F56" s="18">
        <f>13*100</f>
        <v>1300</v>
      </c>
      <c r="G56" s="20">
        <f>20.44/100</f>
        <v>0.20440000000000003</v>
      </c>
      <c r="H56" s="20">
        <f t="shared" si="1"/>
        <v>260</v>
      </c>
      <c r="I56" s="20" t="s">
        <v>161</v>
      </c>
      <c r="J56" s="8" t="s">
        <v>4</v>
      </c>
      <c r="K56" s="21">
        <f>VLOOKUP(G56, Intervalos!$B$3:$C$8,2,TRUE)</f>
        <v>0.01</v>
      </c>
    </row>
    <row r="57" spans="1:11" s="16" customFormat="1" ht="30.6" x14ac:dyDescent="0.2">
      <c r="A57" s="17">
        <v>52</v>
      </c>
      <c r="B57" s="18" t="s">
        <v>147</v>
      </c>
      <c r="C57" s="18" t="s">
        <v>41</v>
      </c>
      <c r="D57" s="19">
        <v>422630</v>
      </c>
      <c r="E57" s="18" t="s">
        <v>46</v>
      </c>
      <c r="F57" s="18">
        <f>163*100</f>
        <v>16300</v>
      </c>
      <c r="G57" s="20">
        <f>29.9/100</f>
        <v>0.29899999999999999</v>
      </c>
      <c r="H57" s="20">
        <f t="shared" si="1"/>
        <v>4890</v>
      </c>
      <c r="I57" s="20" t="s">
        <v>161</v>
      </c>
      <c r="J57" s="8" t="s">
        <v>4</v>
      </c>
      <c r="K57" s="21">
        <f>VLOOKUP(G57, Intervalos!$B$3:$C$8,2,TRUE)</f>
        <v>0.01</v>
      </c>
    </row>
    <row r="58" spans="1:11" s="16" customFormat="1" ht="20.399999999999999" x14ac:dyDescent="0.2">
      <c r="A58" s="17">
        <v>53</v>
      </c>
      <c r="B58" s="18" t="s">
        <v>73</v>
      </c>
      <c r="C58" s="18" t="s">
        <v>41</v>
      </c>
      <c r="D58" s="19">
        <v>457582</v>
      </c>
      <c r="E58" s="18" t="s">
        <v>46</v>
      </c>
      <c r="F58" s="18">
        <v>6300</v>
      </c>
      <c r="G58" s="20">
        <v>0.4</v>
      </c>
      <c r="H58" s="20">
        <f t="shared" si="1"/>
        <v>2520</v>
      </c>
      <c r="I58" s="20" t="s">
        <v>161</v>
      </c>
      <c r="J58" s="8" t="s">
        <v>4</v>
      </c>
      <c r="K58" s="21">
        <f>VLOOKUP(G58, Intervalos!$B$3:$C$8,2,TRUE)</f>
        <v>0.01</v>
      </c>
    </row>
    <row r="59" spans="1:11" s="16" customFormat="1" ht="30.6" x14ac:dyDescent="0.2">
      <c r="A59" s="17">
        <v>54</v>
      </c>
      <c r="B59" s="18" t="s">
        <v>74</v>
      </c>
      <c r="C59" s="18" t="s">
        <v>26</v>
      </c>
      <c r="D59" s="19">
        <v>437506</v>
      </c>
      <c r="E59" s="18" t="s">
        <v>46</v>
      </c>
      <c r="F59" s="18">
        <v>300</v>
      </c>
      <c r="G59" s="20">
        <v>1.67</v>
      </c>
      <c r="H59" s="20">
        <f t="shared" si="1"/>
        <v>501</v>
      </c>
      <c r="I59" s="20" t="s">
        <v>161</v>
      </c>
      <c r="J59" s="8" t="s">
        <v>4</v>
      </c>
      <c r="K59" s="21">
        <f>VLOOKUP(G59, Intervalos!$B$3:$C$8,2,TRUE)</f>
        <v>0.01</v>
      </c>
    </row>
    <row r="60" spans="1:11" s="16" customFormat="1" ht="30.6" x14ac:dyDescent="0.2">
      <c r="A60" s="17">
        <v>55</v>
      </c>
      <c r="B60" s="18" t="s">
        <v>75</v>
      </c>
      <c r="C60" s="18" t="s">
        <v>26</v>
      </c>
      <c r="D60" s="19">
        <v>373593</v>
      </c>
      <c r="E60" s="18" t="s">
        <v>46</v>
      </c>
      <c r="F60" s="18">
        <v>2000</v>
      </c>
      <c r="G60" s="20">
        <v>0.37</v>
      </c>
      <c r="H60" s="20">
        <f t="shared" si="1"/>
        <v>740</v>
      </c>
      <c r="I60" s="20" t="s">
        <v>161</v>
      </c>
      <c r="J60" s="8" t="s">
        <v>4</v>
      </c>
      <c r="K60" s="21">
        <f>VLOOKUP(G60, Intervalos!$B$3:$C$8,2,TRUE)</f>
        <v>0.01</v>
      </c>
    </row>
    <row r="61" spans="1:11" s="16" customFormat="1" ht="51" x14ac:dyDescent="0.2">
      <c r="A61" s="17">
        <v>56</v>
      </c>
      <c r="B61" s="18" t="s">
        <v>76</v>
      </c>
      <c r="C61" s="18" t="s">
        <v>55</v>
      </c>
      <c r="D61" s="19">
        <v>352740</v>
      </c>
      <c r="E61" s="18" t="s">
        <v>46</v>
      </c>
      <c r="F61" s="18">
        <v>38</v>
      </c>
      <c r="G61" s="20">
        <v>89.36</v>
      </c>
      <c r="H61" s="20">
        <f t="shared" si="1"/>
        <v>3395.68</v>
      </c>
      <c r="I61" s="20" t="s">
        <v>161</v>
      </c>
      <c r="J61" s="8" t="s">
        <v>4</v>
      </c>
      <c r="K61" s="21">
        <f>VLOOKUP(G61, Intervalos!$B$3:$C$8,2,TRUE)</f>
        <v>0.1</v>
      </c>
    </row>
    <row r="62" spans="1:11" s="16" customFormat="1" ht="30.6" x14ac:dyDescent="0.2">
      <c r="A62" s="17">
        <v>57</v>
      </c>
      <c r="B62" s="18" t="s">
        <v>77</v>
      </c>
      <c r="C62" s="18" t="s">
        <v>55</v>
      </c>
      <c r="D62" s="19">
        <v>355507</v>
      </c>
      <c r="E62" s="18" t="s">
        <v>46</v>
      </c>
      <c r="F62" s="18">
        <v>3</v>
      </c>
      <c r="G62" s="20">
        <v>96.52</v>
      </c>
      <c r="H62" s="20">
        <f t="shared" si="1"/>
        <v>289.56</v>
      </c>
      <c r="I62" s="20" t="s">
        <v>161</v>
      </c>
      <c r="J62" s="8" t="s">
        <v>4</v>
      </c>
      <c r="K62" s="21">
        <f>VLOOKUP(G62, Intervalos!$B$3:$C$8,2,TRUE)</f>
        <v>0.1</v>
      </c>
    </row>
    <row r="63" spans="1:11" s="16" customFormat="1" ht="30.6" x14ac:dyDescent="0.2">
      <c r="A63" s="17">
        <v>58</v>
      </c>
      <c r="B63" s="18" t="s">
        <v>78</v>
      </c>
      <c r="C63" s="18" t="s">
        <v>26</v>
      </c>
      <c r="D63" s="19">
        <v>366475</v>
      </c>
      <c r="E63" s="18" t="s">
        <v>46</v>
      </c>
      <c r="F63" s="18">
        <v>300</v>
      </c>
      <c r="G63" s="20">
        <v>1.1100000000000001</v>
      </c>
      <c r="H63" s="20">
        <f t="shared" si="1"/>
        <v>333.00000000000006</v>
      </c>
      <c r="I63" s="20" t="s">
        <v>161</v>
      </c>
      <c r="J63" s="8" t="s">
        <v>4</v>
      </c>
      <c r="K63" s="21">
        <f>VLOOKUP(G63, Intervalos!$B$3:$C$8,2,TRUE)</f>
        <v>0.01</v>
      </c>
    </row>
    <row r="64" spans="1:11" s="16" customFormat="1" ht="20.399999999999999" x14ac:dyDescent="0.2">
      <c r="A64" s="17">
        <v>59</v>
      </c>
      <c r="B64" s="18" t="s">
        <v>79</v>
      </c>
      <c r="C64" s="18" t="s">
        <v>55</v>
      </c>
      <c r="D64" s="19">
        <v>362990</v>
      </c>
      <c r="E64" s="18" t="s">
        <v>46</v>
      </c>
      <c r="F64" s="18">
        <v>4200</v>
      </c>
      <c r="G64" s="20">
        <v>12.22</v>
      </c>
      <c r="H64" s="20">
        <f t="shared" si="1"/>
        <v>51324</v>
      </c>
      <c r="I64" s="20" t="s">
        <v>161</v>
      </c>
      <c r="J64" s="8" t="s">
        <v>4</v>
      </c>
      <c r="K64" s="21">
        <f>VLOOKUP(G64, Intervalos!$B$3:$C$8,2,TRUE)</f>
        <v>0.03</v>
      </c>
    </row>
    <row r="65" spans="1:11" s="16" customFormat="1" ht="40.799999999999997" x14ac:dyDescent="0.2">
      <c r="A65" s="17">
        <v>60</v>
      </c>
      <c r="B65" s="18" t="s">
        <v>80</v>
      </c>
      <c r="C65" s="18" t="s">
        <v>26</v>
      </c>
      <c r="D65" s="19">
        <v>347727</v>
      </c>
      <c r="E65" s="18" t="s">
        <v>46</v>
      </c>
      <c r="F65" s="18">
        <v>2500</v>
      </c>
      <c r="G65" s="20">
        <v>0.14000000000000001</v>
      </c>
      <c r="H65" s="20">
        <f t="shared" si="1"/>
        <v>350.00000000000006</v>
      </c>
      <c r="I65" s="20" t="s">
        <v>161</v>
      </c>
      <c r="J65" s="8" t="s">
        <v>4</v>
      </c>
      <c r="K65" s="21">
        <f>VLOOKUP(G65, Intervalos!$B$3:$C$8,2,TRUE)</f>
        <v>0.01</v>
      </c>
    </row>
    <row r="66" spans="1:11" s="16" customFormat="1" ht="40.799999999999997" x14ac:dyDescent="0.2">
      <c r="A66" s="17">
        <v>61</v>
      </c>
      <c r="B66" s="18" t="s">
        <v>154</v>
      </c>
      <c r="C66" s="18" t="s">
        <v>26</v>
      </c>
      <c r="D66" s="19">
        <v>410732</v>
      </c>
      <c r="E66" s="18" t="s">
        <v>46</v>
      </c>
      <c r="F66" s="18">
        <v>4000</v>
      </c>
      <c r="G66" s="20">
        <v>0.12</v>
      </c>
      <c r="H66" s="20">
        <f t="shared" si="1"/>
        <v>480</v>
      </c>
      <c r="I66" s="20" t="s">
        <v>161</v>
      </c>
      <c r="J66" s="8" t="s">
        <v>4</v>
      </c>
      <c r="K66" s="21">
        <f>VLOOKUP(G66, Intervalos!$B$3:$C$8,2,TRUE)</f>
        <v>0.01</v>
      </c>
    </row>
    <row r="67" spans="1:11" s="16" customFormat="1" ht="40.799999999999997" x14ac:dyDescent="0.2">
      <c r="A67" s="17">
        <v>62</v>
      </c>
      <c r="B67" s="18" t="s">
        <v>81</v>
      </c>
      <c r="C67" s="18" t="s">
        <v>26</v>
      </c>
      <c r="D67" s="19">
        <v>372555</v>
      </c>
      <c r="E67" s="18" t="s">
        <v>46</v>
      </c>
      <c r="F67" s="18">
        <v>2500</v>
      </c>
      <c r="G67" s="20">
        <v>0.18</v>
      </c>
      <c r="H67" s="20">
        <f t="shared" si="1"/>
        <v>450</v>
      </c>
      <c r="I67" s="20" t="s">
        <v>161</v>
      </c>
      <c r="J67" s="8" t="s">
        <v>4</v>
      </c>
      <c r="K67" s="21">
        <f>VLOOKUP(G67, Intervalos!$B$3:$C$8,2,TRUE)</f>
        <v>0.01</v>
      </c>
    </row>
    <row r="68" spans="1:11" s="16" customFormat="1" ht="40.799999999999997" x14ac:dyDescent="0.2">
      <c r="A68" s="17">
        <v>63</v>
      </c>
      <c r="B68" s="18" t="s">
        <v>148</v>
      </c>
      <c r="C68" s="18" t="s">
        <v>41</v>
      </c>
      <c r="D68" s="19">
        <v>401109</v>
      </c>
      <c r="E68" s="18" t="s">
        <v>46</v>
      </c>
      <c r="F68" s="18">
        <f>2*500</f>
        <v>1000</v>
      </c>
      <c r="G68" s="20">
        <f>167.15/500</f>
        <v>0.33429999999999999</v>
      </c>
      <c r="H68" s="20">
        <f t="shared" si="1"/>
        <v>330</v>
      </c>
      <c r="I68" s="20" t="s">
        <v>161</v>
      </c>
      <c r="J68" s="8" t="s">
        <v>4</v>
      </c>
      <c r="K68" s="21">
        <f>VLOOKUP(G68, Intervalos!$B$3:$C$8,2,TRUE)</f>
        <v>0.01</v>
      </c>
    </row>
    <row r="69" spans="1:11" s="16" customFormat="1" ht="20.399999999999999" x14ac:dyDescent="0.2">
      <c r="A69" s="17">
        <v>64</v>
      </c>
      <c r="B69" s="18" t="s">
        <v>155</v>
      </c>
      <c r="C69" s="18" t="s">
        <v>44</v>
      </c>
      <c r="D69" s="19">
        <v>415127</v>
      </c>
      <c r="E69" s="18" t="s">
        <v>46</v>
      </c>
      <c r="F69" s="18">
        <f>9*33</f>
        <v>297</v>
      </c>
      <c r="G69" s="20">
        <f>521.62/33</f>
        <v>15.806666666666667</v>
      </c>
      <c r="H69" s="20">
        <f t="shared" si="1"/>
        <v>4695.57</v>
      </c>
      <c r="I69" s="20" t="s">
        <v>161</v>
      </c>
      <c r="J69" s="8" t="s">
        <v>4</v>
      </c>
      <c r="K69" s="21">
        <f>VLOOKUP(G69, Intervalos!$B$3:$C$8,2,TRUE)</f>
        <v>0.03</v>
      </c>
    </row>
    <row r="70" spans="1:11" s="16" customFormat="1" ht="40.799999999999997" x14ac:dyDescent="0.2">
      <c r="A70" s="17">
        <v>65</v>
      </c>
      <c r="B70" s="18" t="s">
        <v>82</v>
      </c>
      <c r="C70" s="18" t="s">
        <v>44</v>
      </c>
      <c r="D70" s="19">
        <v>456087</v>
      </c>
      <c r="E70" s="18" t="s">
        <v>46</v>
      </c>
      <c r="F70" s="18">
        <v>18</v>
      </c>
      <c r="G70" s="20">
        <v>307.04000000000002</v>
      </c>
      <c r="H70" s="20">
        <f t="shared" si="1"/>
        <v>5526.72</v>
      </c>
      <c r="I70" s="20" t="s">
        <v>161</v>
      </c>
      <c r="J70" s="8" t="s">
        <v>4</v>
      </c>
      <c r="K70" s="21" t="str">
        <f>VLOOKUP(G70, Intervalos!$B$3:$C$8,2,TRUE)</f>
        <v>0,10%</v>
      </c>
    </row>
    <row r="71" spans="1:11" s="16" customFormat="1" ht="20.399999999999999" x14ac:dyDescent="0.2">
      <c r="A71" s="17">
        <v>66</v>
      </c>
      <c r="B71" s="18" t="s">
        <v>83</v>
      </c>
      <c r="C71" s="18" t="s">
        <v>36</v>
      </c>
      <c r="D71" s="19">
        <v>335179</v>
      </c>
      <c r="E71" s="18" t="s">
        <v>46</v>
      </c>
      <c r="F71" s="18">
        <v>4</v>
      </c>
      <c r="G71" s="20">
        <v>86.16</v>
      </c>
      <c r="H71" s="20">
        <f t="shared" si="1"/>
        <v>344.64</v>
      </c>
      <c r="I71" s="20" t="s">
        <v>161</v>
      </c>
      <c r="J71" s="8" t="s">
        <v>4</v>
      </c>
      <c r="K71" s="21">
        <f>VLOOKUP(G71, Intervalos!$B$3:$C$8,2,TRUE)</f>
        <v>0.1</v>
      </c>
    </row>
    <row r="72" spans="1:11" s="16" customFormat="1" ht="30.6" x14ac:dyDescent="0.2">
      <c r="A72" s="17">
        <v>67</v>
      </c>
      <c r="B72" s="18" t="s">
        <v>84</v>
      </c>
      <c r="C72" s="18" t="s">
        <v>27</v>
      </c>
      <c r="D72" s="19">
        <v>272208</v>
      </c>
      <c r="E72" s="18" t="s">
        <v>46</v>
      </c>
      <c r="F72" s="18">
        <v>8</v>
      </c>
      <c r="G72" s="20">
        <v>59.73</v>
      </c>
      <c r="H72" s="20">
        <f t="shared" si="1"/>
        <v>477.84</v>
      </c>
      <c r="I72" s="20" t="s">
        <v>161</v>
      </c>
      <c r="J72" s="8" t="s">
        <v>4</v>
      </c>
      <c r="K72" s="21">
        <f>VLOOKUP(G72, Intervalos!$B$3:$C$8,2,TRUE)</f>
        <v>0.1</v>
      </c>
    </row>
    <row r="73" spans="1:11" s="16" customFormat="1" ht="30.6" x14ac:dyDescent="0.2">
      <c r="A73" s="17">
        <v>68</v>
      </c>
      <c r="B73" s="18" t="s">
        <v>85</v>
      </c>
      <c r="C73" s="18" t="s">
        <v>26</v>
      </c>
      <c r="D73" s="19">
        <v>391782</v>
      </c>
      <c r="E73" s="18" t="s">
        <v>46</v>
      </c>
      <c r="F73" s="18">
        <v>1500</v>
      </c>
      <c r="G73" s="20">
        <v>0.95</v>
      </c>
      <c r="H73" s="20">
        <f t="shared" si="1"/>
        <v>1425</v>
      </c>
      <c r="I73" s="20" t="s">
        <v>161</v>
      </c>
      <c r="J73" s="8" t="s">
        <v>4</v>
      </c>
      <c r="K73" s="21">
        <f>VLOOKUP(G73, Intervalos!$B$3:$C$8,2,TRUE)</f>
        <v>0.01</v>
      </c>
    </row>
    <row r="74" spans="1:11" s="16" customFormat="1" ht="30.6" x14ac:dyDescent="0.2">
      <c r="A74" s="17">
        <v>69</v>
      </c>
      <c r="B74" s="18" t="s">
        <v>86</v>
      </c>
      <c r="C74" s="18" t="s">
        <v>26</v>
      </c>
      <c r="D74" s="19">
        <v>391231</v>
      </c>
      <c r="E74" s="18" t="s">
        <v>46</v>
      </c>
      <c r="F74" s="18">
        <v>3250</v>
      </c>
      <c r="G74" s="20">
        <v>1.92</v>
      </c>
      <c r="H74" s="20">
        <f t="shared" si="1"/>
        <v>6240</v>
      </c>
      <c r="I74" s="20" t="s">
        <v>161</v>
      </c>
      <c r="J74" s="8" t="s">
        <v>4</v>
      </c>
      <c r="K74" s="21">
        <f>VLOOKUP(G74, Intervalos!$B$3:$C$8,2,TRUE)</f>
        <v>0.01</v>
      </c>
    </row>
    <row r="75" spans="1:11" s="16" customFormat="1" ht="40.799999999999997" x14ac:dyDescent="0.2">
      <c r="A75" s="17">
        <v>70</v>
      </c>
      <c r="B75" s="18" t="s">
        <v>156</v>
      </c>
      <c r="C75" s="18" t="s">
        <v>26</v>
      </c>
      <c r="D75" s="19">
        <v>347797</v>
      </c>
      <c r="E75" s="18" t="s">
        <v>46</v>
      </c>
      <c r="F75" s="18">
        <v>6500</v>
      </c>
      <c r="G75" s="20">
        <v>0.16</v>
      </c>
      <c r="H75" s="20">
        <f t="shared" si="1"/>
        <v>1040</v>
      </c>
      <c r="I75" s="20" t="s">
        <v>161</v>
      </c>
      <c r="J75" s="8" t="s">
        <v>4</v>
      </c>
      <c r="K75" s="21">
        <f>VLOOKUP(G75, Intervalos!$B$3:$C$8,2,TRUE)</f>
        <v>0.01</v>
      </c>
    </row>
    <row r="76" spans="1:11" s="16" customFormat="1" ht="40.799999999999997" x14ac:dyDescent="0.2">
      <c r="A76" s="17">
        <v>71</v>
      </c>
      <c r="B76" s="18" t="s">
        <v>87</v>
      </c>
      <c r="C76" s="18" t="s">
        <v>44</v>
      </c>
      <c r="D76" s="19">
        <v>346030</v>
      </c>
      <c r="E76" s="18" t="s">
        <v>46</v>
      </c>
      <c r="F76" s="18">
        <v>34</v>
      </c>
      <c r="G76" s="20">
        <v>32.950000000000003</v>
      </c>
      <c r="H76" s="20">
        <f t="shared" si="1"/>
        <v>1120.3000000000002</v>
      </c>
      <c r="I76" s="20" t="s">
        <v>161</v>
      </c>
      <c r="J76" s="8" t="s">
        <v>4</v>
      </c>
      <c r="K76" s="21">
        <f>VLOOKUP(G76, Intervalos!$B$3:$C$8,2,TRUE)</f>
        <v>0.05</v>
      </c>
    </row>
    <row r="77" spans="1:11" s="16" customFormat="1" ht="40.799999999999997" x14ac:dyDescent="0.2">
      <c r="A77" s="17">
        <v>72</v>
      </c>
      <c r="B77" s="18" t="s">
        <v>88</v>
      </c>
      <c r="C77" s="18" t="s">
        <v>44</v>
      </c>
      <c r="D77" s="19">
        <v>378590</v>
      </c>
      <c r="E77" s="18" t="s">
        <v>46</v>
      </c>
      <c r="F77" s="18">
        <v>23</v>
      </c>
      <c r="G77" s="20">
        <v>93.39</v>
      </c>
      <c r="H77" s="20">
        <f t="shared" si="1"/>
        <v>2147.9699999999998</v>
      </c>
      <c r="I77" s="20" t="s">
        <v>161</v>
      </c>
      <c r="J77" s="8" t="s">
        <v>4</v>
      </c>
      <c r="K77" s="21">
        <f>VLOOKUP(G77, Intervalos!$B$3:$C$8,2,TRUE)</f>
        <v>0.1</v>
      </c>
    </row>
    <row r="78" spans="1:11" s="16" customFormat="1" ht="61.2" x14ac:dyDescent="0.2">
      <c r="A78" s="17">
        <v>73</v>
      </c>
      <c r="B78" s="18" t="s">
        <v>89</v>
      </c>
      <c r="C78" s="18" t="s">
        <v>44</v>
      </c>
      <c r="D78" s="19">
        <v>378608</v>
      </c>
      <c r="E78" s="18" t="s">
        <v>46</v>
      </c>
      <c r="F78" s="18">
        <v>14</v>
      </c>
      <c r="G78" s="20">
        <v>250</v>
      </c>
      <c r="H78" s="20">
        <f t="shared" si="1"/>
        <v>3500</v>
      </c>
      <c r="I78" s="20" t="s">
        <v>161</v>
      </c>
      <c r="J78" s="8" t="s">
        <v>4</v>
      </c>
      <c r="K78" s="21" t="str">
        <f>VLOOKUP(G78, Intervalos!$B$3:$C$8,2,TRUE)</f>
        <v>0,10%</v>
      </c>
    </row>
    <row r="79" spans="1:11" s="16" customFormat="1" ht="40.799999999999997" x14ac:dyDescent="0.2">
      <c r="A79" s="17">
        <v>74</v>
      </c>
      <c r="B79" s="18" t="s">
        <v>90</v>
      </c>
      <c r="C79" s="18" t="s">
        <v>55</v>
      </c>
      <c r="D79" s="19">
        <v>343298</v>
      </c>
      <c r="E79" s="18" t="s">
        <v>46</v>
      </c>
      <c r="F79" s="18">
        <v>240</v>
      </c>
      <c r="G79" s="20">
        <v>5.12</v>
      </c>
      <c r="H79" s="20">
        <f t="shared" si="1"/>
        <v>1228.8</v>
      </c>
      <c r="I79" s="20" t="s">
        <v>161</v>
      </c>
      <c r="J79" s="8" t="s">
        <v>4</v>
      </c>
      <c r="K79" s="21">
        <f>VLOOKUP(G79, Intervalos!$B$3:$C$8,2,TRUE)</f>
        <v>0.02</v>
      </c>
    </row>
    <row r="80" spans="1:11" s="16" customFormat="1" ht="30.6" x14ac:dyDescent="0.2">
      <c r="A80" s="17">
        <v>75</v>
      </c>
      <c r="B80" s="18" t="s">
        <v>91</v>
      </c>
      <c r="C80" s="18" t="s">
        <v>55</v>
      </c>
      <c r="D80" s="19">
        <v>437157</v>
      </c>
      <c r="E80" s="18" t="s">
        <v>46</v>
      </c>
      <c r="F80" s="18">
        <v>65</v>
      </c>
      <c r="G80" s="20">
        <v>4.1500000000000004</v>
      </c>
      <c r="H80" s="20">
        <f t="shared" si="1"/>
        <v>269.75</v>
      </c>
      <c r="I80" s="20" t="s">
        <v>161</v>
      </c>
      <c r="J80" s="8" t="s">
        <v>4</v>
      </c>
      <c r="K80" s="21">
        <f>VLOOKUP(G80, Intervalos!$B$3:$C$8,2,TRUE)</f>
        <v>0.01</v>
      </c>
    </row>
    <row r="81" spans="1:11" s="16" customFormat="1" ht="40.799999999999997" x14ac:dyDescent="0.2">
      <c r="A81" s="17">
        <v>76</v>
      </c>
      <c r="B81" s="18" t="s">
        <v>92</v>
      </c>
      <c r="C81" s="18" t="s">
        <v>55</v>
      </c>
      <c r="D81" s="19">
        <v>343299</v>
      </c>
      <c r="E81" s="18" t="s">
        <v>46</v>
      </c>
      <c r="F81" s="18">
        <v>32</v>
      </c>
      <c r="G81" s="20">
        <v>20</v>
      </c>
      <c r="H81" s="20">
        <f t="shared" si="1"/>
        <v>640</v>
      </c>
      <c r="I81" s="20" t="s">
        <v>161</v>
      </c>
      <c r="J81" s="8" t="s">
        <v>4</v>
      </c>
      <c r="K81" s="21">
        <f>VLOOKUP(G81, Intervalos!$B$3:$C$8,2,TRUE)</f>
        <v>0.05</v>
      </c>
    </row>
    <row r="82" spans="1:11" s="16" customFormat="1" ht="40.799999999999997" x14ac:dyDescent="0.2">
      <c r="A82" s="17">
        <v>77</v>
      </c>
      <c r="B82" s="18" t="s">
        <v>93</v>
      </c>
      <c r="C82" s="18" t="s">
        <v>55</v>
      </c>
      <c r="D82" s="19">
        <v>359467</v>
      </c>
      <c r="E82" s="18" t="s">
        <v>46</v>
      </c>
      <c r="F82" s="18">
        <v>13</v>
      </c>
      <c r="G82" s="20">
        <v>33.369999999999997</v>
      </c>
      <c r="H82" s="20">
        <f t="shared" si="1"/>
        <v>433.80999999999995</v>
      </c>
      <c r="I82" s="20" t="s">
        <v>161</v>
      </c>
      <c r="J82" s="8" t="s">
        <v>4</v>
      </c>
      <c r="K82" s="21">
        <f>VLOOKUP(G82, Intervalos!$B$3:$C$8,2,TRUE)</f>
        <v>0.05</v>
      </c>
    </row>
    <row r="83" spans="1:11" s="16" customFormat="1" ht="40.799999999999997" x14ac:dyDescent="0.2">
      <c r="A83" s="17">
        <v>78</v>
      </c>
      <c r="B83" s="18" t="s">
        <v>94</v>
      </c>
      <c r="C83" s="18" t="s">
        <v>26</v>
      </c>
      <c r="D83" s="19">
        <v>354717</v>
      </c>
      <c r="E83" s="18" t="s">
        <v>46</v>
      </c>
      <c r="F83" s="18">
        <v>2500</v>
      </c>
      <c r="G83" s="20">
        <v>0.13</v>
      </c>
      <c r="H83" s="20">
        <f t="shared" si="1"/>
        <v>325</v>
      </c>
      <c r="I83" s="20" t="s">
        <v>161</v>
      </c>
      <c r="J83" s="8" t="s">
        <v>4</v>
      </c>
      <c r="K83" s="21">
        <f>VLOOKUP(G83, Intervalos!$B$3:$C$8,2,TRUE)</f>
        <v>0.01</v>
      </c>
    </row>
    <row r="84" spans="1:11" s="16" customFormat="1" ht="40.799999999999997" x14ac:dyDescent="0.2">
      <c r="A84" s="17">
        <v>79</v>
      </c>
      <c r="B84" s="18" t="s">
        <v>95</v>
      </c>
      <c r="C84" s="18" t="s">
        <v>96</v>
      </c>
      <c r="D84" s="19">
        <v>372581</v>
      </c>
      <c r="E84" s="18" t="s">
        <v>46</v>
      </c>
      <c r="F84" s="18">
        <v>3</v>
      </c>
      <c r="G84" s="20">
        <v>2019</v>
      </c>
      <c r="H84" s="20">
        <f t="shared" si="1"/>
        <v>6057</v>
      </c>
      <c r="I84" s="20" t="s">
        <v>161</v>
      </c>
      <c r="J84" s="8" t="s">
        <v>4</v>
      </c>
      <c r="K84" s="21" t="str">
        <f>VLOOKUP(G84, Intervalos!$B$3:$C$8,2,TRUE)</f>
        <v>0,10%</v>
      </c>
    </row>
    <row r="85" spans="1:11" s="16" customFormat="1" ht="40.799999999999997" x14ac:dyDescent="0.2">
      <c r="A85" s="17">
        <v>80</v>
      </c>
      <c r="B85" s="18" t="s">
        <v>97</v>
      </c>
      <c r="C85" s="18" t="s">
        <v>26</v>
      </c>
      <c r="D85" s="19">
        <v>383943</v>
      </c>
      <c r="E85" s="18" t="s">
        <v>46</v>
      </c>
      <c r="F85" s="18">
        <v>4000</v>
      </c>
      <c r="G85" s="20">
        <v>0.13</v>
      </c>
      <c r="H85" s="20">
        <f t="shared" si="1"/>
        <v>520</v>
      </c>
      <c r="I85" s="20" t="s">
        <v>161</v>
      </c>
      <c r="J85" s="8" t="s">
        <v>4</v>
      </c>
      <c r="K85" s="21">
        <f>VLOOKUP(G85, Intervalos!$B$3:$C$8,2,TRUE)</f>
        <v>0.01</v>
      </c>
    </row>
    <row r="86" spans="1:11" s="16" customFormat="1" ht="51" x14ac:dyDescent="0.2">
      <c r="A86" s="17">
        <v>81</v>
      </c>
      <c r="B86" s="18" t="s">
        <v>98</v>
      </c>
      <c r="C86" s="18" t="s">
        <v>143</v>
      </c>
      <c r="D86" s="19">
        <v>363106</v>
      </c>
      <c r="E86" s="18" t="s">
        <v>46</v>
      </c>
      <c r="F86" s="18">
        <f>3*10</f>
        <v>30</v>
      </c>
      <c r="G86" s="20">
        <f>486/10</f>
        <v>48.6</v>
      </c>
      <c r="H86" s="20">
        <f t="shared" si="1"/>
        <v>1458</v>
      </c>
      <c r="I86" s="20" t="s">
        <v>161</v>
      </c>
      <c r="J86" s="8" t="s">
        <v>4</v>
      </c>
      <c r="K86" s="21">
        <f>VLOOKUP(G86, Intervalos!$B$3:$C$8,2,TRUE)</f>
        <v>0.05</v>
      </c>
    </row>
    <row r="87" spans="1:11" s="16" customFormat="1" ht="40.799999999999997" x14ac:dyDescent="0.2">
      <c r="A87" s="17">
        <v>82</v>
      </c>
      <c r="B87" s="18" t="s">
        <v>99</v>
      </c>
      <c r="C87" s="18" t="s">
        <v>26</v>
      </c>
      <c r="D87" s="19">
        <v>361929</v>
      </c>
      <c r="E87" s="18" t="s">
        <v>46</v>
      </c>
      <c r="F87" s="18">
        <v>20</v>
      </c>
      <c r="G87" s="20">
        <v>76.900000000000006</v>
      </c>
      <c r="H87" s="20">
        <f t="shared" si="1"/>
        <v>1538</v>
      </c>
      <c r="I87" s="20" t="s">
        <v>161</v>
      </c>
      <c r="J87" s="8" t="s">
        <v>4</v>
      </c>
      <c r="K87" s="21">
        <f>VLOOKUP(G87, Intervalos!$B$3:$C$8,2,TRUE)</f>
        <v>0.1</v>
      </c>
    </row>
    <row r="88" spans="1:11" s="16" customFormat="1" ht="30.6" x14ac:dyDescent="0.2">
      <c r="A88" s="17">
        <v>83</v>
      </c>
      <c r="B88" s="18" t="s">
        <v>100</v>
      </c>
      <c r="C88" s="18" t="s">
        <v>26</v>
      </c>
      <c r="D88" s="19">
        <v>359011</v>
      </c>
      <c r="E88" s="18" t="s">
        <v>46</v>
      </c>
      <c r="F88" s="18">
        <v>2000</v>
      </c>
      <c r="G88" s="20">
        <v>0.28999999999999998</v>
      </c>
      <c r="H88" s="20">
        <f t="shared" si="1"/>
        <v>580</v>
      </c>
      <c r="I88" s="20" t="s">
        <v>161</v>
      </c>
      <c r="J88" s="8" t="s">
        <v>4</v>
      </c>
      <c r="K88" s="21">
        <f>VLOOKUP(G88, Intervalos!$B$3:$C$8,2,TRUE)</f>
        <v>0.01</v>
      </c>
    </row>
    <row r="89" spans="1:11" s="16" customFormat="1" ht="40.799999999999997" x14ac:dyDescent="0.2">
      <c r="A89" s="17">
        <v>84</v>
      </c>
      <c r="B89" s="18" t="s">
        <v>101</v>
      </c>
      <c r="C89" s="18" t="s">
        <v>26</v>
      </c>
      <c r="D89" s="19">
        <v>353053</v>
      </c>
      <c r="E89" s="18" t="s">
        <v>46</v>
      </c>
      <c r="F89" s="18">
        <v>900</v>
      </c>
      <c r="G89" s="20">
        <v>0.91</v>
      </c>
      <c r="H89" s="20">
        <f t="shared" ref="H89:H129" si="2">F89*ROUND(G89,2)</f>
        <v>819</v>
      </c>
      <c r="I89" s="20" t="s">
        <v>161</v>
      </c>
      <c r="J89" s="8" t="s">
        <v>4</v>
      </c>
      <c r="K89" s="21">
        <f>VLOOKUP(G89, Intervalos!$B$3:$C$8,2,TRUE)</f>
        <v>0.01</v>
      </c>
    </row>
    <row r="90" spans="1:11" s="16" customFormat="1" ht="40.799999999999997" x14ac:dyDescent="0.2">
      <c r="A90" s="17">
        <v>85</v>
      </c>
      <c r="B90" s="18" t="s">
        <v>102</v>
      </c>
      <c r="C90" s="18" t="s">
        <v>26</v>
      </c>
      <c r="D90" s="19">
        <v>412727</v>
      </c>
      <c r="E90" s="18" t="s">
        <v>46</v>
      </c>
      <c r="F90" s="18">
        <v>2500</v>
      </c>
      <c r="G90" s="20">
        <v>0.17</v>
      </c>
      <c r="H90" s="20">
        <f t="shared" si="2"/>
        <v>425.00000000000006</v>
      </c>
      <c r="I90" s="20" t="s">
        <v>161</v>
      </c>
      <c r="J90" s="8" t="s">
        <v>4</v>
      </c>
      <c r="K90" s="21">
        <f>VLOOKUP(G90, Intervalos!$B$3:$C$8,2,TRUE)</f>
        <v>0.01</v>
      </c>
    </row>
    <row r="91" spans="1:11" s="16" customFormat="1" ht="40.799999999999997" x14ac:dyDescent="0.2">
      <c r="A91" s="17">
        <v>86</v>
      </c>
      <c r="B91" s="18" t="s">
        <v>103</v>
      </c>
      <c r="C91" s="18" t="s">
        <v>26</v>
      </c>
      <c r="D91" s="19">
        <v>359023</v>
      </c>
      <c r="E91" s="18" t="s">
        <v>46</v>
      </c>
      <c r="F91" s="18">
        <v>750</v>
      </c>
      <c r="G91" s="20">
        <v>4.58</v>
      </c>
      <c r="H91" s="20">
        <f t="shared" si="2"/>
        <v>3435</v>
      </c>
      <c r="I91" s="20" t="s">
        <v>161</v>
      </c>
      <c r="J91" s="8" t="s">
        <v>4</v>
      </c>
      <c r="K91" s="21">
        <f>VLOOKUP(G91, Intervalos!$B$3:$C$8,2,TRUE)</f>
        <v>0.01</v>
      </c>
    </row>
    <row r="92" spans="1:11" s="16" customFormat="1" ht="30.6" x14ac:dyDescent="0.2">
      <c r="A92" s="17">
        <v>87</v>
      </c>
      <c r="B92" s="18" t="s">
        <v>104</v>
      </c>
      <c r="C92" s="18" t="s">
        <v>26</v>
      </c>
      <c r="D92" s="19">
        <v>412728</v>
      </c>
      <c r="E92" s="18" t="s">
        <v>46</v>
      </c>
      <c r="F92" s="18">
        <v>9250</v>
      </c>
      <c r="G92" s="20">
        <v>34</v>
      </c>
      <c r="H92" s="20">
        <f t="shared" si="2"/>
        <v>314500</v>
      </c>
      <c r="I92" s="20" t="s">
        <v>162</v>
      </c>
      <c r="J92" s="8" t="s">
        <v>4</v>
      </c>
      <c r="K92" s="21">
        <f>VLOOKUP(G92, Intervalos!$B$3:$C$8,2,TRUE)</f>
        <v>0.05</v>
      </c>
    </row>
    <row r="93" spans="1:11" s="16" customFormat="1" ht="30.6" x14ac:dyDescent="0.2">
      <c r="A93" s="17">
        <v>88</v>
      </c>
      <c r="B93" s="18" t="s">
        <v>105</v>
      </c>
      <c r="C93" s="18" t="s">
        <v>26</v>
      </c>
      <c r="D93" s="19">
        <v>412729</v>
      </c>
      <c r="E93" s="18" t="s">
        <v>46</v>
      </c>
      <c r="F93" s="18">
        <v>8500</v>
      </c>
      <c r="G93" s="20">
        <v>7.0000000000000007E-2</v>
      </c>
      <c r="H93" s="20">
        <f t="shared" si="2"/>
        <v>595</v>
      </c>
      <c r="I93" s="20" t="s">
        <v>161</v>
      </c>
      <c r="J93" s="8" t="s">
        <v>4</v>
      </c>
      <c r="K93" s="21">
        <f>VLOOKUP(G93, Intervalos!$B$3:$C$8,2,TRUE)</f>
        <v>0.01</v>
      </c>
    </row>
    <row r="94" spans="1:11" s="16" customFormat="1" ht="51" x14ac:dyDescent="0.2">
      <c r="A94" s="17">
        <v>89</v>
      </c>
      <c r="B94" s="18" t="s">
        <v>106</v>
      </c>
      <c r="C94" s="18" t="s">
        <v>26</v>
      </c>
      <c r="D94" s="19">
        <v>369000</v>
      </c>
      <c r="E94" s="18" t="s">
        <v>46</v>
      </c>
      <c r="F94" s="18">
        <v>200</v>
      </c>
      <c r="G94" s="20">
        <v>1.26</v>
      </c>
      <c r="H94" s="20">
        <f t="shared" si="2"/>
        <v>252</v>
      </c>
      <c r="I94" s="20" t="s">
        <v>161</v>
      </c>
      <c r="J94" s="8" t="s">
        <v>4</v>
      </c>
      <c r="K94" s="21">
        <f>VLOOKUP(G94, Intervalos!$B$3:$C$8,2,TRUE)</f>
        <v>0.01</v>
      </c>
    </row>
    <row r="95" spans="1:11" s="16" customFormat="1" ht="40.799999999999997" x14ac:dyDescent="0.2">
      <c r="A95" s="17">
        <v>90</v>
      </c>
      <c r="B95" s="18" t="s">
        <v>107</v>
      </c>
      <c r="C95" s="18" t="s">
        <v>26</v>
      </c>
      <c r="D95" s="19">
        <v>348679</v>
      </c>
      <c r="E95" s="18" t="s">
        <v>46</v>
      </c>
      <c r="F95" s="18">
        <v>6500</v>
      </c>
      <c r="G95" s="20">
        <v>0.05</v>
      </c>
      <c r="H95" s="20">
        <f t="shared" si="2"/>
        <v>325</v>
      </c>
      <c r="I95" s="20" t="s">
        <v>161</v>
      </c>
      <c r="J95" s="8" t="s">
        <v>4</v>
      </c>
      <c r="K95" s="21">
        <f>VLOOKUP(G95, Intervalos!$B$3:$C$8,2,TRUE)</f>
        <v>0.01</v>
      </c>
    </row>
    <row r="96" spans="1:11" s="16" customFormat="1" ht="40.799999999999997" x14ac:dyDescent="0.2">
      <c r="A96" s="17">
        <v>91</v>
      </c>
      <c r="B96" s="18" t="s">
        <v>108</v>
      </c>
      <c r="C96" s="18" t="s">
        <v>26</v>
      </c>
      <c r="D96" s="19">
        <v>376193</v>
      </c>
      <c r="E96" s="18" t="s">
        <v>46</v>
      </c>
      <c r="F96" s="18">
        <v>1500</v>
      </c>
      <c r="G96" s="20">
        <v>7.71</v>
      </c>
      <c r="H96" s="20">
        <f t="shared" si="2"/>
        <v>11565</v>
      </c>
      <c r="I96" s="20" t="s">
        <v>161</v>
      </c>
      <c r="J96" s="8" t="s">
        <v>4</v>
      </c>
      <c r="K96" s="21">
        <f>VLOOKUP(G96, Intervalos!$B$3:$C$8,2,TRUE)</f>
        <v>0.02</v>
      </c>
    </row>
    <row r="97" spans="1:12" s="16" customFormat="1" ht="30.6" x14ac:dyDescent="0.2">
      <c r="A97" s="17">
        <v>92</v>
      </c>
      <c r="B97" s="18" t="s">
        <v>109</v>
      </c>
      <c r="C97" s="18" t="s">
        <v>26</v>
      </c>
      <c r="D97" s="19">
        <v>381833</v>
      </c>
      <c r="E97" s="18" t="s">
        <v>46</v>
      </c>
      <c r="F97" s="18">
        <v>6</v>
      </c>
      <c r="G97" s="20">
        <v>943.5</v>
      </c>
      <c r="H97" s="20">
        <f t="shared" si="2"/>
        <v>5661</v>
      </c>
      <c r="I97" s="20" t="s">
        <v>161</v>
      </c>
      <c r="J97" s="8" t="s">
        <v>4</v>
      </c>
      <c r="K97" s="21" t="str">
        <f>VLOOKUP(G97, Intervalos!$B$3:$C$8,2,TRUE)</f>
        <v>0,10%</v>
      </c>
    </row>
    <row r="98" spans="1:12" s="16" customFormat="1" ht="40.799999999999997" x14ac:dyDescent="0.2">
      <c r="A98" s="17">
        <v>93</v>
      </c>
      <c r="B98" s="18" t="s">
        <v>110</v>
      </c>
      <c r="C98" s="18" t="s">
        <v>26</v>
      </c>
      <c r="D98" s="19">
        <v>361551</v>
      </c>
      <c r="E98" s="18" t="s">
        <v>46</v>
      </c>
      <c r="F98" s="18">
        <v>2500</v>
      </c>
      <c r="G98" s="20">
        <v>0.13</v>
      </c>
      <c r="H98" s="20">
        <f t="shared" si="2"/>
        <v>325</v>
      </c>
      <c r="I98" s="20" t="s">
        <v>161</v>
      </c>
      <c r="J98" s="8" t="s">
        <v>4</v>
      </c>
      <c r="K98" s="21">
        <f>VLOOKUP(G98, Intervalos!$B$3:$C$8,2,TRUE)</f>
        <v>0.01</v>
      </c>
      <c r="L98" s="22"/>
    </row>
    <row r="99" spans="1:12" s="16" customFormat="1" ht="30.6" x14ac:dyDescent="0.2">
      <c r="A99" s="17">
        <v>94</v>
      </c>
      <c r="B99" s="18" t="s">
        <v>111</v>
      </c>
      <c r="C99" s="18" t="s">
        <v>44</v>
      </c>
      <c r="D99" s="19">
        <v>464232</v>
      </c>
      <c r="E99" s="18" t="s">
        <v>48</v>
      </c>
      <c r="F99" s="18">
        <v>108</v>
      </c>
      <c r="G99" s="20">
        <v>65.91</v>
      </c>
      <c r="H99" s="20">
        <f t="shared" si="2"/>
        <v>7118.28</v>
      </c>
      <c r="I99" s="20" t="s">
        <v>161</v>
      </c>
      <c r="J99" s="8" t="s">
        <v>4</v>
      </c>
      <c r="K99" s="21">
        <f>VLOOKUP(G99, Intervalos!$B$3:$C$8,2,TRUE)</f>
        <v>0.1</v>
      </c>
    </row>
    <row r="100" spans="1:12" s="16" customFormat="1" ht="40.799999999999997" x14ac:dyDescent="0.2">
      <c r="A100" s="17">
        <v>95</v>
      </c>
      <c r="B100" s="18" t="s">
        <v>112</v>
      </c>
      <c r="C100" s="18" t="s">
        <v>26</v>
      </c>
      <c r="D100" s="19">
        <v>375421</v>
      </c>
      <c r="E100" s="18" t="s">
        <v>46</v>
      </c>
      <c r="F100" s="18">
        <v>3500</v>
      </c>
      <c r="G100" s="20">
        <v>0.1</v>
      </c>
      <c r="H100" s="20">
        <f t="shared" si="2"/>
        <v>350</v>
      </c>
      <c r="I100" s="20" t="s">
        <v>161</v>
      </c>
      <c r="J100" s="8" t="s">
        <v>4</v>
      </c>
      <c r="K100" s="21">
        <f>VLOOKUP(G100, Intervalos!$B$3:$C$8,2,TRUE)</f>
        <v>0.01</v>
      </c>
    </row>
    <row r="101" spans="1:12" s="16" customFormat="1" ht="30.6" x14ac:dyDescent="0.2">
      <c r="A101" s="17">
        <v>96</v>
      </c>
      <c r="B101" s="18" t="s">
        <v>136</v>
      </c>
      <c r="C101" s="18" t="s">
        <v>55</v>
      </c>
      <c r="D101" s="19">
        <v>374351</v>
      </c>
      <c r="E101" s="18" t="s">
        <v>46</v>
      </c>
      <c r="F101" s="18">
        <v>2</v>
      </c>
      <c r="G101" s="20">
        <v>277.07</v>
      </c>
      <c r="H101" s="20">
        <f t="shared" si="2"/>
        <v>554.14</v>
      </c>
      <c r="I101" s="20" t="s">
        <v>161</v>
      </c>
      <c r="J101" s="8" t="s">
        <v>4</v>
      </c>
      <c r="K101" s="21" t="str">
        <f>VLOOKUP(G101, Intervalos!$B$3:$C$8,2,TRUE)</f>
        <v>0,10%</v>
      </c>
    </row>
    <row r="102" spans="1:12" s="16" customFormat="1" ht="40.799999999999997" x14ac:dyDescent="0.2">
      <c r="A102" s="17">
        <v>97</v>
      </c>
      <c r="B102" s="18" t="s">
        <v>113</v>
      </c>
      <c r="C102" s="18" t="s">
        <v>26</v>
      </c>
      <c r="D102" s="19">
        <v>348184</v>
      </c>
      <c r="E102" s="18" t="s">
        <v>46</v>
      </c>
      <c r="F102" s="18">
        <v>300</v>
      </c>
      <c r="G102" s="20">
        <v>56.59</v>
      </c>
      <c r="H102" s="20">
        <f t="shared" si="2"/>
        <v>16977</v>
      </c>
      <c r="I102" s="20" t="s">
        <v>161</v>
      </c>
      <c r="J102" s="8" t="s">
        <v>4</v>
      </c>
      <c r="K102" s="21">
        <f>VLOOKUP(G102, Intervalos!$B$3:$C$8,2,TRUE)</f>
        <v>0.1</v>
      </c>
    </row>
    <row r="103" spans="1:12" s="16" customFormat="1" ht="20.399999999999999" x14ac:dyDescent="0.2">
      <c r="A103" s="17">
        <v>98</v>
      </c>
      <c r="B103" s="18" t="s">
        <v>158</v>
      </c>
      <c r="C103" s="18" t="s">
        <v>142</v>
      </c>
      <c r="D103" s="19">
        <v>636408</v>
      </c>
      <c r="E103" s="18" t="s">
        <v>46</v>
      </c>
      <c r="F103" s="18">
        <f>13*100</f>
        <v>1300</v>
      </c>
      <c r="G103" s="20">
        <f>1141.58/100</f>
        <v>11.415799999999999</v>
      </c>
      <c r="H103" s="20">
        <f t="shared" si="2"/>
        <v>14846</v>
      </c>
      <c r="I103" s="20" t="s">
        <v>161</v>
      </c>
      <c r="J103" s="8" t="s">
        <v>4</v>
      </c>
      <c r="K103" s="21">
        <f>VLOOKUP(G103, Intervalos!$B$3:$C$8,2,TRUE)</f>
        <v>0.03</v>
      </c>
    </row>
    <row r="104" spans="1:12" s="16" customFormat="1" ht="30.6" x14ac:dyDescent="0.2">
      <c r="A104" s="17">
        <v>99</v>
      </c>
      <c r="B104" s="18" t="s">
        <v>168</v>
      </c>
      <c r="C104" s="18" t="s">
        <v>26</v>
      </c>
      <c r="D104" s="19">
        <v>389203</v>
      </c>
      <c r="E104" s="18" t="s">
        <v>46</v>
      </c>
      <c r="F104" s="18">
        <v>750</v>
      </c>
      <c r="G104" s="20">
        <v>0.53</v>
      </c>
      <c r="H104" s="20">
        <f t="shared" si="2"/>
        <v>397.5</v>
      </c>
      <c r="I104" s="20" t="s">
        <v>161</v>
      </c>
      <c r="J104" s="8" t="s">
        <v>4</v>
      </c>
      <c r="K104" s="21">
        <f>VLOOKUP(G104, Intervalos!$B$3:$C$8,2,TRUE)</f>
        <v>0.01</v>
      </c>
    </row>
    <row r="105" spans="1:12" s="16" customFormat="1" ht="20.399999999999999" x14ac:dyDescent="0.2">
      <c r="A105" s="17">
        <v>100</v>
      </c>
      <c r="B105" s="18" t="s">
        <v>114</v>
      </c>
      <c r="C105" s="18" t="s">
        <v>30</v>
      </c>
      <c r="D105" s="19">
        <v>453956</v>
      </c>
      <c r="E105" s="18" t="s">
        <v>46</v>
      </c>
      <c r="F105" s="18">
        <v>13</v>
      </c>
      <c r="G105" s="20">
        <v>122.23</v>
      </c>
      <c r="H105" s="20">
        <f t="shared" si="2"/>
        <v>1588.99</v>
      </c>
      <c r="I105" s="20" t="s">
        <v>161</v>
      </c>
      <c r="J105" s="8" t="s">
        <v>4</v>
      </c>
      <c r="K105" s="21" t="str">
        <f>VLOOKUP(G105, Intervalos!$B$3:$C$8,2,TRUE)</f>
        <v>0,10%</v>
      </c>
    </row>
    <row r="106" spans="1:12" s="16" customFormat="1" ht="30.6" x14ac:dyDescent="0.2">
      <c r="A106" s="17">
        <v>101</v>
      </c>
      <c r="B106" s="18" t="s">
        <v>115</v>
      </c>
      <c r="C106" s="18" t="s">
        <v>55</v>
      </c>
      <c r="D106" s="19">
        <v>601033</v>
      </c>
      <c r="E106" s="18" t="s">
        <v>46</v>
      </c>
      <c r="F106" s="18">
        <v>14</v>
      </c>
      <c r="G106" s="20">
        <v>26.75</v>
      </c>
      <c r="H106" s="20">
        <f t="shared" si="2"/>
        <v>374.5</v>
      </c>
      <c r="I106" s="20" t="s">
        <v>161</v>
      </c>
      <c r="J106" s="8" t="s">
        <v>4</v>
      </c>
      <c r="K106" s="21">
        <f>VLOOKUP(G106, Intervalos!$B$3:$C$8,2,TRUE)</f>
        <v>0.05</v>
      </c>
    </row>
    <row r="107" spans="1:12" s="16" customFormat="1" ht="78" customHeight="1" x14ac:dyDescent="0.2">
      <c r="A107" s="17">
        <v>102</v>
      </c>
      <c r="B107" s="18" t="s">
        <v>149</v>
      </c>
      <c r="C107" s="18" t="s">
        <v>41</v>
      </c>
      <c r="D107" s="19">
        <v>361066</v>
      </c>
      <c r="E107" s="18" t="s">
        <v>46</v>
      </c>
      <c r="F107" s="18">
        <f>5*500</f>
        <v>2500</v>
      </c>
      <c r="G107" s="20">
        <f>203.92/500</f>
        <v>0.40783999999999998</v>
      </c>
      <c r="H107" s="20">
        <f t="shared" si="2"/>
        <v>1025</v>
      </c>
      <c r="I107" s="20" t="s">
        <v>161</v>
      </c>
      <c r="J107" s="8" t="s">
        <v>4</v>
      </c>
      <c r="K107" s="21">
        <f>VLOOKUP(G107, Intervalos!$B$3:$C$8,2,TRUE)</f>
        <v>0.01</v>
      </c>
    </row>
    <row r="108" spans="1:12" s="16" customFormat="1" ht="30.6" x14ac:dyDescent="0.2">
      <c r="A108" s="17">
        <v>103</v>
      </c>
      <c r="B108" s="18" t="s">
        <v>116</v>
      </c>
      <c r="C108" s="18" t="s">
        <v>117</v>
      </c>
      <c r="D108" s="19">
        <v>355243</v>
      </c>
      <c r="E108" s="18" t="s">
        <v>46</v>
      </c>
      <c r="F108" s="18">
        <v>13</v>
      </c>
      <c r="G108" s="20">
        <v>1639.25</v>
      </c>
      <c r="H108" s="20">
        <f t="shared" si="2"/>
        <v>21310.25</v>
      </c>
      <c r="I108" s="20" t="s">
        <v>161</v>
      </c>
      <c r="J108" s="8" t="s">
        <v>4</v>
      </c>
      <c r="K108" s="21" t="str">
        <f>VLOOKUP(G108, Intervalos!$B$3:$C$8,2,TRUE)</f>
        <v>0,10%</v>
      </c>
    </row>
    <row r="109" spans="1:12" s="16" customFormat="1" ht="30.6" x14ac:dyDescent="0.2">
      <c r="A109" s="17">
        <v>104</v>
      </c>
      <c r="B109" s="18" t="s">
        <v>118</v>
      </c>
      <c r="C109" s="18" t="s">
        <v>36</v>
      </c>
      <c r="D109" s="19">
        <v>288984</v>
      </c>
      <c r="E109" s="18" t="s">
        <v>46</v>
      </c>
      <c r="F109" s="18">
        <v>10</v>
      </c>
      <c r="G109" s="20">
        <v>227.31</v>
      </c>
      <c r="H109" s="20">
        <f t="shared" si="2"/>
        <v>2273.1</v>
      </c>
      <c r="I109" s="20" t="s">
        <v>161</v>
      </c>
      <c r="J109" s="8" t="s">
        <v>4</v>
      </c>
      <c r="K109" s="21" t="str">
        <f>VLOOKUP(G109, Intervalos!$B$3:$C$8,2,TRUE)</f>
        <v>0,10%</v>
      </c>
    </row>
    <row r="110" spans="1:12" s="16" customFormat="1" ht="30.6" x14ac:dyDescent="0.2">
      <c r="A110" s="17">
        <v>105</v>
      </c>
      <c r="B110" s="18" t="s">
        <v>119</v>
      </c>
      <c r="C110" s="18" t="s">
        <v>53</v>
      </c>
      <c r="D110" s="19">
        <v>445337</v>
      </c>
      <c r="E110" s="18" t="s">
        <v>46</v>
      </c>
      <c r="F110" s="18">
        <v>25</v>
      </c>
      <c r="G110" s="20">
        <v>65.069999999999993</v>
      </c>
      <c r="H110" s="20">
        <f t="shared" si="2"/>
        <v>1626.7499999999998</v>
      </c>
      <c r="I110" s="20" t="s">
        <v>161</v>
      </c>
      <c r="J110" s="8" t="s">
        <v>4</v>
      </c>
      <c r="K110" s="21">
        <f>VLOOKUP(G110, Intervalos!$B$3:$C$8,2,TRUE)</f>
        <v>0.1</v>
      </c>
    </row>
    <row r="111" spans="1:12" s="16" customFormat="1" ht="40.799999999999997" x14ac:dyDescent="0.2">
      <c r="A111" s="17">
        <v>106</v>
      </c>
      <c r="B111" s="18" t="s">
        <v>120</v>
      </c>
      <c r="C111" s="18" t="s">
        <v>26</v>
      </c>
      <c r="D111" s="19">
        <v>359244</v>
      </c>
      <c r="E111" s="18" t="s">
        <v>46</v>
      </c>
      <c r="F111" s="18">
        <v>150</v>
      </c>
      <c r="G111" s="20">
        <v>2.94</v>
      </c>
      <c r="H111" s="20">
        <f t="shared" si="2"/>
        <v>441</v>
      </c>
      <c r="I111" s="20" t="s">
        <v>161</v>
      </c>
      <c r="J111" s="8" t="s">
        <v>4</v>
      </c>
      <c r="K111" s="21">
        <f>VLOOKUP(G111, Intervalos!$B$3:$C$8,2,TRUE)</f>
        <v>0.01</v>
      </c>
    </row>
    <row r="112" spans="1:12" s="16" customFormat="1" ht="30.6" x14ac:dyDescent="0.2">
      <c r="A112" s="17">
        <v>107</v>
      </c>
      <c r="B112" s="18" t="s">
        <v>121</v>
      </c>
      <c r="C112" s="18" t="s">
        <v>55</v>
      </c>
      <c r="D112" s="19">
        <v>432496</v>
      </c>
      <c r="E112" s="18" t="s">
        <v>46</v>
      </c>
      <c r="F112" s="18">
        <v>2</v>
      </c>
      <c r="G112" s="20">
        <v>125.6</v>
      </c>
      <c r="H112" s="20">
        <f t="shared" si="2"/>
        <v>251.2</v>
      </c>
      <c r="I112" s="20" t="s">
        <v>161</v>
      </c>
      <c r="J112" s="8" t="s">
        <v>4</v>
      </c>
      <c r="K112" s="21" t="str">
        <f>VLOOKUP(G112, Intervalos!$B$3:$C$8,2,TRUE)</f>
        <v>0,10%</v>
      </c>
    </row>
    <row r="113" spans="1:11" s="16" customFormat="1" ht="20.399999999999999" x14ac:dyDescent="0.2">
      <c r="A113" s="17">
        <v>108</v>
      </c>
      <c r="B113" s="18" t="s">
        <v>123</v>
      </c>
      <c r="C113" s="18" t="s">
        <v>122</v>
      </c>
      <c r="D113" s="19">
        <v>253072</v>
      </c>
      <c r="E113" s="18" t="s">
        <v>46</v>
      </c>
      <c r="F113" s="18">
        <v>7</v>
      </c>
      <c r="G113" s="20">
        <v>41.07</v>
      </c>
      <c r="H113" s="20">
        <f t="shared" si="2"/>
        <v>287.49</v>
      </c>
      <c r="I113" s="20" t="s">
        <v>161</v>
      </c>
      <c r="J113" s="8" t="s">
        <v>4</v>
      </c>
      <c r="K113" s="21">
        <f>VLOOKUP(G113, Intervalos!$B$3:$C$8,2,TRUE)</f>
        <v>0.05</v>
      </c>
    </row>
    <row r="114" spans="1:11" s="16" customFormat="1" ht="20.399999999999999" x14ac:dyDescent="0.2">
      <c r="A114" s="17">
        <v>109</v>
      </c>
      <c r="B114" s="18" t="s">
        <v>124</v>
      </c>
      <c r="C114" s="18" t="s">
        <v>122</v>
      </c>
      <c r="D114" s="19">
        <v>234418</v>
      </c>
      <c r="E114" s="18" t="s">
        <v>46</v>
      </c>
      <c r="F114" s="18">
        <v>15</v>
      </c>
      <c r="G114" s="20">
        <v>25.35</v>
      </c>
      <c r="H114" s="20">
        <f t="shared" si="2"/>
        <v>380.25</v>
      </c>
      <c r="I114" s="20" t="s">
        <v>161</v>
      </c>
      <c r="J114" s="8" t="s">
        <v>4</v>
      </c>
      <c r="K114" s="21">
        <f>VLOOKUP(G114, Intervalos!$B$3:$C$8,2,TRUE)</f>
        <v>0.05</v>
      </c>
    </row>
    <row r="115" spans="1:11" s="16" customFormat="1" ht="40.799999999999997" x14ac:dyDescent="0.2">
      <c r="A115" s="17">
        <v>110</v>
      </c>
      <c r="B115" s="18" t="s">
        <v>125</v>
      </c>
      <c r="C115" s="18" t="s">
        <v>26</v>
      </c>
      <c r="D115" s="19">
        <v>458008</v>
      </c>
      <c r="E115" s="18" t="s">
        <v>46</v>
      </c>
      <c r="F115" s="18">
        <v>15</v>
      </c>
      <c r="G115" s="20">
        <v>233.84</v>
      </c>
      <c r="H115" s="20">
        <f t="shared" si="2"/>
        <v>3507.6</v>
      </c>
      <c r="I115" s="20" t="s">
        <v>161</v>
      </c>
      <c r="J115" s="8" t="s">
        <v>4</v>
      </c>
      <c r="K115" s="21" t="str">
        <f>VLOOKUP(G115, Intervalos!$B$3:$C$8,2,TRUE)</f>
        <v>0,10%</v>
      </c>
    </row>
    <row r="116" spans="1:11" s="16" customFormat="1" ht="40.799999999999997" x14ac:dyDescent="0.2">
      <c r="A116" s="17">
        <v>111</v>
      </c>
      <c r="B116" s="18" t="s">
        <v>126</v>
      </c>
      <c r="C116" s="18" t="s">
        <v>26</v>
      </c>
      <c r="D116" s="19">
        <v>412490</v>
      </c>
      <c r="E116" s="18" t="s">
        <v>46</v>
      </c>
      <c r="F116" s="18">
        <v>1500</v>
      </c>
      <c r="G116" s="20">
        <v>0.35</v>
      </c>
      <c r="H116" s="20">
        <f t="shared" si="2"/>
        <v>525</v>
      </c>
      <c r="I116" s="20" t="s">
        <v>161</v>
      </c>
      <c r="J116" s="8" t="s">
        <v>4</v>
      </c>
      <c r="K116" s="21">
        <f>VLOOKUP(G116, Intervalos!$B$3:$C$8,2,TRUE)</f>
        <v>0.01</v>
      </c>
    </row>
    <row r="117" spans="1:11" s="16" customFormat="1" ht="40.799999999999997" x14ac:dyDescent="0.2">
      <c r="A117" s="17">
        <v>112</v>
      </c>
      <c r="B117" s="18" t="s">
        <v>127</v>
      </c>
      <c r="C117" s="18" t="s">
        <v>26</v>
      </c>
      <c r="D117" s="19">
        <v>348684</v>
      </c>
      <c r="E117" s="18" t="s">
        <v>46</v>
      </c>
      <c r="F117" s="18">
        <v>1250</v>
      </c>
      <c r="G117" s="20">
        <v>0.69</v>
      </c>
      <c r="H117" s="20">
        <f t="shared" si="2"/>
        <v>862.49999999999989</v>
      </c>
      <c r="I117" s="20" t="s">
        <v>161</v>
      </c>
      <c r="J117" s="8" t="s">
        <v>4</v>
      </c>
      <c r="K117" s="21">
        <f>VLOOKUP(G117, Intervalos!$B$3:$C$8,2,TRUE)</f>
        <v>0.01</v>
      </c>
    </row>
    <row r="118" spans="1:11" s="16" customFormat="1" ht="40.799999999999997" x14ac:dyDescent="0.2">
      <c r="A118" s="17">
        <v>113</v>
      </c>
      <c r="B118" s="18" t="s">
        <v>157</v>
      </c>
      <c r="C118" s="18" t="s">
        <v>26</v>
      </c>
      <c r="D118" s="19">
        <v>369004</v>
      </c>
      <c r="E118" s="18" t="s">
        <v>46</v>
      </c>
      <c r="F118" s="18">
        <v>50</v>
      </c>
      <c r="G118" s="20">
        <v>26.35</v>
      </c>
      <c r="H118" s="20">
        <f t="shared" si="2"/>
        <v>1317.5</v>
      </c>
      <c r="I118" s="20" t="s">
        <v>161</v>
      </c>
      <c r="J118" s="8" t="s">
        <v>4</v>
      </c>
      <c r="K118" s="21">
        <f>VLOOKUP(G118, Intervalos!$B$3:$C$8,2,TRUE)</f>
        <v>0.05</v>
      </c>
    </row>
    <row r="119" spans="1:11" s="16" customFormat="1" ht="40.799999999999997" x14ac:dyDescent="0.2">
      <c r="A119" s="17">
        <v>114</v>
      </c>
      <c r="B119" s="18" t="s">
        <v>128</v>
      </c>
      <c r="C119" s="18" t="s">
        <v>55</v>
      </c>
      <c r="D119" s="19">
        <v>381358</v>
      </c>
      <c r="E119" s="18" t="s">
        <v>46</v>
      </c>
      <c r="F119" s="18">
        <v>5</v>
      </c>
      <c r="G119" s="20">
        <v>1340</v>
      </c>
      <c r="H119" s="20">
        <f t="shared" si="2"/>
        <v>6700</v>
      </c>
      <c r="I119" s="20" t="s">
        <v>161</v>
      </c>
      <c r="J119" s="8" t="s">
        <v>4</v>
      </c>
      <c r="K119" s="21" t="str">
        <f>VLOOKUP(G119, Intervalos!$B$3:$C$8,2,TRUE)</f>
        <v>0,10%</v>
      </c>
    </row>
    <row r="120" spans="1:11" s="16" customFormat="1" ht="40.799999999999997" x14ac:dyDescent="0.2">
      <c r="A120" s="17">
        <v>115</v>
      </c>
      <c r="B120" s="18" t="s">
        <v>150</v>
      </c>
      <c r="C120" s="18" t="s">
        <v>41</v>
      </c>
      <c r="D120" s="19">
        <v>622471</v>
      </c>
      <c r="E120" s="18" t="s">
        <v>164</v>
      </c>
      <c r="F120" s="18">
        <f>13*100</f>
        <v>1300</v>
      </c>
      <c r="G120" s="20">
        <f>31/100</f>
        <v>0.31</v>
      </c>
      <c r="H120" s="20">
        <f t="shared" si="2"/>
        <v>403</v>
      </c>
      <c r="I120" s="20" t="s">
        <v>161</v>
      </c>
      <c r="J120" s="8" t="s">
        <v>4</v>
      </c>
      <c r="K120" s="21">
        <f>VLOOKUP(G120, Intervalos!$B$3:$C$8,2,TRUE)</f>
        <v>0.01</v>
      </c>
    </row>
    <row r="121" spans="1:11" s="16" customFormat="1" ht="51" x14ac:dyDescent="0.2">
      <c r="A121" s="17">
        <v>116</v>
      </c>
      <c r="B121" s="18" t="s">
        <v>137</v>
      </c>
      <c r="C121" s="18" t="s">
        <v>55</v>
      </c>
      <c r="D121" s="19">
        <v>621214</v>
      </c>
      <c r="E121" s="18" t="s">
        <v>164</v>
      </c>
      <c r="F121" s="18">
        <v>4</v>
      </c>
      <c r="G121" s="20">
        <v>269</v>
      </c>
      <c r="H121" s="20">
        <f t="shared" si="2"/>
        <v>1076</v>
      </c>
      <c r="I121" s="20" t="s">
        <v>161</v>
      </c>
      <c r="J121" s="8" t="s">
        <v>4</v>
      </c>
      <c r="K121" s="21" t="str">
        <f>VLOOKUP(G121, Intervalos!$B$3:$C$8,2,TRUE)</f>
        <v>0,10%</v>
      </c>
    </row>
    <row r="122" spans="1:11" s="16" customFormat="1" ht="40.799999999999997" x14ac:dyDescent="0.2">
      <c r="A122" s="17">
        <v>117</v>
      </c>
      <c r="B122" s="18" t="s">
        <v>138</v>
      </c>
      <c r="C122" s="18" t="s">
        <v>55</v>
      </c>
      <c r="D122" s="19">
        <v>621307</v>
      </c>
      <c r="E122" s="18" t="s">
        <v>164</v>
      </c>
      <c r="F122" s="18">
        <v>3</v>
      </c>
      <c r="G122" s="20">
        <v>379.97</v>
      </c>
      <c r="H122" s="20">
        <f t="shared" si="2"/>
        <v>1139.9100000000001</v>
      </c>
      <c r="I122" s="20" t="s">
        <v>161</v>
      </c>
      <c r="J122" s="8" t="s">
        <v>4</v>
      </c>
      <c r="K122" s="21" t="str">
        <f>VLOOKUP(G122, Intervalos!$B$3:$C$8,2,TRUE)</f>
        <v>0,10%</v>
      </c>
    </row>
    <row r="123" spans="1:11" s="16" customFormat="1" ht="75" customHeight="1" x14ac:dyDescent="0.2">
      <c r="A123" s="17">
        <v>118</v>
      </c>
      <c r="B123" s="18" t="s">
        <v>139</v>
      </c>
      <c r="C123" s="18" t="s">
        <v>55</v>
      </c>
      <c r="D123" s="19">
        <v>622360</v>
      </c>
      <c r="E123" s="18" t="s">
        <v>164</v>
      </c>
      <c r="F123" s="18">
        <v>13</v>
      </c>
      <c r="G123" s="20">
        <v>207.97</v>
      </c>
      <c r="H123" s="20">
        <f t="shared" si="2"/>
        <v>2703.61</v>
      </c>
      <c r="I123" s="20" t="s">
        <v>161</v>
      </c>
      <c r="J123" s="8" t="s">
        <v>4</v>
      </c>
      <c r="K123" s="21" t="str">
        <f>VLOOKUP(G123, Intervalos!$B$3:$C$8,2,TRUE)</f>
        <v>0,10%</v>
      </c>
    </row>
    <row r="124" spans="1:11" s="16" customFormat="1" ht="51" x14ac:dyDescent="0.2">
      <c r="A124" s="17">
        <v>119</v>
      </c>
      <c r="B124" s="18" t="s">
        <v>129</v>
      </c>
      <c r="C124" s="18" t="s">
        <v>55</v>
      </c>
      <c r="D124" s="19">
        <v>410637</v>
      </c>
      <c r="E124" s="18" t="s">
        <v>46</v>
      </c>
      <c r="F124" s="18">
        <v>7</v>
      </c>
      <c r="G124" s="20">
        <v>1181.73</v>
      </c>
      <c r="H124" s="20">
        <f t="shared" si="2"/>
        <v>8272.11</v>
      </c>
      <c r="I124" s="20" t="s">
        <v>161</v>
      </c>
      <c r="J124" s="8" t="s">
        <v>4</v>
      </c>
      <c r="K124" s="21" t="str">
        <f>VLOOKUP(G124, Intervalos!$B$3:$C$8,2,TRUE)</f>
        <v>0,10%</v>
      </c>
    </row>
    <row r="125" spans="1:11" s="16" customFormat="1" ht="30.6" x14ac:dyDescent="0.2">
      <c r="A125" s="17">
        <v>120</v>
      </c>
      <c r="B125" s="18" t="s">
        <v>130</v>
      </c>
      <c r="C125" s="18" t="s">
        <v>117</v>
      </c>
      <c r="D125" s="19">
        <v>374994</v>
      </c>
      <c r="E125" s="18" t="s">
        <v>46</v>
      </c>
      <c r="F125" s="18">
        <v>27</v>
      </c>
      <c r="G125" s="20">
        <v>42.42</v>
      </c>
      <c r="H125" s="20">
        <f t="shared" si="2"/>
        <v>1145.3400000000001</v>
      </c>
      <c r="I125" s="20" t="s">
        <v>161</v>
      </c>
      <c r="J125" s="8" t="s">
        <v>4</v>
      </c>
      <c r="K125" s="21">
        <f>VLOOKUP(G125, Intervalos!$B$3:$C$8,2,TRUE)</f>
        <v>0.05</v>
      </c>
    </row>
    <row r="126" spans="1:11" s="16" customFormat="1" ht="51" x14ac:dyDescent="0.2">
      <c r="A126" s="17">
        <v>121</v>
      </c>
      <c r="B126" s="18" t="s">
        <v>131</v>
      </c>
      <c r="C126" s="18" t="s">
        <v>55</v>
      </c>
      <c r="D126" s="19">
        <v>346184</v>
      </c>
      <c r="E126" s="18" t="s">
        <v>46</v>
      </c>
      <c r="F126" s="18">
        <v>304</v>
      </c>
      <c r="G126" s="20">
        <v>47.42</v>
      </c>
      <c r="H126" s="20">
        <f t="shared" si="2"/>
        <v>14415.68</v>
      </c>
      <c r="I126" s="20" t="s">
        <v>161</v>
      </c>
      <c r="J126" s="8" t="s">
        <v>4</v>
      </c>
      <c r="K126" s="21">
        <f>VLOOKUP(G126, Intervalos!$B$3:$C$8,2,TRUE)</f>
        <v>0.05</v>
      </c>
    </row>
    <row r="127" spans="1:11" s="16" customFormat="1" ht="20.399999999999999" x14ac:dyDescent="0.2">
      <c r="A127" s="17">
        <v>122</v>
      </c>
      <c r="B127" s="18" t="s">
        <v>163</v>
      </c>
      <c r="C127" s="18" t="s">
        <v>142</v>
      </c>
      <c r="D127" s="19">
        <v>633793</v>
      </c>
      <c r="E127" s="18" t="s">
        <v>46</v>
      </c>
      <c r="F127" s="18">
        <f>2*10</f>
        <v>20</v>
      </c>
      <c r="G127" s="20">
        <f>2892/10</f>
        <v>289.2</v>
      </c>
      <c r="H127" s="20">
        <f t="shared" si="2"/>
        <v>5784</v>
      </c>
      <c r="I127" s="20" t="s">
        <v>161</v>
      </c>
      <c r="J127" s="8" t="s">
        <v>4</v>
      </c>
      <c r="K127" s="21" t="str">
        <f>VLOOKUP(G127, Intervalos!$B$3:$C$8,2,TRUE)</f>
        <v>0,10%</v>
      </c>
    </row>
    <row r="128" spans="1:11" s="16" customFormat="1" ht="40.799999999999997" x14ac:dyDescent="0.2">
      <c r="A128" s="17">
        <v>123</v>
      </c>
      <c r="B128" s="18" t="s">
        <v>132</v>
      </c>
      <c r="C128" s="18" t="s">
        <v>26</v>
      </c>
      <c r="D128" s="19">
        <v>347684</v>
      </c>
      <c r="E128" s="18" t="s">
        <v>46</v>
      </c>
      <c r="F128" s="18">
        <v>2250</v>
      </c>
      <c r="G128" s="20">
        <v>0.17</v>
      </c>
      <c r="H128" s="20">
        <f t="shared" si="2"/>
        <v>382.5</v>
      </c>
      <c r="I128" s="20" t="s">
        <v>161</v>
      </c>
      <c r="J128" s="8" t="s">
        <v>4</v>
      </c>
      <c r="K128" s="21">
        <f>VLOOKUP(G128, Intervalos!$B$3:$C$8,2,TRUE)</f>
        <v>0.01</v>
      </c>
    </row>
    <row r="129" spans="1:11" s="16" customFormat="1" ht="40.799999999999997" x14ac:dyDescent="0.2">
      <c r="A129" s="17">
        <v>124</v>
      </c>
      <c r="B129" s="18" t="s">
        <v>133</v>
      </c>
      <c r="C129" s="18" t="s">
        <v>26</v>
      </c>
      <c r="D129" s="19">
        <v>402644</v>
      </c>
      <c r="E129" s="18" t="s">
        <v>46</v>
      </c>
      <c r="F129" s="18">
        <v>1000</v>
      </c>
      <c r="G129" s="20">
        <v>0.33</v>
      </c>
      <c r="H129" s="20">
        <f t="shared" si="2"/>
        <v>330</v>
      </c>
      <c r="I129" s="20" t="s">
        <v>161</v>
      </c>
      <c r="J129" s="8" t="s">
        <v>4</v>
      </c>
      <c r="K129" s="21">
        <f>VLOOKUP(G129, Intervalos!$B$3:$C$8,2,TRUE)</f>
        <v>0.01</v>
      </c>
    </row>
    <row r="130" spans="1:11" x14ac:dyDescent="0.3">
      <c r="G130" s="6" t="s">
        <v>6</v>
      </c>
      <c r="H130" s="9">
        <f>SUM(H6:H129)</f>
        <v>972042.49999999988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Footer>Página &amp;P&amp;R&amp;F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4FF-836B-4AD3-983B-AAB120C3AFFF}">
  <dimension ref="A1:F9"/>
  <sheetViews>
    <sheetView workbookViewId="0">
      <selection activeCell="C3" sqref="C3"/>
    </sheetView>
  </sheetViews>
  <sheetFormatPr defaultColWidth="0" defaultRowHeight="14.4" zeroHeight="1" x14ac:dyDescent="0.3"/>
  <cols>
    <col min="1" max="1" width="2.44140625" customWidth="1"/>
    <col min="2" max="2" width="12.88671875" customWidth="1"/>
    <col min="3" max="3" width="17.6640625" customWidth="1"/>
    <col min="4" max="4" width="3.109375" customWidth="1"/>
    <col min="5" max="5" width="27" customWidth="1"/>
    <col min="6" max="6" width="4" customWidth="1"/>
    <col min="7" max="16384" width="9.109375" hidden="1"/>
  </cols>
  <sheetData>
    <row r="1" spans="2:5" ht="10.5" customHeight="1" x14ac:dyDescent="0.3"/>
    <row r="2" spans="2:5" ht="63" customHeight="1" x14ac:dyDescent="0.3">
      <c r="B2" s="12" t="s">
        <v>8</v>
      </c>
      <c r="C2" s="12" t="s">
        <v>7</v>
      </c>
      <c r="E2" s="13" t="s">
        <v>10</v>
      </c>
    </row>
    <row r="3" spans="2:5" x14ac:dyDescent="0.3">
      <c r="B3" s="11">
        <v>0.01</v>
      </c>
      <c r="C3" s="10">
        <v>0.01</v>
      </c>
      <c r="E3" s="14" t="s">
        <v>11</v>
      </c>
    </row>
    <row r="4" spans="2:5" x14ac:dyDescent="0.3">
      <c r="B4" s="10">
        <v>5</v>
      </c>
      <c r="C4" s="10">
        <v>0.02</v>
      </c>
      <c r="E4" s="14" t="s">
        <v>12</v>
      </c>
    </row>
    <row r="5" spans="2:5" x14ac:dyDescent="0.3">
      <c r="B5" s="10">
        <v>10</v>
      </c>
      <c r="C5" s="10">
        <v>0.03</v>
      </c>
      <c r="E5" s="14" t="s">
        <v>13</v>
      </c>
    </row>
    <row r="6" spans="2:5" x14ac:dyDescent="0.3">
      <c r="B6" s="10">
        <v>20</v>
      </c>
      <c r="C6" s="10">
        <v>0.05</v>
      </c>
      <c r="E6" s="14" t="s">
        <v>14</v>
      </c>
    </row>
    <row r="7" spans="2:5" x14ac:dyDescent="0.3">
      <c r="B7" s="10">
        <v>50</v>
      </c>
      <c r="C7" s="10">
        <v>0.1</v>
      </c>
      <c r="E7" s="14" t="s">
        <v>15</v>
      </c>
    </row>
    <row r="8" spans="2:5" x14ac:dyDescent="0.3">
      <c r="B8" s="10">
        <v>100</v>
      </c>
      <c r="C8" s="15" t="s">
        <v>9</v>
      </c>
      <c r="E8" s="14" t="s">
        <v>16</v>
      </c>
    </row>
    <row r="9" spans="2:5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CMAT/AD</cp:lastModifiedBy>
  <cp:lastPrinted>2026-03-13T17:51:13Z</cp:lastPrinted>
  <dcterms:created xsi:type="dcterms:W3CDTF">2019-07-30T23:05:19Z</dcterms:created>
  <dcterms:modified xsi:type="dcterms:W3CDTF">2026-03-19T14:29:57Z</dcterms:modified>
</cp:coreProperties>
</file>