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G:\Meu Drive\Arquivos secretaria e pregão\Pregoeira\PE90011_2026_MOBILIÁRIO-20260312T201522Z-3-001\90.011-2026 - MOBILIÁRIO\3 Edital\"/>
    </mc:Choice>
  </mc:AlternateContent>
  <xr:revisionPtr revIDLastSave="0" documentId="13_ncr:1_{BCE154C1-523D-46AA-B435-0A6F0DDEE55D}" xr6:coauthVersionLast="47" xr6:coauthVersionMax="47" xr10:uidLastSave="{00000000-0000-0000-0000-000000000000}"/>
  <bookViews>
    <workbookView xWindow="-108" yWindow="-108" windowWidth="23256" windowHeight="12456" xr2:uid="{00000000-000D-0000-FFFF-FFFF00000000}"/>
  </bookViews>
  <sheets>
    <sheet name="Anexo III" sheetId="1" r:id="rId1"/>
    <sheet name="Intervalos" sheetId="2" r:id="rId2"/>
  </sheets>
  <definedNames>
    <definedName name="_xlnm._FilterDatabase" localSheetId="0" hidden="1">'Anexo III'!#REF!</definedName>
    <definedName name="_xlnm.Print_Area" localSheetId="0">'Anexo III'!$A$1:$P$110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08" i="1" l="1"/>
  <c r="J108" i="1"/>
  <c r="L8" i="1"/>
  <c r="L18" i="1"/>
  <c r="L20" i="1"/>
  <c r="L21" i="1"/>
  <c r="L35" i="1"/>
  <c r="L48" i="1"/>
  <c r="L49" i="1"/>
  <c r="L50" i="1"/>
  <c r="L53" i="1"/>
  <c r="L54" i="1"/>
  <c r="L58" i="1"/>
  <c r="L62" i="1"/>
  <c r="L64" i="1"/>
  <c r="L90" i="1"/>
  <c r="L92" i="1"/>
  <c r="L93" i="1"/>
  <c r="L97" i="1"/>
  <c r="L98" i="1"/>
  <c r="L99" i="1"/>
  <c r="L100" i="1"/>
  <c r="L105" i="1"/>
  <c r="J7" i="1"/>
  <c r="L7" i="1" s="1"/>
  <c r="J8" i="1"/>
  <c r="J9" i="1"/>
  <c r="L9" i="1" s="1"/>
  <c r="J10" i="1"/>
  <c r="L10" i="1" s="1"/>
  <c r="J11" i="1"/>
  <c r="L11" i="1" s="1"/>
  <c r="J12" i="1"/>
  <c r="L12" i="1" s="1"/>
  <c r="J13" i="1"/>
  <c r="L13" i="1" s="1"/>
  <c r="J14" i="1"/>
  <c r="L14" i="1" s="1"/>
  <c r="J15" i="1"/>
  <c r="L15" i="1" s="1"/>
  <c r="J16" i="1"/>
  <c r="L16" i="1" s="1"/>
  <c r="J17" i="1"/>
  <c r="L17" i="1" s="1"/>
  <c r="J18" i="1"/>
  <c r="J19" i="1"/>
  <c r="L19" i="1" s="1"/>
  <c r="J20" i="1"/>
  <c r="J21" i="1"/>
  <c r="J22" i="1"/>
  <c r="L22" i="1" s="1"/>
  <c r="J23" i="1"/>
  <c r="L23" i="1" s="1"/>
  <c r="J24" i="1"/>
  <c r="L24" i="1" s="1"/>
  <c r="J25" i="1"/>
  <c r="L25" i="1" s="1"/>
  <c r="J26" i="1"/>
  <c r="L26" i="1" s="1"/>
  <c r="J27" i="1"/>
  <c r="L27" i="1" s="1"/>
  <c r="J28" i="1"/>
  <c r="L28" i="1" s="1"/>
  <c r="J29" i="1"/>
  <c r="L29" i="1" s="1"/>
  <c r="J30" i="1"/>
  <c r="L30" i="1" s="1"/>
  <c r="J31" i="1"/>
  <c r="L31" i="1" s="1"/>
  <c r="J32" i="1"/>
  <c r="L32" i="1" s="1"/>
  <c r="J33" i="1"/>
  <c r="L33" i="1" s="1"/>
  <c r="J34" i="1"/>
  <c r="L34" i="1" s="1"/>
  <c r="J35" i="1"/>
  <c r="J36" i="1"/>
  <c r="L36" i="1" s="1"/>
  <c r="J37" i="1"/>
  <c r="L37" i="1" s="1"/>
  <c r="J38" i="1"/>
  <c r="L38" i="1" s="1"/>
  <c r="J39" i="1"/>
  <c r="L39" i="1" s="1"/>
  <c r="J40" i="1"/>
  <c r="L40" i="1" s="1"/>
  <c r="J41" i="1"/>
  <c r="L41" i="1" s="1"/>
  <c r="J42" i="1"/>
  <c r="L42" i="1" s="1"/>
  <c r="J43" i="1"/>
  <c r="L43" i="1" s="1"/>
  <c r="J44" i="1"/>
  <c r="L44" i="1" s="1"/>
  <c r="J45" i="1"/>
  <c r="L45" i="1" s="1"/>
  <c r="J46" i="1"/>
  <c r="L46" i="1" s="1"/>
  <c r="J47" i="1"/>
  <c r="L47" i="1" s="1"/>
  <c r="J48" i="1"/>
  <c r="J49" i="1"/>
  <c r="J50" i="1"/>
  <c r="J51" i="1"/>
  <c r="L51" i="1" s="1"/>
  <c r="J52" i="1"/>
  <c r="L52" i="1" s="1"/>
  <c r="J53" i="1"/>
  <c r="J54" i="1"/>
  <c r="J55" i="1"/>
  <c r="L55" i="1" s="1"/>
  <c r="J56" i="1"/>
  <c r="L56" i="1" s="1"/>
  <c r="J57" i="1"/>
  <c r="L57" i="1" s="1"/>
  <c r="J58" i="1"/>
  <c r="J59" i="1"/>
  <c r="L59" i="1" s="1"/>
  <c r="J60" i="1"/>
  <c r="L60" i="1" s="1"/>
  <c r="J61" i="1"/>
  <c r="L61" i="1" s="1"/>
  <c r="J62" i="1"/>
  <c r="J63" i="1"/>
  <c r="L63" i="1" s="1"/>
  <c r="J64" i="1"/>
  <c r="J65" i="1"/>
  <c r="L65" i="1" s="1"/>
  <c r="J66" i="1"/>
  <c r="L66" i="1" s="1"/>
  <c r="J67" i="1"/>
  <c r="L67" i="1" s="1"/>
  <c r="J68" i="1"/>
  <c r="L68" i="1" s="1"/>
  <c r="J69" i="1"/>
  <c r="L69" i="1" s="1"/>
  <c r="J70" i="1"/>
  <c r="L70" i="1" s="1"/>
  <c r="J71" i="1"/>
  <c r="L71" i="1" s="1"/>
  <c r="J72" i="1"/>
  <c r="L72" i="1" s="1"/>
  <c r="J73" i="1"/>
  <c r="L73" i="1" s="1"/>
  <c r="J74" i="1"/>
  <c r="L74" i="1" s="1"/>
  <c r="J75" i="1"/>
  <c r="L75" i="1" s="1"/>
  <c r="J76" i="1"/>
  <c r="L76" i="1" s="1"/>
  <c r="J77" i="1"/>
  <c r="L77" i="1" s="1"/>
  <c r="J78" i="1"/>
  <c r="L78" i="1" s="1"/>
  <c r="J79" i="1"/>
  <c r="L79" i="1" s="1"/>
  <c r="J80" i="1"/>
  <c r="L80" i="1" s="1"/>
  <c r="J81" i="1"/>
  <c r="L81" i="1" s="1"/>
  <c r="J82" i="1"/>
  <c r="L82" i="1" s="1"/>
  <c r="J83" i="1"/>
  <c r="L83" i="1" s="1"/>
  <c r="J84" i="1"/>
  <c r="L84" i="1" s="1"/>
  <c r="J85" i="1"/>
  <c r="L85" i="1" s="1"/>
  <c r="J86" i="1"/>
  <c r="L86" i="1" s="1"/>
  <c r="J87" i="1"/>
  <c r="L87" i="1" s="1"/>
  <c r="J88" i="1"/>
  <c r="L88" i="1" s="1"/>
  <c r="J89" i="1"/>
  <c r="L89" i="1" s="1"/>
  <c r="J90" i="1"/>
  <c r="J91" i="1"/>
  <c r="L91" i="1" s="1"/>
  <c r="J92" i="1"/>
  <c r="J93" i="1"/>
  <c r="J94" i="1"/>
  <c r="L94" i="1" s="1"/>
  <c r="J95" i="1"/>
  <c r="L95" i="1" s="1"/>
  <c r="J96" i="1"/>
  <c r="L96" i="1" s="1"/>
  <c r="J97" i="1"/>
  <c r="J98" i="1"/>
  <c r="J99" i="1"/>
  <c r="J100" i="1"/>
  <c r="J101" i="1"/>
  <c r="L101" i="1" s="1"/>
  <c r="J102" i="1"/>
  <c r="L102" i="1" s="1"/>
  <c r="J103" i="1"/>
  <c r="L103" i="1" s="1"/>
  <c r="J104" i="1"/>
  <c r="L104" i="1" s="1"/>
  <c r="J105" i="1"/>
  <c r="J106" i="1"/>
  <c r="L106" i="1" s="1"/>
  <c r="J107" i="1"/>
  <c r="L107" i="1" s="1"/>
  <c r="J6" i="1"/>
  <c r="L6" i="1" s="1"/>
  <c r="G95" i="1"/>
  <c r="G88" i="1"/>
  <c r="G87" i="1"/>
  <c r="G81" i="1"/>
  <c r="G80" i="1"/>
  <c r="G76" i="1"/>
  <c r="G70" i="1"/>
  <c r="G68" i="1"/>
  <c r="G67" i="1"/>
  <c r="G66" i="1"/>
  <c r="G65" i="1"/>
  <c r="G64" i="1"/>
  <c r="G63" i="1"/>
  <c r="G61" i="1"/>
  <c r="G60" i="1"/>
  <c r="G56" i="1"/>
  <c r="G55" i="1"/>
  <c r="G51" i="1"/>
  <c r="G50" i="1"/>
  <c r="G43" i="1"/>
  <c r="G42" i="1"/>
  <c r="G41" i="1"/>
  <c r="G40" i="1"/>
  <c r="G39" i="1"/>
  <c r="G38" i="1"/>
  <c r="G36" i="1"/>
  <c r="G37" i="1"/>
  <c r="G34" i="1"/>
  <c r="G28" i="1"/>
  <c r="G22" i="1"/>
  <c r="G53" i="1"/>
  <c r="G54" i="1"/>
  <c r="G86" i="1"/>
  <c r="G96" i="1"/>
  <c r="G72" i="1"/>
  <c r="G71" i="1"/>
  <c r="M105" i="1" l="1"/>
  <c r="M102" i="1"/>
  <c r="P7" i="1"/>
  <c r="P8" i="1"/>
  <c r="P9" i="1"/>
  <c r="P10" i="1"/>
  <c r="P11" i="1"/>
  <c r="P12" i="1"/>
  <c r="P13" i="1"/>
  <c r="P14" i="1"/>
  <c r="P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6" i="1" l="1"/>
  <c r="L109" i="1" l="1"/>
</calcChain>
</file>

<file path=xl/sharedStrings.xml><?xml version="1.0" encoding="utf-8"?>
<sst xmlns="http://schemas.openxmlformats.org/spreadsheetml/2006/main" count="735" uniqueCount="139">
  <si>
    <t>PRÓ-REITORIA DE ADMINISTRAÇÃO</t>
  </si>
  <si>
    <t>UNIDADE DE MEDIDA</t>
  </si>
  <si>
    <t>COORDENAÇÃO DE MATERIAIS</t>
  </si>
  <si>
    <t>DESCRIÇÃO/ ESPECIFICAÇÃO</t>
  </si>
  <si>
    <t>Aberto</t>
  </si>
  <si>
    <t>SUGESTÃO DE CATMAT</t>
  </si>
  <si>
    <t>VALOR TOTAL</t>
  </si>
  <si>
    <t>Diferença Mínima
 de Valores / 
Percentuais de 
Lances</t>
  </si>
  <si>
    <t>Valor Unitário
Estimado (Faixa)</t>
  </si>
  <si>
    <t>0,10%</t>
  </si>
  <si>
    <t>Interpretação</t>
  </si>
  <si>
    <t>R$ 0,01 - R$ 5,00 =&gt; R$ 0,01</t>
  </si>
  <si>
    <t>R$ 5,01 - R$ 10,00 =&gt; R$ 0,02</t>
  </si>
  <si>
    <t>R$ 10,01 - R$ 20,00 =&gt; R$ 0,03</t>
  </si>
  <si>
    <t>R$ 20,01 - R$ 50,00 =&gt; R$ 0,05</t>
  </si>
  <si>
    <t>R$ 50,01 - R$ 100,00 =&gt; R$ 0,10</t>
  </si>
  <si>
    <t>Acima de R$ 100,00 =&gt; 0,10%</t>
  </si>
  <si>
    <t>ITEM LICITAÇÃO</t>
  </si>
  <si>
    <t>VALOR UNITÁRIO</t>
  </si>
  <si>
    <t>MODO DE DISPUTA</t>
  </si>
  <si>
    <t>INTERVALO LANCES</t>
  </si>
  <si>
    <t>EXCLUSIVO ME/EPP</t>
  </si>
  <si>
    <t>INFORMAÇÕES ADICIONAIS</t>
  </si>
  <si>
    <t>GRUPO</t>
  </si>
  <si>
    <t>ANEXO III - PLANILHA ESTIMATIVA DE DESCRIÇÃO E PREÇOS</t>
  </si>
  <si>
    <t>VALOR TOTAL DO GRUPO</t>
  </si>
  <si>
    <t xml:space="preserve">Apoio ergonômico para os pés LxPxH: 45x30x7-14cm com plataforma em material polipropileno de alta resistência e textura antiderrapante; não deve apresentar quinas vivas, dimensões da plataforma aproximadamente de 45cm x 30cm (podendo variar em +/- 10%); ajuste fácil de altura variando de aproximadamente 7cm a 14cm e ajuste fácil de inclinação de até 25º; pés antiderrapantes. </t>
  </si>
  <si>
    <t>Armário baixo com duas portas LxPxH: 80x45x75cm. Armário fabricado em MDP com no mín. 18mm, com fita de bordo nos tampos e demais topos aparentes, contando com acabamento em laminado de baixa pressão (BP). Dobradiças metálicas e puxadores cromados. Prateleira centralizada. Deve possuir fechadura reforçada ou em chave tetra.</t>
  </si>
  <si>
    <t>CTF/APP: FTE - Categoria: Indústria da Madeira; Código: 7</t>
  </si>
  <si>
    <t>Armário baixo com portas LxPxH: 80x45x75cm. Armário fabricado em MDP com no mín. 18mm, com fita de bordo nos tampos e demais topos aparentes, contando com acabamento em laminado de baixa pressão (BP). Deve possuir duas portas de correr, que correm sobre trilhos localizados na parte inferior e superior, dotadas de puxadores metálicos embutidos. Prateleira centralizada com reforço estrutural central. Deve possuir fechadura.</t>
  </si>
  <si>
    <t>Armário baixo com quatro portas LxPxH: 180x45x75cm. Cor a definir. Estrutura, portas, prateleiras, fundo e laterais em MDP com no mín. 18mm de espessura, revestida em laminado melamínico de baixa pressão texturizado em ambas as faces. Todas as bordas, por todo perímetro, com acabamento em fita de bordo na espessura do MDP, colada a quente pelo sistema tipo hot-melt, com curvatura de raio mínimo de 2,5 mm. Laterais com regulagens para prateleiras a cada 32 mm aprox. através de no mín. 04 pinos metálicos fixado às laterais do armário. Rodapé com sapatas reguladoras de nível encaixada e fixada na base através de parafuso permitindo a regulagem da mesma tanto na parte interna como externa do armário. 04 portas de abrir com giro mínimo de 270ẃ (mín. de 02 dobradiças em cada porta). Desmontável. Garantia de no mín. 5 anos.</t>
  </si>
  <si>
    <t>Armário com duas portas alto LxPxH: 100x50x160cm.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três prateleiras. As laterais, fundo, tampo e base inferior são ligados entre si por sistema que possibilite a montagem e desmontagem. Partes metálicas com pré-tratamento antiferruginoso e acabamento em pintura epóxi-pó.</t>
  </si>
  <si>
    <t>Armário com duas portas de correr  LxPxH: 90x50x160cm. Confeccionado em MDP com no mín. 18mm de espessura, revestido em ambas as faces em laminado melamínico de baixa pressão (BP), com acabamento de borda com fita de bordo coladas com adesivo hot-melt em todo o contorno. As portas devem correr sobre trilhos. Deve possuir três prateleiras.As laterais devem ter furação para regulagem de altura das prateleiras, que devem ser apoiadas cada uma em no mínimo quatro suportes. Base retangular fechada. Acabamento com sapatas articuláveis, com sistema regulável após montagem.</t>
  </si>
  <si>
    <t>Armário com duas portas extra-alto LxPxH: 60x50x210cm.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quatro prateleiras. As laterais, fundo, tampo e base inferior são ligados entre si por sistema que possibilite a montagem e desmontagem. Partes metálicas com pré-tratamento antiferruginoso e acabamento em pintura epóxi-pó.</t>
  </si>
  <si>
    <t>Armário com duas portas extra-alto LxPxH: 80x50x210cm.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quatro prateleiras. As laterais, fundo, tampo e base inferior são ligados entre si por sistema que possibilite a montagem e desmontagem. Partes metálicas com pré-tratamento antiferruginoso e acabamento em pintura epóxi-pó.</t>
  </si>
  <si>
    <t>Armário com duas portas médio LxPxH: 90x50x120cm. Cor a definir. Estrutura, portas laterais, base inferior, prateleiras, tampo, fundo em MDP de no mín. 18mm de espessura, revestida em laminado melamínico de baixa pressão texturizado em ambas as faces. Borda frontal e posterior com acabamento em fita de bordo da espessura do MDP, colada a quente pelo sistema tipo hot-melt, com raio mínimo de 2,5 mm em todo seu perímetro. Bordas transversais com acabamento em fita de bordo na espessura do MDP, colada a quente pelo sistema tipo hot-melt, em todo seu perímetro. Laterais com regulagens para prateleiras através de no mín. 04 pinos metálicos nas laterais do armário. Rodapé com sapatas reguladoras de nível encaixada e fixada na base através de parafuso permitindo a regulagem da mesma tanto na parte interna como externa do armário. Deve possuir 02 portas de abrir com giro de 270ẃ com no mín 04 dobradiças em cada porta. Fechadura com travamento simultâneo superior e inferior tipo cremona. Puxadores do tipo Zamak niquelado redondo com forma côncava com aproximadamente 110 mm de comprimento. Deve possuir duas prateleiras. As laterais, fundo, tampo e base inferior são ligados entre si por sistema que possibilite a montagem e desmontagem. Partes metálicas com pré-tratamento antiferruginoso e acabamento em pintura epóxi-pó.</t>
  </si>
  <si>
    <t>Armário de aço 3 portas tipo guarda volumes médio para guarda de mochilas. Em aço galvanizado, tratamento anti-corrosivo e fosfatizante, pintura eletrostática, com fechadura de aço tipo soprano, fecho lingueta em aço, com no mínimo 2 chaves, abertura da porta LxA: 29,5x55cm, ou próximo (variação aceitável de até 5cm), tamanho total L 35 X A 185 X P 45 cm. Para guarda em bibliotecas de materiais com maiores dimensões, como mochilas e capacetes.</t>
  </si>
  <si>
    <t>Armário de aço com duas portas LxPxH: 76x33x150cm. Chapas de aço SAE 1010/1020: corpo e portas em chapa de no mín. 24; Prateleiras e reforço das portas em chapa de no mín. 20; Base em chapa de no mín. 18; Dobradiças em chapa de no mín. 14. Contando de  quatro prateleiras removíveis e ajustáveis (permitem o ajuste em distâncias de até 100 mm). Dobradiças internas de no mín. 75 mm de altura e no mín. três unidades por porta. Puxadores inteiramente metálicos, de liga não-ferrosa. Fechadura de tambor cilíndrico com uma duplicata da chave. Partes metálicas devem receber pré-tratamento antiferruginoso e acabamento em pintura eletrostática epóxi-pó em cor a ser definida.</t>
  </si>
  <si>
    <t>Armário de aço com duas portas LxPxH: 90x45x198cm. Chapas de aço SAE 1010/1020: corpo e portas em chapa de no mín. 24; Prateleiras e reforço das portas em chapa de no mín. 20; Base em chapa de no mín. 18; Dobradiças em chapa de no mín. 14. Contando de  quatro prateleiras removíveis e ajustáveis (permitem o ajuste em distâncias de até 100 mm.). Dobradiças internas de no mín. 75 mm de altura e no mín. três unidades por porta. Puxadores inteiramente metálicos, de liga não-ferrosa. Fechadura de tambor cilíndrico com uma duplicata da chave. Partes metálicas devem receber pré-tratamento antiferruginoso e acabamento em pintura eletrostática epóxi-pó em cor a ser definida.</t>
  </si>
  <si>
    <t>Armário de aço tipo roupeiro com 08 portas LxPxH: 125x40x198cm em chapa de no mín. 22 com 08 (oito) portas com pitão para cadeado. Partes metálicas devem receber pré-tratamento antiferruginoso e acabamento em pintura eletrostática epóxi-pó em cor cinza. Garantia de cinco anos.</t>
  </si>
  <si>
    <t>Armário de aço tipo roupeiro com 12 portas médias. 99x43x210cm (LxPxH) Porta pitão de série (dispositivo para cadeado) ou opcional de travamento por fechaduras tipo yale (chave + fechadura). Partes metálicas devem receber pré-tratamento antiferruginoso e acabamento em pintura eletrostática epóxi-pó em cor a ser definida. Garantia de cinco anos.</t>
  </si>
  <si>
    <t>Armário de aço tipo roupeiro com 16 portas LxPxH:197x42x122cm. Roupeiro de aço chapa 24 com 16 vãos pequenos e com porta com pitão para cadeado. Partes metálicas devem receber pré-tratamento antiferruginoso e acabamento em pintura eletrostática epóxi-pó em cor a ser definida. Garantia de cinco anos.</t>
  </si>
  <si>
    <t>Armário em aço com duas portas LxPxH: 90x45x185cm na cor cinza com portas na cor a definir, totalmente confeccionada em chapa de aço com pré-tratamento antiferruginoso e pintura eletrostática epóxi-pó. Deverá possuir 02 (duas) portas, uma com trincos internos (superior e inferior) e outra com fechadura com chave e cópia, as portas deverão possuir dobras enroladas e reforço do tipo cartola garantindo assim maior resistência ao conjunto e também sistema de ventilação dos compartimentos. 03 (três) prateleiras com sistema de fixação por encaixe. 02 (duas) gavetas para pastas suspensas com sistema de deslizamento por corrediças telescópicas e puxador estampado na própria gaveta. Prateleiras, portas, fundo e laterais confeccionadas em chapa de aço com espessura de 0,65mm, rodapé e reforço interno em chapa de aço com espessura de 1,25mm. Sapatas para nivelamento. Dimensões aproximadas (LAP): 90x185x45cm.</t>
  </si>
  <si>
    <t>Armário guarda-volumes triplo com 15 portas. Dimensões aproximadas: 105 x 45 x 185cm (LxPxH). Estrutura em aço galvanizado, tratamento anti-corrosivo e fosfatizante, pintura eletrostática a pó, quadro frontal, 15 portas, abertura da porta LxH: 29,5x30,6cm, fechamento triplo (com chave e pitão), cabide barra. Cor: Estrutura: Cinza, Porta: Azul Royal. Garantia de cinco anos. Referência: Linha Multi-Biccateca BC3335.</t>
  </si>
  <si>
    <t>Arquivo frontal de aço para pasta suspensa com 04 gavetas LxPxH: 45x70x135cm. Gavetas com corrediças metálicas sobre trilhos telescópicos com abertura total. Puxadores inteiramente metálicos, de liga não-ferrosa. Fechadura de tambor cilíndrico com sistema de travamento simultâneo das gavetas. Chaves com 01 duplicata. Porta-etiquetas estampado ou sobreposto, sendo este último exclusivamente de liga metálica não ferrosa. Elementos em aço com pré-tratamento antiferruginoso e pintura eletrostática epóxi-pó</t>
  </si>
  <si>
    <t>Balcão de atendimento reto acessível LxPxH: 240-260x85x75,5-110cm em MDF com espaço para 02 postos de trabalho e duas alturas. Largura total variando de 240cm a 260cm e profundidade total de 80cm. O balcão deve possuir duas alturas, sendo de 75,5cm na parte de menor altura e de 110cm na parte de maior altura. Medidas dos balcões consideradas a partir do topo dos tampos. Na parte do balcão onde estiver localizado o tampo de maior altura deverá ter também, internamente, a continuidade do tampo de menor altura de forma que este sirva de bancada para os dois postos de trabalho. Essa bancada deve possuir passa-fios e calha central para fiação.O tampo localizado a 75,5 cm do chão deve possuir 80cm de profundidade e largura podendo variar de 240 a 260cm, fixado sobre a estrutura, painéis laterais e central. Este tampo possui em seu canto mais lateral e frontal forma arredondada com raio de 15cm. O tampo localizado a 110cm do chão deve possuir 30cm de profundidade acompanhando a largura do painel frontal no qual estará fixado. Os tampos devem estar apoiados sobre elementos estruturais, deixando livre 5cm de balanço na parte frontal para aproximação. O painel frontal da parte do balcão de maior altura deve possuir com 107,5 cm de altura na parte de maior altura, com largura podendo variar entre 120 e 160cm.  O painel frontal da parte de menor altura deve estar localizado a 47,5cm do chão, possuir 25cm de altura e estar recuado 25cm em relação ao painel frontal do painel frontal do da parte do balcão de maior altura. Ambas laterais do balcão devem ser vedadas, em MDF, tendo a lateral da parte do balcão de maior altura um acréscimo, acima do tampo de menor altura para vedar a parte inferior ao tampo de maior altura. Painel central, alinhado com o fim do tampo superior, no qual será apoiado o tampo de menor altura, tendo 80cm de profundidade e 73cm de altura. Todos os MDF devem ser revestidos com laminado de alta pressão em ambas as faces com superfície opaca, texturizada e com acabamento de todas as bordas em fita de PVC, colada a quente pelo sistema hot-melt, com raio mínimo de 2,5 mm em todo seu perímetro, na mesma cor do revestimento das faces. Os tampos e elementos em MDF que possuírem função estrutural devem possuir no mínimo 25mm de espessura e demais elementos no mínimo 18mm de espessura. Cor a definir. Estrutura em aço carbono SAE 1010/1020 com quatro apoios reguláveis no piso em polipropileno ou nylon injetado. A área do balcão acessível deve possuir largura mínima de 90cm e altura entre 75 a 85cm, assegurando-se largura livre mínima sob a superfície de 80cm. O balcão deve ser acessível tanto para o posto de trabalho quanto para o usuário a ser atendido. Devem ser asseguradas altura livre sob o tampo de no mínimo 73cm e profundidade de 30cm para aproximação frontal de pessoa com cadeira de rodas.</t>
  </si>
  <si>
    <t>Bancada para laboratório de informática LxPxH: 180x90x75cm, para monitor de LCD. Revestido em BP texturizado nas 02 faces, fosco, cor a definir, em MDF de 25 mm. O acabamento da borda frontal deve ser arredondado com raio mínimo de 2,5mm. Estrutura confeccionada em aço carbono com quatro apoios reguláveis no piso em polipropileno ou nylon injetado. Elementos em aço com pré-tratamento antiferruginoso e pintura eletrostática epóxi-pó. Cor a definir.</t>
  </si>
  <si>
    <t xml:space="preserve"> CTF/APP: FTE - Categoria: Indústria da Madeira; Código: 7</t>
  </si>
  <si>
    <t>Banco de jardim de madeira plástica LxPxH: 200x40-45cm. Banco com largura de 200cm e altura e profundidade do assento entre 40 e 45cm. Ângulo do encosto em relação ao assento entre 100° e 110°. Deve suportar carga mínima de 250kg. Garantia mínima de 5 anos.</t>
  </si>
  <si>
    <t>Banco de madeira para jardim LxP:150x45-50cm com 13 ripas de madeira e  estrutura em aço cavalinho. Altura do assento e profundidade entre 40 e 45cm. Ângulo do encosto em relação ao assento entre 100º a 110º. Cor do verniz das ripas a definir.</t>
  </si>
  <si>
    <t>Banco para laboratório em aço inox com assento redondo. Estrutura tubular em aço, com altura de 65cm, pés tubulares, com aro para apoio dos pés. Assento: dimensões entre 30 e 53cm de diâmetro, sem encosto e sem braços. Acabamento: polido espelhado. Capacidade para suportar no mínimo 120Kg.</t>
  </si>
  <si>
    <t>Cadeira alta giratória estofada com rodízios. Espaldar pequeno, sem braços, com assento e encosto em compensado laminado de alta qualidade, em múltiplas lâminas com tratamento imunizante de 15 mm de espessura, prensada a quente, moldada anatomicamente, com alma de aço fixada ao assento. Estofamento em espuma injetada em poliuretano de alta resistência, densidade média de 55 kg/m moldada anatomicamente, com apoio lombar, bordas arredondadas e sem grampos aparentes com seu contorno em perfil de abs do tipo macho e fêmea. Espessura média da espuma 70mm. Revestimento em couro sintético com cor a definir. Ajuste da altura do encosto. Coluna com sistema de regulagem de altura (altura mínima de 64 cm e altura máxima entre 73 e 76 cm), através de pistão a gás (hidropneumático). Ajuste lombar. Coluna alta com apoia-pés regulável, contornando todo o alojamento do pistão. Base giratória com 5 hastes/patas sustentadas por rodízios em poliuretano. Medidas mínimas: assento: largura 40 cm e profundidade 38 cm; encosto: largura 30,5 cm. Capacidade para suportar no mínimo 120 kg. Garantia de 5 anos.</t>
  </si>
  <si>
    <t>Cadeira diretor giratória estofada com espaldar em tela, com rodízios e apoio de braços. Assento: interno em compensado multilâminas de madeira moldada anatomicamente a quente. Espuma em poliuretano flexível HR, com densidade mínima de 50kg/m³ e moldada anatomicamente com espessura mínima de 50mm. Capa de proteção e acabamento em polipropileno texturizado e borda frontal arredondada, que dispensam o uso do perfil de PVC. Revestimento em couro sintético ou poliéster na cor a ser definida. Dimensões do assento: Profundidade mínima de 47cm e máxima de 50cm, largura mínima de 48cm e máxima de 58cm. Regulagem de altura a gás, com variação mínima do curso de 100mm, coluna classe 4. Encosto: em tela conformado anatomicamente na cor a ser definida. Dimensões do encosto: Altura mínima de 46cm e máxima de 56cm, largura mínima de 45cm e máxima de 58cm. Suporte do encosto com mecanismo regulável de inclinação e travamento. Braços (ou apoia-braços): em poliuretano, texturizado. Suporte regulável, injetado em termoplástico composto texturizado e alma de aço estrutural. Deve possuir regulagem vertical com no mínimo 3 estágios e curso mínimo de 5,5cm. Dimensões: Comprimento mínimo de 21cm e máximo de 27cm, largura mínima de 6cm e máxima de 9cm. Base equipada com cinco patas confeccionadas em nylon. Acabamento texturizado, totalmente em aço. Rodízios duplos com duplo giro com rodas de 5cm de diâmetro em nylon 6. Eixo horizontal em aço trefilado 1010/1020 com diâmetro de 8mm. Pintura: as partes metálicas devem possuir acabamento em pintura eletrostática em epóxi na cor a ser definida com pré-tratamento antiferruginoso.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85º e 120º, por meio de alavanca posicionada na parte inferior do assento e sistema anti-impacto que impede o choque deste com o usuário ao ser desbloqueado. Garantia de cinco anos. Capacidade para suportar no mínimo 120 kg.</t>
  </si>
  <si>
    <t xml:space="preserve">Cadeira fixa com encosto em aço inox - Cadeira com encosto possui assento e encosto retangular, pés tubulares resistentes, próprio para utilização em ambientes como "área limpa" por seu material em aço inoxidável, e ser usados ainda em clinicas, laboratórios e hospitais. Características: Com altura total de 90cm: Altura do chão até o assento: 77cm Tamanho do encosto 30cm x 15cm Tamanho do acento: 30 cm x 40cm Acabamento: Polido Espelhado. Modelo de Referência: BEINOX Marca THERJ. </t>
  </si>
  <si>
    <t>Cadeira fixa em couro sintético empilhável sem braços. Base metálica. Medidas: altura do assento entre 40-46cm. Assento: largura mínima 41cm x profundidade mínima 46cm. Encosto: altura mínima 36cm x largura mínima 31cm. Cor a definir. Garantia mínima de 5 anos. Capacidade para suportar no mínimo 120kg.</t>
  </si>
  <si>
    <t>Cadeira fixa em polipropileno empilhável sem braços. Encosto: Fundido em polipropileno com alta pressão, aditivado. Deve possuir respiradores quadrados medindo aproximadamente 10x10 mm, na quantidade de 08 (oito) por fileira, e possuindo no mínimo 04 (quatro) fileiras. Distância entre os furos de no mínimo 40 mm. Moldado em contorno vertebral com encaixes retangulares na estrutura, travamento com pino tampão no mesmo polipropileno aditivado. Medidas mínimas: largura 460 mm, altura 250 mm no eixo central da sua curvatura e espessura de 5 mm. Assento: Fundido em polipropileno com alta pressão, aditivado. Deve possuir respiradores quadrados medindo aproximadamente 10x10 mm, na quantidade de 08 (oito) por fileira, e possuindo no mínimo 01 (uma) fileira. Distância entre os furos de no mínimo 40 mm. Moldados com contornos ergonômicos. Fixado na estrutura através de presilhas já fundidas no próprio assento, além da fixação com parafusos e rebites. Medidas mínimas: largura 460 mm e 410 mm de profundidade e espessura de 5 mm. Estrutura: 04 pés, confeccionadas em tubos de secção oblonga 16x30 em chapa de aço #16 (1,50 mm) é em chapa de aço #18 (1,20 mm). Tubo para sustentação do encosto recebe, na dobra, um reforço de tubo de secção circular ½ em chapa de aço #18 (1,20 mm). Peças soldados pelo processo MIG. Acabamentos dos tubos de aço com ponteira interna. Deve ser dotada de mecanismo de união com outras cadeiras. Capacidade para suportar no mínimo 120 kg.</t>
  </si>
  <si>
    <t>Cadeira fixa estofada para Pessoa Obesa sem braço LxP:75x56cm. Profundidade do assento mínima de 47cm e máxima de 51cm, medida entre a sua parte frontal e o ponto mais frontal do encosto tomado no eixo de simetria; largura do assento mínima de 75cm, medida entre as bordas laterais no terço mais próximo do encosto. Altura do assento mínima de 41cm e máxima de 45 cm, medida na sua parte mais alta e frontal; ângulo de inclinação do assento em relação ao plano horizontal, de 2° a 5°; ângulo entre assento e encosto de 100° a 105°. Madeira anatômica em compensado laminado de alta qualidade, em múltiplas lâminas com tratamento imunizante de 15 mm de espessura, prensada a quente, e, com alma de aço fixada ao assento. Estofamento em espuma injetada em poliuretano de alta resistência, densidade média de 55 kg/m moldada anatomicamente, com apoio lombar, bordas arredondadas e sem grampos. Espessura mínima da espuma 50mm. Cor a definir. Os assentos devem suportar uma carga de 250 kg. Garantia de cinco anos.</t>
  </si>
  <si>
    <t xml:space="preserve">Cadeira giratória estofada com espaldar alto e apoia-braços em couro sintético com rodízios. Assento: interno em compensado multilâminas de madeira moldada anatomicamente a quente. Espuma em poliuretano flexível HR,com densidade mínima de 50kg/m³ e moldada anatomicamente com espessura mínima de 50mm. Capa de proteção e acabamento em polipropileno texturizado e borda frontal arredondada, que dispensam o uso do perfil de PVC. Revestimento em couro sintético ou poliéster na cor a ser definida. Dimensões do assento: Profundidade mínima de 47cm e máxima de 50cm, largura mínima de 48cm e máxima de 58cm. Regulagem de altura a gás, com variação mínima do curso de 100mm, coluna classe 4. Encosto: interno em polipropileno, conformado anatomicamente. Espuma em poliuretano flexível HR com densidade mínima de 45kg/m³ e moldada anatomicamente e espessura mínima de 40mm. Revestimento em couro sintético na cor a ser definida. Dimensões do encosto: Altura mínima de 70cm e máxima de 78cm, largura mínima de 48cm e máxima de 58cm. Suporte do encosto com mecanismo regulável de inclinação e travamento. Braços (ou apoia-braços): em poliuretano, texturizado. Suporte regulável, injetado em termoplástico composto texturizado e alma de aço estrutural. Deve possuir regulagem vertical com no mínimo 3 estágios e curso mínimo de 5,5cm. Dimensões: Comprimento mínimo de 23cm e máximo de 27cm, largura mínima de 6cm e máxima de 9cm. Base equipada com cinco patas confeccionadas em nylon. Acabamento texturizado, totalmente em aço. Rodízios duplos com duplo giro com rodas de 5cm de diâmetro em nylon 6. Eixo horizontal em aço trefilado 1010/1020 com diâmetro de 8mm.
Pintura: as partes metálicas devem possuir acabamento em pintura eletrostática em epóxi na cor a ser definida com pré-tratamento antiferruginoso.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85º e 120º, por meio de alavanca posicionada na parte inferior do assento e sistema anti-impacto que impede o choque deste com o usuário ao ser desbloqueado. Garantia de cinco anos. Capacidade para suportar no mínimo 120 kg.                                                                                                                                                                                        </t>
  </si>
  <si>
    <t>Cadeira giratória estofada com espaldar médio e apoia-braços com rodízios em couro sintético. Assento: interno em compensado multilâminas de madeira moldada anatomicamente.. Espuma em poliuretano flexível HR, com densidade mínima de 50kg/mġ e moldada anatomicamente com espessura mínima de 50mm. Capa de acabamento em polipropileno texturizado e borda frontal arredondada, que dispensam o uso do perfil de PVC. Revestimento em couro sintético na cor a ser definida. Regulagem da profundidade do assento com variação de 50mm em no mínimo quatro posições, sem que o usuário precise levantar-se da cadeira. Dimensões do assento: 48x47cm. Regulagem de altura a gás, com variação mínima do curso de 100mm, coluna classe 4. Encosto: interno em polipropileno, conformado anatomicamente. Espuma em poliuretano flexível HR, com densidade mínima de 45kg/mġ e moldada anatomicamente e espessura mínima de 40mm. Revestimento em couro sintético na cor a ser definida.- Dimensões do encosto: 47x51cm. Suporte do encosto com regulagem de altura. Braços (ou apoia-braços): em poliuretano texturizado. Suporte regulável, injetado em termoplástico composto texturizado e alma de aço estrutural. Deve possuir regulagem vertical com no mínimo 7 estágios e curso mínimo de 5,5cm, e regulagem para distância interna entre os braços. Dimensões: Comprimento mínimo de 20cm e máximo de 25cm, largura mínima de 4cm e máxima de 9cm. Base equipada com cinco patas confeccionadas em nylon. Acabamento texturizado, totalmente em aço. Rodízios duplos com duplo giro com rodas de 5cm de diâmetro em nylon 6. Eixo horizontal em aço trefilado 1010/1020 com diâmetro de 8mm. As partes metálicas devem possuir acabamento em pintura eletrostática em epóxi na cor a ser definida com pré-tratamento antiferruginoso.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85º e 120º, por meio de alavanca posicionada na parte inferior do assento e sistema anti-impacto que impede o choque deste com o usuário ao ser desbloqueado. Garantia de cinco anos. Capacidade para suportar no mínimo 120 kg.</t>
  </si>
  <si>
    <t>Cadeira giratória para Pessoa Obesa com rodízios LxP:85x56cm. Em couro sintético (cor a definir). Itens básicos: rodízio, apoio para braços, encosto, regulagem de altura do assento, do encosto e do apoio para braços. Assento em madeira anatômica em compensado laminado de alta qualidade, em múltiplas lâminas com tratamento imunizante de no mín. 15 mm de espessura, prensada a quente e com alma de aço fixada ao assento. Estofamento em espuma injetada em poliuretano de alta resistência e alta densidade moldada anatomicamente, com apoio lombar, bordas arredondadas e sem grampos. Espessura mínima da espuma 50mm. Dimensões: Profundidade mínima de 47cm e máxima de 51cm, medida entre a sua parte frontal e o ponto mais frontal do encosto tomado no eixo de simetria; largura mínima de 75 cm, medida entre as bordas laterais no terço mais próximo do encosto. Altura do assento mínima de 41cm e máxima de 45cm, medida na sua parte mais alta e frontal; ângulo de inclinação do assento em relação ao plano horizontal, de 2° a 5°; ângulo entre assento e encosto de 100° a 105°. Regulagem da profundidade do assento. Regulagem de altura a gás. Encosto: interno em polipropileno injetado estrutural de grande resistência mecânica, conformado anatomicamente. Espuma em poliuretano flexível HR, isenta de CFC, alta resistência a propagação de rasgo, baixa deformação permanente, com densidade mínima de 45kg/mġ e moldada anatomicamente com saliência para apoio lombar e espessura mínima de 40mm. Revestimento em couro sintético na cor a ser definida. Suporte do encosto com regulagem de altura. Braços (ou apoia-braços): suporte regulável, injetado em termoplástico composto texturizado e alma de aço estrutural. Deve possuir regulagem vertical com no mínimo 7 estágios e curso mínimo de 5,5cm, e regulagem para distância interna entre os braços. Altura em relação ao assento: mínimo de 23cm, máximo de 27cm. Base: equipada com cinco patas confeccionadas em nylon. Acabamento texturizado, totalmente em aço. Rodízios duplos com duplo giro. As partes metálicas devem possuir pré-tratamento antiferruginoso e acabamento em pintura eletrostática epóxi-pó na cor a ser definida. Os assentos devem suportar uma carga mín. de 250 kg. Garantia de cinco anos.</t>
  </si>
  <si>
    <t>Carrinho anatômico para transporte de livros LxPxH:58X75X126cm. Deve conter 04 rodízios giratórios e braços laterais, 3 prateleiras e laterais em aço.</t>
  </si>
  <si>
    <t>Carteira universitária em polipropileno com prancheta escamoteável frontal. Padrão dimensional 6. Deve possuir porta-livros abaixo do assento. Prancheta com dimensões mínimas de LxP: 42x29,7cm, superfície de cor clara e acabamento fosco. A altura da prancheta ao chão na região de apoio do cotovelo deve ser de aproximadamente 685 mm e a mesma deve permitir inclinação em torno de 10° com o plano horizontal. Assento com largura mínima 38cm e profundidade mínima de 39cm e encosto com largura mínima 33cm e altura mínima de 34cm, ambos em polipropileno moldado anatomicamente com espessura mínima de 4mm. A estrutura deve ser fabricada em aço 1010/1020. Todas as peças da estrutura metálica devem ser unidas por solda MIG, passar por pré-tratamento antiferruginoso com acabamento em pintura eletrostática epóxi-pó, todas as pontas dos tubos devem ter acabamento com bucha plástica. Capacidade para suportar no mínimo 120Kg. No ato do empenho poderá ser solicitada cadeira para canhoto. Cor do polipropileno a definir. Garantia mínima de 5 anos.</t>
  </si>
  <si>
    <t xml:space="preserve">Carteira universitária em polipropileno com prancheta escamoteável lateral. Padrão dimensional 6. Deve possuir porta-livros abaixo do assento. Prancheta com dimensões mínimas de LxP: 21x29,7cm, superfície de cor clara e acabamento fosco. A altura da prancheta ao chão na região de apoio do cotovelo deve ser de aproximadamente 685 mm e a mesma deve permitir inclinação em torno de 10° com o plano horizontal. Assento com largura mínima 38cm e profundidade mínima de 39cm e encosto com largura mínima 33cm e altura mínima de 34cm, ambos em polipropileno moldado anatomicamente com espessura mínima de 4mm. A estrutura deve ser fabricada em aço 1010/1020. Todas as peças da estrutura metálica devem ser unidas por solda MIG, passar por pré-tratamento antiferruginoso com acabamento em pintura eletrostática epóxi-pó, todas as pontas dos tubos devem ter acabamento com bucha plástica. Capacidade para suportar no mínimo 120Kg. No ato do empenho poderá ser solicitada cadeira para canhoto. Cor do polipropileno a definir. Garantia mínima de 5 anos. </t>
  </si>
  <si>
    <t xml:space="preserve">Carteira universitária em polipropileno com prancheta lateral fixa. Padrão dimensional 6. Prancheta lateral fixa acoplada à estrutura. Composta por estrutura metálica, assento, encosto, porta-livros e prancheta em cor a definir. Prancheta em ABS injetado com contra-tampo também injetado em Polipropileno nas dimensões de no mínimo 50cm de comprimento por 25cm de largura. A altura da prancheta ao chão na região de apoio do cotovelo deve ser de aproximadamente 685 mm e a mesma deve possuir uma inclinação em torno de 10° com o plano horizontal. O assento deve ser confeccionado em polipropileno e moldado anatomicamente com acabamento texturizado. Suas dimensões aproximadas devem ser 465mm de largura, 420mm de profundidade com 5mm de espessura de parede. Deve possuir cantos arredondados e unir-se à estrutura por meio de parafusos para plástico. A altura do assento até o chão deve ser de 460 mm aproximadamente. O encosto deve ser fabricado em polipropileno e moldado anatomicamente com acabamento texturizado, com dimensões aproximadas de 460mm de largura por 330mm de altura, com espessura de parede de 5mm e cantos arredondados O encosto deve possuir furos para ventilação. . A estrutura deve ser fabricada em aço 1010/1020. Todas as peças da estrutura metálica devem ser unidas por solda MIG, passar por pré-tratamento antiferruginoso com acabamento em pintura eletrostática epóxi-pó, todas as pontas dos tubos devem ter acabamento com bucha plástica. Capacidade para suportar no mínimo 120 kg. No ato do empenho poderá ser solicitada cadeira para canhoto. Garantia mínima de 5 anos. </t>
  </si>
  <si>
    <t>Carteira universitária estofada com prancheta escamoteável lateral. Padrão dimensional 6. Cadeira com espaldar médio, com estrutura universitária palito, braço corsa P.U. com prancheta escamoteável/basculante e porta livros, estofamento revestido com couro sintético de cor a definir. Assento e encosto anatômico com espuma injetada, de madeira compensada multilaminado, moldado a quente com espessura de 10 mm, espuma injetada anatômica com densidade controlada de 50 a 60 Kg/m3, contra encosto forrado com vinil, bordas do assento e encosto protegidas por PVC, estrutura 4 pés em aço com braço corsa em P.U. para prancheta escamoteável. Prancheta em BP com espessura mín. de 15 mm com bordas com fita retas, superfície de cor clara e acabamento fosco; largura mínima do tampo de 21cm e profundidade mínima de 29,7cm. Medidas: Assento: largura mínima 38cm. Encosto: largura mínima 33cm. Capacidade para suportar no mínimo 120Kg. No ato do empenho poderá ser solicitada cadeira para canhoto. Garantia mínima de 5 anos.</t>
  </si>
  <si>
    <t>Cavalete flip-chart com quadro branco LxH:70X175cm. Pernas retráteis com estrutura de aço com acabamento em pintura eletrostática de alumínio, visando adaptação ao solo e regulagem de altura. Tela em MDF com acabamento UV para uso como quadro branco de medidas aproximadas de altura x largura de 100x70cm, com suporte para apagador e caneta, e com fixação para bloco de flip-chart com 50 folhas. Medidas aproximadas: A x L 175 x 68cm.</t>
  </si>
  <si>
    <t>Claviculário 100 chaves LxPxH:52X9X40cm. Com chaveiros e suportes numerados, e índice para identificação de cada chaveiro; fechaduras com duas chaves; corpo e portas em aço; com pintura epóxi na cor cinza; Capacidade: 100 chaves; Peso liq. aproximado do produto: 5,520kg</t>
  </si>
  <si>
    <t>Claviculário com capacidade para 30 chaves. Dimensões aproximadas 17cmx30cmx7cm (LxAXP) com variações em +/- 20%. Corpo e porta em aço. Fechadura tipo yale e duas chaves. Com chaveiros e suportes numerados e com índice de identificação para cada chaveiro. Pintura eletrostática em epóxi. Cor a definir. Garantia: 1 ano.</t>
  </si>
  <si>
    <t>Encosto/Apoio de cadeira para lombar. Composição: Fios de ferro, Nylon e Polipropileno. Com sistema de ajustes. Dimensões aproximadas (AxLxP) 44cmx39cmx10cm. Cor a definir. Garantia: 1 ano.</t>
  </si>
  <si>
    <t>Estação de trabalho dupla LxPxH: 140x140x75cm. Tampo em MDP com 25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“C” “I” ou “L”, na cor preta ou cinza, com passagem vertical para fios que permita conexão com a calha horizontal para fios. Deve possuir sistema de acoplamento para mesas múltiplas, de forma a ter apoio único entre mesas. Todas as peças metálicas devem possuir tratamento anti-ferruginoso e pintura eletrostática epóxi-pó com acabamento preto liso. Cor do MDP a definir. Garantia de cinco anos.</t>
  </si>
  <si>
    <t>Estante baixa em aço LxPxH:92X30X90cm. Estrutura com 04 colunas. Deve conter 03 prateleiras. A posição das prateleiras deve ser regulável. Elementos metálicos devem receber pré-tratamento antiferruginoso e acabamento em pintura eletrostática epóxi-pó em cor a ser definida.</t>
  </si>
  <si>
    <t>Estante biblioteca face dupla LxPxH: 100x58x200cm na cor a definir (com disponibilidade na cor azul royal), totalmente confeccionada em chapa de aço de baixo teor de carbono, sem arestas cortantes e rebarbas, com pré-tratamento antiferruginoso e acabamento em pintura eletrostática epóxi- pó. Contendo: 01 base em formato retangular, fechada, confeccionada em chapa nº 20, com altura de 17,5 cm; 01 reforço interno em “Omega” confeccionado em chapa nº 20 e soldado na extensão da mesma; 02 anteparos laterais soldados a base e fixados nas laterais da estante através de 06 parafusos 3/8” de cada lado. 01 travessa superior horizontal (chapéu), confeccionado em chapa nº 20 e dobrado em forma de “U” com altura de 7,0cm; 02 anteparos laterais em chapa nº 16 soldados a travessa e fixado nas laterais da estante através de 06 parafusos 3/8” de cada lado. 02 Laterais de sustentação, com altura de 200cm e largura de 58 cm, confeccionadas em chapa nº 18 . Cada lateral deverá possuir 09 linhas retas de 04 fendas cada, com dimensões de 2,8 cm de altura por 10,5 cm de largura, permitindo encaixe das bandejas em passos de 17,5 cm. 08 prateleiras com dimensões de 93 cm de comprimento e 23,5 cm de profundidade, confeccionadas em chapa nº 20, com dobras nas laterais que permitem as mesmas a união as laterais pelo sistema de encaixe (sem parafusos). Modelo de Referência: Estante SLIT Face Dupla Azul Royal Biccateca Modelo 7010.</t>
  </si>
  <si>
    <t>Estante biblioteca face simples em aço  LxPxH: 100cmx31,5x200cm. Painel de acabamento com 315 mm na cor a definir. Estrutura em Aço carbono - SAE 1006 a 1012, Tampo, base, prateleiras, painel de acabamento e painel sinalizador com no mín. 0,90 mm de espessura, Anteparos de fechamento da base e tampo, fixador da base e do tampo com no mín. 1,50 mm de espessura e painel interno de sustentação com no mín. 1,2 mm de espessura. Com 6 prateleiras.</t>
  </si>
  <si>
    <t>Estante de aço LxPxH: 92x40x198cm. Quantidade de Prateleiras: 06 a 07 prateleiras. Prateleiras em Chapa de no mín. #26 / 0,45 mm. Colunas em  chapa mín. #18 - L2 30 x 30.Furação padrão. Deve ter capacidade mín de sustentação de 40kg por prateleira, sendo as mesmas reguláveis. A estrutura deve ser desmontável e possuir reforço em “X” e em Ômega. Parafusos: Sextavado com porca UNC ¼" X ½" Pintura: Epóxi Pó</t>
  </si>
  <si>
    <t>Estante desmontável de aço LxPxH: 92,5x60x198cm. Com 01 reforço de fundo e 02 em cada lateral, Colunas em aço SAE 1010/1020, perfil L , com espessura mínima de 1,9 mm. Com seis prateleiras removíveis e ajustáveis, com espessura de 0,90mm, com dobras triplas em todo o perímetro, fixadas com parafusos e porcas.</t>
  </si>
  <si>
    <t>Estante desmontável de aço LxPxH: 92,5x60x243cm. Com 01 reforço de fundo e 02 em cada lateral, Colunas em aço SAE 1010/1020, perfil L , com espessura mínima de 1,9 mm. Com seis prateleiras removíveis e ajustáveis, com espessura de 0,90mm, com dobras triplas em todo o perímetro, fixadas com parafusos e porcas.</t>
  </si>
  <si>
    <t>Estante em aço com 5 prateleiras reguláveis LxPxH:  80x25x160cm(LPA). Serão aceitas propostas com variação de +/- 3cm. Com 01 reforço de fundo e 02 em cada lateral. Com cinco prateleiras removíveis e ajustáveis, com dobras triplas nas laterais, fixadas com parafusos e porcas. Desmontável. Acabamento: Pintura eletrostática a pó. Cor a definir</t>
  </si>
  <si>
    <t xml:space="preserve">Estante em aço inox com 5 prateleiras LxPxH: 80x40x200cm. Prateleiras em aço inox AISI 201, chapa lisa com espessura de 0,8mm, acabamento polido ou escovado. Fixação das prateleiras por parafusos. Colunas de estrutura tubular com espessura do tubo 1mm e diâmetro do tubo de uma polegada e meia. Sapatas niveladoras em polietileno. Capacidade de carga: 80 kg/prateleira (Total:400kg). </t>
  </si>
  <si>
    <t>Estante expositora de livros, periódicos e demais acervos. Deve possuir, no mínimo, 3 prateleiras inclinadas, com borda de suporte elevada. L 100 x A 150 x P 44,5 cm. Totalmente confeccionada em chapa de aço de baixo teor de carbono, sem arestas cortantes e rebarbas, com pré-tratamento antiferruginoso e acabamento em pintura eletrostática epóxi-pó. Cor Azul Royal. Modelo de referência: Biccateca Slit expositor baixo, código 7520.</t>
  </si>
  <si>
    <t xml:space="preserve">Gaveteiro com rodízios com 4 gavetas LxPxH: 30x51x71,5cm. Corpo, gaveteiro e frentes confeccionados em MDP com espessura mín. de 18 mm, revestido em ambas as faces em laminado melamínico baixa pressão (BP), sendo os bordos ao longo de todo o seu perímetro encabeçados com  fita de bordo da espessura do MDP, colada a quente em sistema hot-melt. O gaveteiro é dotado de frente fixa de aprox. 60 mm, sendo ela com uma fechadura com trava simultânea das gavetas, duas chaves dobráveis. As quatro gavetas deslizam sobre corrediças metálicas telescópicas e devem possuir puxador frontal tipo alça. Gavetas confeccionadas em chapa metálica dobrada. Gaveteiro sob rodízios. Todas as peças metálicas devem receber pré-tratamento antiferruginoso e pintura eletrostática epóxi-pó. </t>
  </si>
  <si>
    <t>Gaveteiro com rodízios com 4 gavetas LxPxH: 46,7cmx46,1cmx68,4cm. Corpo, gaveteiro e frentes confeccionados em MDP com espessura mín. de 18 mm, revestido em ambas as faces em laminado melamínico baixa pressão (BP), sendo os bordos ao longo de todo o seu perímetro encabeçados com fita de bordo da espessura do MDP, colada a quente em sistema hot-melt. O gaveteiro é dotado de frente fixa de aprox. 60 mm, sendo ela com uma fechadura com trava simultânea das gavetas, duas chaves dobráveis. As quatro gavetas deslizam sobre corrediças metálicas telescópicas e devem possuir puxador frontal tipo alça. Gavetas confeccionadas em chapa metálica dobrada. Gaveteiro sob rodízios. Todas as peças metálicas devem receber pré-tratamento antiferruginoso e pintura eletrostática epóxi-pó.</t>
  </si>
  <si>
    <t>Longarina estofada de 02 lugares sem braços LxP:110x50cm, para recepção. Assento e encosto fabricados em compensado anatômico moldado a quente, com espessura de 15 mm cada. Estofados com espuma de poliuretano expandido, de espessura mínima de 50 mm, sobre a madeira, revestida com couro sintético de cor a definir. Dimensões mínimas do encosto: 35cm de extensão vertical e 39cm de largura. Assento com 46cm de largura e 46cm de profundidade e espuma injetada de no mínimo 50mm de espessura. Componentes Metálicos: Peças soldadas pelo processo MIG. Garantia de cinco anos.</t>
  </si>
  <si>
    <t>Longarina estofada de 03 lugares sem braços LxP:180x50cm. Assento e encosto fabricados em compensado anatômico moldado a quente, com espessura de 15 mm cada. Estofados com espuma de poliuretano expandido, de espessura mínima de 50 mm, sobre a madeira, revestida com couro sintético de cor a definir. Dimensões mínimas do encosto: 35cm de extensão vertical e 39cm de largura. Assento com 46cm de largura e 46cm de profundidade e espuma injetada de no mínimo 50mm de espessura. Componentes Metálicos: Peças soldadas pelo processo MIG. Garantia de cinco anos.</t>
  </si>
  <si>
    <t>Mesa de reunião circular  LxPxH: 120x120x75cm. Tampo em MDF de 25 mm, com 120 cm de diâmetro revestido com BP nas duas faces, superfície fosca texturizada, na cor a ser definida. O acabamento da borda frontal deve ser arredondado com raio mínimo de 2,5mm. Estrutura confeccionada em aço carbono SAE 1010/1020, em coluna central, com mínimo de quatro apoios reguláveis no piso em nylon injetado. Garantia de cinco anos.</t>
  </si>
  <si>
    <t>Mesa de reunião circular LxPxH: 100x100x75cm. Tampo em MDF de 25 mm, com 100 cm de diâmetro revestido com BP nas duas faces, superfície fosca texturizada, na cor a ser definida. O acabamento da borda frontal deve ser arredondado com raio mínimo de 2,5mm. Estrutura confeccionada em aço carbono SAE 1010/1020, em coluna central, com mínimo de quatro apoios reguláveis no piso em nylon injetado. Garantia de cinco anos.</t>
  </si>
  <si>
    <t>Mesa de reunião retangular LxPxH: 100x200x75cm. Tampo em MDF de 25 mm e alt. 750 mm, revestido com BP nas duas faces, superfície fosca texturizada, na cor a ser definida. O acabamento da borda frontal deve ser arredondado com raio mínimo de 2,5mm. Estrutura confeccionada em aço carbono SAE 1010/1020, com 04 apoios reguláveis no piso, em nylon injetado. Garantia de cinco anos.</t>
  </si>
  <si>
    <t>Mesa de reunião retangular LxPxH: 160x90x75cm. Tampo em MDF de 25 mm e alt. 750 mm, revestido com BP nas duas faces, superfície fosca texturizada, na cor a ser definida. O acabamento da borda frontal deve ser arredondado com raio mínimo de 2,5mm. Estrutura confeccionada em aço carbono SAE 1010/1020, com 04 apoios reguláveis no piso, em nylon injetado. Garantia de cinco anos.</t>
  </si>
  <si>
    <t>Mesa de trabalho em “L” LxPxH: 100x100x75cm. Tampo: Superfície sobreposta à estrutura. Em MDP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MDP de 18 mm de espessura, revestida em laminado melamínico de baixa pressão texturizado em ambas as faces. Bordas com acabamento em fita de PVC de 1 mm de espessura, colada a quente pelo sistema hot-melt, em todo seu perímetro. Fixado às estruturas laterais e central da mesa através de rebites de repuxo de aço e parafusos de aço e buchas metálicas. Estruturas Laterais: Em MDP de 25 mm de espessura, revestida em laminado melamínico de baixa pressão texturizado em ambas as faces. Com acabamento em fita de PVC de 1 mm de espessura, colada a quente pelo sistema hot-melt em todo seu perímetro. Na parte inferior há colocação de rebites de repuxo de aço para adaptação de reguladores de nível. Estrutura Central: Em tubo de aço com seção quadrada 80x80 mm em chapa #16 (1,50 mm) de espessura. Colocação de rebite de repuxo de aço para adaptação de regulador de nível. Componentes metálicos: pré-tratamento de desengraxe e tratamento nanocerâmico, preparando a superfície para receber a pintura. Aplicação pelo processo de deposição eletrostática com polimerização em estufa. Garantia de cinco anos.</t>
  </si>
  <si>
    <t>Mesa de trabalho em “L” LxPxH: 120x120x75cm. Tampo: Superfície sobreposta à estrutura. Em MDP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MDP de 18 mm de espessura, revestida em laminado melamínico de baixa pressão texturizado em ambas as faces. Bordas com acabamento em fita de PVC de 1 mm de espessura, colada a quente pelo sistema hot-melt, em todo seu perímetro. Fixado às estruturas laterais e central da mesa através de rebites de repuxo de aço e parafusos de aço e buchas metálicas. Estruturas Laterais: Em MDP de 25 mm de espessura, revestida em laminado melamínico de baixa pressão texturizado em ambas as faces. Com acabamento em fita de PVC de 1 mm de espessura, colada a quente pelo sistema hot-melt em todo seu perímetro. Na parte inferior há colocação de rebites de repuxo de aço para adaptação de reguladores de nível. Estrutura Central: Em tubo de aço com seção quadrada 80x80 mm em chapa #16 (1,50 mm) de espessura. Colocação de rebite de repuxo de aço para adaptação de regulador de nível. Componentes metálicos: pré-tratamento de desengraxe e tratamento nanocerâmico, preparando a superfície para receber a pintura. Aplicação pelo processo de deposição eletrostática com polimerização em estufa. Garantia de cinco anos.</t>
  </si>
  <si>
    <t>Mesa de trabalho em “L” LxPxH: 140x140x75cm. Em MDP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MDP de 18 mm de espessura, revestida em laminado melamínico de baixa pressão texturizado em ambas as faces. Bordas com acabamento em fita de PVC de 1 mm de espessura, colada a quente pelo sistema hot-melt, em todo seu perímetro. Fixado às estruturas laterais e central da mesa através de rebites de repuxo de aço e parafusos de aço e buchas metálicas. Estruturas Laterais: Em MDP de 25 mm de espessura, revestida em laminado melamínico de baixa pressão texturizado em ambas as faces. Com acabamento em fita de PVC de 1 mm de espessura, colada a quente pelo sistema hot-melt em todo seu perímetro. Na parte inferior há colocação de rebites de repuxo de aço para adaptação de reguladores de nível. Estrutura Central: Em tubo de aço. Colocação de rebite de repuxo de aço para adaptação de regulador de nível. Componentes metálicos: pré-tratamento antiferrguinoso e acabamento em pintura eletrostática. Garantia de cinco anos.</t>
  </si>
  <si>
    <t>Mesa diretor para escritório em L com balcão. Medidas: C=180cm x L=70cm x A: 75cm.Cor a definir. Em MDP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MDP de 18 mm de espessura, revestida em laminado melamínico de baixa pressão texturizado em ambas as faces. Bordas com acabamento em fita de PVC de 1 mm de espessura, colada a quente pelo sistema hot-melt, em todo seu perímetro. Fixado às estruturas laterais e central da mesa através de rebites de repuxo de aço e parafusos de aço e buchas metálicas. Estruturas Laterais: Em MDP de 25 mm de espessura, revestida em laminado melamínico de baixa pressão texturizado em ambas as faces. Com acabamento em fita de PVC de 1 mm de espessura, colada a quente pelo sistema hot-melt em todo seu perímetro. Na parte inferior há colocação de rebites de repuxo de aço para adaptação de reguladores de nível.</t>
  </si>
  <si>
    <t>Mesa escolar acessível  LxPxH: 90x60x75-85cm. Constituída de estrutura metálica em aço carbono e tampo fabricado em MDP com revestimento melamínico de Baixa Pressão com fitas de borda e porta-livros plástico. O tampo deve ter dimensões aproximadas de 90x60 cm, sendo esta a medida mínima aceitável, fabricado em MDP mín. de 18mm de espessura com revestimento melamínico baixa pressão (BP), superfície de cor clara e acabamento fosco, com fita de bordo de 3 mm de espessura com cantos arredondados. a altura do tampo deve ser regulável de 75 a 85cm. Todos os componentes da estrutura metálica devem ser fabricados em tubo de aço industrial, receber pré-tratamento antiferruginoso e pintura epóxi em pó. Ponteiras em Polipropileno. O porta-livros deve ser injetado em polipropileno em cor a definir, sob o tampo, desde que garanta 73cm de vão inferior com altura superior do tampo de no máx. 85cm. 5 anos de garantia.</t>
  </si>
  <si>
    <t>Mesa Quadrada LxPxH: 90x90x75cm. Tampo em MDP. Base em aço. Cor a definir.</t>
  </si>
  <si>
    <t>Mesa retangular cabine telemarketing LxPxH: 80x60x75cm. Formato cabines individuais, para laboratório de informática. Em MDP de no mín 18mm revestido com laminado melamínico de baixa pressão (BP) em ambas as faces, superfície fosca texturizada na cor a ser definida. Passa-fios em polipropileno injetado. O acabamento da borda frontal deve ser arredondado com raio mínimo de 2,5mm. Estrutura com quatro apoios reguláveis no piso, em polipropileno injetado. Garantia de cinco anos.</t>
  </si>
  <si>
    <t>Mesa retangular LxPxH 140x60x75cm. Tampo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Todas as peças metálicas devem possuir tratamento  antiferruginoso e pintura eletrostática epóxi-pó com acabamento em cor lisa a definir. Cor do MDP a definir. Garantia de cinco anos.</t>
  </si>
  <si>
    <t>Mesa retangular LxPxH 80x60x75cm. Tampo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Todas as peças metálicas devem possuir  pré-tratamento antiferruginoso e pintura eletrostática epóxi-pó com acabamento em cor lisa a definir. Cor do MDP a definir. Garantia de cinco anos.</t>
  </si>
  <si>
    <t>Mesa retangular LxPxH: 200x60x75cm. Tampo e painel frontal em MDP com no mín. 18 mm de espessura, revestida em laminado melamínico de baixa pressão (BP) fosco e texturizado em ambas as faces. O acabamento da borda frontal deve ser arredondado com raio mínimo de 2,5mm em fita de bordo da espessura da placa utilizada, colada a quente pelo sistema hot-melt, em todo o seu perímetro. Deve conter calha horizontal ao longo da largura da mesa, para passagem de fiação sob o tampo e acessório “passa cabo” embutido no tampo. Estrutura lateral em aço, em forma “I” ou “L”, com passagem vertical para fios que permita conexão com a calha horizontal para fios. Todas as peças metálicas devem possuir tratamento  antiferruginoso e pintura eletrostática epóxi-pó com acabamento em cor lisa a definir. Cor do MDP a definir. Garantia de cinco anos.</t>
  </si>
  <si>
    <t>Mesa retangular para impressora em madeira LxPxH: 62x47x74cm. Tampo de 25mm Medidas: 62x47 x74cm. (cor a definir) Tampo: Superfície sobreposta à estrutura em MDP de 25 mm de espessura, revestida em laminado melamínico de baixa pressão texturizado em ambas as faces. Bordas com acabamento em fita de PVC de 3 mm de espessura, colada a quente pelo sistema hot-melt, com raio mínimo de 2,5 mm, em todo seu perímetro. Fixação às estruturas laterais e central da mesa através de parafusos de aço e buchas metálicas. Painel Frontal: Painel frontal em MDP com espessura mín. de 18mm, revestida em laminado melamínico de baixa pressão texturizado em ambas as faces. Bordas com acabamento em fita de PVC de 1 mm de espessura, colada a quente pelo sistema hot-melt, em todo seu perímetro. Fixado às estruturas laterais e central da mesa através de rebites de repuxo de aço e parafusos de aço e buchas metálicas. Estrutura: Calha estrutural horizontal para passagem de fiação sob o tampo, permitindo o acesso a todo cabeamento de energia, lógico e telefônico, em chapa de aço, com furos para instalação de tomadas (energia, lógica e telefônica), fixação às estruturas laterais e central da mesa através de rebites de repuxo e parafusos de aço, medindo 120 mm de altura aproximadamente, com suportes para tomadas em chapa de aço fixados nas calhas através de encaixe. 02 estruturas laterais em MDP de 25 mm de espessura, revestida em laminado melamínico de baixa pressão texturizado em ambas as faces. Borda em todo seu perímetro com acabamento em fita de PVC de 1 mm de espessura, colada a quente pelo sistema hot-melt, com raio mínimo de 1 mm em todo seu perímetro. Fixada às estruturas laterais da mesa através de parafusos de aço e buchas metálicas. Componentes metálicos: pré-tratamento antiferruginoso e pintura eletrostática epóxi-pó</t>
  </si>
  <si>
    <t>Móvel expositor para revistas  LxPxH: 104x55x200cm. Expositor escamoteável em face dupla base aberta, sendo a estante e prateleiras em aço. Deve possuir 04 prateleiras inclinadas reguláveis, 01 base inclinada e no mín. 04 pés niveladores. Componentes metálicos devem receber pré-tratamento antiferruginoso e pintura eletrostática epóxi-pó.</t>
  </si>
  <si>
    <t>Painel lateral de fechamento para estante dupla de biblioteca  LxPxH: 58x3,5x200cm. Lateral de fechamento de estante face dupla na cor a definir. Uma lateral de fechamento totalmente confeccionada em chapa de aço de baixo teor de carbono, sem arestas cortantes e rebarbas, com acabamento pelo sistema de tratamento químico da chapa com pré-tratamento anti-ferruginoso e pintura eletrostática epóxi-pó. Contendo: 09 linhas retas de 04 fendas cada, com dimensões aproximadas de 2,8 cm de altura por 10,5 cm de largura, unidos as laterais da estante nas extremidades através de no mín. 04 (quatro) parafusos com porcas.</t>
  </si>
  <si>
    <t>Painel lateral de fechamento para estante simples de biblioteca  LxPxH: 32x3,5x200cm. Acabamento lateral para estantes na cor a definir , totalmente confeccionada em chapa de aço de baixo teor de carbono, sem arestas cortantes e rebarbas, com acabamento pelo sistema de tratamento químico da chapa com pré-tratamento anti-ferruginoso e pintura eletrostática epóxi-pó. Contendo: 09 (nove) pares de fendas alinhadas em linha reta, com dimensões aprox. de 2,8 cm de altura por 10,5 cm de largura, unidos as laterais da estante nas extremidades através de no mín. 04 (quatro) parafusos com porcas. Modelo referência: Lateral de Fechamento Slit 32 2m Biccateca Modelo 7016</t>
  </si>
  <si>
    <t>Pedestal para TV de 32 a 75 polegadas. Suporte com rodízios. Compatibilidade com TVs de LCD, LED, PLASMA, 3D, OLED e QLED, com tamanho de 32 a 75 polegadas e peso até 50kg. Pedestal de chão em aço carbono com regulagem de altura, bandeja de apoio para DVD player, Blu-Ray, notebook, bandeja superior de apoio para webcam e dotado de 02 rodízios com trava. Acabamento com tratamento anti-corrosão e pintura Epóxi Eletrostática. Medidas da Bandeja Inferior LxP: 48,5x29,3cm. Medidas da Bandeja Superior LxP: 22,8x29,8cm. Medida da base de chão: 66,5x88cm</t>
  </si>
  <si>
    <t>Puff Gota. Material Estrutura: Couro Sintético. Revestimento Interno: Flocos De Espuma. Revestimento Externo: Courino. Formato Gota. Cor: Vermelho. Altura: 86 CM Largura: 60 CM. Profundidade: 60 CM.</t>
  </si>
  <si>
    <t>Puff Pêra. Material Estrutura: Couro Sintético. Revestimento Interno: Flocos De Isopor. Revestimento Externo: Couro Sintético. Formato Pêra. Cor: Azul Escuro.  Altura: 150 CM Largura: 120 CM.</t>
  </si>
  <si>
    <t>Quadro branco LxH: 60x40cm. Material: fórmica branca brilhante. Tipo de fixação: parede. Material da moldura: alumínio. Deve possuir sistema de cantoneira plástica sob a moldura de forma a proporcionar acabamento invisível dos parafusos. Componentes adicionais: canaleta para suporte de canetas e apagador.</t>
  </si>
  <si>
    <t>Quadro branco LxH:200X120cm, material: fórmica branca brilhante. Cor: moldura natural. Tipo de fixação: parede, material da moldura: alumínio. Deve possuir sistema de cantoneira plástica sob a moldura de forma a proporcionar acabamento invisível dos parafusos. Componentes adicionais: canaleta para suporte de canetas e apagador.</t>
  </si>
  <si>
    <t>Quadro branco LxH:250x120cm, material: fórmica branca brilhante. Cor: moldura natural. Tipo de fixação: parede. Material da moldura: alumínio. Deve possuir sistema de cantoneira plástica sob a moldura de forma a proporcionar acabamento invisível dos parafusos. Componentes adicionais: canaleta para suporte de canetas e apagador.</t>
  </si>
  <si>
    <t>Quadro branco LxH:300x120cm. Material: fórmica branca brilhante. Cor: moldura natural. Tipo de fixação: parede. Material da moldura: alumínio. Deve possuir sistema de cantoneira plástica sob a moldura de forma a proporcionar acabamento invisível dos parafusos. Componentes adicionais: canaleta para suporte de canetas e apagador.</t>
  </si>
  <si>
    <t>Quadro de aviso de cortiça LxH:120x90cm, com moldura em alumínio.</t>
  </si>
  <si>
    <t>Quadro de aviso de cortiça LxH:90x60cm, moldura em madeira.</t>
  </si>
  <si>
    <t>Quadro de aviso de feltro verde LxH:120x90cm com porta de vidro e moldura em alumínio.</t>
  </si>
  <si>
    <t>Quadro de aviso em cortiça LxH:150x120cm com moldura de alumínio. Composição: Cortiça natural, chapa de fibra PO triplex, PO duplex, chapa de fibra de madeira reflorestada, moldura em alumínio natural, 19mm de frente x 17 mm espessura, cantos retos. Orifício na moldura para a fixação na parede, recoberta com tapa furos.</t>
  </si>
  <si>
    <t>Rack com rodízios em aço para computador LxPxH: 65x48x116cm. Rack fechado com 02 gavetas (sendo uma para teclado) e duas portas. Confeccionado em chapa de aço com acabamento em pintura eletrostática. Chaveado. Deve possuir 04 rodízios e alças. Prateleiras para impressora e CPU, e espaço para estabilizador. Cor a definir.</t>
  </si>
  <si>
    <t>Sofá 01 lugar em tecido LxPxH: 80x80x75cm. Com braço injetado em polipropileno. Encosto e assento em espuma de densidade mín. D28. Cor a definir.</t>
  </si>
  <si>
    <t>Sofá 02 lugares em tecido LxPxH: 130x80x75cm. Com braço injetado em polipropileno. Encosto e assento em espuma de densidade mín. D28. Cor a definir.</t>
  </si>
  <si>
    <t>Sofá 03 lugares em tecido  LxPxH: 180x80x75cm. Com braço injetado em polipropileno. Encosto e assento em espuma de densidade mín. D28. Cor a definir.</t>
  </si>
  <si>
    <t>Suporte articulado de mesa para dois monitores e TVs LED/LCD de 17 a 32 polegadas com ajuste de altura. Cor preta. Peso suportado: cada monitor com até 8kg e 78cm de altura. Características: ajuste de altura em ferramentas de até 43cm da mesa ao centro da base de monitor; inclinaçãoTILT: de 45º a -45º para cada monitor; giro da coluna de 360º; organizador de cabos. Material: aço carbono. Acabamento: tratamento anticorrosão e pintura eletrostática. Dimensões do produto: 91,2x28,0x46,5cm. Compatibilidade VESA: 75x75 até 100x100mm.</t>
  </si>
  <si>
    <t>Suporte em L para tela de projeção com estrutura soldada de metal único, para montagem no teto ou parede. Suportes em L de 15,24 cm que permita que a tela de projeção seja configurada para longe de paredes, sistemas de entretenimento, móveis ou qualquer obstrução e pode ser pendurada a partir de tetos para quedas estendidas. Suporta até 4,5 kg. kit com: elos de encaixe, parafusos, porcas de asa, arruelas, parafusos e âncoras de parede de secagem autotocadas.</t>
  </si>
  <si>
    <t>Suporte para fixação em paredes de telas de 39 até 100 polegadas. Compatível com TVs Plasma, 3D, LCD, LED. Fabricado em aço carbono de alta resistência. Distância da parede: aproximadamente 2,3 cm. Compatível com padrão VESA de: 200x100, 200x200, 200x300, 300x200, 300x300, 400x200, 400x300, 400x400, 600x200, 600x400, 665x320 ou 800x400mm. Suporta até aproximadamente 75kg. Acompanha 01 Suporte, nível bolha embutido na base, espaçadores, trava de segurança tipo click (easy lock).</t>
  </si>
  <si>
    <t>Suporte tipo braço mecânico (articulado) para TV LCD/Plasma de 42" a 60". Suporte para até 60kg de carga. Acabamento em pintura eletrostática a pó (epóxi) na cor preto fosco. Distância da parede quando fechado de no máximo 170 mm e quando aberto de no mínimo 595 mm. Compatível com os padrões Vesa para suportes (distância entre furos até 800 x 460 mm). Possibilidade de movimentação Vertical e horizontal de pelo menos 30ẃ. Com sistema de travamento para evitar queda do aparelho. Com duas bases para fixação na TV, kit de parafusos e manual de montagem em português inclusos.</t>
  </si>
  <si>
    <t>Trocador De Fraldas De Parede Retrátil, mesa rebatível quando não está em uso, estrutura reforçada com deflexão mínima da mesa, sem pontos de esmagamento das mãos do bebê, capacidade mínima de peso de 90 kg(carga estática), dimensões mínimas de: comprimento 87cm, profundidade aberto 57cm e fechado com 9cm, possui cinto de segurança para o bebê, cantos arredondados para facilitar a limpeza, possuir adição de bactericida que reduz em no mínimo mais de 80% a proliferação bacteriana e os maus odores, mesa em polietileno de alta resistência, com estrutura interna em aço inoxidável e aço zincado, movimento suave e abertura e fechamento, assistido por sistema pneumático, com no mínimo 2 ganchos para bolsa do bebê e porta objetos, cor branco, com ferragem fornecida para instalação, com necessidade de no mínimo 4 furos na parede e garantia de no mínimo 2 anos para defeitos de fabricação.</t>
  </si>
  <si>
    <t>unidade</t>
  </si>
  <si>
    <t>Poltrona de auditório com prancheta escamoteável LxP:63,5x69cm. Poltrona com assento retrátil para auditório, modelo com braços duplos e apoia-braços. Prancheta integrada na lateral da estrutura, e espuma injetada, montagem em sequência. Assento em compensado multilaminado resinado, moldado anatomicamente a quente com mín. de 14 mm de espessura. Deve possuir curvatura na parte frontal do assento. Encosto compensado multilaminado resinado, moldado anatomicamente a quente com mín. de 14 mm de espessura com dupla curvatura anatômica. Espuma injetada, anatomicamente em poliuretano de alta resistência, isenta de CFC, com densidade controlada de 45 a 50 Kg/m3 com aprox. 60 mm de espessura média no assento e no encosto. Revestimento em tecido sintético de poliuretano, cec, sem costuras e fixados as madeiras por grampos, na cor azul, cinza ou preta (a definir). Lateral com a parte central em compensado de no mín. 10 mm, forrado conforme padrão do assento e encosto, ao centro, travamento em chapa de aço chata SAE 1020. Parte inferior com chapa própria para a fixação ao piso, em Aço SAE 1020. Estrutura de sustentação da cadeira em tubo de aço industrial SAE 1010/1020 oblongo FF de no mín. 16x30mm com espessura da parede de no mín. 1,9 mm. Componentes metálicos unidos por solda do tipo MIG. Suporte basculante do assento em chapa de Aço SAE 1020 com espessura de no mín. 3 mm, e pino de aço, sendo um de cada lado do assento. Suporte do encosto em chapa de Aço SAE 1020 com espessura de no mín. 4 mm, sendo um de cada lado do encosto. Encosto com contra capa injetada em polipropileno copolímero preta, abas de perfil de aprox. 1,5 cm, texturizado, com sistema rápido de montagem e desmontagem, permitindo troca de tecido sem quebra ou troca da mesma. Apóia Braços injetados em poliuretano texturizado, sobre alma de Aço SAE 1020 tratada quimicamente. Prancheta escamoteável em MDF de no mín. 18 mm, na cor preta, acabamento lateral em perfil de PVC, podendo ser instalado em ambos os lados segundo a necessidade, quando não em uso, aloja-se internamente dentro do braço na lateral da poltrona. Os componentes metálicos devem possuir pré tratamento antiferruginoso e acabamento em pintura epóxi-pó. Dimensões aproximadas do encosto: 45x45cm (LxH). Dimensões aprox. do assento: 48x46cm (LxPxH). Altura do chão ao assento de 48cm. Instalação inclusa</t>
  </si>
  <si>
    <t>Mesa Piquenique na cor marrom. Produzida em madeira plástica 100% reciclada. Formato retangular com dois bancos integrados (acoplados) e um furo central para guarda-sol. Indicada para áreas externas. Dimensões aproximadas: 74 сm de altura; 1,30 m de largura е 1,50 m de comprimento. O produto não é dobrável e requer montagem pela contratada. Similar ao modelo EC-40 da Marca LANCI.</t>
  </si>
  <si>
    <t>SIM</t>
  </si>
  <si>
    <t>NÃO</t>
  </si>
  <si>
    <t xml:space="preserve"> -</t>
  </si>
  <si>
    <t>Poltrona para Auditório Fixa com Braços para Pessoas Obesas. Poltrona de auditório rebatível estofada para pessoa obesa com prancheta escamoteável LxP: 111x69cm. Deve ter previsão para fixação no chão, ser um modelo próprio para pessoa obesa, possuir apóia-braços de ambos os lados e integrados na lateral da estrutura, estofamento em espuma injetada e deve permitir montagem em sequência. Assento rebatível em compensado multilaminado resinado, moldado anatomicamente a quente com mín. de 20mm de espessura. Deve possuir dois pés laterais, medindo no mín. 1,6 x 0,5 cm. Encosto: Compensado multilaminado resinado, moldado anatomicamente a quente com mín. de 20 mm de espessura com dupla curvatura anatômica. Espuma expandida, anatomicamente em poliuretano de alta resistência, isenta de CFC, com densidade controlada de no mín. 33 Kg/m3 com aprox. 60 mm de espessura média no assento e no encosto. Revestimento em tecido sintético de poliuretano, cec, sem costuras e fixados as madeiras por grampos com acabamento zincado, na cor azul, cinza ou preta (à definir. Lateral com a parte central em compensado de no mín. 10 mm, forrado conforme no mesmo padrão do assento e encosto, ao centro, travamento em chapa de aço chata SAE 1020 com mín. de 22,5 x 2 cm, arrebitados ao centro em dois pontos de ambos os lados. Parte inferior com chapa própria para a fixação ao piso, em Aço SAE 1020. Estrutura de sustentação da cadeira em tubo de aço industrial SAE 1010/1020 oblongo FF de no mín. 16x30mm com espessura da parede de no mín. 1,90 mm. Componentes metálicos unidos por solda do tipo MIG, formando um conjunto para posterior montagem por parafusos. Suporte basculante do assento em chapa de aço SAE 1020 com espessura de 3 mm, e pino de Aço SAE 1213 com 10 mm de diâmetro, com duas porcas garras para sua fixação, sendo um de cada lado do assento. Suporte do encosto em chapa de aço SAE 1020 com espessura de 4 mm, com duas porcas garras para sua fixação, sendo um de cada lado do encosto. Encosto com contracapa em tecido de poliéster, parafusos de fixação do assento e encosto do tipo sextavado flangeado com trava, encravadas e rebitadas na madeira em ambos os lados. Apoio para braços injetados em poliuretano texturizado, sobre alma de aço SAE 1020 tratada quimicamente. Prancheta escamoteável/basculante em MDF de no mín. 18 mm, na cor preta, acabamento lateral em perfil de PVC, podendo ser instalado em ambos os lados segundo a necessidade, quando não em uso, aloja-se internamente dentro do braço na lateral da poltrona. Dimensões totais: LxPxH: 111x69x83,5cm. Dimensões do encosto: LxH 90x45cm. Dimensões do assento: LxP: 96x46cm, sendo a altura do chão ao assento de 48cm. Instalação inclusa.</t>
  </si>
  <si>
    <t>Mesa com 04 cadeiras fabricada em concreto, com as seguintes características mínimas: formato da mesa oitavado, dimensões da mesa (largura de 90cm e altura de 80cm), dimensões das cadeiras (assento 50X35cm, altura do encosto de 40cm, altura total de 80cm). A instalação deve contemplar a preparação do solo, nivelamento e chumbamento das peças em bases de concreto submersas para garantir estabilidade e segurança sobre área verde. Certificações exigidas do fornecedor: O fornecedor deverá apresentar, obrigatoriamente:Laudo de Ensaio de Compressão: Comprovando a resistência do lote de concreto utilizado. Declaração de Conformidade: Atestando que o produto segue as diretrizes da NBR 9062 (Estruturas de concreto pré-moldado) e NBR 9050 (Acessibilidade)</t>
  </si>
  <si>
    <t>Banco em concreto armado, modelo ondulado, sem encosto, com capacidade para 03 lugares. Dimensões: 1,50m (comprimento) x 0,50m (largura) x 0,55m (altura) e espessura de 6 cm. Requisitos técnicos e de qualidade: Material: Concreto armado vibrado com classe de resistência mínima de 25MPa. Acabamento: Superfície lisa, livre de bolhas ou porosidade excessiva, bordas arredondadas e aplicação de verniz ou selador hidrofugante antipichação.Armadura: Aço CA-50/60 com cobrimento mínimo de para proteção contra corrosão. Certificações exigidas do fornecedor: O fornecedor deverá apresentar, obrigatoriamente: Laudo de Ensaio de Compressão: Comprovando a resistência do lote de concreto utilizado. Declaração de Conformidade: Atestando que o produto segue as diretrizes da NBR 9062 (Estruturas de concreto pré-moldado) e NBR 9050 (Acessibilidade). Execução de fundações pontuais (sapatas ou blocos de concreto) ocultas sob a grama para suporte dos pés. Nivelamento e compactação prévia do solo. Fixação mecânica (chumbamento) da peça à base de concreto para garantir estabilidade absoluta.</t>
  </si>
  <si>
    <t>Banco de concreto pré-fabricado com encosto. Medidas: 120 cm x 45cm x 48cm (Comp. x Prof. x Alt. Encosto). Material: Concreto armado, vibrado, acabamento liso (aparente ou pintado). Instalação: Fixação por chumbamento em base nivelada.  Certificações exigidas do fornecedor: O fornecedor deverá apresentar, obrigatoriamente: Laudo de Ensaio de Compressão: Comprovando a resistência do lote de concreto utilizado. Declaração de Conformidade: Atestando que o produto segue as diretrizes da NBR 9062 (Estruturas de concreto pré-moldado) e NBR 9050 (Acessibilidade). Execução de fundações pontuais (sapatas ou blocos de concreto) ocultas sob a grama para suporte dos pés. Nivelamento e compactação prévia do solo.Fixação mecânica (chumbamento) da peça à base de concreto para garantir estabilidade absoluta.</t>
  </si>
  <si>
    <t>Mesa tipo de Praça Redonda de Concreto Armado – Mesa: espessura mínima de 5cm; Borbas arredondadas; Tamanho Ø 0,90m; Altura aproximada 0,75-0,80m;  Banco: 2 (dois) Bancos curvos com pelo menos 3 pontos de apoio.; Comprimento 2,98m; Largura 0,48m e Altura 0,40-0,45m. Certificações exigidas do fornecedor: O fornecedor deverá apresentar, obrigatoriamente:Laudo de Ensaio de Compressão: Comprovando a resistência do lote de concreto utilizado.Declaração de Conformidade: Atestando que o produto segue as diretrizes da NBR 9062 (Estruturas de concreto pré-moldado) e NBR 9050 (Acessibilidade). Execução de fundações pontuais (sapatas ou blocos de concreto) ocultas sob a grama para suporte dos pés.Nivelamento e compactação prévia do solo.Fixação mecânica (chumbamento) da peça à base de concreto para garantir estabilidade absoluta.</t>
  </si>
  <si>
    <t>Cadeira de plástico sem braços  LxP:43x43cm (+/- 2cm). Cadeira fabricada em plástico polipropileno, na cor branca. Dimensões mínimas: Largura do assento: 34 cm x Altura do assento até o chão: 38 cm. Classe B. Capacidade para suportar até 182Kg. Uso irrestrito: para qualquer tipo de ambiente, de uso interno e externo. Deve apresentar certificação Inmetro em atendimento aos Requisitos de Avaliação da Conformidade com base na Portaria n.º 166 de 14/04/2021.</t>
  </si>
  <si>
    <t>Mesa para refeitório 4 lugares. Medidas: 120 cm X 80 cm X 75 cm (L X P X A). Tampo produzido em MDF com 15mm reengrossado com mais 15mm, totalizando 30mm de espessura em sua borda, laminado em fórmica na cor bege. Acabamento da borda da mesa em fita de PVC – 30x4mm de espessura. Estrutura 2 colunas em tubo de aço carbono 40 x 30 mm, travessas em tubo 30 x 30 mm com 1,20 mm de parede, unidas por parafusos. Pés com reguladores de nível, e em pintura epóxi na cor preta.</t>
  </si>
  <si>
    <t>Mesa para refeitório 6 lugares. Medidas: 180 cm X 80 cm X 75 cm (L X P X A). Tampo produzido em MDF com 15mm reengrossado com mais 15mm, totalizando 30mm de espessura em sua borda, laminado em fórmica na cor bege. Acabamento da borda da mesa em fita de PVC – 30x4mm de espessura. Estrutura 2 colunas em tubo de aço carbono 40 x 30 mm, travessas em tubo 30 x 30 mm com 1,20 mm de parede, unidas por parafusos. Pés com reguladores de nível, e em pintura epóxi na cor preta.</t>
  </si>
  <si>
    <t xml:space="preserve">QUANTIDADE UFF </t>
  </si>
  <si>
    <t>QUANTIDADE TOTAL</t>
  </si>
  <si>
    <t>QUANTIDADE UASG 762200</t>
  </si>
  <si>
    <t>QUANTIDADE UASG 927255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</si>
</sst>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_-[$R$-416]\ * #,##0.00_-;\-[$R$-416]\ * #,##0.00_-;_-[$R$-416]\ * &quot;-&quot;??_-;_-@_-"/>
  </numFmts>
  <fonts count="12"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b/>
      <sz val="11"/>
      <color theme="1"/>
      <name val="Calibri"/>
      <family val="2"/>
      <scheme val="minor"/>
    </font>
    <font>
      <sz val="8"/>
      <name val="Calibri"/>
      <family val="2"/>
      <scheme val="minor"/>
    </font>
    <font>
      <sz val="10"/>
      <name val="Arial"/>
      <family val="2"/>
    </font>
    <font>
      <b/>
      <sz val="8"/>
      <name val="Calibri"/>
      <family val="2"/>
      <scheme val="minor"/>
    </font>
  </fonts>
  <fills count="6">
    <fill>
      <patternFill patternType="none"/>
    </fill>
    <fill>
      <patternFill patternType="gray125"/>
    </fill>
    <fill>
      <patternFill patternType="solid">
        <fgColor rgb="FF8DB3E2"/>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44" fontId="3" fillId="0" borderId="0" applyFont="0" applyFill="0" applyBorder="0" applyAlignment="0" applyProtection="0"/>
    <xf numFmtId="0" fontId="10" fillId="0" borderId="0"/>
  </cellStyleXfs>
  <cellXfs count="33">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44" fontId="6" fillId="2" borderId="1" xfId="1" applyFont="1" applyFill="1" applyBorder="1" applyAlignment="1">
      <alignment horizontal="center" vertical="center" wrapText="1"/>
    </xf>
    <xf numFmtId="44" fontId="0" fillId="0" borderId="1" xfId="1" applyFont="1" applyBorder="1" applyAlignment="1">
      <alignment horizontal="center" vertical="center"/>
    </xf>
    <xf numFmtId="44" fontId="3" fillId="0" borderId="1" xfId="1" applyFont="1" applyBorder="1" applyAlignment="1">
      <alignment horizontal="center" vertical="center"/>
    </xf>
    <xf numFmtId="0" fontId="8" fillId="3"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0" fillId="0" borderId="1" xfId="0" applyBorder="1" applyAlignment="1">
      <alignment horizontal="center" vertical="center"/>
    </xf>
    <xf numFmtId="44" fontId="0" fillId="0" borderId="1" xfId="1" applyFont="1" applyBorder="1" applyAlignment="1">
      <alignment horizontal="right" vertical="center"/>
    </xf>
    <xf numFmtId="0" fontId="4" fillId="0" borderId="0" xfId="0" applyFont="1"/>
    <xf numFmtId="0" fontId="9" fillId="5" borderId="1" xfId="0" applyFont="1" applyFill="1" applyBorder="1" applyAlignment="1">
      <alignment horizontal="center" vertical="center" wrapText="1"/>
    </xf>
    <xf numFmtId="0" fontId="9" fillId="5" borderId="1" xfId="0" applyFont="1" applyFill="1" applyBorder="1" applyAlignment="1">
      <alignment vertical="center" wrapText="1"/>
    </xf>
    <xf numFmtId="0" fontId="9" fillId="5" borderId="1" xfId="0" applyFont="1" applyFill="1" applyBorder="1" applyAlignment="1">
      <alignment wrapText="1"/>
    </xf>
    <xf numFmtId="44" fontId="9" fillId="5" borderId="1" xfId="1" applyFont="1" applyFill="1" applyBorder="1" applyAlignment="1">
      <alignment vertical="center" wrapText="1"/>
    </xf>
    <xf numFmtId="164" fontId="9" fillId="5" borderId="1" xfId="0" applyNumberFormat="1" applyFont="1" applyFill="1" applyBorder="1" applyAlignment="1">
      <alignment horizontal="center" vertical="center"/>
    </xf>
    <xf numFmtId="44" fontId="1" fillId="0" borderId="0" xfId="1" applyFont="1" applyAlignment="1">
      <alignment horizontal="center" vertical="center"/>
    </xf>
    <xf numFmtId="44" fontId="1" fillId="0" borderId="0" xfId="0" applyNumberFormat="1" applyFont="1" applyAlignment="1">
      <alignment horizontal="center" vertical="center"/>
    </xf>
    <xf numFmtId="0" fontId="11" fillId="5" borderId="1" xfId="0" applyFont="1" applyFill="1" applyBorder="1" applyAlignment="1">
      <alignment vertical="center" wrapText="1"/>
    </xf>
    <xf numFmtId="0" fontId="9" fillId="5" borderId="1" xfId="0" applyFont="1" applyFill="1" applyBorder="1" applyAlignment="1">
      <alignment vertical="top" wrapText="1"/>
    </xf>
    <xf numFmtId="0" fontId="9" fillId="5" borderId="2"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3" xfId="0" applyFont="1" applyFill="1" applyBorder="1" applyAlignment="1">
      <alignment horizontal="center" vertical="center" wrapText="1"/>
    </xf>
    <xf numFmtId="44" fontId="9" fillId="5" borderId="2" xfId="1" applyFont="1" applyFill="1" applyBorder="1" applyAlignment="1">
      <alignment horizontal="center" vertical="center" wrapText="1"/>
    </xf>
    <xf numFmtId="44" fontId="9" fillId="5" borderId="4" xfId="1" applyFont="1" applyFill="1" applyBorder="1" applyAlignment="1">
      <alignment horizontal="center" vertical="center" wrapText="1"/>
    </xf>
    <xf numFmtId="44" fontId="9" fillId="5" borderId="3" xfId="1" applyFont="1" applyFill="1" applyBorder="1" applyAlignment="1">
      <alignment horizontal="center" vertical="center" wrapText="1"/>
    </xf>
    <xf numFmtId="0" fontId="2" fillId="0" borderId="0" xfId="0" applyFont="1" applyAlignment="1">
      <alignment horizontal="center" wrapText="1"/>
    </xf>
  </cellXfs>
  <cellStyles count="3">
    <cellStyle name="Moeda" xfId="1" builtinId="4"/>
    <cellStyle name="Normal" xfId="0" builtinId="0"/>
    <cellStyle name="Normal 2" xfId="2" xr:uid="{FAC55F09-D438-4249-9289-6122B3D15F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2</xdr:col>
      <xdr:colOff>207645</xdr:colOff>
      <xdr:row>70</xdr:row>
      <xdr:rowOff>628650</xdr:rowOff>
    </xdr:from>
    <xdr:to>
      <xdr:col>2</xdr:col>
      <xdr:colOff>1201696</xdr:colOff>
      <xdr:row>71</xdr:row>
      <xdr:rowOff>331470</xdr:rowOff>
    </xdr:to>
    <xdr:pic>
      <xdr:nvPicPr>
        <xdr:cNvPr id="2" name="Imagem 1">
          <a:extLst>
            <a:ext uri="{FF2B5EF4-FFF2-40B4-BE49-F238E27FC236}">
              <a16:creationId xmlns:a16="http://schemas.microsoft.com/office/drawing/2014/main" id="{48B34178-2DD5-4042-9931-83F97AFA9C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1095" y="69399150"/>
          <a:ext cx="986431" cy="777240"/>
        </a:xfrm>
        <a:prstGeom prst="rect">
          <a:avLst/>
        </a:prstGeom>
      </xdr:spPr>
    </xdr:pic>
    <xdr:clientData/>
  </xdr:twoCellAnchor>
  <xdr:twoCellAnchor editAs="oneCell">
    <xdr:from>
      <xdr:col>2</xdr:col>
      <xdr:colOff>114300</xdr:colOff>
      <xdr:row>71</xdr:row>
      <xdr:rowOff>555000</xdr:rowOff>
    </xdr:from>
    <xdr:to>
      <xdr:col>2</xdr:col>
      <xdr:colOff>1088875</xdr:colOff>
      <xdr:row>72</xdr:row>
      <xdr:rowOff>201077</xdr:rowOff>
    </xdr:to>
    <xdr:pic>
      <xdr:nvPicPr>
        <xdr:cNvPr id="3" name="Imagem 2">
          <a:extLst>
            <a:ext uri="{FF2B5EF4-FFF2-40B4-BE49-F238E27FC236}">
              <a16:creationId xmlns:a16="http://schemas.microsoft.com/office/drawing/2014/main" id="{77D68CCF-868A-4AC2-912E-5A7501ECC14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47750" y="70849500"/>
          <a:ext cx="978385" cy="73383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16"/>
  <sheetViews>
    <sheetView tabSelected="1" zoomScaleNormal="100" zoomScaleSheetLayoutView="80" workbookViewId="0">
      <selection activeCell="E109" sqref="E109"/>
    </sheetView>
  </sheetViews>
  <sheetFormatPr defaultColWidth="9.109375" defaultRowHeight="13.8" x14ac:dyDescent="0.3"/>
  <cols>
    <col min="1" max="1" width="5.5546875" style="2" customWidth="1"/>
    <col min="2" max="2" width="8.109375" style="2" customWidth="1"/>
    <col min="3" max="3" width="55.77734375" style="2" customWidth="1"/>
    <col min="4" max="4" width="8.44140625" style="2" customWidth="1"/>
    <col min="5" max="5" width="9" style="2" customWidth="1"/>
    <col min="6" max="6" width="16.5546875" style="3" customWidth="1"/>
    <col min="7" max="10" width="10.44140625" style="4" customWidth="1"/>
    <col min="11" max="11" width="9.6640625" style="4" bestFit="1" customWidth="1"/>
    <col min="12" max="12" width="13.21875" style="4" bestFit="1" customWidth="1"/>
    <col min="13" max="13" width="11.109375" style="4" customWidth="1"/>
    <col min="14" max="14" width="8.109375" style="4" customWidth="1"/>
    <col min="15" max="15" width="7.109375" style="7" bestFit="1" customWidth="1"/>
    <col min="16" max="16" width="8.5546875" style="4" customWidth="1"/>
    <col min="17" max="17" width="16.33203125" style="1" customWidth="1"/>
    <col min="18" max="19" width="9.109375" style="1"/>
    <col min="20" max="20" width="21.88671875" style="1" customWidth="1"/>
    <col min="21" max="21" width="20.33203125" style="1" customWidth="1"/>
    <col min="22" max="16384" width="9.109375" style="1"/>
  </cols>
  <sheetData>
    <row r="1" spans="1:16" ht="12.75" customHeight="1" x14ac:dyDescent="0.3">
      <c r="A1" s="32" t="s">
        <v>0</v>
      </c>
      <c r="B1" s="32"/>
      <c r="C1" s="32"/>
      <c r="D1" s="32"/>
      <c r="E1" s="32"/>
      <c r="F1" s="32"/>
      <c r="G1" s="32"/>
      <c r="H1" s="32"/>
      <c r="I1" s="32"/>
      <c r="J1" s="32"/>
      <c r="K1" s="32"/>
      <c r="L1" s="32"/>
      <c r="M1" s="32"/>
      <c r="N1" s="32"/>
      <c r="O1" s="32"/>
      <c r="P1" s="32"/>
    </row>
    <row r="2" spans="1:16" ht="12.75" customHeight="1" x14ac:dyDescent="0.3">
      <c r="A2" s="32" t="s">
        <v>2</v>
      </c>
      <c r="B2" s="32"/>
      <c r="C2" s="32"/>
      <c r="D2" s="32"/>
      <c r="E2" s="32"/>
      <c r="F2" s="32"/>
      <c r="G2" s="32"/>
      <c r="H2" s="32"/>
      <c r="I2" s="32"/>
      <c r="J2" s="32"/>
      <c r="K2" s="32"/>
      <c r="L2" s="32"/>
      <c r="M2" s="32"/>
      <c r="N2" s="32"/>
      <c r="O2" s="32"/>
      <c r="P2" s="32"/>
    </row>
    <row r="3" spans="1:16" ht="12.75" customHeight="1" x14ac:dyDescent="0.3">
      <c r="A3" s="32" t="s">
        <v>24</v>
      </c>
      <c r="B3" s="32"/>
      <c r="C3" s="32"/>
      <c r="D3" s="32"/>
      <c r="E3" s="32"/>
      <c r="F3" s="32"/>
      <c r="G3" s="32"/>
      <c r="H3" s="32"/>
      <c r="I3" s="32"/>
      <c r="J3" s="32"/>
      <c r="K3" s="32"/>
      <c r="L3" s="32"/>
      <c r="M3" s="32"/>
      <c r="N3" s="32"/>
      <c r="O3" s="32"/>
      <c r="P3" s="32"/>
    </row>
    <row r="5" spans="1:16" ht="85.05" customHeight="1" x14ac:dyDescent="0.3">
      <c r="A5" s="5" t="s">
        <v>23</v>
      </c>
      <c r="B5" s="5" t="s">
        <v>17</v>
      </c>
      <c r="C5" s="6" t="s">
        <v>3</v>
      </c>
      <c r="D5" s="6" t="s">
        <v>1</v>
      </c>
      <c r="E5" s="6" t="s">
        <v>5</v>
      </c>
      <c r="F5" s="6" t="s">
        <v>22</v>
      </c>
      <c r="G5" s="6" t="s">
        <v>135</v>
      </c>
      <c r="H5" s="6" t="s">
        <v>137</v>
      </c>
      <c r="I5" s="6" t="s">
        <v>138</v>
      </c>
      <c r="J5" s="6" t="s">
        <v>136</v>
      </c>
      <c r="K5" s="6" t="s">
        <v>18</v>
      </c>
      <c r="L5" s="6" t="s">
        <v>6</v>
      </c>
      <c r="M5" s="6" t="s">
        <v>25</v>
      </c>
      <c r="N5" s="6" t="s">
        <v>21</v>
      </c>
      <c r="O5" s="6" t="s">
        <v>19</v>
      </c>
      <c r="P5" s="6" t="s">
        <v>20</v>
      </c>
    </row>
    <row r="6" spans="1:16" s="16" customFormat="1" ht="85.05" customHeight="1" x14ac:dyDescent="0.2">
      <c r="A6" s="17" t="s">
        <v>126</v>
      </c>
      <c r="B6" s="17">
        <v>1</v>
      </c>
      <c r="C6" s="18" t="s">
        <v>26</v>
      </c>
      <c r="D6" s="18" t="s">
        <v>121</v>
      </c>
      <c r="E6" s="19">
        <v>326126</v>
      </c>
      <c r="F6" s="18" t="s">
        <v>126</v>
      </c>
      <c r="G6" s="18">
        <v>217</v>
      </c>
      <c r="H6" s="18">
        <v>17</v>
      </c>
      <c r="I6" s="18">
        <v>0</v>
      </c>
      <c r="J6" s="18">
        <f>SUM(G6:I6)</f>
        <v>234</v>
      </c>
      <c r="K6" s="20">
        <v>63.26</v>
      </c>
      <c r="L6" s="20">
        <f>J6*ROUND(K6,2)</f>
        <v>14802.84</v>
      </c>
      <c r="M6" s="20" t="s">
        <v>126</v>
      </c>
      <c r="N6" s="20" t="s">
        <v>124</v>
      </c>
      <c r="O6" s="8" t="s">
        <v>4</v>
      </c>
      <c r="P6" s="21">
        <f>VLOOKUP(K6, Intervalos!$B$3:$C$8,2,TRUE)</f>
        <v>0.1</v>
      </c>
    </row>
    <row r="7" spans="1:16" s="16" customFormat="1" ht="85.05" customHeight="1" x14ac:dyDescent="0.2">
      <c r="A7" s="17" t="s">
        <v>126</v>
      </c>
      <c r="B7" s="17">
        <v>2</v>
      </c>
      <c r="C7" s="18" t="s">
        <v>27</v>
      </c>
      <c r="D7" s="18" t="s">
        <v>121</v>
      </c>
      <c r="E7" s="19">
        <v>458657</v>
      </c>
      <c r="F7" s="18" t="s">
        <v>28</v>
      </c>
      <c r="G7" s="18">
        <v>4</v>
      </c>
      <c r="H7" s="18">
        <v>0</v>
      </c>
      <c r="I7" s="18">
        <v>986</v>
      </c>
      <c r="J7" s="18">
        <f t="shared" ref="J7:J70" si="0">SUM(G7:I7)</f>
        <v>990</v>
      </c>
      <c r="K7" s="20">
        <v>667.89</v>
      </c>
      <c r="L7" s="20">
        <f t="shared" ref="L7:L70" si="1">J7*ROUND(K7,2)</f>
        <v>661211.1</v>
      </c>
      <c r="M7" s="20" t="s">
        <v>126</v>
      </c>
      <c r="N7" s="20" t="s">
        <v>125</v>
      </c>
      <c r="O7" s="8" t="s">
        <v>4</v>
      </c>
      <c r="P7" s="21" t="str">
        <f>VLOOKUP(K7, Intervalos!$B$3:$C$8,2,TRUE)</f>
        <v>0,10%</v>
      </c>
    </row>
    <row r="8" spans="1:16" s="16" customFormat="1" ht="85.05" customHeight="1" x14ac:dyDescent="0.2">
      <c r="A8" s="17" t="s">
        <v>126</v>
      </c>
      <c r="B8" s="17">
        <v>3</v>
      </c>
      <c r="C8" s="18" t="s">
        <v>29</v>
      </c>
      <c r="D8" s="18" t="s">
        <v>121</v>
      </c>
      <c r="E8" s="19">
        <v>458657</v>
      </c>
      <c r="F8" s="18" t="s">
        <v>28</v>
      </c>
      <c r="G8" s="18">
        <v>2</v>
      </c>
      <c r="H8" s="18">
        <v>0</v>
      </c>
      <c r="I8" s="18">
        <v>0</v>
      </c>
      <c r="J8" s="18">
        <f t="shared" si="0"/>
        <v>2</v>
      </c>
      <c r="K8" s="20">
        <v>1411.68</v>
      </c>
      <c r="L8" s="20">
        <f t="shared" si="1"/>
        <v>2823.36</v>
      </c>
      <c r="M8" s="20" t="s">
        <v>126</v>
      </c>
      <c r="N8" s="20" t="s">
        <v>124</v>
      </c>
      <c r="O8" s="8" t="s">
        <v>4</v>
      </c>
      <c r="P8" s="21" t="str">
        <f>VLOOKUP(K8, Intervalos!$B$3:$C$8,2,TRUE)</f>
        <v>0,10%</v>
      </c>
    </row>
    <row r="9" spans="1:16" s="16" customFormat="1" ht="85.05" customHeight="1" x14ac:dyDescent="0.2">
      <c r="A9" s="17" t="s">
        <v>126</v>
      </c>
      <c r="B9" s="17">
        <v>4</v>
      </c>
      <c r="C9" s="18" t="s">
        <v>30</v>
      </c>
      <c r="D9" s="18" t="s">
        <v>121</v>
      </c>
      <c r="E9" s="19">
        <v>237341</v>
      </c>
      <c r="F9" s="18" t="s">
        <v>28</v>
      </c>
      <c r="G9" s="18">
        <v>29</v>
      </c>
      <c r="H9" s="18">
        <v>0</v>
      </c>
      <c r="I9" s="18">
        <v>0</v>
      </c>
      <c r="J9" s="18">
        <f t="shared" si="0"/>
        <v>29</v>
      </c>
      <c r="K9" s="20">
        <v>1381.33</v>
      </c>
      <c r="L9" s="20">
        <f t="shared" si="1"/>
        <v>40058.57</v>
      </c>
      <c r="M9" s="20" t="s">
        <v>126</v>
      </c>
      <c r="N9" s="20" t="s">
        <v>124</v>
      </c>
      <c r="O9" s="8" t="s">
        <v>4</v>
      </c>
      <c r="P9" s="21" t="str">
        <f>VLOOKUP(K9, Intervalos!$B$3:$C$8,2,TRUE)</f>
        <v>0,10%</v>
      </c>
    </row>
    <row r="10" spans="1:16" s="16" customFormat="1" ht="85.05" customHeight="1" x14ac:dyDescent="0.2">
      <c r="A10" s="17" t="s">
        <v>126</v>
      </c>
      <c r="B10" s="17">
        <v>5</v>
      </c>
      <c r="C10" s="18" t="s">
        <v>31</v>
      </c>
      <c r="D10" s="18" t="s">
        <v>121</v>
      </c>
      <c r="E10" s="19">
        <v>458707</v>
      </c>
      <c r="F10" s="18" t="s">
        <v>28</v>
      </c>
      <c r="G10" s="18">
        <v>3</v>
      </c>
      <c r="H10" s="18">
        <v>0</v>
      </c>
      <c r="I10" s="18">
        <v>986</v>
      </c>
      <c r="J10" s="18">
        <f t="shared" si="0"/>
        <v>989</v>
      </c>
      <c r="K10" s="20">
        <v>1166</v>
      </c>
      <c r="L10" s="20">
        <f t="shared" si="1"/>
        <v>1153174</v>
      </c>
      <c r="M10" s="20" t="s">
        <v>126</v>
      </c>
      <c r="N10" s="20" t="s">
        <v>125</v>
      </c>
      <c r="O10" s="8" t="s">
        <v>4</v>
      </c>
      <c r="P10" s="21" t="str">
        <f>VLOOKUP(K10, Intervalos!$B$3:$C$8,2,TRUE)</f>
        <v>0,10%</v>
      </c>
    </row>
    <row r="11" spans="1:16" s="16" customFormat="1" ht="85.05" customHeight="1" x14ac:dyDescent="0.2">
      <c r="A11" s="17" t="s">
        <v>126</v>
      </c>
      <c r="B11" s="17">
        <v>6</v>
      </c>
      <c r="C11" s="18" t="s">
        <v>32</v>
      </c>
      <c r="D11" s="18" t="s">
        <v>121</v>
      </c>
      <c r="E11" s="19">
        <v>294773</v>
      </c>
      <c r="F11" s="18" t="s">
        <v>28</v>
      </c>
      <c r="G11" s="18">
        <v>25</v>
      </c>
      <c r="H11" s="18">
        <v>0</v>
      </c>
      <c r="I11" s="18">
        <v>0</v>
      </c>
      <c r="J11" s="18">
        <f t="shared" si="0"/>
        <v>25</v>
      </c>
      <c r="K11" s="20">
        <v>2261.2199999999998</v>
      </c>
      <c r="L11" s="20">
        <f t="shared" si="1"/>
        <v>56530.499999999993</v>
      </c>
      <c r="M11" s="20" t="s">
        <v>126</v>
      </c>
      <c r="N11" s="20" t="s">
        <v>124</v>
      </c>
      <c r="O11" s="8" t="s">
        <v>4</v>
      </c>
      <c r="P11" s="21" t="str">
        <f>VLOOKUP(K11, Intervalos!$B$3:$C$8,2,TRUE)</f>
        <v>0,10%</v>
      </c>
    </row>
    <row r="12" spans="1:16" s="16" customFormat="1" ht="85.05" customHeight="1" x14ac:dyDescent="0.2">
      <c r="A12" s="17" t="s">
        <v>126</v>
      </c>
      <c r="B12" s="17">
        <v>7</v>
      </c>
      <c r="C12" s="18" t="s">
        <v>33</v>
      </c>
      <c r="D12" s="18" t="s">
        <v>121</v>
      </c>
      <c r="E12" s="19">
        <v>623625</v>
      </c>
      <c r="F12" s="18" t="s">
        <v>28</v>
      </c>
      <c r="G12" s="18">
        <v>13</v>
      </c>
      <c r="H12" s="18">
        <v>0</v>
      </c>
      <c r="I12" s="18">
        <v>0</v>
      </c>
      <c r="J12" s="18">
        <f t="shared" si="0"/>
        <v>13</v>
      </c>
      <c r="K12" s="20">
        <v>1549.26</v>
      </c>
      <c r="L12" s="20">
        <f t="shared" si="1"/>
        <v>20140.38</v>
      </c>
      <c r="M12" s="20" t="s">
        <v>126</v>
      </c>
      <c r="N12" s="20" t="s">
        <v>124</v>
      </c>
      <c r="O12" s="8" t="s">
        <v>4</v>
      </c>
      <c r="P12" s="21" t="str">
        <f>VLOOKUP(K12, Intervalos!$B$3:$C$8,2,TRUE)</f>
        <v>0,10%</v>
      </c>
    </row>
    <row r="13" spans="1:16" s="16" customFormat="1" ht="85.05" customHeight="1" x14ac:dyDescent="0.2">
      <c r="A13" s="17" t="s">
        <v>126</v>
      </c>
      <c r="B13" s="17">
        <v>8</v>
      </c>
      <c r="C13" s="18" t="s">
        <v>34</v>
      </c>
      <c r="D13" s="18" t="s">
        <v>121</v>
      </c>
      <c r="E13" s="19">
        <v>611262</v>
      </c>
      <c r="F13" s="18" t="s">
        <v>28</v>
      </c>
      <c r="G13" s="18">
        <v>29</v>
      </c>
      <c r="H13" s="18">
        <v>0</v>
      </c>
      <c r="I13" s="18">
        <v>0</v>
      </c>
      <c r="J13" s="18">
        <f t="shared" si="0"/>
        <v>29</v>
      </c>
      <c r="K13" s="20">
        <v>1518.92</v>
      </c>
      <c r="L13" s="20">
        <f t="shared" si="1"/>
        <v>44048.68</v>
      </c>
      <c r="M13" s="20" t="s">
        <v>126</v>
      </c>
      <c r="N13" s="20" t="s">
        <v>124</v>
      </c>
      <c r="O13" s="8" t="s">
        <v>4</v>
      </c>
      <c r="P13" s="21" t="str">
        <f>VLOOKUP(K13, Intervalos!$B$3:$C$8,2,TRUE)</f>
        <v>0,10%</v>
      </c>
    </row>
    <row r="14" spans="1:16" s="16" customFormat="1" ht="85.05" customHeight="1" x14ac:dyDescent="0.2">
      <c r="A14" s="17" t="s">
        <v>126</v>
      </c>
      <c r="B14" s="17">
        <v>9</v>
      </c>
      <c r="C14" s="18" t="s">
        <v>35</v>
      </c>
      <c r="D14" s="18" t="s">
        <v>121</v>
      </c>
      <c r="E14" s="19">
        <v>346502</v>
      </c>
      <c r="F14" s="18" t="s">
        <v>28</v>
      </c>
      <c r="G14" s="18">
        <v>4</v>
      </c>
      <c r="H14" s="18">
        <v>0</v>
      </c>
      <c r="I14" s="18">
        <v>0</v>
      </c>
      <c r="J14" s="18">
        <f t="shared" si="0"/>
        <v>4</v>
      </c>
      <c r="K14" s="20">
        <v>785</v>
      </c>
      <c r="L14" s="20">
        <f t="shared" si="1"/>
        <v>3140</v>
      </c>
      <c r="M14" s="20" t="s">
        <v>126</v>
      </c>
      <c r="N14" s="20" t="s">
        <v>124</v>
      </c>
      <c r="O14" s="8" t="s">
        <v>4</v>
      </c>
      <c r="P14" s="21" t="str">
        <f>VLOOKUP(K14, Intervalos!$B$3:$C$8,2,TRUE)</f>
        <v>0,10%</v>
      </c>
    </row>
    <row r="15" spans="1:16" s="16" customFormat="1" ht="85.05" customHeight="1" x14ac:dyDescent="0.2">
      <c r="A15" s="17" t="s">
        <v>126</v>
      </c>
      <c r="B15" s="17">
        <v>10</v>
      </c>
      <c r="C15" s="18" t="s">
        <v>36</v>
      </c>
      <c r="D15" s="18" t="s">
        <v>121</v>
      </c>
      <c r="E15" s="19">
        <v>239105</v>
      </c>
      <c r="F15" s="18" t="s">
        <v>126</v>
      </c>
      <c r="G15" s="18">
        <v>12</v>
      </c>
      <c r="H15" s="18">
        <v>5</v>
      </c>
      <c r="I15" s="18">
        <v>0</v>
      </c>
      <c r="J15" s="18">
        <f t="shared" si="0"/>
        <v>17</v>
      </c>
      <c r="K15" s="20">
        <v>558</v>
      </c>
      <c r="L15" s="20">
        <f t="shared" si="1"/>
        <v>9486</v>
      </c>
      <c r="M15" s="20" t="s">
        <v>126</v>
      </c>
      <c r="N15" s="20" t="s">
        <v>124</v>
      </c>
      <c r="O15" s="8" t="s">
        <v>4</v>
      </c>
      <c r="P15" s="21" t="str">
        <f>VLOOKUP(K15, Intervalos!$B$3:$C$8,2,TRUE)</f>
        <v>0,10%</v>
      </c>
    </row>
    <row r="16" spans="1:16" s="16" customFormat="1" ht="85.05" customHeight="1" x14ac:dyDescent="0.2">
      <c r="A16" s="17" t="s">
        <v>126</v>
      </c>
      <c r="B16" s="17">
        <v>11</v>
      </c>
      <c r="C16" s="18" t="s">
        <v>37</v>
      </c>
      <c r="D16" s="18" t="s">
        <v>121</v>
      </c>
      <c r="E16" s="19">
        <v>408869</v>
      </c>
      <c r="F16" s="18" t="s">
        <v>126</v>
      </c>
      <c r="G16" s="18">
        <v>4</v>
      </c>
      <c r="H16" s="18">
        <v>2</v>
      </c>
      <c r="I16" s="18">
        <v>0</v>
      </c>
      <c r="J16" s="18">
        <f t="shared" si="0"/>
        <v>6</v>
      </c>
      <c r="K16" s="20">
        <v>877.8</v>
      </c>
      <c r="L16" s="20">
        <f t="shared" si="1"/>
        <v>5266.7999999999993</v>
      </c>
      <c r="M16" s="20" t="s">
        <v>126</v>
      </c>
      <c r="N16" s="20" t="s">
        <v>124</v>
      </c>
      <c r="O16" s="8" t="s">
        <v>4</v>
      </c>
      <c r="P16" s="21" t="str">
        <f>VLOOKUP(K16, Intervalos!$B$3:$C$8,2,TRUE)</f>
        <v>0,10%</v>
      </c>
    </row>
    <row r="17" spans="1:16" s="16" customFormat="1" ht="85.05" customHeight="1" x14ac:dyDescent="0.2">
      <c r="A17" s="17" t="s">
        <v>126</v>
      </c>
      <c r="B17" s="17">
        <v>12</v>
      </c>
      <c r="C17" s="18" t="s">
        <v>38</v>
      </c>
      <c r="D17" s="18" t="s">
        <v>121</v>
      </c>
      <c r="E17" s="19">
        <v>629233</v>
      </c>
      <c r="F17" s="18" t="s">
        <v>126</v>
      </c>
      <c r="G17" s="18">
        <v>7</v>
      </c>
      <c r="H17" s="18">
        <v>2</v>
      </c>
      <c r="I17" s="18">
        <v>986</v>
      </c>
      <c r="J17" s="18">
        <f t="shared" si="0"/>
        <v>995</v>
      </c>
      <c r="K17" s="20">
        <v>1050.3699999999999</v>
      </c>
      <c r="L17" s="20">
        <f t="shared" si="1"/>
        <v>1045118.1499999999</v>
      </c>
      <c r="M17" s="20" t="s">
        <v>126</v>
      </c>
      <c r="N17" s="20" t="s">
        <v>125</v>
      </c>
      <c r="O17" s="8" t="s">
        <v>4</v>
      </c>
      <c r="P17" s="21" t="str">
        <f>VLOOKUP(K17, Intervalos!$B$3:$C$8,2,TRUE)</f>
        <v>0,10%</v>
      </c>
    </row>
    <row r="18" spans="1:16" s="16" customFormat="1" ht="85.05" customHeight="1" x14ac:dyDescent="0.2">
      <c r="A18" s="17" t="s">
        <v>126</v>
      </c>
      <c r="B18" s="17">
        <v>13</v>
      </c>
      <c r="C18" s="18" t="s">
        <v>39</v>
      </c>
      <c r="D18" s="18" t="s">
        <v>121</v>
      </c>
      <c r="E18" s="19">
        <v>632179</v>
      </c>
      <c r="F18" s="18" t="s">
        <v>126</v>
      </c>
      <c r="G18" s="18">
        <v>18</v>
      </c>
      <c r="H18" s="18">
        <v>0</v>
      </c>
      <c r="I18" s="18">
        <v>0</v>
      </c>
      <c r="J18" s="18">
        <f t="shared" si="0"/>
        <v>18</v>
      </c>
      <c r="K18" s="20">
        <v>1362.33</v>
      </c>
      <c r="L18" s="20">
        <f t="shared" si="1"/>
        <v>24521.94</v>
      </c>
      <c r="M18" s="20" t="s">
        <v>126</v>
      </c>
      <c r="N18" s="20" t="s">
        <v>124</v>
      </c>
      <c r="O18" s="8" t="s">
        <v>4</v>
      </c>
      <c r="P18" s="21" t="str">
        <f>VLOOKUP(K18, Intervalos!$B$3:$C$8,2,TRUE)</f>
        <v>0,10%</v>
      </c>
    </row>
    <row r="19" spans="1:16" s="16" customFormat="1" ht="85.05" customHeight="1" x14ac:dyDescent="0.2">
      <c r="A19" s="17" t="s">
        <v>126</v>
      </c>
      <c r="B19" s="17">
        <v>14</v>
      </c>
      <c r="C19" s="18" t="s">
        <v>40</v>
      </c>
      <c r="D19" s="18" t="s">
        <v>121</v>
      </c>
      <c r="E19" s="19">
        <v>458662</v>
      </c>
      <c r="F19" s="18" t="s">
        <v>126</v>
      </c>
      <c r="G19" s="18">
        <v>7</v>
      </c>
      <c r="H19" s="18">
        <v>10</v>
      </c>
      <c r="I19" s="18">
        <v>0</v>
      </c>
      <c r="J19" s="18">
        <f t="shared" si="0"/>
        <v>17</v>
      </c>
      <c r="K19" s="20">
        <v>1423</v>
      </c>
      <c r="L19" s="20">
        <f t="shared" si="1"/>
        <v>24191</v>
      </c>
      <c r="M19" s="20" t="s">
        <v>126</v>
      </c>
      <c r="N19" s="20" t="s">
        <v>124</v>
      </c>
      <c r="O19" s="8" t="s">
        <v>4</v>
      </c>
      <c r="P19" s="21" t="str">
        <f>VLOOKUP(K19, Intervalos!$B$3:$C$8,2,TRUE)</f>
        <v>0,10%</v>
      </c>
    </row>
    <row r="20" spans="1:16" s="16" customFormat="1" ht="85.05" customHeight="1" x14ac:dyDescent="0.2">
      <c r="A20" s="17" t="s">
        <v>126</v>
      </c>
      <c r="B20" s="17">
        <v>15</v>
      </c>
      <c r="C20" s="18" t="s">
        <v>41</v>
      </c>
      <c r="D20" s="18" t="s">
        <v>121</v>
      </c>
      <c r="E20" s="19">
        <v>458662</v>
      </c>
      <c r="F20" s="18" t="s">
        <v>126</v>
      </c>
      <c r="G20" s="18">
        <v>10</v>
      </c>
      <c r="H20" s="18">
        <v>10</v>
      </c>
      <c r="I20" s="18">
        <v>0</v>
      </c>
      <c r="J20" s="18">
        <f t="shared" si="0"/>
        <v>20</v>
      </c>
      <c r="K20" s="20">
        <v>2451.83</v>
      </c>
      <c r="L20" s="20">
        <f t="shared" si="1"/>
        <v>49036.6</v>
      </c>
      <c r="M20" s="20" t="s">
        <v>126</v>
      </c>
      <c r="N20" s="20" t="s">
        <v>124</v>
      </c>
      <c r="O20" s="8" t="s">
        <v>4</v>
      </c>
      <c r="P20" s="21" t="str">
        <f>VLOOKUP(K20, Intervalos!$B$3:$C$8,2,TRUE)</f>
        <v>0,10%</v>
      </c>
    </row>
    <row r="21" spans="1:16" s="16" customFormat="1" ht="85.05" customHeight="1" x14ac:dyDescent="0.2">
      <c r="A21" s="17" t="s">
        <v>126</v>
      </c>
      <c r="B21" s="17">
        <v>16</v>
      </c>
      <c r="C21" s="18" t="s">
        <v>42</v>
      </c>
      <c r="D21" s="18" t="s">
        <v>121</v>
      </c>
      <c r="E21" s="19">
        <v>458662</v>
      </c>
      <c r="F21" s="18" t="s">
        <v>126</v>
      </c>
      <c r="G21" s="18">
        <v>4</v>
      </c>
      <c r="H21" s="18">
        <v>0</v>
      </c>
      <c r="I21" s="18">
        <v>0</v>
      </c>
      <c r="J21" s="18">
        <f t="shared" si="0"/>
        <v>4</v>
      </c>
      <c r="K21" s="20">
        <v>1506.33</v>
      </c>
      <c r="L21" s="20">
        <f t="shared" si="1"/>
        <v>6025.32</v>
      </c>
      <c r="M21" s="20" t="s">
        <v>126</v>
      </c>
      <c r="N21" s="20" t="s">
        <v>124</v>
      </c>
      <c r="O21" s="8" t="s">
        <v>4</v>
      </c>
      <c r="P21" s="21" t="str">
        <f>VLOOKUP(K21, Intervalos!$B$3:$C$8,2,TRUE)</f>
        <v>0,10%</v>
      </c>
    </row>
    <row r="22" spans="1:16" s="16" customFormat="1" ht="85.05" customHeight="1" x14ac:dyDescent="0.2">
      <c r="A22" s="17" t="s">
        <v>126</v>
      </c>
      <c r="B22" s="17">
        <v>17</v>
      </c>
      <c r="C22" s="18" t="s">
        <v>43</v>
      </c>
      <c r="D22" s="18" t="s">
        <v>121</v>
      </c>
      <c r="E22" s="19">
        <v>458662</v>
      </c>
      <c r="F22" s="18" t="s">
        <v>126</v>
      </c>
      <c r="G22" s="24">
        <f>39-3</f>
        <v>36</v>
      </c>
      <c r="H22" s="24">
        <v>1</v>
      </c>
      <c r="I22" s="24">
        <v>0</v>
      </c>
      <c r="J22" s="18">
        <f t="shared" si="0"/>
        <v>37</v>
      </c>
      <c r="K22" s="20">
        <v>3008.45</v>
      </c>
      <c r="L22" s="20">
        <f t="shared" si="1"/>
        <v>111312.65</v>
      </c>
      <c r="M22" s="20" t="s">
        <v>126</v>
      </c>
      <c r="N22" s="20" t="s">
        <v>125</v>
      </c>
      <c r="O22" s="8" t="s">
        <v>4</v>
      </c>
      <c r="P22" s="21" t="str">
        <f>VLOOKUP(K22, Intervalos!$B$3:$C$8,2,TRUE)</f>
        <v>0,10%</v>
      </c>
    </row>
    <row r="23" spans="1:16" s="16" customFormat="1" ht="85.05" customHeight="1" x14ac:dyDescent="0.2">
      <c r="A23" s="17" t="s">
        <v>126</v>
      </c>
      <c r="B23" s="17">
        <v>18</v>
      </c>
      <c r="C23" s="18" t="s">
        <v>44</v>
      </c>
      <c r="D23" s="18" t="s">
        <v>121</v>
      </c>
      <c r="E23" s="19">
        <v>275191</v>
      </c>
      <c r="F23" s="18" t="s">
        <v>126</v>
      </c>
      <c r="G23" s="18">
        <v>2</v>
      </c>
      <c r="H23" s="18">
        <v>0</v>
      </c>
      <c r="I23" s="18">
        <v>0</v>
      </c>
      <c r="J23" s="18">
        <f t="shared" si="0"/>
        <v>2</v>
      </c>
      <c r="K23" s="20">
        <v>1761.33</v>
      </c>
      <c r="L23" s="20">
        <f t="shared" si="1"/>
        <v>3522.66</v>
      </c>
      <c r="M23" s="17" t="s">
        <v>126</v>
      </c>
      <c r="N23" s="20" t="s">
        <v>124</v>
      </c>
      <c r="O23" s="8" t="s">
        <v>4</v>
      </c>
      <c r="P23" s="21" t="str">
        <f>VLOOKUP(K23, Intervalos!$B$3:$C$8,2,TRUE)</f>
        <v>0,10%</v>
      </c>
    </row>
    <row r="24" spans="1:16" s="16" customFormat="1" ht="85.05" customHeight="1" x14ac:dyDescent="0.2">
      <c r="A24" s="17" t="s">
        <v>126</v>
      </c>
      <c r="B24" s="17">
        <v>19</v>
      </c>
      <c r="C24" s="18" t="s">
        <v>45</v>
      </c>
      <c r="D24" s="18" t="s">
        <v>121</v>
      </c>
      <c r="E24" s="19">
        <v>619547</v>
      </c>
      <c r="F24" s="18" t="s">
        <v>28</v>
      </c>
      <c r="G24" s="18">
        <v>2</v>
      </c>
      <c r="H24" s="18">
        <v>0</v>
      </c>
      <c r="I24" s="18">
        <v>0</v>
      </c>
      <c r="J24" s="18">
        <f t="shared" si="0"/>
        <v>2</v>
      </c>
      <c r="K24" s="20">
        <v>1915.76</v>
      </c>
      <c r="L24" s="20">
        <f t="shared" si="1"/>
        <v>3831.52</v>
      </c>
      <c r="M24" s="20" t="s">
        <v>126</v>
      </c>
      <c r="N24" s="20" t="s">
        <v>124</v>
      </c>
      <c r="O24" s="8" t="s">
        <v>4</v>
      </c>
      <c r="P24" s="21" t="str">
        <f>VLOOKUP(K24, Intervalos!$B$3:$C$8,2,TRUE)</f>
        <v>0,10%</v>
      </c>
    </row>
    <row r="25" spans="1:16" s="16" customFormat="1" ht="85.05" customHeight="1" x14ac:dyDescent="0.2">
      <c r="A25" s="17" t="s">
        <v>126</v>
      </c>
      <c r="B25" s="17">
        <v>20</v>
      </c>
      <c r="C25" s="18" t="s">
        <v>46</v>
      </c>
      <c r="D25" s="18" t="s">
        <v>121</v>
      </c>
      <c r="E25" s="19">
        <v>480179</v>
      </c>
      <c r="F25" s="18" t="s">
        <v>28</v>
      </c>
      <c r="G25" s="18">
        <v>7</v>
      </c>
      <c r="H25" s="18">
        <v>5</v>
      </c>
      <c r="I25" s="18">
        <v>339</v>
      </c>
      <c r="J25" s="18">
        <f t="shared" si="0"/>
        <v>351</v>
      </c>
      <c r="K25" s="20">
        <v>753.71</v>
      </c>
      <c r="L25" s="20">
        <f t="shared" si="1"/>
        <v>264552.21000000002</v>
      </c>
      <c r="M25" s="17" t="s">
        <v>126</v>
      </c>
      <c r="N25" s="20" t="s">
        <v>125</v>
      </c>
      <c r="O25" s="8" t="s">
        <v>4</v>
      </c>
      <c r="P25" s="21" t="str">
        <f>VLOOKUP(K25, Intervalos!$B$3:$C$8,2,TRUE)</f>
        <v>0,10%</v>
      </c>
    </row>
    <row r="26" spans="1:16" s="16" customFormat="1" ht="85.05" customHeight="1" x14ac:dyDescent="0.2">
      <c r="A26" s="17" t="s">
        <v>126</v>
      </c>
      <c r="B26" s="17">
        <v>21</v>
      </c>
      <c r="C26" s="18" t="s">
        <v>48</v>
      </c>
      <c r="D26" s="18" t="s">
        <v>121</v>
      </c>
      <c r="E26" s="19">
        <v>603286</v>
      </c>
      <c r="F26" s="18" t="s">
        <v>126</v>
      </c>
      <c r="G26" s="18">
        <v>22</v>
      </c>
      <c r="H26" s="18">
        <v>7</v>
      </c>
      <c r="I26" s="18">
        <v>0</v>
      </c>
      <c r="J26" s="18">
        <f t="shared" si="0"/>
        <v>29</v>
      </c>
      <c r="K26" s="20">
        <v>1566.39</v>
      </c>
      <c r="L26" s="20">
        <f t="shared" si="1"/>
        <v>45425.310000000005</v>
      </c>
      <c r="M26" s="17" t="s">
        <v>126</v>
      </c>
      <c r="N26" s="20" t="s">
        <v>124</v>
      </c>
      <c r="O26" s="8" t="s">
        <v>4</v>
      </c>
      <c r="P26" s="21" t="str">
        <f>VLOOKUP(K26, Intervalos!$B$3:$C$8,2,TRUE)</f>
        <v>0,10%</v>
      </c>
    </row>
    <row r="27" spans="1:16" s="16" customFormat="1" ht="85.05" customHeight="1" x14ac:dyDescent="0.2">
      <c r="A27" s="17" t="s">
        <v>126</v>
      </c>
      <c r="B27" s="17">
        <v>22</v>
      </c>
      <c r="C27" s="18" t="s">
        <v>49</v>
      </c>
      <c r="D27" s="18" t="s">
        <v>121</v>
      </c>
      <c r="E27" s="19">
        <v>603374</v>
      </c>
      <c r="F27" s="18" t="s">
        <v>47</v>
      </c>
      <c r="G27" s="18">
        <v>20</v>
      </c>
      <c r="H27" s="18">
        <v>5</v>
      </c>
      <c r="I27" s="18">
        <v>0</v>
      </c>
      <c r="J27" s="18">
        <f t="shared" si="0"/>
        <v>25</v>
      </c>
      <c r="K27" s="20">
        <v>816</v>
      </c>
      <c r="L27" s="20">
        <f t="shared" si="1"/>
        <v>20400</v>
      </c>
      <c r="M27" s="17" t="s">
        <v>126</v>
      </c>
      <c r="N27" s="20" t="s">
        <v>124</v>
      </c>
      <c r="O27" s="8" t="s">
        <v>4</v>
      </c>
      <c r="P27" s="21" t="str">
        <f>VLOOKUP(K27, Intervalos!$B$3:$C$8,2,TRUE)</f>
        <v>0,10%</v>
      </c>
    </row>
    <row r="28" spans="1:16" s="16" customFormat="1" ht="85.05" customHeight="1" x14ac:dyDescent="0.2">
      <c r="A28" s="17" t="s">
        <v>126</v>
      </c>
      <c r="B28" s="17">
        <v>23</v>
      </c>
      <c r="C28" s="18" t="s">
        <v>50</v>
      </c>
      <c r="D28" s="18" t="s">
        <v>121</v>
      </c>
      <c r="E28" s="19">
        <v>621401</v>
      </c>
      <c r="F28" s="18" t="s">
        <v>126</v>
      </c>
      <c r="G28" s="24">
        <f>77-6</f>
        <v>71</v>
      </c>
      <c r="H28" s="24">
        <v>10</v>
      </c>
      <c r="I28" s="24">
        <v>0</v>
      </c>
      <c r="J28" s="18">
        <f t="shared" si="0"/>
        <v>81</v>
      </c>
      <c r="K28" s="20">
        <v>448</v>
      </c>
      <c r="L28" s="20">
        <f t="shared" si="1"/>
        <v>36288</v>
      </c>
      <c r="M28" s="17" t="s">
        <v>126</v>
      </c>
      <c r="N28" s="20" t="s">
        <v>124</v>
      </c>
      <c r="O28" s="8" t="s">
        <v>4</v>
      </c>
      <c r="P28" s="21" t="str">
        <f>VLOOKUP(K28, Intervalos!$B$3:$C$8,2,TRUE)</f>
        <v>0,10%</v>
      </c>
    </row>
    <row r="29" spans="1:16" s="16" customFormat="1" ht="85.05" customHeight="1" x14ac:dyDescent="0.2">
      <c r="A29" s="17" t="s">
        <v>126</v>
      </c>
      <c r="B29" s="17">
        <v>24</v>
      </c>
      <c r="C29" s="18" t="s">
        <v>51</v>
      </c>
      <c r="D29" s="18" t="s">
        <v>121</v>
      </c>
      <c r="E29" s="19">
        <v>629806</v>
      </c>
      <c r="F29" s="18" t="s">
        <v>126</v>
      </c>
      <c r="G29" s="18">
        <v>22</v>
      </c>
      <c r="H29" s="18">
        <v>0</v>
      </c>
      <c r="I29" s="18">
        <v>0</v>
      </c>
      <c r="J29" s="18">
        <f t="shared" si="0"/>
        <v>22</v>
      </c>
      <c r="K29" s="20">
        <v>465.37</v>
      </c>
      <c r="L29" s="20">
        <f t="shared" si="1"/>
        <v>10238.14</v>
      </c>
      <c r="M29" s="17" t="s">
        <v>126</v>
      </c>
      <c r="N29" s="20" t="s">
        <v>124</v>
      </c>
      <c r="O29" s="8" t="s">
        <v>4</v>
      </c>
      <c r="P29" s="21" t="str">
        <f>VLOOKUP(K29, Intervalos!$B$3:$C$8,2,TRUE)</f>
        <v>0,10%</v>
      </c>
    </row>
    <row r="30" spans="1:16" s="16" customFormat="1" ht="85.05" customHeight="1" x14ac:dyDescent="0.2">
      <c r="A30" s="17" t="s">
        <v>126</v>
      </c>
      <c r="B30" s="17">
        <v>25</v>
      </c>
      <c r="C30" s="18" t="s">
        <v>132</v>
      </c>
      <c r="D30" s="18" t="s">
        <v>121</v>
      </c>
      <c r="E30" s="19">
        <v>287945</v>
      </c>
      <c r="F30" s="18" t="s">
        <v>126</v>
      </c>
      <c r="G30" s="18">
        <v>113</v>
      </c>
      <c r="H30" s="18">
        <v>500</v>
      </c>
      <c r="I30" s="18">
        <v>0</v>
      </c>
      <c r="J30" s="18">
        <f t="shared" si="0"/>
        <v>613</v>
      </c>
      <c r="K30" s="20">
        <v>64.260000000000005</v>
      </c>
      <c r="L30" s="20">
        <f t="shared" si="1"/>
        <v>39391.380000000005</v>
      </c>
      <c r="M30" s="17" t="s">
        <v>126</v>
      </c>
      <c r="N30" s="20" t="s">
        <v>124</v>
      </c>
      <c r="O30" s="8" t="s">
        <v>4</v>
      </c>
      <c r="P30" s="21">
        <f>VLOOKUP(K30, Intervalos!$B$3:$C$8,2,TRUE)</f>
        <v>0.1</v>
      </c>
    </row>
    <row r="31" spans="1:16" s="16" customFormat="1" ht="85.05" customHeight="1" x14ac:dyDescent="0.2">
      <c r="A31" s="17" t="s">
        <v>126</v>
      </c>
      <c r="B31" s="17">
        <v>26</v>
      </c>
      <c r="C31" s="18" t="s">
        <v>52</v>
      </c>
      <c r="D31" s="18" t="s">
        <v>121</v>
      </c>
      <c r="E31" s="19">
        <v>629805</v>
      </c>
      <c r="F31" s="18" t="s">
        <v>126</v>
      </c>
      <c r="G31" s="18">
        <v>94</v>
      </c>
      <c r="H31" s="18">
        <v>8</v>
      </c>
      <c r="I31" s="18">
        <v>1473</v>
      </c>
      <c r="J31" s="18">
        <f t="shared" si="0"/>
        <v>1575</v>
      </c>
      <c r="K31" s="20">
        <v>773.7</v>
      </c>
      <c r="L31" s="20">
        <f t="shared" si="1"/>
        <v>1218577.5</v>
      </c>
      <c r="M31" s="17" t="s">
        <v>126</v>
      </c>
      <c r="N31" s="20" t="s">
        <v>125</v>
      </c>
      <c r="O31" s="8" t="s">
        <v>4</v>
      </c>
      <c r="P31" s="21" t="str">
        <f>VLOOKUP(K31, Intervalos!$B$3:$C$8,2,TRUE)</f>
        <v>0,10%</v>
      </c>
    </row>
    <row r="32" spans="1:16" s="16" customFormat="1" ht="85.05" customHeight="1" x14ac:dyDescent="0.2">
      <c r="A32" s="17" t="s">
        <v>126</v>
      </c>
      <c r="B32" s="17">
        <v>27</v>
      </c>
      <c r="C32" s="18" t="s">
        <v>53</v>
      </c>
      <c r="D32" s="18" t="s">
        <v>121</v>
      </c>
      <c r="E32" s="19">
        <v>340244</v>
      </c>
      <c r="F32" s="18" t="s">
        <v>126</v>
      </c>
      <c r="G32" s="24">
        <v>15</v>
      </c>
      <c r="H32" s="24">
        <v>5</v>
      </c>
      <c r="I32" s="24">
        <v>0</v>
      </c>
      <c r="J32" s="18">
        <f t="shared" si="0"/>
        <v>20</v>
      </c>
      <c r="K32" s="20">
        <v>1029.33</v>
      </c>
      <c r="L32" s="20">
        <f t="shared" si="1"/>
        <v>20586.599999999999</v>
      </c>
      <c r="M32" s="17" t="s">
        <v>126</v>
      </c>
      <c r="N32" s="20" t="s">
        <v>124</v>
      </c>
      <c r="O32" s="8" t="s">
        <v>4</v>
      </c>
      <c r="P32" s="21" t="str">
        <f>VLOOKUP(K32, Intervalos!$B$3:$C$8,2,TRUE)</f>
        <v>0,10%</v>
      </c>
    </row>
    <row r="33" spans="1:16" s="16" customFormat="1" ht="85.05" customHeight="1" x14ac:dyDescent="0.2">
      <c r="A33" s="17" t="s">
        <v>126</v>
      </c>
      <c r="B33" s="17">
        <v>28</v>
      </c>
      <c r="C33" s="18" t="s">
        <v>54</v>
      </c>
      <c r="D33" s="18" t="s">
        <v>121</v>
      </c>
      <c r="E33" s="19">
        <v>468762</v>
      </c>
      <c r="F33" s="18" t="s">
        <v>126</v>
      </c>
      <c r="G33" s="18">
        <v>113</v>
      </c>
      <c r="H33" s="18">
        <v>6</v>
      </c>
      <c r="I33" s="18">
        <v>0</v>
      </c>
      <c r="J33" s="18">
        <f t="shared" si="0"/>
        <v>119</v>
      </c>
      <c r="K33" s="20">
        <v>298</v>
      </c>
      <c r="L33" s="20">
        <f t="shared" si="1"/>
        <v>35462</v>
      </c>
      <c r="M33" s="17" t="s">
        <v>126</v>
      </c>
      <c r="N33" s="20" t="s">
        <v>124</v>
      </c>
      <c r="O33" s="8" t="s">
        <v>4</v>
      </c>
      <c r="P33" s="21" t="str">
        <f>VLOOKUP(K33, Intervalos!$B$3:$C$8,2,TRUE)</f>
        <v>0,10%</v>
      </c>
    </row>
    <row r="34" spans="1:16" s="16" customFormat="1" ht="85.05" customHeight="1" x14ac:dyDescent="0.2">
      <c r="A34" s="17" t="s">
        <v>126</v>
      </c>
      <c r="B34" s="17">
        <v>29</v>
      </c>
      <c r="C34" s="18" t="s">
        <v>55</v>
      </c>
      <c r="D34" s="18" t="s">
        <v>121</v>
      </c>
      <c r="E34" s="19">
        <v>288544</v>
      </c>
      <c r="F34" s="18" t="s">
        <v>126</v>
      </c>
      <c r="G34" s="24">
        <f>644-29</f>
        <v>615</v>
      </c>
      <c r="H34" s="24">
        <v>12</v>
      </c>
      <c r="I34" s="24">
        <v>0</v>
      </c>
      <c r="J34" s="18">
        <f t="shared" si="0"/>
        <v>627</v>
      </c>
      <c r="K34" s="20">
        <v>225.67</v>
      </c>
      <c r="L34" s="20">
        <f t="shared" si="1"/>
        <v>141495.09</v>
      </c>
      <c r="M34" s="17" t="s">
        <v>126</v>
      </c>
      <c r="N34" s="20" t="s">
        <v>125</v>
      </c>
      <c r="O34" s="8" t="s">
        <v>4</v>
      </c>
      <c r="P34" s="21" t="str">
        <f>VLOOKUP(K34, Intervalos!$B$3:$C$8,2,TRUE)</f>
        <v>0,10%</v>
      </c>
    </row>
    <row r="35" spans="1:16" s="16" customFormat="1" ht="85.05" customHeight="1" x14ac:dyDescent="0.2">
      <c r="A35" s="17" t="s">
        <v>126</v>
      </c>
      <c r="B35" s="17">
        <v>30</v>
      </c>
      <c r="C35" s="18" t="s">
        <v>56</v>
      </c>
      <c r="D35" s="18" t="s">
        <v>121</v>
      </c>
      <c r="E35" s="19">
        <v>469126</v>
      </c>
      <c r="F35" s="18" t="s">
        <v>126</v>
      </c>
      <c r="G35" s="18">
        <v>27</v>
      </c>
      <c r="H35" s="18">
        <v>2</v>
      </c>
      <c r="I35" s="18">
        <v>0</v>
      </c>
      <c r="J35" s="18">
        <f t="shared" si="0"/>
        <v>29</v>
      </c>
      <c r="K35" s="20">
        <v>1485.75</v>
      </c>
      <c r="L35" s="20">
        <f t="shared" si="1"/>
        <v>43086.75</v>
      </c>
      <c r="M35" s="17" t="s">
        <v>126</v>
      </c>
      <c r="N35" s="20" t="s">
        <v>124</v>
      </c>
      <c r="O35" s="8" t="s">
        <v>4</v>
      </c>
      <c r="P35" s="21" t="str">
        <f>VLOOKUP(K35, Intervalos!$B$3:$C$8,2,TRUE)</f>
        <v>0,10%</v>
      </c>
    </row>
    <row r="36" spans="1:16" s="16" customFormat="1" ht="85.05" customHeight="1" x14ac:dyDescent="0.2">
      <c r="A36" s="17" t="s">
        <v>126</v>
      </c>
      <c r="B36" s="17">
        <v>31</v>
      </c>
      <c r="C36" s="18" t="s">
        <v>57</v>
      </c>
      <c r="D36" s="18" t="s">
        <v>121</v>
      </c>
      <c r="E36" s="19">
        <v>390178</v>
      </c>
      <c r="F36" s="18" t="s">
        <v>126</v>
      </c>
      <c r="G36" s="24">
        <f>218-14</f>
        <v>204</v>
      </c>
      <c r="H36" s="24">
        <v>16</v>
      </c>
      <c r="I36" s="24">
        <v>2447</v>
      </c>
      <c r="J36" s="18">
        <f t="shared" si="0"/>
        <v>2667</v>
      </c>
      <c r="K36" s="20">
        <v>805.67</v>
      </c>
      <c r="L36" s="20">
        <f t="shared" si="1"/>
        <v>2148721.8899999997</v>
      </c>
      <c r="M36" s="17" t="s">
        <v>126</v>
      </c>
      <c r="N36" s="20" t="s">
        <v>125</v>
      </c>
      <c r="O36" s="8" t="s">
        <v>4</v>
      </c>
      <c r="P36" s="21" t="str">
        <f>VLOOKUP(K36, Intervalos!$B$3:$C$8,2,TRUE)</f>
        <v>0,10%</v>
      </c>
    </row>
    <row r="37" spans="1:16" s="16" customFormat="1" ht="85.05" customHeight="1" x14ac:dyDescent="0.2">
      <c r="A37" s="17" t="s">
        <v>126</v>
      </c>
      <c r="B37" s="17">
        <v>32</v>
      </c>
      <c r="C37" s="18" t="s">
        <v>58</v>
      </c>
      <c r="D37" s="18" t="s">
        <v>121</v>
      </c>
      <c r="E37" s="19">
        <v>629806</v>
      </c>
      <c r="F37" s="18" t="s">
        <v>126</v>
      </c>
      <c r="G37" s="24">
        <f>854-71-50</f>
        <v>733</v>
      </c>
      <c r="H37" s="24">
        <v>4</v>
      </c>
      <c r="I37" s="24">
        <v>0</v>
      </c>
      <c r="J37" s="18">
        <f t="shared" si="0"/>
        <v>737</v>
      </c>
      <c r="K37" s="20">
        <v>600</v>
      </c>
      <c r="L37" s="20">
        <f t="shared" si="1"/>
        <v>442200</v>
      </c>
      <c r="M37" s="17" t="s">
        <v>126</v>
      </c>
      <c r="N37" s="20" t="s">
        <v>125</v>
      </c>
      <c r="O37" s="8" t="s">
        <v>4</v>
      </c>
      <c r="P37" s="21" t="str">
        <f>VLOOKUP(K37, Intervalos!$B$3:$C$8,2,TRUE)</f>
        <v>0,10%</v>
      </c>
    </row>
    <row r="38" spans="1:16" s="16" customFormat="1" ht="85.05" customHeight="1" x14ac:dyDescent="0.2">
      <c r="A38" s="17" t="s">
        <v>126</v>
      </c>
      <c r="B38" s="17">
        <v>33</v>
      </c>
      <c r="C38" s="18" t="s">
        <v>59</v>
      </c>
      <c r="D38" s="18" t="s">
        <v>121</v>
      </c>
      <c r="E38" s="19">
        <v>305422</v>
      </c>
      <c r="F38" s="18" t="s">
        <v>126</v>
      </c>
      <c r="G38" s="24">
        <f>63-8</f>
        <v>55</v>
      </c>
      <c r="H38" s="24">
        <v>2</v>
      </c>
      <c r="I38" s="24">
        <v>0</v>
      </c>
      <c r="J38" s="18">
        <f t="shared" si="0"/>
        <v>57</v>
      </c>
      <c r="K38" s="20">
        <v>2429.9899999999998</v>
      </c>
      <c r="L38" s="20">
        <f t="shared" si="1"/>
        <v>138509.43</v>
      </c>
      <c r="M38" s="17" t="s">
        <v>126</v>
      </c>
      <c r="N38" s="20" t="s">
        <v>125</v>
      </c>
      <c r="O38" s="8" t="s">
        <v>4</v>
      </c>
      <c r="P38" s="21" t="str">
        <f>VLOOKUP(K38, Intervalos!$B$3:$C$8,2,TRUE)</f>
        <v>0,10%</v>
      </c>
    </row>
    <row r="39" spans="1:16" s="16" customFormat="1" ht="85.05" customHeight="1" x14ac:dyDescent="0.2">
      <c r="A39" s="17" t="s">
        <v>126</v>
      </c>
      <c r="B39" s="17">
        <v>34</v>
      </c>
      <c r="C39" s="18" t="s">
        <v>60</v>
      </c>
      <c r="D39" s="18" t="s">
        <v>121</v>
      </c>
      <c r="E39" s="19">
        <v>486437</v>
      </c>
      <c r="F39" s="18" t="s">
        <v>126</v>
      </c>
      <c r="G39" s="24">
        <f>30-4</f>
        <v>26</v>
      </c>
      <c r="H39" s="24">
        <v>2</v>
      </c>
      <c r="I39" s="24">
        <v>0</v>
      </c>
      <c r="J39" s="18">
        <f t="shared" si="0"/>
        <v>28</v>
      </c>
      <c r="K39" s="20">
        <v>1607.85</v>
      </c>
      <c r="L39" s="20">
        <f t="shared" si="1"/>
        <v>45019.799999999996</v>
      </c>
      <c r="M39" s="17" t="s">
        <v>126</v>
      </c>
      <c r="N39" s="20" t="s">
        <v>124</v>
      </c>
      <c r="O39" s="8" t="s">
        <v>4</v>
      </c>
      <c r="P39" s="21" t="str">
        <f>VLOOKUP(K39, Intervalos!$B$3:$C$8,2,TRUE)</f>
        <v>0,10%</v>
      </c>
    </row>
    <row r="40" spans="1:16" s="16" customFormat="1" ht="85.05" customHeight="1" x14ac:dyDescent="0.2">
      <c r="A40" s="17" t="s">
        <v>126</v>
      </c>
      <c r="B40" s="17">
        <v>35</v>
      </c>
      <c r="C40" s="18" t="s">
        <v>61</v>
      </c>
      <c r="D40" s="18" t="s">
        <v>121</v>
      </c>
      <c r="E40" s="19">
        <v>623611</v>
      </c>
      <c r="F40" s="18" t="s">
        <v>126</v>
      </c>
      <c r="G40" s="24">
        <f>638-78-20</f>
        <v>540</v>
      </c>
      <c r="H40" s="24">
        <v>100</v>
      </c>
      <c r="I40" s="24">
        <v>0</v>
      </c>
      <c r="J40" s="18">
        <f t="shared" si="0"/>
        <v>640</v>
      </c>
      <c r="K40" s="20">
        <v>310.52</v>
      </c>
      <c r="L40" s="20">
        <f t="shared" si="1"/>
        <v>198732.79999999999</v>
      </c>
      <c r="M40" s="17" t="s">
        <v>126</v>
      </c>
      <c r="N40" s="20" t="s">
        <v>125</v>
      </c>
      <c r="O40" s="8" t="s">
        <v>4</v>
      </c>
      <c r="P40" s="21" t="str">
        <f>VLOOKUP(K40, Intervalos!$B$3:$C$8,2,TRUE)</f>
        <v>0,10%</v>
      </c>
    </row>
    <row r="41" spans="1:16" s="16" customFormat="1" ht="85.05" customHeight="1" x14ac:dyDescent="0.2">
      <c r="A41" s="17" t="s">
        <v>126</v>
      </c>
      <c r="B41" s="17">
        <v>36</v>
      </c>
      <c r="C41" s="18" t="s">
        <v>62</v>
      </c>
      <c r="D41" s="18" t="s">
        <v>121</v>
      </c>
      <c r="E41" s="19">
        <v>623611</v>
      </c>
      <c r="F41" s="18" t="s">
        <v>126</v>
      </c>
      <c r="G41" s="24">
        <f>750-100-20</f>
        <v>630</v>
      </c>
      <c r="H41" s="24">
        <v>20</v>
      </c>
      <c r="I41" s="24">
        <v>0</v>
      </c>
      <c r="J41" s="18">
        <f t="shared" si="0"/>
        <v>650</v>
      </c>
      <c r="K41" s="20">
        <v>375.5</v>
      </c>
      <c r="L41" s="20">
        <f t="shared" si="1"/>
        <v>244075</v>
      </c>
      <c r="M41" s="17" t="s">
        <v>126</v>
      </c>
      <c r="N41" s="20" t="s">
        <v>125</v>
      </c>
      <c r="O41" s="8" t="s">
        <v>4</v>
      </c>
      <c r="P41" s="21" t="str">
        <f>VLOOKUP(K41, Intervalos!$B$3:$C$8,2,TRUE)</f>
        <v>0,10%</v>
      </c>
    </row>
    <row r="42" spans="1:16" s="16" customFormat="1" ht="85.05" customHeight="1" x14ac:dyDescent="0.2">
      <c r="A42" s="17" t="s">
        <v>126</v>
      </c>
      <c r="B42" s="17">
        <v>37</v>
      </c>
      <c r="C42" s="18" t="s">
        <v>63</v>
      </c>
      <c r="D42" s="18" t="s">
        <v>121</v>
      </c>
      <c r="E42" s="19">
        <v>627414</v>
      </c>
      <c r="F42" s="18" t="s">
        <v>126</v>
      </c>
      <c r="G42" s="24">
        <f>1800-350-10</f>
        <v>1440</v>
      </c>
      <c r="H42" s="24">
        <v>0</v>
      </c>
      <c r="I42" s="24">
        <v>0</v>
      </c>
      <c r="J42" s="18">
        <f t="shared" si="0"/>
        <v>1440</v>
      </c>
      <c r="K42" s="20">
        <v>229.63</v>
      </c>
      <c r="L42" s="20">
        <f t="shared" si="1"/>
        <v>330667.2</v>
      </c>
      <c r="M42" s="17" t="s">
        <v>126</v>
      </c>
      <c r="N42" s="20" t="s">
        <v>125</v>
      </c>
      <c r="O42" s="8" t="s">
        <v>4</v>
      </c>
      <c r="P42" s="21" t="str">
        <f>VLOOKUP(K42, Intervalos!$B$3:$C$8,2,TRUE)</f>
        <v>0,10%</v>
      </c>
    </row>
    <row r="43" spans="1:16" s="16" customFormat="1" ht="85.05" customHeight="1" x14ac:dyDescent="0.2">
      <c r="A43" s="17" t="s">
        <v>126</v>
      </c>
      <c r="B43" s="17">
        <v>38</v>
      </c>
      <c r="C43" s="18" t="s">
        <v>64</v>
      </c>
      <c r="D43" s="18" t="s">
        <v>121</v>
      </c>
      <c r="E43" s="19">
        <v>232339</v>
      </c>
      <c r="F43" s="18" t="s">
        <v>126</v>
      </c>
      <c r="G43" s="24">
        <f>175-35</f>
        <v>140</v>
      </c>
      <c r="H43" s="24">
        <v>0</v>
      </c>
      <c r="I43" s="24">
        <v>0</v>
      </c>
      <c r="J43" s="18">
        <f t="shared" si="0"/>
        <v>140</v>
      </c>
      <c r="K43" s="20">
        <v>779.51</v>
      </c>
      <c r="L43" s="20">
        <f t="shared" si="1"/>
        <v>109131.4</v>
      </c>
      <c r="M43" s="17" t="s">
        <v>126</v>
      </c>
      <c r="N43" s="20" t="s">
        <v>125</v>
      </c>
      <c r="O43" s="8" t="s">
        <v>4</v>
      </c>
      <c r="P43" s="21" t="str">
        <f>VLOOKUP(K43, Intervalos!$B$3:$C$8,2,TRUE)</f>
        <v>0,10%</v>
      </c>
    </row>
    <row r="44" spans="1:16" s="16" customFormat="1" ht="85.05" customHeight="1" x14ac:dyDescent="0.2">
      <c r="A44" s="17" t="s">
        <v>126</v>
      </c>
      <c r="B44" s="17">
        <v>39</v>
      </c>
      <c r="C44" s="18" t="s">
        <v>65</v>
      </c>
      <c r="D44" s="18" t="s">
        <v>121</v>
      </c>
      <c r="E44" s="19">
        <v>444245</v>
      </c>
      <c r="F44" s="18" t="s">
        <v>126</v>
      </c>
      <c r="G44" s="18">
        <v>10</v>
      </c>
      <c r="H44" s="18">
        <v>3</v>
      </c>
      <c r="I44" s="18">
        <v>0</v>
      </c>
      <c r="J44" s="18">
        <f t="shared" si="0"/>
        <v>13</v>
      </c>
      <c r="K44" s="20">
        <v>222.72</v>
      </c>
      <c r="L44" s="20">
        <f t="shared" si="1"/>
        <v>2895.36</v>
      </c>
      <c r="M44" s="17" t="s">
        <v>126</v>
      </c>
      <c r="N44" s="20" t="s">
        <v>124</v>
      </c>
      <c r="O44" s="8" t="s">
        <v>4</v>
      </c>
      <c r="P44" s="21" t="str">
        <f>VLOOKUP(K44, Intervalos!$B$3:$C$8,2,TRUE)</f>
        <v>0,10%</v>
      </c>
    </row>
    <row r="45" spans="1:16" s="16" customFormat="1" ht="85.05" customHeight="1" x14ac:dyDescent="0.2">
      <c r="A45" s="17" t="s">
        <v>126</v>
      </c>
      <c r="B45" s="17">
        <v>40</v>
      </c>
      <c r="C45" s="18" t="s">
        <v>66</v>
      </c>
      <c r="D45" s="18" t="s">
        <v>121</v>
      </c>
      <c r="E45" s="19">
        <v>259533</v>
      </c>
      <c r="F45" s="18" t="s">
        <v>126</v>
      </c>
      <c r="G45" s="18">
        <v>10</v>
      </c>
      <c r="H45" s="18">
        <v>5</v>
      </c>
      <c r="I45" s="18">
        <v>0</v>
      </c>
      <c r="J45" s="18">
        <f t="shared" si="0"/>
        <v>15</v>
      </c>
      <c r="K45" s="20">
        <v>706.94</v>
      </c>
      <c r="L45" s="20">
        <f t="shared" si="1"/>
        <v>10604.1</v>
      </c>
      <c r="M45" s="17" t="s">
        <v>126</v>
      </c>
      <c r="N45" s="20" t="s">
        <v>124</v>
      </c>
      <c r="O45" s="8" t="s">
        <v>4</v>
      </c>
      <c r="P45" s="21" t="str">
        <f>VLOOKUP(K45, Intervalos!$B$3:$C$8,2,TRUE)</f>
        <v>0,10%</v>
      </c>
    </row>
    <row r="46" spans="1:16" s="16" customFormat="1" ht="85.05" customHeight="1" x14ac:dyDescent="0.2">
      <c r="A46" s="17" t="s">
        <v>126</v>
      </c>
      <c r="B46" s="17">
        <v>41</v>
      </c>
      <c r="C46" s="18" t="s">
        <v>67</v>
      </c>
      <c r="D46" s="18" t="s">
        <v>121</v>
      </c>
      <c r="E46" s="19">
        <v>245681</v>
      </c>
      <c r="F46" s="18" t="s">
        <v>126</v>
      </c>
      <c r="G46" s="18">
        <v>4</v>
      </c>
      <c r="H46" s="18">
        <v>5</v>
      </c>
      <c r="I46" s="18">
        <v>131</v>
      </c>
      <c r="J46" s="18">
        <f t="shared" si="0"/>
        <v>140</v>
      </c>
      <c r="K46" s="20">
        <v>315.67</v>
      </c>
      <c r="L46" s="20">
        <f t="shared" si="1"/>
        <v>44193.8</v>
      </c>
      <c r="M46" s="17" t="s">
        <v>126</v>
      </c>
      <c r="N46" s="20" t="s">
        <v>124</v>
      </c>
      <c r="O46" s="8" t="s">
        <v>4</v>
      </c>
      <c r="P46" s="21" t="str">
        <f>VLOOKUP(K46, Intervalos!$B$3:$C$8,2,TRUE)</f>
        <v>0,10%</v>
      </c>
    </row>
    <row r="47" spans="1:16" s="16" customFormat="1" ht="85.05" customHeight="1" x14ac:dyDescent="0.2">
      <c r="A47" s="17" t="s">
        <v>126</v>
      </c>
      <c r="B47" s="17">
        <v>42</v>
      </c>
      <c r="C47" s="18" t="s">
        <v>68</v>
      </c>
      <c r="D47" s="18" t="s">
        <v>121</v>
      </c>
      <c r="E47" s="19">
        <v>234164</v>
      </c>
      <c r="F47" s="18" t="s">
        <v>126</v>
      </c>
      <c r="G47" s="18">
        <v>37</v>
      </c>
      <c r="H47" s="18">
        <v>12</v>
      </c>
      <c r="I47" s="18">
        <v>0</v>
      </c>
      <c r="J47" s="18">
        <f t="shared" si="0"/>
        <v>49</v>
      </c>
      <c r="K47" s="20">
        <v>44</v>
      </c>
      <c r="L47" s="20">
        <f t="shared" si="1"/>
        <v>2156</v>
      </c>
      <c r="M47" s="17" t="s">
        <v>126</v>
      </c>
      <c r="N47" s="20" t="s">
        <v>124</v>
      </c>
      <c r="O47" s="8" t="s">
        <v>4</v>
      </c>
      <c r="P47" s="21">
        <f>VLOOKUP(K47, Intervalos!$B$3:$C$8,2,TRUE)</f>
        <v>0.05</v>
      </c>
    </row>
    <row r="48" spans="1:16" s="16" customFormat="1" ht="85.05" customHeight="1" x14ac:dyDescent="0.2">
      <c r="A48" s="17" t="s">
        <v>126</v>
      </c>
      <c r="B48" s="17">
        <v>43</v>
      </c>
      <c r="C48" s="18" t="s">
        <v>69</v>
      </c>
      <c r="D48" s="18" t="s">
        <v>121</v>
      </c>
      <c r="E48" s="19">
        <v>612073</v>
      </c>
      <c r="F48" s="18" t="s">
        <v>28</v>
      </c>
      <c r="G48" s="18">
        <v>3</v>
      </c>
      <c r="H48" s="18">
        <v>10</v>
      </c>
      <c r="I48" s="18">
        <v>0</v>
      </c>
      <c r="J48" s="18">
        <f t="shared" si="0"/>
        <v>13</v>
      </c>
      <c r="K48" s="20">
        <v>1122.3</v>
      </c>
      <c r="L48" s="20">
        <f t="shared" si="1"/>
        <v>14589.9</v>
      </c>
      <c r="M48" s="17" t="s">
        <v>126</v>
      </c>
      <c r="N48" s="20" t="s">
        <v>124</v>
      </c>
      <c r="O48" s="8" t="s">
        <v>4</v>
      </c>
      <c r="P48" s="21" t="str">
        <f>VLOOKUP(K48, Intervalos!$B$3:$C$8,2,TRUE)</f>
        <v>0,10%</v>
      </c>
    </row>
    <row r="49" spans="1:16" s="16" customFormat="1" ht="85.05" customHeight="1" x14ac:dyDescent="0.2">
      <c r="A49" s="17" t="s">
        <v>126</v>
      </c>
      <c r="B49" s="17">
        <v>44</v>
      </c>
      <c r="C49" s="18" t="s">
        <v>70</v>
      </c>
      <c r="D49" s="18" t="s">
        <v>121</v>
      </c>
      <c r="E49" s="19">
        <v>275333</v>
      </c>
      <c r="F49" s="18" t="s">
        <v>126</v>
      </c>
      <c r="G49" s="18">
        <v>10</v>
      </c>
      <c r="H49" s="18">
        <v>0</v>
      </c>
      <c r="I49" s="18">
        <v>0</v>
      </c>
      <c r="J49" s="18">
        <f t="shared" si="0"/>
        <v>10</v>
      </c>
      <c r="K49" s="20">
        <v>220.95</v>
      </c>
      <c r="L49" s="20">
        <f t="shared" si="1"/>
        <v>2209.5</v>
      </c>
      <c r="M49" s="17" t="s">
        <v>126</v>
      </c>
      <c r="N49" s="20" t="s">
        <v>124</v>
      </c>
      <c r="O49" s="8" t="s">
        <v>4</v>
      </c>
      <c r="P49" s="21" t="str">
        <f>VLOOKUP(K49, Intervalos!$B$3:$C$8,2,TRUE)</f>
        <v>0,10%</v>
      </c>
    </row>
    <row r="50" spans="1:16" s="16" customFormat="1" ht="85.05" customHeight="1" x14ac:dyDescent="0.2">
      <c r="A50" s="17" t="s">
        <v>126</v>
      </c>
      <c r="B50" s="17">
        <v>45</v>
      </c>
      <c r="C50" s="18" t="s">
        <v>71</v>
      </c>
      <c r="D50" s="18" t="s">
        <v>121</v>
      </c>
      <c r="E50" s="19">
        <v>631574</v>
      </c>
      <c r="F50" s="18" t="s">
        <v>126</v>
      </c>
      <c r="G50" s="24">
        <f>170-24-5</f>
        <v>141</v>
      </c>
      <c r="H50" s="24">
        <v>3</v>
      </c>
      <c r="I50" s="24">
        <v>0</v>
      </c>
      <c r="J50" s="18">
        <f t="shared" si="0"/>
        <v>144</v>
      </c>
      <c r="K50" s="20">
        <v>2783.62</v>
      </c>
      <c r="L50" s="20">
        <f t="shared" si="1"/>
        <v>400841.27999999997</v>
      </c>
      <c r="M50" s="17" t="s">
        <v>126</v>
      </c>
      <c r="N50" s="20" t="s">
        <v>125</v>
      </c>
      <c r="O50" s="8" t="s">
        <v>4</v>
      </c>
      <c r="P50" s="21" t="str">
        <f>VLOOKUP(K50, Intervalos!$B$3:$C$8,2,TRUE)</f>
        <v>0,10%</v>
      </c>
    </row>
    <row r="51" spans="1:16" s="16" customFormat="1" ht="85.05" customHeight="1" x14ac:dyDescent="0.2">
      <c r="A51" s="17" t="s">
        <v>126</v>
      </c>
      <c r="B51" s="17">
        <v>46</v>
      </c>
      <c r="C51" s="18" t="s">
        <v>72</v>
      </c>
      <c r="D51" s="18" t="s">
        <v>121</v>
      </c>
      <c r="E51" s="19">
        <v>631574</v>
      </c>
      <c r="F51" s="18" t="s">
        <v>126</v>
      </c>
      <c r="G51" s="24">
        <f>29-4</f>
        <v>25</v>
      </c>
      <c r="H51" s="24">
        <v>2</v>
      </c>
      <c r="I51" s="24">
        <v>0</v>
      </c>
      <c r="J51" s="18">
        <f t="shared" si="0"/>
        <v>27</v>
      </c>
      <c r="K51" s="20">
        <v>1860.99</v>
      </c>
      <c r="L51" s="20">
        <f t="shared" si="1"/>
        <v>50246.73</v>
      </c>
      <c r="M51" s="17" t="s">
        <v>126</v>
      </c>
      <c r="N51" s="20" t="s">
        <v>124</v>
      </c>
      <c r="O51" s="8" t="s">
        <v>4</v>
      </c>
      <c r="P51" s="21" t="str">
        <f>VLOOKUP(K51, Intervalos!$B$3:$C$8,2,TRUE)</f>
        <v>0,10%</v>
      </c>
    </row>
    <row r="52" spans="1:16" s="16" customFormat="1" ht="85.05" customHeight="1" x14ac:dyDescent="0.2">
      <c r="A52" s="17" t="s">
        <v>126</v>
      </c>
      <c r="B52" s="17">
        <v>47</v>
      </c>
      <c r="C52" s="18" t="s">
        <v>73</v>
      </c>
      <c r="D52" s="18" t="s">
        <v>121</v>
      </c>
      <c r="E52" s="19">
        <v>460829</v>
      </c>
      <c r="F52" s="18" t="s">
        <v>126</v>
      </c>
      <c r="G52" s="18">
        <v>4</v>
      </c>
      <c r="H52" s="18">
        <v>0</v>
      </c>
      <c r="I52" s="18">
        <v>0</v>
      </c>
      <c r="J52" s="18">
        <f t="shared" si="0"/>
        <v>4</v>
      </c>
      <c r="K52" s="20">
        <v>1126.33</v>
      </c>
      <c r="L52" s="20">
        <f t="shared" si="1"/>
        <v>4505.32</v>
      </c>
      <c r="M52" s="17" t="s">
        <v>126</v>
      </c>
      <c r="N52" s="20" t="s">
        <v>124</v>
      </c>
      <c r="O52" s="8" t="s">
        <v>4</v>
      </c>
      <c r="P52" s="21" t="str">
        <f>VLOOKUP(K52, Intervalos!$B$3:$C$8,2,TRUE)</f>
        <v>0,10%</v>
      </c>
    </row>
    <row r="53" spans="1:16" s="16" customFormat="1" ht="85.05" customHeight="1" x14ac:dyDescent="0.2">
      <c r="A53" s="17" t="s">
        <v>126</v>
      </c>
      <c r="B53" s="17">
        <v>48</v>
      </c>
      <c r="C53" s="18" t="s">
        <v>74</v>
      </c>
      <c r="D53" s="18" t="s">
        <v>121</v>
      </c>
      <c r="E53" s="19">
        <v>601268</v>
      </c>
      <c r="F53" s="18" t="s">
        <v>126</v>
      </c>
      <c r="G53" s="24">
        <f>48-10</f>
        <v>38</v>
      </c>
      <c r="H53" s="24">
        <v>0</v>
      </c>
      <c r="I53" s="24">
        <v>0</v>
      </c>
      <c r="J53" s="18">
        <f t="shared" si="0"/>
        <v>38</v>
      </c>
      <c r="K53" s="20">
        <v>914.33</v>
      </c>
      <c r="L53" s="20">
        <f t="shared" si="1"/>
        <v>34744.54</v>
      </c>
      <c r="M53" s="17" t="s">
        <v>126</v>
      </c>
      <c r="N53" s="20" t="s">
        <v>124</v>
      </c>
      <c r="O53" s="8" t="s">
        <v>4</v>
      </c>
      <c r="P53" s="21" t="str">
        <f>VLOOKUP(K53, Intervalos!$B$3:$C$8,2,TRUE)</f>
        <v>0,10%</v>
      </c>
    </row>
    <row r="54" spans="1:16" s="16" customFormat="1" ht="85.05" customHeight="1" x14ac:dyDescent="0.2">
      <c r="A54" s="17" t="s">
        <v>126</v>
      </c>
      <c r="B54" s="17">
        <v>49</v>
      </c>
      <c r="C54" s="18" t="s">
        <v>75</v>
      </c>
      <c r="D54" s="18" t="s">
        <v>121</v>
      </c>
      <c r="E54" s="19">
        <v>271892</v>
      </c>
      <c r="F54" s="18" t="s">
        <v>126</v>
      </c>
      <c r="G54" s="24">
        <f>44-9</f>
        <v>35</v>
      </c>
      <c r="H54" s="24">
        <v>0</v>
      </c>
      <c r="I54" s="24">
        <v>0</v>
      </c>
      <c r="J54" s="18">
        <f t="shared" si="0"/>
        <v>35</v>
      </c>
      <c r="K54" s="20">
        <v>997.97</v>
      </c>
      <c r="L54" s="20">
        <f t="shared" si="1"/>
        <v>34928.950000000004</v>
      </c>
      <c r="M54" s="17" t="s">
        <v>126</v>
      </c>
      <c r="N54" s="20" t="s">
        <v>124</v>
      </c>
      <c r="O54" s="8" t="s">
        <v>4</v>
      </c>
      <c r="P54" s="21" t="str">
        <f>VLOOKUP(K54, Intervalos!$B$3:$C$8,2,TRUE)</f>
        <v>0,10%</v>
      </c>
    </row>
    <row r="55" spans="1:16" s="16" customFormat="1" ht="85.05" customHeight="1" x14ac:dyDescent="0.2">
      <c r="A55" s="17" t="s">
        <v>126</v>
      </c>
      <c r="B55" s="17">
        <v>50</v>
      </c>
      <c r="C55" s="18" t="s">
        <v>76</v>
      </c>
      <c r="D55" s="18" t="s">
        <v>121</v>
      </c>
      <c r="E55" s="19">
        <v>630636</v>
      </c>
      <c r="F55" s="18" t="s">
        <v>126</v>
      </c>
      <c r="G55" s="24">
        <f>38-5</f>
        <v>33</v>
      </c>
      <c r="H55" s="24">
        <v>0</v>
      </c>
      <c r="I55" s="24">
        <v>0</v>
      </c>
      <c r="J55" s="18">
        <f t="shared" si="0"/>
        <v>33</v>
      </c>
      <c r="K55" s="20">
        <v>700</v>
      </c>
      <c r="L55" s="20">
        <f t="shared" si="1"/>
        <v>23100</v>
      </c>
      <c r="M55" s="17" t="s">
        <v>126</v>
      </c>
      <c r="N55" s="20" t="s">
        <v>124</v>
      </c>
      <c r="O55" s="8" t="s">
        <v>4</v>
      </c>
      <c r="P55" s="21" t="str">
        <f>VLOOKUP(K55, Intervalos!$B$3:$C$8,2,TRUE)</f>
        <v>0,10%</v>
      </c>
    </row>
    <row r="56" spans="1:16" s="16" customFormat="1" ht="85.05" customHeight="1" x14ac:dyDescent="0.2">
      <c r="A56" s="17" t="s">
        <v>126</v>
      </c>
      <c r="B56" s="17">
        <v>51</v>
      </c>
      <c r="C56" s="18" t="s">
        <v>77</v>
      </c>
      <c r="D56" s="18" t="s">
        <v>121</v>
      </c>
      <c r="E56" s="19">
        <v>207358</v>
      </c>
      <c r="F56" s="18" t="s">
        <v>126</v>
      </c>
      <c r="G56" s="24">
        <f>39-5</f>
        <v>34</v>
      </c>
      <c r="H56" s="24">
        <v>0</v>
      </c>
      <c r="I56" s="24">
        <v>0</v>
      </c>
      <c r="J56" s="18">
        <f t="shared" si="0"/>
        <v>34</v>
      </c>
      <c r="K56" s="20">
        <v>2099</v>
      </c>
      <c r="L56" s="20">
        <f t="shared" si="1"/>
        <v>71366</v>
      </c>
      <c r="M56" s="17" t="s">
        <v>126</v>
      </c>
      <c r="N56" s="20" t="s">
        <v>124</v>
      </c>
      <c r="O56" s="8" t="s">
        <v>4</v>
      </c>
      <c r="P56" s="21" t="str">
        <f>VLOOKUP(K56, Intervalos!$B$3:$C$8,2,TRUE)</f>
        <v>0,10%</v>
      </c>
    </row>
    <row r="57" spans="1:16" s="16" customFormat="1" ht="85.05" customHeight="1" x14ac:dyDescent="0.2">
      <c r="A57" s="17" t="s">
        <v>126</v>
      </c>
      <c r="B57" s="17">
        <v>52</v>
      </c>
      <c r="C57" s="18" t="s">
        <v>78</v>
      </c>
      <c r="D57" s="18" t="s">
        <v>121</v>
      </c>
      <c r="E57" s="19">
        <v>611482</v>
      </c>
      <c r="F57" s="18" t="s">
        <v>126</v>
      </c>
      <c r="G57" s="18">
        <v>5</v>
      </c>
      <c r="H57" s="18">
        <v>3</v>
      </c>
      <c r="I57" s="18">
        <v>0</v>
      </c>
      <c r="J57" s="18">
        <f t="shared" si="0"/>
        <v>8</v>
      </c>
      <c r="K57" s="20">
        <v>491.48</v>
      </c>
      <c r="L57" s="20">
        <f t="shared" si="1"/>
        <v>3931.84</v>
      </c>
      <c r="M57" s="17" t="s">
        <v>126</v>
      </c>
      <c r="N57" s="20" t="s">
        <v>124</v>
      </c>
      <c r="O57" s="8" t="s">
        <v>4</v>
      </c>
      <c r="P57" s="21" t="str">
        <f>VLOOKUP(K57, Intervalos!$B$3:$C$8,2,TRUE)</f>
        <v>0,10%</v>
      </c>
    </row>
    <row r="58" spans="1:16" s="16" customFormat="1" ht="85.05" customHeight="1" x14ac:dyDescent="0.2">
      <c r="A58" s="17" t="s">
        <v>126</v>
      </c>
      <c r="B58" s="17">
        <v>53</v>
      </c>
      <c r="C58" s="18" t="s">
        <v>79</v>
      </c>
      <c r="D58" s="18" t="s">
        <v>121</v>
      </c>
      <c r="E58" s="19">
        <v>483353</v>
      </c>
      <c r="F58" s="18" t="s">
        <v>28</v>
      </c>
      <c r="G58" s="18">
        <v>17</v>
      </c>
      <c r="H58" s="18">
        <v>0</v>
      </c>
      <c r="I58" s="18">
        <v>0</v>
      </c>
      <c r="J58" s="18">
        <f t="shared" si="0"/>
        <v>17</v>
      </c>
      <c r="K58" s="20">
        <v>658</v>
      </c>
      <c r="L58" s="20">
        <f t="shared" si="1"/>
        <v>11186</v>
      </c>
      <c r="M58" s="17" t="s">
        <v>126</v>
      </c>
      <c r="N58" s="20" t="s">
        <v>124</v>
      </c>
      <c r="O58" s="8" t="s">
        <v>4</v>
      </c>
      <c r="P58" s="21" t="str">
        <f>VLOOKUP(K58, Intervalos!$B$3:$C$8,2,TRUE)</f>
        <v>0,10%</v>
      </c>
    </row>
    <row r="59" spans="1:16" s="16" customFormat="1" ht="85.05" customHeight="1" x14ac:dyDescent="0.2">
      <c r="A59" s="17" t="s">
        <v>126</v>
      </c>
      <c r="B59" s="17">
        <v>54</v>
      </c>
      <c r="C59" s="18" t="s">
        <v>80</v>
      </c>
      <c r="D59" s="18" t="s">
        <v>121</v>
      </c>
      <c r="E59" s="19">
        <v>483353</v>
      </c>
      <c r="F59" s="18" t="s">
        <v>28</v>
      </c>
      <c r="G59" s="18">
        <v>9</v>
      </c>
      <c r="H59" s="18">
        <v>0</v>
      </c>
      <c r="I59" s="18">
        <v>1608</v>
      </c>
      <c r="J59" s="18">
        <f t="shared" si="0"/>
        <v>1617</v>
      </c>
      <c r="K59" s="20">
        <v>750</v>
      </c>
      <c r="L59" s="20">
        <f t="shared" si="1"/>
        <v>1212750</v>
      </c>
      <c r="M59" s="17" t="s">
        <v>126</v>
      </c>
      <c r="N59" s="20" t="s">
        <v>125</v>
      </c>
      <c r="O59" s="8" t="s">
        <v>4</v>
      </c>
      <c r="P59" s="21" t="str">
        <f>VLOOKUP(K59, Intervalos!$B$3:$C$8,2,TRUE)</f>
        <v>0,10%</v>
      </c>
    </row>
    <row r="60" spans="1:16" s="16" customFormat="1" ht="85.05" customHeight="1" x14ac:dyDescent="0.2">
      <c r="A60" s="17" t="s">
        <v>126</v>
      </c>
      <c r="B60" s="17">
        <v>55</v>
      </c>
      <c r="C60" s="18" t="s">
        <v>81</v>
      </c>
      <c r="D60" s="18" t="s">
        <v>121</v>
      </c>
      <c r="E60" s="19">
        <v>363791</v>
      </c>
      <c r="F60" s="18" t="s">
        <v>126</v>
      </c>
      <c r="G60" s="24">
        <f>64-10-3</f>
        <v>51</v>
      </c>
      <c r="H60" s="24">
        <v>4</v>
      </c>
      <c r="I60" s="24">
        <v>0</v>
      </c>
      <c r="J60" s="18">
        <f t="shared" si="0"/>
        <v>55</v>
      </c>
      <c r="K60" s="20">
        <v>416.63</v>
      </c>
      <c r="L60" s="20">
        <f t="shared" si="1"/>
        <v>22914.65</v>
      </c>
      <c r="M60" s="17" t="s">
        <v>126</v>
      </c>
      <c r="N60" s="20" t="s">
        <v>124</v>
      </c>
      <c r="O60" s="8" t="s">
        <v>4</v>
      </c>
      <c r="P60" s="21" t="str">
        <f>VLOOKUP(K60, Intervalos!$B$3:$C$8,2,TRUE)</f>
        <v>0,10%</v>
      </c>
    </row>
    <row r="61" spans="1:16" s="16" customFormat="1" ht="85.05" customHeight="1" x14ac:dyDescent="0.2">
      <c r="A61" s="17" t="s">
        <v>126</v>
      </c>
      <c r="B61" s="17">
        <v>56</v>
      </c>
      <c r="C61" s="18" t="s">
        <v>82</v>
      </c>
      <c r="D61" s="18" t="s">
        <v>121</v>
      </c>
      <c r="E61" s="19">
        <v>623645</v>
      </c>
      <c r="F61" s="18" t="s">
        <v>126</v>
      </c>
      <c r="G61" s="24">
        <f>75-10-5</f>
        <v>60</v>
      </c>
      <c r="H61" s="24">
        <v>8</v>
      </c>
      <c r="I61" s="24">
        <v>465</v>
      </c>
      <c r="J61" s="18">
        <f t="shared" si="0"/>
        <v>533</v>
      </c>
      <c r="K61" s="20">
        <v>521.63</v>
      </c>
      <c r="L61" s="20">
        <f t="shared" si="1"/>
        <v>278028.78999999998</v>
      </c>
      <c r="M61" s="17" t="s">
        <v>126</v>
      </c>
      <c r="N61" s="20" t="s">
        <v>125</v>
      </c>
      <c r="O61" s="8" t="s">
        <v>4</v>
      </c>
      <c r="P61" s="21" t="str">
        <f>VLOOKUP(K61, Intervalos!$B$3:$C$8,2,TRUE)</f>
        <v>0,10%</v>
      </c>
    </row>
    <row r="62" spans="1:16" s="16" customFormat="1" ht="85.05" customHeight="1" x14ac:dyDescent="0.2">
      <c r="A62" s="17" t="s">
        <v>126</v>
      </c>
      <c r="B62" s="17">
        <v>57</v>
      </c>
      <c r="C62" s="18" t="s">
        <v>83</v>
      </c>
      <c r="D62" s="18" t="s">
        <v>121</v>
      </c>
      <c r="E62" s="19">
        <v>633219</v>
      </c>
      <c r="F62" s="18" t="s">
        <v>28</v>
      </c>
      <c r="G62" s="18">
        <v>8</v>
      </c>
      <c r="H62" s="18">
        <v>4</v>
      </c>
      <c r="I62" s="18">
        <v>0</v>
      </c>
      <c r="J62" s="18">
        <f t="shared" si="0"/>
        <v>12</v>
      </c>
      <c r="K62" s="20">
        <v>736.33</v>
      </c>
      <c r="L62" s="20">
        <f t="shared" si="1"/>
        <v>8835.9600000000009</v>
      </c>
      <c r="M62" s="17" t="s">
        <v>126</v>
      </c>
      <c r="N62" s="20" t="s">
        <v>124</v>
      </c>
      <c r="O62" s="8" t="s">
        <v>4</v>
      </c>
      <c r="P62" s="21" t="str">
        <f>VLOOKUP(K62, Intervalos!$B$3:$C$8,2,TRUE)</f>
        <v>0,10%</v>
      </c>
    </row>
    <row r="63" spans="1:16" s="16" customFormat="1" ht="85.05" customHeight="1" x14ac:dyDescent="0.2">
      <c r="A63" s="17" t="s">
        <v>126</v>
      </c>
      <c r="B63" s="17">
        <v>58</v>
      </c>
      <c r="C63" s="18" t="s">
        <v>84</v>
      </c>
      <c r="D63" s="18" t="s">
        <v>121</v>
      </c>
      <c r="E63" s="19">
        <v>619734</v>
      </c>
      <c r="F63" s="18" t="s">
        <v>28</v>
      </c>
      <c r="G63" s="24">
        <f>45-7</f>
        <v>38</v>
      </c>
      <c r="H63" s="24">
        <v>0</v>
      </c>
      <c r="I63" s="24">
        <v>0</v>
      </c>
      <c r="J63" s="18">
        <f t="shared" si="0"/>
        <v>38</v>
      </c>
      <c r="K63" s="20">
        <v>607.08000000000004</v>
      </c>
      <c r="L63" s="20">
        <f t="shared" si="1"/>
        <v>23069.040000000001</v>
      </c>
      <c r="M63" s="17" t="s">
        <v>126</v>
      </c>
      <c r="N63" s="20" t="s">
        <v>124</v>
      </c>
      <c r="O63" s="8" t="s">
        <v>4</v>
      </c>
      <c r="P63" s="21" t="str">
        <f>VLOOKUP(K63, Intervalos!$B$3:$C$8,2,TRUE)</f>
        <v>0,10%</v>
      </c>
    </row>
    <row r="64" spans="1:16" s="16" customFormat="1" ht="85.05" customHeight="1" x14ac:dyDescent="0.2">
      <c r="A64" s="17" t="s">
        <v>126</v>
      </c>
      <c r="B64" s="17">
        <v>59</v>
      </c>
      <c r="C64" s="18" t="s">
        <v>85</v>
      </c>
      <c r="D64" s="18" t="s">
        <v>121</v>
      </c>
      <c r="E64" s="19">
        <v>631633</v>
      </c>
      <c r="F64" s="18" t="s">
        <v>28</v>
      </c>
      <c r="G64" s="24">
        <f>22-3</f>
        <v>19</v>
      </c>
      <c r="H64" s="24">
        <v>0</v>
      </c>
      <c r="I64" s="24">
        <v>62</v>
      </c>
      <c r="J64" s="18">
        <f t="shared" si="0"/>
        <v>81</v>
      </c>
      <c r="K64" s="20">
        <v>751.07</v>
      </c>
      <c r="L64" s="20">
        <f t="shared" si="1"/>
        <v>60836.670000000006</v>
      </c>
      <c r="M64" s="17" t="s">
        <v>126</v>
      </c>
      <c r="N64" s="20" t="s">
        <v>124</v>
      </c>
      <c r="O64" s="8" t="s">
        <v>4</v>
      </c>
      <c r="P64" s="21" t="str">
        <f>VLOOKUP(K64, Intervalos!$B$3:$C$8,2,TRUE)</f>
        <v>0,10%</v>
      </c>
    </row>
    <row r="65" spans="1:16" s="16" customFormat="1" ht="85.05" customHeight="1" x14ac:dyDescent="0.2">
      <c r="A65" s="17" t="s">
        <v>126</v>
      </c>
      <c r="B65" s="17">
        <v>60</v>
      </c>
      <c r="C65" s="18" t="s">
        <v>86</v>
      </c>
      <c r="D65" s="18" t="s">
        <v>121</v>
      </c>
      <c r="E65" s="19">
        <v>620561</v>
      </c>
      <c r="F65" s="18" t="s">
        <v>28</v>
      </c>
      <c r="G65" s="24">
        <f>28-4</f>
        <v>24</v>
      </c>
      <c r="H65" s="24">
        <v>1</v>
      </c>
      <c r="I65" s="24">
        <v>0</v>
      </c>
      <c r="J65" s="18">
        <f t="shared" si="0"/>
        <v>25</v>
      </c>
      <c r="K65" s="20">
        <v>1230.17</v>
      </c>
      <c r="L65" s="20">
        <f t="shared" si="1"/>
        <v>30754.25</v>
      </c>
      <c r="M65" s="17" t="s">
        <v>126</v>
      </c>
      <c r="N65" s="20" t="s">
        <v>124</v>
      </c>
      <c r="O65" s="8" t="s">
        <v>4</v>
      </c>
      <c r="P65" s="21" t="str">
        <f>VLOOKUP(K65, Intervalos!$B$3:$C$8,2,TRUE)</f>
        <v>0,10%</v>
      </c>
    </row>
    <row r="66" spans="1:16" s="16" customFormat="1" ht="85.05" customHeight="1" x14ac:dyDescent="0.2">
      <c r="A66" s="17" t="s">
        <v>126</v>
      </c>
      <c r="B66" s="17">
        <v>61</v>
      </c>
      <c r="C66" s="18" t="s">
        <v>87</v>
      </c>
      <c r="D66" s="18" t="s">
        <v>121</v>
      </c>
      <c r="E66" s="19">
        <v>632178</v>
      </c>
      <c r="F66" s="18" t="s">
        <v>28</v>
      </c>
      <c r="G66" s="24">
        <f>190-28-10</f>
        <v>152</v>
      </c>
      <c r="H66" s="24">
        <v>0</v>
      </c>
      <c r="I66" s="24">
        <v>0</v>
      </c>
      <c r="J66" s="18">
        <f t="shared" si="0"/>
        <v>152</v>
      </c>
      <c r="K66" s="20">
        <v>1085</v>
      </c>
      <c r="L66" s="20">
        <f t="shared" si="1"/>
        <v>164920</v>
      </c>
      <c r="M66" s="17" t="s">
        <v>126</v>
      </c>
      <c r="N66" s="20" t="s">
        <v>125</v>
      </c>
      <c r="O66" s="8" t="s">
        <v>4</v>
      </c>
      <c r="P66" s="21" t="str">
        <f>VLOOKUP(K66, Intervalos!$B$3:$C$8,2,TRUE)</f>
        <v>0,10%</v>
      </c>
    </row>
    <row r="67" spans="1:16" s="16" customFormat="1" ht="85.05" customHeight="1" x14ac:dyDescent="0.2">
      <c r="A67" s="17" t="s">
        <v>126</v>
      </c>
      <c r="B67" s="17">
        <v>62</v>
      </c>
      <c r="C67" s="18" t="s">
        <v>88</v>
      </c>
      <c r="D67" s="18" t="s">
        <v>121</v>
      </c>
      <c r="E67" s="19">
        <v>632178</v>
      </c>
      <c r="F67" s="18" t="s">
        <v>28</v>
      </c>
      <c r="G67" s="24">
        <f>125-10</f>
        <v>115</v>
      </c>
      <c r="H67" s="24">
        <v>10</v>
      </c>
      <c r="I67" s="24">
        <v>0</v>
      </c>
      <c r="J67" s="18">
        <f t="shared" si="0"/>
        <v>125</v>
      </c>
      <c r="K67" s="20">
        <v>1305.21</v>
      </c>
      <c r="L67" s="20">
        <f t="shared" si="1"/>
        <v>163151.25</v>
      </c>
      <c r="M67" s="17" t="s">
        <v>126</v>
      </c>
      <c r="N67" s="20" t="s">
        <v>125</v>
      </c>
      <c r="O67" s="8" t="s">
        <v>4</v>
      </c>
      <c r="P67" s="21" t="str">
        <f>VLOOKUP(K67, Intervalos!$B$3:$C$8,2,TRUE)</f>
        <v>0,10%</v>
      </c>
    </row>
    <row r="68" spans="1:16" s="16" customFormat="1" ht="85.05" customHeight="1" x14ac:dyDescent="0.2">
      <c r="A68" s="17" t="s">
        <v>126</v>
      </c>
      <c r="B68" s="17">
        <v>63</v>
      </c>
      <c r="C68" s="18" t="s">
        <v>89</v>
      </c>
      <c r="D68" s="18" t="s">
        <v>121</v>
      </c>
      <c r="E68" s="19">
        <v>632178</v>
      </c>
      <c r="F68" s="18" t="s">
        <v>28</v>
      </c>
      <c r="G68" s="24">
        <f>192-19-20</f>
        <v>153</v>
      </c>
      <c r="H68" s="24">
        <v>4</v>
      </c>
      <c r="I68" s="24">
        <v>248</v>
      </c>
      <c r="J68" s="18">
        <f t="shared" si="0"/>
        <v>405</v>
      </c>
      <c r="K68" s="20">
        <v>1099.9000000000001</v>
      </c>
      <c r="L68" s="20">
        <f t="shared" si="1"/>
        <v>445459.50000000006</v>
      </c>
      <c r="M68" s="17" t="s">
        <v>126</v>
      </c>
      <c r="N68" s="20" t="s">
        <v>125</v>
      </c>
      <c r="O68" s="8" t="s">
        <v>4</v>
      </c>
      <c r="P68" s="21" t="str">
        <f>VLOOKUP(K68, Intervalos!$B$3:$C$8,2,TRUE)</f>
        <v>0,10%</v>
      </c>
    </row>
    <row r="69" spans="1:16" s="16" customFormat="1" ht="85.05" customHeight="1" x14ac:dyDescent="0.2">
      <c r="A69" s="17" t="s">
        <v>126</v>
      </c>
      <c r="B69" s="17">
        <v>64</v>
      </c>
      <c r="C69" s="18" t="s">
        <v>90</v>
      </c>
      <c r="D69" s="18" t="s">
        <v>121</v>
      </c>
      <c r="E69" s="19">
        <v>633422</v>
      </c>
      <c r="F69" s="18" t="s">
        <v>28</v>
      </c>
      <c r="G69" s="18">
        <v>6</v>
      </c>
      <c r="H69" s="18">
        <v>0</v>
      </c>
      <c r="I69" s="18">
        <v>153</v>
      </c>
      <c r="J69" s="18">
        <f t="shared" si="0"/>
        <v>159</v>
      </c>
      <c r="K69" s="20">
        <v>1797.1</v>
      </c>
      <c r="L69" s="20">
        <f t="shared" si="1"/>
        <v>285738.89999999997</v>
      </c>
      <c r="M69" s="17" t="s">
        <v>126</v>
      </c>
      <c r="N69" s="20" t="s">
        <v>125</v>
      </c>
      <c r="O69" s="8" t="s">
        <v>4</v>
      </c>
      <c r="P69" s="21" t="str">
        <f>VLOOKUP(K69, Intervalos!$B$3:$C$8,2,TRUE)</f>
        <v>0,10%</v>
      </c>
    </row>
    <row r="70" spans="1:16" s="16" customFormat="1" ht="85.05" customHeight="1" x14ac:dyDescent="0.2">
      <c r="A70" s="17" t="s">
        <v>126</v>
      </c>
      <c r="B70" s="17">
        <v>65</v>
      </c>
      <c r="C70" s="18" t="s">
        <v>91</v>
      </c>
      <c r="D70" s="18" t="s">
        <v>121</v>
      </c>
      <c r="E70" s="19">
        <v>479380</v>
      </c>
      <c r="F70" s="18" t="s">
        <v>28</v>
      </c>
      <c r="G70" s="24">
        <f>222-40-5</f>
        <v>177</v>
      </c>
      <c r="H70" s="24">
        <v>0</v>
      </c>
      <c r="I70" s="24">
        <v>0</v>
      </c>
      <c r="J70" s="18">
        <f t="shared" si="0"/>
        <v>177</v>
      </c>
      <c r="K70" s="20">
        <v>1249.69</v>
      </c>
      <c r="L70" s="20">
        <f t="shared" si="1"/>
        <v>221195.13</v>
      </c>
      <c r="M70" s="17" t="s">
        <v>126</v>
      </c>
      <c r="N70" s="20" t="s">
        <v>125</v>
      </c>
      <c r="O70" s="8" t="s">
        <v>4</v>
      </c>
      <c r="P70" s="21" t="str">
        <f>VLOOKUP(K70, Intervalos!$B$3:$C$8,2,TRUE)</f>
        <v>0,10%</v>
      </c>
    </row>
    <row r="71" spans="1:16" s="16" customFormat="1" ht="85.05" customHeight="1" x14ac:dyDescent="0.2">
      <c r="A71" s="17" t="s">
        <v>126</v>
      </c>
      <c r="B71" s="17">
        <v>66</v>
      </c>
      <c r="C71" s="25" t="s">
        <v>133</v>
      </c>
      <c r="D71" s="18" t="s">
        <v>121</v>
      </c>
      <c r="E71" s="19">
        <v>615523</v>
      </c>
      <c r="F71" s="18" t="s">
        <v>28</v>
      </c>
      <c r="G71" s="24">
        <f>63-8</f>
        <v>55</v>
      </c>
      <c r="H71" s="24">
        <v>0</v>
      </c>
      <c r="I71" s="24">
        <v>0</v>
      </c>
      <c r="J71" s="18">
        <f t="shared" ref="J71:J107" si="2">SUM(G71:I71)</f>
        <v>55</v>
      </c>
      <c r="K71" s="20">
        <v>1149.06</v>
      </c>
      <c r="L71" s="20">
        <f t="shared" ref="L71:L107" si="3">J71*ROUND(K71,2)</f>
        <v>63198.299999999996</v>
      </c>
      <c r="M71" s="17" t="s">
        <v>126</v>
      </c>
      <c r="N71" s="20" t="s">
        <v>124</v>
      </c>
      <c r="O71" s="8" t="s">
        <v>4</v>
      </c>
      <c r="P71" s="21" t="str">
        <f>VLOOKUP(K71, Intervalos!$B$3:$C$8,2,TRUE)</f>
        <v>0,10%</v>
      </c>
    </row>
    <row r="72" spans="1:16" s="16" customFormat="1" ht="85.05" customHeight="1" x14ac:dyDescent="0.2">
      <c r="A72" s="17" t="s">
        <v>126</v>
      </c>
      <c r="B72" s="17">
        <v>67</v>
      </c>
      <c r="C72" s="25" t="s">
        <v>134</v>
      </c>
      <c r="D72" s="18" t="s">
        <v>121</v>
      </c>
      <c r="E72" s="19">
        <v>486486</v>
      </c>
      <c r="F72" s="18" t="s">
        <v>28</v>
      </c>
      <c r="G72" s="24">
        <f>38-5</f>
        <v>33</v>
      </c>
      <c r="H72" s="24">
        <v>0</v>
      </c>
      <c r="I72" s="24">
        <v>0</v>
      </c>
      <c r="J72" s="18">
        <f t="shared" si="2"/>
        <v>33</v>
      </c>
      <c r="K72" s="20">
        <v>1469.36</v>
      </c>
      <c r="L72" s="20">
        <f t="shared" si="3"/>
        <v>48488.88</v>
      </c>
      <c r="M72" s="17" t="s">
        <v>126</v>
      </c>
      <c r="N72" s="20" t="s">
        <v>124</v>
      </c>
      <c r="O72" s="8" t="s">
        <v>4</v>
      </c>
      <c r="P72" s="21" t="str">
        <f>VLOOKUP(K72, Intervalos!$B$3:$C$8,2,TRUE)</f>
        <v>0,10%</v>
      </c>
    </row>
    <row r="73" spans="1:16" s="16" customFormat="1" ht="85.05" customHeight="1" x14ac:dyDescent="0.2">
      <c r="A73" s="17" t="s">
        <v>126</v>
      </c>
      <c r="B73" s="17">
        <v>68</v>
      </c>
      <c r="C73" s="18" t="s">
        <v>92</v>
      </c>
      <c r="D73" s="18" t="s">
        <v>121</v>
      </c>
      <c r="E73" s="19">
        <v>481237</v>
      </c>
      <c r="F73" s="18" t="s">
        <v>28</v>
      </c>
      <c r="G73" s="18">
        <v>5</v>
      </c>
      <c r="H73" s="18">
        <v>0</v>
      </c>
      <c r="I73" s="18">
        <v>0</v>
      </c>
      <c r="J73" s="18">
        <f t="shared" si="2"/>
        <v>5</v>
      </c>
      <c r="K73" s="20">
        <v>624.5</v>
      </c>
      <c r="L73" s="20">
        <f t="shared" si="3"/>
        <v>3122.5</v>
      </c>
      <c r="M73" s="17" t="s">
        <v>126</v>
      </c>
      <c r="N73" s="20" t="s">
        <v>124</v>
      </c>
      <c r="O73" s="8" t="s">
        <v>4</v>
      </c>
      <c r="P73" s="21" t="str">
        <f>VLOOKUP(K73, Intervalos!$B$3:$C$8,2,TRUE)</f>
        <v>0,10%</v>
      </c>
    </row>
    <row r="74" spans="1:16" s="16" customFormat="1" ht="85.05" customHeight="1" x14ac:dyDescent="0.2">
      <c r="A74" s="17" t="s">
        <v>126</v>
      </c>
      <c r="B74" s="17">
        <v>69</v>
      </c>
      <c r="C74" s="18" t="s">
        <v>93</v>
      </c>
      <c r="D74" s="18" t="s">
        <v>121</v>
      </c>
      <c r="E74" s="19">
        <v>258741</v>
      </c>
      <c r="F74" s="18" t="s">
        <v>28</v>
      </c>
      <c r="G74" s="18">
        <v>37</v>
      </c>
      <c r="H74" s="18">
        <v>10</v>
      </c>
      <c r="I74" s="18">
        <v>0</v>
      </c>
      <c r="J74" s="18">
        <f t="shared" si="2"/>
        <v>47</v>
      </c>
      <c r="K74" s="20">
        <v>443</v>
      </c>
      <c r="L74" s="20">
        <f t="shared" si="3"/>
        <v>20821</v>
      </c>
      <c r="M74" s="17" t="s">
        <v>126</v>
      </c>
      <c r="N74" s="20" t="s">
        <v>124</v>
      </c>
      <c r="O74" s="8" t="s">
        <v>4</v>
      </c>
      <c r="P74" s="21" t="str">
        <f>VLOOKUP(K74, Intervalos!$B$3:$C$8,2,TRUE)</f>
        <v>0,10%</v>
      </c>
    </row>
    <row r="75" spans="1:16" s="16" customFormat="1" ht="85.05" customHeight="1" x14ac:dyDescent="0.2">
      <c r="A75" s="17" t="s">
        <v>126</v>
      </c>
      <c r="B75" s="17">
        <v>70</v>
      </c>
      <c r="C75" s="18" t="s">
        <v>94</v>
      </c>
      <c r="D75" s="18" t="s">
        <v>121</v>
      </c>
      <c r="E75" s="19">
        <v>619400</v>
      </c>
      <c r="F75" s="18" t="s">
        <v>28</v>
      </c>
      <c r="G75" s="18">
        <v>8</v>
      </c>
      <c r="H75" s="18">
        <v>0</v>
      </c>
      <c r="I75" s="18">
        <v>475</v>
      </c>
      <c r="J75" s="18">
        <f t="shared" si="2"/>
        <v>483</v>
      </c>
      <c r="K75" s="20">
        <v>1328.18</v>
      </c>
      <c r="L75" s="20">
        <f t="shared" si="3"/>
        <v>641510.94000000006</v>
      </c>
      <c r="M75" s="17" t="s">
        <v>126</v>
      </c>
      <c r="N75" s="20" t="s">
        <v>125</v>
      </c>
      <c r="O75" s="8" t="s">
        <v>4</v>
      </c>
      <c r="P75" s="21" t="str">
        <f>VLOOKUP(K75, Intervalos!$B$3:$C$8,2,TRUE)</f>
        <v>0,10%</v>
      </c>
    </row>
    <row r="76" spans="1:16" s="16" customFormat="1" ht="85.05" customHeight="1" x14ac:dyDescent="0.2">
      <c r="A76" s="17" t="s">
        <v>126</v>
      </c>
      <c r="B76" s="17">
        <v>71</v>
      </c>
      <c r="C76" s="18" t="s">
        <v>95</v>
      </c>
      <c r="D76" s="18" t="s">
        <v>121</v>
      </c>
      <c r="E76" s="19">
        <v>630394</v>
      </c>
      <c r="F76" s="18" t="s">
        <v>28</v>
      </c>
      <c r="G76" s="24">
        <f>67-9</f>
        <v>58</v>
      </c>
      <c r="H76" s="24">
        <v>0</v>
      </c>
      <c r="I76" s="24">
        <v>0</v>
      </c>
      <c r="J76" s="18">
        <f t="shared" si="2"/>
        <v>58</v>
      </c>
      <c r="K76" s="20">
        <v>642.13</v>
      </c>
      <c r="L76" s="20">
        <f t="shared" si="3"/>
        <v>37243.54</v>
      </c>
      <c r="M76" s="17" t="s">
        <v>126</v>
      </c>
      <c r="N76" s="20" t="s">
        <v>124</v>
      </c>
      <c r="O76" s="8" t="s">
        <v>4</v>
      </c>
      <c r="P76" s="21" t="str">
        <f>VLOOKUP(K76, Intervalos!$B$3:$C$8,2,TRUE)</f>
        <v>0,10%</v>
      </c>
    </row>
    <row r="77" spans="1:16" s="16" customFormat="1" ht="85.05" customHeight="1" x14ac:dyDescent="0.2">
      <c r="A77" s="17" t="s">
        <v>126</v>
      </c>
      <c r="B77" s="17">
        <v>72</v>
      </c>
      <c r="C77" s="18" t="s">
        <v>96</v>
      </c>
      <c r="D77" s="18" t="s">
        <v>121</v>
      </c>
      <c r="E77" s="19">
        <v>629246</v>
      </c>
      <c r="F77" s="18" t="s">
        <v>28</v>
      </c>
      <c r="G77" s="18">
        <v>3</v>
      </c>
      <c r="H77" s="18">
        <v>0</v>
      </c>
      <c r="I77" s="18">
        <v>0</v>
      </c>
      <c r="J77" s="18">
        <f t="shared" si="2"/>
        <v>3</v>
      </c>
      <c r="K77" s="20">
        <v>809.33</v>
      </c>
      <c r="L77" s="20">
        <f t="shared" si="3"/>
        <v>2427.9900000000002</v>
      </c>
      <c r="M77" s="17" t="s">
        <v>126</v>
      </c>
      <c r="N77" s="20" t="s">
        <v>124</v>
      </c>
      <c r="O77" s="8" t="s">
        <v>4</v>
      </c>
      <c r="P77" s="21" t="str">
        <f>VLOOKUP(K77, Intervalos!$B$3:$C$8,2,TRUE)</f>
        <v>0,10%</v>
      </c>
    </row>
    <row r="78" spans="1:16" s="16" customFormat="1" ht="85.05" customHeight="1" x14ac:dyDescent="0.2">
      <c r="A78" s="17" t="s">
        <v>126</v>
      </c>
      <c r="B78" s="17">
        <v>73</v>
      </c>
      <c r="C78" s="18" t="s">
        <v>97</v>
      </c>
      <c r="D78" s="18" t="s">
        <v>121</v>
      </c>
      <c r="E78" s="19">
        <v>630172</v>
      </c>
      <c r="F78" s="18" t="s">
        <v>28</v>
      </c>
      <c r="G78" s="18">
        <v>4</v>
      </c>
      <c r="H78" s="18">
        <v>0</v>
      </c>
      <c r="I78" s="18">
        <v>0</v>
      </c>
      <c r="J78" s="18">
        <f t="shared" si="2"/>
        <v>4</v>
      </c>
      <c r="K78" s="20">
        <v>296.52999999999997</v>
      </c>
      <c r="L78" s="20">
        <f t="shared" si="3"/>
        <v>1186.1199999999999</v>
      </c>
      <c r="M78" s="17" t="s">
        <v>126</v>
      </c>
      <c r="N78" s="20" t="s">
        <v>124</v>
      </c>
      <c r="O78" s="8" t="s">
        <v>4</v>
      </c>
      <c r="P78" s="21" t="str">
        <f>VLOOKUP(K78, Intervalos!$B$3:$C$8,2,TRUE)</f>
        <v>0,10%</v>
      </c>
    </row>
    <row r="79" spans="1:16" s="16" customFormat="1" ht="85.05" customHeight="1" x14ac:dyDescent="0.2">
      <c r="A79" s="17" t="s">
        <v>126</v>
      </c>
      <c r="B79" s="17">
        <v>74</v>
      </c>
      <c r="C79" s="18" t="s">
        <v>98</v>
      </c>
      <c r="D79" s="18" t="s">
        <v>121</v>
      </c>
      <c r="E79" s="19">
        <v>632004</v>
      </c>
      <c r="F79" s="18" t="s">
        <v>126</v>
      </c>
      <c r="G79" s="18">
        <v>3</v>
      </c>
      <c r="H79" s="18">
        <v>2</v>
      </c>
      <c r="I79" s="18">
        <v>0</v>
      </c>
      <c r="J79" s="18">
        <f t="shared" si="2"/>
        <v>5</v>
      </c>
      <c r="K79" s="20">
        <v>2538.94</v>
      </c>
      <c r="L79" s="20">
        <f t="shared" si="3"/>
        <v>12694.7</v>
      </c>
      <c r="M79" s="17" t="s">
        <v>126</v>
      </c>
      <c r="N79" s="20" t="s">
        <v>124</v>
      </c>
      <c r="O79" s="8" t="s">
        <v>4</v>
      </c>
      <c r="P79" s="21" t="str">
        <f>VLOOKUP(K79, Intervalos!$B$3:$C$8,2,TRUE)</f>
        <v>0,10%</v>
      </c>
    </row>
    <row r="80" spans="1:16" s="16" customFormat="1" ht="85.05" customHeight="1" x14ac:dyDescent="0.2">
      <c r="A80" s="17" t="s">
        <v>126</v>
      </c>
      <c r="B80" s="17">
        <v>75</v>
      </c>
      <c r="C80" s="18" t="s">
        <v>99</v>
      </c>
      <c r="D80" s="18" t="s">
        <v>121</v>
      </c>
      <c r="E80" s="19">
        <v>442923</v>
      </c>
      <c r="F80" s="18" t="s">
        <v>126</v>
      </c>
      <c r="G80" s="24">
        <f>40-5</f>
        <v>35</v>
      </c>
      <c r="H80" s="24">
        <v>0</v>
      </c>
      <c r="I80" s="24">
        <v>0</v>
      </c>
      <c r="J80" s="18">
        <f t="shared" si="2"/>
        <v>35</v>
      </c>
      <c r="K80" s="20">
        <v>334.47</v>
      </c>
      <c r="L80" s="20">
        <f t="shared" si="3"/>
        <v>11706.45</v>
      </c>
      <c r="M80" s="17" t="s">
        <v>126</v>
      </c>
      <c r="N80" s="20" t="s">
        <v>124</v>
      </c>
      <c r="O80" s="8" t="s">
        <v>4</v>
      </c>
      <c r="P80" s="21" t="str">
        <f>VLOOKUP(K80, Intervalos!$B$3:$C$8,2,TRUE)</f>
        <v>0,10%</v>
      </c>
    </row>
    <row r="81" spans="1:16" s="16" customFormat="1" ht="85.05" customHeight="1" x14ac:dyDescent="0.2">
      <c r="A81" s="17" t="s">
        <v>126</v>
      </c>
      <c r="B81" s="17">
        <v>76</v>
      </c>
      <c r="C81" s="18" t="s">
        <v>100</v>
      </c>
      <c r="D81" s="18" t="s">
        <v>121</v>
      </c>
      <c r="E81" s="19">
        <v>442923</v>
      </c>
      <c r="F81" s="18" t="s">
        <v>126</v>
      </c>
      <c r="G81" s="24">
        <f>25-3</f>
        <v>22</v>
      </c>
      <c r="H81" s="24">
        <v>0</v>
      </c>
      <c r="I81" s="24">
        <v>0</v>
      </c>
      <c r="J81" s="18">
        <f t="shared" si="2"/>
        <v>22</v>
      </c>
      <c r="K81" s="20">
        <v>192.17</v>
      </c>
      <c r="L81" s="20">
        <f t="shared" si="3"/>
        <v>4227.74</v>
      </c>
      <c r="M81" s="17" t="s">
        <v>126</v>
      </c>
      <c r="N81" s="20" t="s">
        <v>124</v>
      </c>
      <c r="O81" s="8" t="s">
        <v>4</v>
      </c>
      <c r="P81" s="21" t="str">
        <f>VLOOKUP(K81, Intervalos!$B$3:$C$8,2,TRUE)</f>
        <v>0,10%</v>
      </c>
    </row>
    <row r="82" spans="1:16" s="16" customFormat="1" ht="85.05" customHeight="1" x14ac:dyDescent="0.2">
      <c r="A82" s="17" t="s">
        <v>126</v>
      </c>
      <c r="B82" s="17">
        <v>77</v>
      </c>
      <c r="C82" s="18" t="s">
        <v>101</v>
      </c>
      <c r="D82" s="18" t="s">
        <v>121</v>
      </c>
      <c r="E82" s="19">
        <v>611786</v>
      </c>
      <c r="F82" s="18" t="s">
        <v>126</v>
      </c>
      <c r="G82" s="18">
        <v>57</v>
      </c>
      <c r="H82" s="18">
        <v>2</v>
      </c>
      <c r="I82" s="18">
        <v>0</v>
      </c>
      <c r="J82" s="18">
        <f t="shared" si="2"/>
        <v>59</v>
      </c>
      <c r="K82" s="20">
        <v>666.89</v>
      </c>
      <c r="L82" s="20">
        <f t="shared" si="3"/>
        <v>39346.51</v>
      </c>
      <c r="M82" s="17" t="s">
        <v>126</v>
      </c>
      <c r="N82" s="20" t="s">
        <v>124</v>
      </c>
      <c r="O82" s="8" t="s">
        <v>4</v>
      </c>
      <c r="P82" s="21" t="str">
        <f>VLOOKUP(K82, Intervalos!$B$3:$C$8,2,TRUE)</f>
        <v>0,10%</v>
      </c>
    </row>
    <row r="83" spans="1:16" s="16" customFormat="1" ht="85.05" customHeight="1" x14ac:dyDescent="0.2">
      <c r="A83" s="17" t="s">
        <v>126</v>
      </c>
      <c r="B83" s="17">
        <v>78</v>
      </c>
      <c r="C83" s="18" t="s">
        <v>102</v>
      </c>
      <c r="D83" s="18" t="s">
        <v>121</v>
      </c>
      <c r="E83" s="19">
        <v>615740</v>
      </c>
      <c r="F83" s="18" t="s">
        <v>126</v>
      </c>
      <c r="G83" s="18">
        <v>5</v>
      </c>
      <c r="H83" s="18">
        <v>0</v>
      </c>
      <c r="I83" s="18">
        <v>0</v>
      </c>
      <c r="J83" s="18">
        <f t="shared" si="2"/>
        <v>5</v>
      </c>
      <c r="K83" s="20">
        <v>274.72000000000003</v>
      </c>
      <c r="L83" s="20">
        <f t="shared" si="3"/>
        <v>1373.6000000000001</v>
      </c>
      <c r="M83" s="17" t="s">
        <v>126</v>
      </c>
      <c r="N83" s="20" t="s">
        <v>124</v>
      </c>
      <c r="O83" s="8" t="s">
        <v>4</v>
      </c>
      <c r="P83" s="21" t="str">
        <f>VLOOKUP(K83, Intervalos!$B$3:$C$8,2,TRUE)</f>
        <v>0,10%</v>
      </c>
    </row>
    <row r="84" spans="1:16" s="16" customFormat="1" ht="85.05" customHeight="1" x14ac:dyDescent="0.2">
      <c r="A84" s="17" t="s">
        <v>126</v>
      </c>
      <c r="B84" s="17">
        <v>79</v>
      </c>
      <c r="C84" s="18" t="s">
        <v>103</v>
      </c>
      <c r="D84" s="18" t="s">
        <v>121</v>
      </c>
      <c r="E84" s="19">
        <v>615740</v>
      </c>
      <c r="F84" s="18" t="s">
        <v>126</v>
      </c>
      <c r="G84" s="18">
        <v>19</v>
      </c>
      <c r="H84" s="18">
        <v>4</v>
      </c>
      <c r="I84" s="18">
        <v>0</v>
      </c>
      <c r="J84" s="18">
        <f t="shared" si="2"/>
        <v>23</v>
      </c>
      <c r="K84" s="20">
        <v>375.71</v>
      </c>
      <c r="L84" s="20">
        <f t="shared" si="3"/>
        <v>8641.33</v>
      </c>
      <c r="M84" s="17" t="s">
        <v>126</v>
      </c>
      <c r="N84" s="20" t="s">
        <v>124</v>
      </c>
      <c r="O84" s="8" t="s">
        <v>4</v>
      </c>
      <c r="P84" s="21" t="str">
        <f>VLOOKUP(K84, Intervalos!$B$3:$C$8,2,TRUE)</f>
        <v>0,10%</v>
      </c>
    </row>
    <row r="85" spans="1:16" s="16" customFormat="1" ht="85.05" customHeight="1" x14ac:dyDescent="0.2">
      <c r="A85" s="17" t="s">
        <v>126</v>
      </c>
      <c r="B85" s="17">
        <v>80</v>
      </c>
      <c r="C85" s="18" t="s">
        <v>104</v>
      </c>
      <c r="D85" s="18" t="s">
        <v>121</v>
      </c>
      <c r="E85" s="19">
        <v>464631</v>
      </c>
      <c r="F85" s="18" t="s">
        <v>28</v>
      </c>
      <c r="G85" s="18">
        <v>25</v>
      </c>
      <c r="H85" s="18">
        <v>0</v>
      </c>
      <c r="I85" s="18">
        <v>0</v>
      </c>
      <c r="J85" s="18">
        <f t="shared" si="2"/>
        <v>25</v>
      </c>
      <c r="K85" s="20">
        <v>84.56</v>
      </c>
      <c r="L85" s="20">
        <f t="shared" si="3"/>
        <v>2114</v>
      </c>
      <c r="M85" s="17" t="s">
        <v>126</v>
      </c>
      <c r="N85" s="20" t="s">
        <v>124</v>
      </c>
      <c r="O85" s="8" t="s">
        <v>4</v>
      </c>
      <c r="P85" s="21">
        <f>VLOOKUP(K85, Intervalos!$B$3:$C$8,2,TRUE)</f>
        <v>0.1</v>
      </c>
    </row>
    <row r="86" spans="1:16" s="16" customFormat="1" ht="85.05" customHeight="1" x14ac:dyDescent="0.2">
      <c r="A86" s="17" t="s">
        <v>126</v>
      </c>
      <c r="B86" s="17">
        <v>81</v>
      </c>
      <c r="C86" s="18" t="s">
        <v>105</v>
      </c>
      <c r="D86" s="18" t="s">
        <v>121</v>
      </c>
      <c r="E86" s="19">
        <v>383329</v>
      </c>
      <c r="F86" s="18" t="s">
        <v>28</v>
      </c>
      <c r="G86" s="24">
        <f>74-15</f>
        <v>59</v>
      </c>
      <c r="H86" s="24">
        <v>2</v>
      </c>
      <c r="I86" s="24">
        <v>0</v>
      </c>
      <c r="J86" s="18">
        <f t="shared" si="2"/>
        <v>61</v>
      </c>
      <c r="K86" s="20">
        <v>321.77999999999997</v>
      </c>
      <c r="L86" s="20">
        <f t="shared" si="3"/>
        <v>19628.579999999998</v>
      </c>
      <c r="M86" s="17" t="s">
        <v>126</v>
      </c>
      <c r="N86" s="20" t="s">
        <v>124</v>
      </c>
      <c r="O86" s="8" t="s">
        <v>4</v>
      </c>
      <c r="P86" s="21" t="str">
        <f>VLOOKUP(K86, Intervalos!$B$3:$C$8,2,TRUE)</f>
        <v>0,10%</v>
      </c>
    </row>
    <row r="87" spans="1:16" s="16" customFormat="1" ht="85.05" customHeight="1" x14ac:dyDescent="0.2">
      <c r="A87" s="17" t="s">
        <v>126</v>
      </c>
      <c r="B87" s="17">
        <v>82</v>
      </c>
      <c r="C87" s="18" t="s">
        <v>106</v>
      </c>
      <c r="D87" s="18" t="s">
        <v>121</v>
      </c>
      <c r="E87" s="19">
        <v>383327</v>
      </c>
      <c r="F87" s="18" t="s">
        <v>28</v>
      </c>
      <c r="G87" s="24">
        <f>133-25-2</f>
        <v>106</v>
      </c>
      <c r="H87" s="24">
        <v>2</v>
      </c>
      <c r="I87" s="24">
        <v>0</v>
      </c>
      <c r="J87" s="18">
        <f t="shared" si="2"/>
        <v>108</v>
      </c>
      <c r="K87" s="20">
        <v>769.33</v>
      </c>
      <c r="L87" s="20">
        <f t="shared" si="3"/>
        <v>83087.64</v>
      </c>
      <c r="M87" s="17" t="s">
        <v>126</v>
      </c>
      <c r="N87" s="20" t="s">
        <v>125</v>
      </c>
      <c r="O87" s="8" t="s">
        <v>4</v>
      </c>
      <c r="P87" s="21" t="str">
        <f>VLOOKUP(K87, Intervalos!$B$3:$C$8,2,TRUE)</f>
        <v>0,10%</v>
      </c>
    </row>
    <row r="88" spans="1:16" s="16" customFormat="1" ht="85.05" customHeight="1" x14ac:dyDescent="0.2">
      <c r="A88" s="17" t="s">
        <v>126</v>
      </c>
      <c r="B88" s="17">
        <v>83</v>
      </c>
      <c r="C88" s="18" t="s">
        <v>107</v>
      </c>
      <c r="D88" s="18" t="s">
        <v>121</v>
      </c>
      <c r="E88" s="19">
        <v>482647</v>
      </c>
      <c r="F88" s="18" t="s">
        <v>28</v>
      </c>
      <c r="G88" s="24">
        <f>144-25-4</f>
        <v>115</v>
      </c>
      <c r="H88" s="24">
        <v>9</v>
      </c>
      <c r="I88" s="24">
        <v>0</v>
      </c>
      <c r="J88" s="18">
        <f t="shared" si="2"/>
        <v>124</v>
      </c>
      <c r="K88" s="20">
        <v>980.37</v>
      </c>
      <c r="L88" s="20">
        <f t="shared" si="3"/>
        <v>121565.88</v>
      </c>
      <c r="M88" s="17" t="s">
        <v>126</v>
      </c>
      <c r="N88" s="20" t="s">
        <v>125</v>
      </c>
      <c r="O88" s="8" t="s">
        <v>4</v>
      </c>
      <c r="P88" s="21" t="str">
        <f>VLOOKUP(K88, Intervalos!$B$3:$C$8,2,TRUE)</f>
        <v>0,10%</v>
      </c>
    </row>
    <row r="89" spans="1:16" s="16" customFormat="1" ht="85.05" customHeight="1" x14ac:dyDescent="0.2">
      <c r="A89" s="17" t="s">
        <v>126</v>
      </c>
      <c r="B89" s="17">
        <v>84</v>
      </c>
      <c r="C89" s="18" t="s">
        <v>108</v>
      </c>
      <c r="D89" s="18" t="s">
        <v>121</v>
      </c>
      <c r="E89" s="19">
        <v>619583</v>
      </c>
      <c r="F89" s="18" t="s">
        <v>126</v>
      </c>
      <c r="G89" s="18">
        <v>5</v>
      </c>
      <c r="H89" s="18">
        <v>18</v>
      </c>
      <c r="I89" s="18">
        <v>0</v>
      </c>
      <c r="J89" s="18">
        <f t="shared" si="2"/>
        <v>23</v>
      </c>
      <c r="K89" s="20">
        <v>211.75</v>
      </c>
      <c r="L89" s="20">
        <f t="shared" si="3"/>
        <v>4870.25</v>
      </c>
      <c r="M89" s="17" t="s">
        <v>126</v>
      </c>
      <c r="N89" s="20" t="s">
        <v>124</v>
      </c>
      <c r="O89" s="8" t="s">
        <v>4</v>
      </c>
      <c r="P89" s="21" t="str">
        <f>VLOOKUP(K89, Intervalos!$B$3:$C$8,2,TRUE)</f>
        <v>0,10%</v>
      </c>
    </row>
    <row r="90" spans="1:16" s="16" customFormat="1" ht="85.05" customHeight="1" x14ac:dyDescent="0.2">
      <c r="A90" s="17" t="s">
        <v>126</v>
      </c>
      <c r="B90" s="17">
        <v>85</v>
      </c>
      <c r="C90" s="18" t="s">
        <v>109</v>
      </c>
      <c r="D90" s="18" t="s">
        <v>121</v>
      </c>
      <c r="E90" s="19">
        <v>232040</v>
      </c>
      <c r="F90" s="18" t="s">
        <v>126</v>
      </c>
      <c r="G90" s="18">
        <v>10</v>
      </c>
      <c r="H90" s="18">
        <v>11</v>
      </c>
      <c r="I90" s="18">
        <v>0</v>
      </c>
      <c r="J90" s="18">
        <f t="shared" si="2"/>
        <v>21</v>
      </c>
      <c r="K90" s="20">
        <v>86.75</v>
      </c>
      <c r="L90" s="20">
        <f t="shared" si="3"/>
        <v>1821.75</v>
      </c>
      <c r="M90" s="17" t="s">
        <v>126</v>
      </c>
      <c r="N90" s="20" t="s">
        <v>124</v>
      </c>
      <c r="O90" s="8" t="s">
        <v>4</v>
      </c>
      <c r="P90" s="21">
        <f>VLOOKUP(K90, Intervalos!$B$3:$C$8,2,TRUE)</f>
        <v>0.1</v>
      </c>
    </row>
    <row r="91" spans="1:16" s="16" customFormat="1" ht="85.05" customHeight="1" x14ac:dyDescent="0.2">
      <c r="A91" s="17" t="s">
        <v>126</v>
      </c>
      <c r="B91" s="17">
        <v>86</v>
      </c>
      <c r="C91" s="18" t="s">
        <v>110</v>
      </c>
      <c r="D91" s="18" t="s">
        <v>121</v>
      </c>
      <c r="E91" s="19">
        <v>619583</v>
      </c>
      <c r="F91" s="18" t="s">
        <v>126</v>
      </c>
      <c r="G91" s="18">
        <v>2</v>
      </c>
      <c r="H91" s="18">
        <v>5</v>
      </c>
      <c r="I91" s="18">
        <v>0</v>
      </c>
      <c r="J91" s="18">
        <f t="shared" si="2"/>
        <v>7</v>
      </c>
      <c r="K91" s="20">
        <v>1151.18</v>
      </c>
      <c r="L91" s="20">
        <f t="shared" si="3"/>
        <v>8058.26</v>
      </c>
      <c r="M91" s="17" t="s">
        <v>126</v>
      </c>
      <c r="N91" s="20" t="s">
        <v>124</v>
      </c>
      <c r="O91" s="8" t="s">
        <v>4</v>
      </c>
      <c r="P91" s="21" t="str">
        <f>VLOOKUP(K91, Intervalos!$B$3:$C$8,2,TRUE)</f>
        <v>0,10%</v>
      </c>
    </row>
    <row r="92" spans="1:16" s="16" customFormat="1" ht="85.05" customHeight="1" x14ac:dyDescent="0.2">
      <c r="A92" s="17" t="s">
        <v>126</v>
      </c>
      <c r="B92" s="17">
        <v>87</v>
      </c>
      <c r="C92" s="18" t="s">
        <v>111</v>
      </c>
      <c r="D92" s="18" t="s">
        <v>121</v>
      </c>
      <c r="E92" s="19">
        <v>345660</v>
      </c>
      <c r="F92" s="18" t="s">
        <v>126</v>
      </c>
      <c r="G92" s="18">
        <v>7</v>
      </c>
      <c r="H92" s="18">
        <v>0</v>
      </c>
      <c r="I92" s="18">
        <v>0</v>
      </c>
      <c r="J92" s="18">
        <f t="shared" si="2"/>
        <v>7</v>
      </c>
      <c r="K92" s="20">
        <v>334.16</v>
      </c>
      <c r="L92" s="20">
        <f t="shared" si="3"/>
        <v>2339.1200000000003</v>
      </c>
      <c r="M92" s="17" t="s">
        <v>126</v>
      </c>
      <c r="N92" s="20" t="s">
        <v>124</v>
      </c>
      <c r="O92" s="8" t="s">
        <v>4</v>
      </c>
      <c r="P92" s="21" t="str">
        <f>VLOOKUP(K92, Intervalos!$B$3:$C$8,2,TRUE)</f>
        <v>0,10%</v>
      </c>
    </row>
    <row r="93" spans="1:16" s="16" customFormat="1" ht="85.05" customHeight="1" x14ac:dyDescent="0.2">
      <c r="A93" s="17" t="s">
        <v>126</v>
      </c>
      <c r="B93" s="17">
        <v>88</v>
      </c>
      <c r="C93" s="18" t="s">
        <v>112</v>
      </c>
      <c r="D93" s="18" t="s">
        <v>121</v>
      </c>
      <c r="E93" s="19">
        <v>607286</v>
      </c>
      <c r="F93" s="18" t="s">
        <v>126</v>
      </c>
      <c r="G93" s="18">
        <v>2</v>
      </c>
      <c r="H93" s="18">
        <v>0</v>
      </c>
      <c r="I93" s="18">
        <v>0</v>
      </c>
      <c r="J93" s="18">
        <f t="shared" si="2"/>
        <v>2</v>
      </c>
      <c r="K93" s="20">
        <v>1211.67</v>
      </c>
      <c r="L93" s="20">
        <f t="shared" si="3"/>
        <v>2423.34</v>
      </c>
      <c r="M93" s="17" t="s">
        <v>126</v>
      </c>
      <c r="N93" s="20" t="s">
        <v>124</v>
      </c>
      <c r="O93" s="8" t="s">
        <v>4</v>
      </c>
      <c r="P93" s="21" t="str">
        <f>VLOOKUP(K93, Intervalos!$B$3:$C$8,2,TRUE)</f>
        <v>0,10%</v>
      </c>
    </row>
    <row r="94" spans="1:16" s="16" customFormat="1" ht="85.05" customHeight="1" x14ac:dyDescent="0.2">
      <c r="A94" s="17" t="s">
        <v>126</v>
      </c>
      <c r="B94" s="17">
        <v>89</v>
      </c>
      <c r="C94" s="18" t="s">
        <v>113</v>
      </c>
      <c r="D94" s="18" t="s">
        <v>121</v>
      </c>
      <c r="E94" s="19">
        <v>608715</v>
      </c>
      <c r="F94" s="18" t="s">
        <v>126</v>
      </c>
      <c r="G94" s="18">
        <v>33</v>
      </c>
      <c r="H94" s="18">
        <v>0</v>
      </c>
      <c r="I94" s="18">
        <v>0</v>
      </c>
      <c r="J94" s="18">
        <f t="shared" si="2"/>
        <v>33</v>
      </c>
      <c r="K94" s="20">
        <v>956.33</v>
      </c>
      <c r="L94" s="20">
        <f t="shared" si="3"/>
        <v>31558.890000000003</v>
      </c>
      <c r="M94" s="17" t="s">
        <v>126</v>
      </c>
      <c r="N94" s="20" t="s">
        <v>124</v>
      </c>
      <c r="O94" s="8" t="s">
        <v>4</v>
      </c>
      <c r="P94" s="21" t="str">
        <f>VLOOKUP(K94, Intervalos!$B$3:$C$8,2,TRUE)</f>
        <v>0,10%</v>
      </c>
    </row>
    <row r="95" spans="1:16" s="16" customFormat="1" ht="85.05" customHeight="1" x14ac:dyDescent="0.2">
      <c r="A95" s="17" t="s">
        <v>126</v>
      </c>
      <c r="B95" s="17">
        <v>90</v>
      </c>
      <c r="C95" s="18" t="s">
        <v>114</v>
      </c>
      <c r="D95" s="18" t="s">
        <v>121</v>
      </c>
      <c r="E95" s="19">
        <v>608714</v>
      </c>
      <c r="F95" s="18" t="s">
        <v>126</v>
      </c>
      <c r="G95" s="18">
        <f>57-10-2</f>
        <v>45</v>
      </c>
      <c r="H95" s="18">
        <v>0</v>
      </c>
      <c r="I95" s="18">
        <v>217</v>
      </c>
      <c r="J95" s="18">
        <f t="shared" si="2"/>
        <v>262</v>
      </c>
      <c r="K95" s="20">
        <v>1409.99</v>
      </c>
      <c r="L95" s="20">
        <f t="shared" si="3"/>
        <v>369417.38</v>
      </c>
      <c r="M95" s="17" t="s">
        <v>126</v>
      </c>
      <c r="N95" s="20" t="s">
        <v>125</v>
      </c>
      <c r="O95" s="8" t="s">
        <v>4</v>
      </c>
      <c r="P95" s="21" t="str">
        <f>VLOOKUP(K95, Intervalos!$B$3:$C$8,2,TRUE)</f>
        <v>0,10%</v>
      </c>
    </row>
    <row r="96" spans="1:16" s="16" customFormat="1" ht="85.05" customHeight="1" x14ac:dyDescent="0.2">
      <c r="A96" s="17" t="s">
        <v>126</v>
      </c>
      <c r="B96" s="17">
        <v>91</v>
      </c>
      <c r="C96" s="18" t="s">
        <v>115</v>
      </c>
      <c r="D96" s="18" t="s">
        <v>121</v>
      </c>
      <c r="E96" s="19">
        <v>293173</v>
      </c>
      <c r="F96" s="18" t="s">
        <v>126</v>
      </c>
      <c r="G96" s="24">
        <f>47-10</f>
        <v>37</v>
      </c>
      <c r="H96" s="24">
        <v>0</v>
      </c>
      <c r="I96" s="24">
        <v>217</v>
      </c>
      <c r="J96" s="18">
        <f t="shared" si="2"/>
        <v>254</v>
      </c>
      <c r="K96" s="20">
        <v>1581.96</v>
      </c>
      <c r="L96" s="20">
        <f t="shared" si="3"/>
        <v>401817.84</v>
      </c>
      <c r="M96" s="17" t="s">
        <v>126</v>
      </c>
      <c r="N96" s="20" t="s">
        <v>125</v>
      </c>
      <c r="O96" s="8" t="s">
        <v>4</v>
      </c>
      <c r="P96" s="21" t="str">
        <f>VLOOKUP(K96, Intervalos!$B$3:$C$8,2,TRUE)</f>
        <v>0,10%</v>
      </c>
    </row>
    <row r="97" spans="1:16" s="16" customFormat="1" ht="85.05" customHeight="1" x14ac:dyDescent="0.2">
      <c r="A97" s="17" t="s">
        <v>126</v>
      </c>
      <c r="B97" s="17">
        <v>92</v>
      </c>
      <c r="C97" s="18" t="s">
        <v>116</v>
      </c>
      <c r="D97" s="18" t="s">
        <v>121</v>
      </c>
      <c r="E97" s="19">
        <v>472935</v>
      </c>
      <c r="F97" s="18" t="s">
        <v>126</v>
      </c>
      <c r="G97" s="18">
        <v>59</v>
      </c>
      <c r="H97" s="18">
        <v>1</v>
      </c>
      <c r="I97" s="18">
        <v>0</v>
      </c>
      <c r="J97" s="18">
        <f t="shared" si="2"/>
        <v>60</v>
      </c>
      <c r="K97" s="20">
        <v>447.28</v>
      </c>
      <c r="L97" s="20">
        <f t="shared" si="3"/>
        <v>26836.799999999999</v>
      </c>
      <c r="M97" s="17" t="s">
        <v>126</v>
      </c>
      <c r="N97" s="20" t="s">
        <v>124</v>
      </c>
      <c r="O97" s="8" t="s">
        <v>4</v>
      </c>
      <c r="P97" s="21" t="str">
        <f>VLOOKUP(K97, Intervalos!$B$3:$C$8,2,TRUE)</f>
        <v>0,10%</v>
      </c>
    </row>
    <row r="98" spans="1:16" s="16" customFormat="1" ht="85.05" customHeight="1" x14ac:dyDescent="0.2">
      <c r="A98" s="17" t="s">
        <v>126</v>
      </c>
      <c r="B98" s="17">
        <v>93</v>
      </c>
      <c r="C98" s="18" t="s">
        <v>117</v>
      </c>
      <c r="D98" s="18" t="s">
        <v>121</v>
      </c>
      <c r="E98" s="19">
        <v>355142</v>
      </c>
      <c r="F98" s="18" t="s">
        <v>126</v>
      </c>
      <c r="G98" s="18">
        <v>63</v>
      </c>
      <c r="H98" s="18">
        <v>0</v>
      </c>
      <c r="I98" s="18">
        <v>0</v>
      </c>
      <c r="J98" s="18">
        <f t="shared" si="2"/>
        <v>63</v>
      </c>
      <c r="K98" s="20">
        <v>245</v>
      </c>
      <c r="L98" s="20">
        <f t="shared" si="3"/>
        <v>15435</v>
      </c>
      <c r="M98" s="17" t="s">
        <v>126</v>
      </c>
      <c r="N98" s="20" t="s">
        <v>124</v>
      </c>
      <c r="O98" s="8" t="s">
        <v>4</v>
      </c>
      <c r="P98" s="21" t="str">
        <f>VLOOKUP(K98, Intervalos!$B$3:$C$8,2,TRUE)</f>
        <v>0,10%</v>
      </c>
    </row>
    <row r="99" spans="1:16" s="16" customFormat="1" ht="85.05" customHeight="1" x14ac:dyDescent="0.2">
      <c r="A99" s="17" t="s">
        <v>126</v>
      </c>
      <c r="B99" s="17">
        <v>94</v>
      </c>
      <c r="C99" s="18" t="s">
        <v>118</v>
      </c>
      <c r="D99" s="18" t="s">
        <v>121</v>
      </c>
      <c r="E99" s="19">
        <v>615213</v>
      </c>
      <c r="F99" s="18" t="s">
        <v>126</v>
      </c>
      <c r="G99" s="18">
        <v>2</v>
      </c>
      <c r="H99" s="18">
        <v>3</v>
      </c>
      <c r="I99" s="18">
        <v>0</v>
      </c>
      <c r="J99" s="18">
        <f t="shared" si="2"/>
        <v>5</v>
      </c>
      <c r="K99" s="20">
        <v>362.9</v>
      </c>
      <c r="L99" s="20">
        <f t="shared" si="3"/>
        <v>1814.5</v>
      </c>
      <c r="M99" s="17" t="s">
        <v>126</v>
      </c>
      <c r="N99" s="20" t="s">
        <v>124</v>
      </c>
      <c r="O99" s="8" t="s">
        <v>4</v>
      </c>
      <c r="P99" s="21" t="str">
        <f>VLOOKUP(K99, Intervalos!$B$3:$C$8,2,TRUE)</f>
        <v>0,10%</v>
      </c>
    </row>
    <row r="100" spans="1:16" s="16" customFormat="1" ht="85.05" customHeight="1" x14ac:dyDescent="0.2">
      <c r="A100" s="17" t="s">
        <v>126</v>
      </c>
      <c r="B100" s="17">
        <v>95</v>
      </c>
      <c r="C100" s="18" t="s">
        <v>119</v>
      </c>
      <c r="D100" s="18" t="s">
        <v>121</v>
      </c>
      <c r="E100" s="19">
        <v>450792</v>
      </c>
      <c r="F100" s="18" t="s">
        <v>126</v>
      </c>
      <c r="G100" s="18">
        <v>22</v>
      </c>
      <c r="H100" s="18">
        <v>2</v>
      </c>
      <c r="I100" s="18">
        <v>0</v>
      </c>
      <c r="J100" s="18">
        <f t="shared" si="2"/>
        <v>24</v>
      </c>
      <c r="K100" s="20">
        <v>179.72</v>
      </c>
      <c r="L100" s="20">
        <f t="shared" si="3"/>
        <v>4313.28</v>
      </c>
      <c r="M100" s="17" t="s">
        <v>126</v>
      </c>
      <c r="N100" s="20" t="s">
        <v>124</v>
      </c>
      <c r="O100" s="8" t="s">
        <v>4</v>
      </c>
      <c r="P100" s="21" t="str">
        <f>VLOOKUP(K100, Intervalos!$B$3:$C$8,2,TRUE)</f>
        <v>0,10%</v>
      </c>
    </row>
    <row r="101" spans="1:16" s="16" customFormat="1" ht="85.05" customHeight="1" x14ac:dyDescent="0.2">
      <c r="A101" s="17" t="s">
        <v>126</v>
      </c>
      <c r="B101" s="17">
        <v>96</v>
      </c>
      <c r="C101" s="18" t="s">
        <v>120</v>
      </c>
      <c r="D101" s="18" t="s">
        <v>121</v>
      </c>
      <c r="E101" s="19">
        <v>473645</v>
      </c>
      <c r="F101" s="18" t="s">
        <v>126</v>
      </c>
      <c r="G101" s="18">
        <v>55</v>
      </c>
      <c r="H101" s="18">
        <v>5</v>
      </c>
      <c r="I101" s="18">
        <v>0</v>
      </c>
      <c r="J101" s="18">
        <f t="shared" si="2"/>
        <v>60</v>
      </c>
      <c r="K101" s="20">
        <v>1698.31</v>
      </c>
      <c r="L101" s="20">
        <f t="shared" si="3"/>
        <v>101898.59999999999</v>
      </c>
      <c r="M101" s="17" t="s">
        <v>126</v>
      </c>
      <c r="N101" s="20" t="s">
        <v>125</v>
      </c>
      <c r="O101" s="8" t="s">
        <v>4</v>
      </c>
      <c r="P101" s="21" t="str">
        <f>VLOOKUP(K101, Intervalos!$B$3:$C$8,2,TRUE)</f>
        <v>0,10%</v>
      </c>
    </row>
    <row r="102" spans="1:16" s="16" customFormat="1" ht="85.05" customHeight="1" x14ac:dyDescent="0.2">
      <c r="A102" s="26">
        <v>1</v>
      </c>
      <c r="B102" s="17">
        <v>97</v>
      </c>
      <c r="C102" s="18" t="s">
        <v>122</v>
      </c>
      <c r="D102" s="18" t="s">
        <v>121</v>
      </c>
      <c r="E102" s="19">
        <v>613469</v>
      </c>
      <c r="F102" s="18" t="s">
        <v>126</v>
      </c>
      <c r="G102" s="18">
        <v>400</v>
      </c>
      <c r="H102" s="18">
        <v>400</v>
      </c>
      <c r="I102" s="18">
        <v>60</v>
      </c>
      <c r="J102" s="18">
        <f t="shared" si="2"/>
        <v>860</v>
      </c>
      <c r="K102" s="20">
        <v>1866.33</v>
      </c>
      <c r="L102" s="20">
        <f t="shared" si="3"/>
        <v>1605043.8</v>
      </c>
      <c r="M102" s="29">
        <f>L102+L103</f>
        <v>1726145.99</v>
      </c>
      <c r="N102" s="29" t="s">
        <v>125</v>
      </c>
      <c r="O102" s="8" t="s">
        <v>4</v>
      </c>
      <c r="P102" s="21" t="str">
        <f>VLOOKUP(K102, Intervalos!$B$3:$C$8,2,TRUE)</f>
        <v>0,10%</v>
      </c>
    </row>
    <row r="103" spans="1:16" s="16" customFormat="1" ht="85.05" customHeight="1" x14ac:dyDescent="0.2">
      <c r="A103" s="28"/>
      <c r="B103" s="17">
        <v>98</v>
      </c>
      <c r="C103" s="18" t="s">
        <v>127</v>
      </c>
      <c r="D103" s="18" t="s">
        <v>121</v>
      </c>
      <c r="E103" s="19">
        <v>613469</v>
      </c>
      <c r="F103" s="18" t="s">
        <v>126</v>
      </c>
      <c r="G103" s="18">
        <v>40</v>
      </c>
      <c r="H103" s="18">
        <v>3</v>
      </c>
      <c r="I103" s="18">
        <v>0</v>
      </c>
      <c r="J103" s="18">
        <f t="shared" si="2"/>
        <v>43</v>
      </c>
      <c r="K103" s="20">
        <v>2816.33</v>
      </c>
      <c r="L103" s="20">
        <f t="shared" si="3"/>
        <v>121102.19</v>
      </c>
      <c r="M103" s="31"/>
      <c r="N103" s="31"/>
      <c r="O103" s="8" t="s">
        <v>4</v>
      </c>
      <c r="P103" s="21" t="str">
        <f>VLOOKUP(K103, Intervalos!$B$3:$C$8,2,TRUE)</f>
        <v>0,10%</v>
      </c>
    </row>
    <row r="104" spans="1:16" s="16" customFormat="1" ht="85.05" customHeight="1" x14ac:dyDescent="0.2">
      <c r="A104" s="17" t="s">
        <v>126</v>
      </c>
      <c r="B104" s="17">
        <v>99</v>
      </c>
      <c r="C104" s="18" t="s">
        <v>123</v>
      </c>
      <c r="D104" s="18" t="s">
        <v>121</v>
      </c>
      <c r="E104" s="19">
        <v>468461</v>
      </c>
      <c r="F104" s="18" t="s">
        <v>126</v>
      </c>
      <c r="G104" s="18">
        <v>120</v>
      </c>
      <c r="H104" s="18">
        <v>0</v>
      </c>
      <c r="I104" s="18">
        <v>0</v>
      </c>
      <c r="J104" s="18">
        <f t="shared" si="2"/>
        <v>120</v>
      </c>
      <c r="K104" s="20">
        <v>2870</v>
      </c>
      <c r="L104" s="20">
        <f t="shared" si="3"/>
        <v>344400</v>
      </c>
      <c r="M104" s="20" t="s">
        <v>126</v>
      </c>
      <c r="N104" s="20" t="s">
        <v>125</v>
      </c>
      <c r="O104" s="8" t="s">
        <v>4</v>
      </c>
      <c r="P104" s="21" t="str">
        <f>VLOOKUP(K104, Intervalos!$B$3:$C$8,2,TRUE)</f>
        <v>0,10%</v>
      </c>
    </row>
    <row r="105" spans="1:16" s="16" customFormat="1" ht="85.05" customHeight="1" x14ac:dyDescent="0.2">
      <c r="A105" s="26">
        <v>2</v>
      </c>
      <c r="B105" s="17">
        <v>100</v>
      </c>
      <c r="C105" s="18" t="s">
        <v>131</v>
      </c>
      <c r="D105" s="18" t="s">
        <v>121</v>
      </c>
      <c r="E105" s="19">
        <v>617733</v>
      </c>
      <c r="F105" s="18" t="s">
        <v>126</v>
      </c>
      <c r="G105" s="18">
        <v>100</v>
      </c>
      <c r="H105" s="18">
        <v>2</v>
      </c>
      <c r="I105" s="18">
        <v>0</v>
      </c>
      <c r="J105" s="18">
        <f t="shared" si="2"/>
        <v>102</v>
      </c>
      <c r="K105" s="20">
        <v>956.56</v>
      </c>
      <c r="L105" s="20">
        <f t="shared" si="3"/>
        <v>97569.12</v>
      </c>
      <c r="M105" s="29">
        <f>SUM(L105:L108)</f>
        <v>372466.54000000004</v>
      </c>
      <c r="N105" s="29" t="s">
        <v>125</v>
      </c>
      <c r="O105" s="8" t="s">
        <v>4</v>
      </c>
      <c r="P105" s="21" t="str">
        <f>VLOOKUP(K105, Intervalos!$B$3:$C$8,2,TRUE)</f>
        <v>0,10%</v>
      </c>
    </row>
    <row r="106" spans="1:16" s="16" customFormat="1" ht="85.05" customHeight="1" x14ac:dyDescent="0.2">
      <c r="A106" s="27"/>
      <c r="B106" s="17">
        <v>101</v>
      </c>
      <c r="C106" s="18" t="s">
        <v>130</v>
      </c>
      <c r="D106" s="18" t="s">
        <v>121</v>
      </c>
      <c r="E106" s="19">
        <v>341627</v>
      </c>
      <c r="F106" s="18" t="s">
        <v>126</v>
      </c>
      <c r="G106" s="18">
        <v>100</v>
      </c>
      <c r="H106" s="18">
        <v>3</v>
      </c>
      <c r="I106" s="18">
        <v>0</v>
      </c>
      <c r="J106" s="18">
        <f t="shared" si="2"/>
        <v>103</v>
      </c>
      <c r="K106" s="20">
        <v>621.66999999999996</v>
      </c>
      <c r="L106" s="20">
        <f t="shared" si="3"/>
        <v>64032.009999999995</v>
      </c>
      <c r="M106" s="30"/>
      <c r="N106" s="30"/>
      <c r="O106" s="8" t="s">
        <v>4</v>
      </c>
      <c r="P106" s="21" t="str">
        <f>VLOOKUP(K106, Intervalos!$B$3:$C$8,2,TRUE)</f>
        <v>0,10%</v>
      </c>
    </row>
    <row r="107" spans="1:16" s="16" customFormat="1" ht="85.05" customHeight="1" x14ac:dyDescent="0.2">
      <c r="A107" s="27"/>
      <c r="B107" s="17">
        <v>102</v>
      </c>
      <c r="C107" s="18" t="s">
        <v>129</v>
      </c>
      <c r="D107" s="18" t="s">
        <v>121</v>
      </c>
      <c r="E107" s="19">
        <v>626502</v>
      </c>
      <c r="F107" s="18" t="s">
        <v>126</v>
      </c>
      <c r="G107" s="18">
        <v>100</v>
      </c>
      <c r="H107" s="18">
        <v>3</v>
      </c>
      <c r="I107" s="18">
        <v>0</v>
      </c>
      <c r="J107" s="18">
        <f t="shared" si="2"/>
        <v>103</v>
      </c>
      <c r="K107" s="20">
        <v>616.47</v>
      </c>
      <c r="L107" s="20">
        <f t="shared" si="3"/>
        <v>63496.41</v>
      </c>
      <c r="M107" s="30"/>
      <c r="N107" s="30"/>
      <c r="O107" s="8" t="s">
        <v>4</v>
      </c>
      <c r="P107" s="21" t="str">
        <f>VLOOKUP(K107, Intervalos!$B$3:$C$8,2,TRUE)</f>
        <v>0,10%</v>
      </c>
    </row>
    <row r="108" spans="1:16" s="16" customFormat="1" ht="85.05" customHeight="1" x14ac:dyDescent="0.2">
      <c r="A108" s="28"/>
      <c r="B108" s="17">
        <v>103</v>
      </c>
      <c r="C108" s="18" t="s">
        <v>128</v>
      </c>
      <c r="D108" s="18" t="s">
        <v>121</v>
      </c>
      <c r="E108" s="19">
        <v>617733</v>
      </c>
      <c r="F108" s="18" t="s">
        <v>126</v>
      </c>
      <c r="G108" s="18">
        <v>100</v>
      </c>
      <c r="H108" s="18">
        <v>0</v>
      </c>
      <c r="I108" s="18">
        <v>0</v>
      </c>
      <c r="J108" s="18">
        <f>SUM(G108:I108)</f>
        <v>100</v>
      </c>
      <c r="K108" s="20">
        <v>1473.69</v>
      </c>
      <c r="L108" s="20">
        <f>J108*ROUND(K108,2)</f>
        <v>147369</v>
      </c>
      <c r="M108" s="31"/>
      <c r="N108" s="31"/>
      <c r="O108" s="8" t="s">
        <v>4</v>
      </c>
      <c r="P108" s="21" t="str">
        <f>VLOOKUP(K108, Intervalos!$B$3:$C$8,2,TRUE)</f>
        <v>0,10%</v>
      </c>
    </row>
    <row r="109" spans="1:16" ht="30" customHeight="1" x14ac:dyDescent="0.3">
      <c r="K109" s="6" t="s">
        <v>6</v>
      </c>
      <c r="L109" s="9">
        <f>SUM(L6:L108)</f>
        <v>16977959.269999996</v>
      </c>
    </row>
    <row r="113" spans="13:13" x14ac:dyDescent="0.3">
      <c r="M113" s="22"/>
    </row>
    <row r="116" spans="13:13" x14ac:dyDescent="0.3">
      <c r="M116" s="23"/>
    </row>
  </sheetData>
  <mergeCells count="9">
    <mergeCell ref="A105:A108"/>
    <mergeCell ref="M105:M108"/>
    <mergeCell ref="N105:N108"/>
    <mergeCell ref="A1:P1"/>
    <mergeCell ref="A2:P2"/>
    <mergeCell ref="A3:P3"/>
    <mergeCell ref="A102:A103"/>
    <mergeCell ref="M102:M103"/>
    <mergeCell ref="N102:N103"/>
  </mergeCells>
  <pageMargins left="0.23622047244094491" right="0.23622047244094491" top="0.74803149606299213" bottom="0.74803149606299213" header="0.31496062992125984" footer="0.31496062992125984"/>
  <pageSetup paperSize="9" scale="66" fitToHeight="0" orientation="landscape" r:id="rId1"/>
  <headerFooter>
    <oddFooter>Página &amp;P&amp;R&amp;A</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A44FF-836B-4AD3-983B-AAB120C3AFFF}">
  <dimension ref="A1:F9"/>
  <sheetViews>
    <sheetView workbookViewId="0">
      <selection activeCell="C3" sqref="C3"/>
    </sheetView>
  </sheetViews>
  <sheetFormatPr defaultColWidth="0" defaultRowHeight="14.4" zeroHeight="1" x14ac:dyDescent="0.3"/>
  <cols>
    <col min="1" max="1" width="2.44140625" customWidth="1"/>
    <col min="2" max="2" width="12.88671875" customWidth="1"/>
    <col min="3" max="3" width="17.6640625" customWidth="1"/>
    <col min="4" max="4" width="3.109375" customWidth="1"/>
    <col min="5" max="5" width="27" customWidth="1"/>
    <col min="6" max="6" width="4" customWidth="1"/>
    <col min="7" max="16384" width="9.109375" hidden="1"/>
  </cols>
  <sheetData>
    <row r="1" spans="2:5" ht="10.5" customHeight="1" x14ac:dyDescent="0.3"/>
    <row r="2" spans="2:5" ht="63" customHeight="1" x14ac:dyDescent="0.3">
      <c r="B2" s="12" t="s">
        <v>8</v>
      </c>
      <c r="C2" s="12" t="s">
        <v>7</v>
      </c>
      <c r="E2" s="13" t="s">
        <v>10</v>
      </c>
    </row>
    <row r="3" spans="2:5" x14ac:dyDescent="0.3">
      <c r="B3" s="11">
        <v>0.01</v>
      </c>
      <c r="C3" s="10">
        <v>0.01</v>
      </c>
      <c r="E3" s="14" t="s">
        <v>11</v>
      </c>
    </row>
    <row r="4" spans="2:5" x14ac:dyDescent="0.3">
      <c r="B4" s="10">
        <v>5</v>
      </c>
      <c r="C4" s="10">
        <v>0.02</v>
      </c>
      <c r="E4" s="14" t="s">
        <v>12</v>
      </c>
    </row>
    <row r="5" spans="2:5" x14ac:dyDescent="0.3">
      <c r="B5" s="10">
        <v>10</v>
      </c>
      <c r="C5" s="10">
        <v>0.03</v>
      </c>
      <c r="E5" s="14" t="s">
        <v>13</v>
      </c>
    </row>
    <row r="6" spans="2:5" x14ac:dyDescent="0.3">
      <c r="B6" s="10">
        <v>20</v>
      </c>
      <c r="C6" s="10">
        <v>0.05</v>
      </c>
      <c r="E6" s="14" t="s">
        <v>14</v>
      </c>
    </row>
    <row r="7" spans="2:5" x14ac:dyDescent="0.3">
      <c r="B7" s="10">
        <v>50</v>
      </c>
      <c r="C7" s="10">
        <v>0.1</v>
      </c>
      <c r="E7" s="14" t="s">
        <v>15</v>
      </c>
    </row>
    <row r="8" spans="2:5" x14ac:dyDescent="0.3">
      <c r="B8" s="10">
        <v>100</v>
      </c>
      <c r="C8" s="15" t="s">
        <v>9</v>
      </c>
      <c r="E8" s="14" t="s">
        <v>16</v>
      </c>
    </row>
    <row r="9" spans="2:5"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Anexo III</vt:lpstr>
      <vt:lpstr>Intervalos</vt:lpstr>
      <vt:lpstr>'Anexo III'!Area_de_impressao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cp:lastPrinted>2026-02-23T16:50:56Z</cp:lastPrinted>
  <dcterms:created xsi:type="dcterms:W3CDTF">2019-07-30T23:05:19Z</dcterms:created>
  <dcterms:modified xsi:type="dcterms:W3CDTF">2026-03-13T14:34:53Z</dcterms:modified>
</cp:coreProperties>
</file>