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050" tabRatio="715" activeTab="1"/>
  </bookViews>
  <sheets>
    <sheet name="Resumo" sheetId="1" r:id="rId1"/>
    <sheet name="Planilha" sheetId="2" r:id="rId2"/>
    <sheet name="FisicoFinanceiro" sheetId="3" r:id="rId3"/>
    <sheet name="CURVA ABC" sheetId="4" r:id="rId4"/>
    <sheet name="Composição" sheetId="5" r:id="rId5"/>
    <sheet name="Cotação" sheetId="6" r:id="rId6"/>
    <sheet name="BDI" sheetId="8" r:id="rId7"/>
    <sheet name="Enc. Sociais" sheetId="9" r:id="rId8"/>
    <sheet name="Mem. Cálculo" sheetId="10" r:id="rId9"/>
  </sheets>
  <externalReferences>
    <externalReference r:id="rId10"/>
  </externalReferences>
  <definedNames>
    <definedName name="TR" localSheetId="8">'[1]CURVA ABC'!#REF!</definedName>
    <definedName name="TR">'CURVA ABC'!#REF!</definedName>
    <definedName name="V">#REF!</definedName>
    <definedName name="VALOR.TOTAL">#REF!</definedName>
    <definedName name="VALOR_TOTAL">#REF!</definedName>
    <definedName name="VALORTOAL_">#REF!</definedName>
    <definedName name="VALORTOT">#REF!</definedName>
    <definedName name="VALORTOTAL">#REF!</definedName>
    <definedName name="VALORTOTAL_">#REF!</definedName>
    <definedName name="VALORTOTAL__">#REF!</definedName>
    <definedName name="VALORTOTAL___">#REF!</definedName>
    <definedName name="VALORTOTALL">#REF!</definedName>
    <definedName name="VALOT">#REF!</definedName>
    <definedName name="VALOTOT">#REF!</definedName>
    <definedName name="VR">#REF!</definedName>
    <definedName name="VT">#REF!</definedName>
    <definedName name="V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<sst xmlns="http://schemas.openxmlformats.org/spreadsheetml/2006/main" count="34103" uniqueCount="4668">
  <si>
    <t>RESUMO DA PLANILHA DE ORÇAMENTOS DE PROJETOS E OBRAS</t>
  </si>
  <si>
    <t>UFF- CAMPUS NITERÓI</t>
  </si>
  <si>
    <t>AUTOR:</t>
  </si>
  <si>
    <t>FUNÇÃO:</t>
  </si>
  <si>
    <t>LOCAL: RUA VERA CRISPINO DE FREITAS, 190-2 - BOA VIAGEM, NITERÓI-RJ</t>
  </si>
  <si>
    <t xml:space="preserve">PROCESSO: </t>
  </si>
  <si>
    <t>ART/RRT:</t>
  </si>
  <si>
    <t>NOME DA OBRA: AGÊNCIA DE INOVAÇÃO DA UFF</t>
  </si>
  <si>
    <t>BDI</t>
  </si>
  <si>
    <t>BDI EQUIP.</t>
  </si>
  <si>
    <t>SIAPE</t>
  </si>
  <si>
    <t>DATA</t>
  </si>
  <si>
    <t>REVISÃO</t>
  </si>
  <si>
    <t>BASE DE DADOS: SINAPI/2025.7 - EMOP/2025.7 - SCO/2025.7 - SBC/2025.7</t>
  </si>
  <si>
    <t>0000000</t>
  </si>
  <si>
    <t>R03</t>
  </si>
  <si>
    <t>RESUMO</t>
  </si>
  <si>
    <t>ITEM</t>
  </si>
  <si>
    <t>SERVIÇO</t>
  </si>
  <si>
    <t>PREÇO TOTAL</t>
  </si>
  <si>
    <t>GERENCIAMENTO DE OBRAS / FISCALIZAÇÃO</t>
  </si>
  <si>
    <t>SERVIÇOS PRELIMINARES</t>
  </si>
  <si>
    <t>CANTEIRO DE OBRAS</t>
  </si>
  <si>
    <t>MOVIMENTO DE TERRA</t>
  </si>
  <si>
    <t>INFRAESTRUTURA: FUNDAÇÕES SIMPLES (OU DIRETAS)</t>
  </si>
  <si>
    <t>INFRAESTRUTURA: FUNDAÇÕES ESPECIAIS (OU INDIRETAS)</t>
  </si>
  <si>
    <t>SUPERESTRUTURA</t>
  </si>
  <si>
    <t>ALVENARIA / VEDAÇÃO / DIVISÓRIA</t>
  </si>
  <si>
    <t>ESQUADRIAS</t>
  </si>
  <si>
    <t>INSTALAÇÕES HIDRÁULICAS E SANITÁRIAS</t>
  </si>
  <si>
    <t>INSTALAÇÕES PLUVIAIS</t>
  </si>
  <si>
    <t>INSTALAÇÕES ELÉTRICAS</t>
  </si>
  <si>
    <t>SISTEMA DE PROTEÇÃO CONTRA DESCARGAS ATMOSFÉRICAS</t>
  </si>
  <si>
    <t>INSTALAÇÕES LÓGICA / TELEFONIA</t>
  </si>
  <si>
    <t>INSTALAÇÕES DE COMBATE A INCÊNDIO</t>
  </si>
  <si>
    <t>INSTALAÇÕES DE CFTV</t>
  </si>
  <si>
    <t>AR CONDICIONADO/CLIMATIZAÇÃO</t>
  </si>
  <si>
    <t>INSTALAÇÕES MECÂNICAS</t>
  </si>
  <si>
    <t>REVESTIMENTO</t>
  </si>
  <si>
    <t>IMPERMEABILIZAÇÃO, ISOLAMENTO TÉRMICO E ACÚSTICO</t>
  </si>
  <si>
    <t>PISO</t>
  </si>
  <si>
    <t>FORRO</t>
  </si>
  <si>
    <t>PAISAGISMO / URBANIZAÇÃO / ACESSIBILIDADE</t>
  </si>
  <si>
    <t>EQUIPAMENTOS</t>
  </si>
  <si>
    <t>COMUNICAÇÃO VISUAL</t>
  </si>
  <si>
    <t>SUBESTAÇÃO</t>
  </si>
  <si>
    <t>GUARITA</t>
  </si>
  <si>
    <t>PORTICO</t>
  </si>
  <si>
    <t>SERVIÇOS COMPLEMENTARES</t>
  </si>
  <si>
    <t>TOTAL GERAL</t>
  </si>
  <si>
    <t>PLANILHA DE ORÇAMENTOS DE PROJETOS E OBRAS - SINTÉTICA</t>
  </si>
  <si>
    <t>CÓDIGO</t>
  </si>
  <si>
    <t>BASE DE DADOS</t>
  </si>
  <si>
    <t>DESCRIÇÃO</t>
  </si>
  <si>
    <t>UNIDADE</t>
  </si>
  <si>
    <t>QUANTIDADE</t>
  </si>
  <si>
    <t>CUSTO UNITÁRIO</t>
  </si>
  <si>
    <t>PREÇO UNIT c/ BDI</t>
  </si>
  <si>
    <t>DESCONTO OFERTADO</t>
  </si>
  <si>
    <t>VALOR TOTAL COM DESCONTO</t>
  </si>
  <si>
    <t xml:space="preserve"> 1 </t>
  </si>
  <si>
    <t xml:space="preserve">  </t>
  </si>
  <si>
    <t/>
  </si>
  <si>
    <t xml:space="preserve"> 1.1 </t>
  </si>
  <si>
    <t xml:space="preserve"> COMP-1001 </t>
  </si>
  <si>
    <t>Próprio</t>
  </si>
  <si>
    <t>EQUIPE ADMINISTRATIVA DA OBRA</t>
  </si>
  <si>
    <t>un</t>
  </si>
  <si>
    <t xml:space="preserve"> 2 </t>
  </si>
  <si>
    <t xml:space="preserve"> 2.1 </t>
  </si>
  <si>
    <t xml:space="preserve"> 103689 </t>
  </si>
  <si>
    <t>SINAPI</t>
  </si>
  <si>
    <t>FORNECIMENTO E INSTALAÇÃO DE PLACA DE OBRA COM CHAPA GALVANIZADA E ESTRUTURA DE MADEIRA. AF_03/2022_PS</t>
  </si>
  <si>
    <t>m²</t>
  </si>
  <si>
    <t xml:space="preserve"> 2.2 </t>
  </si>
  <si>
    <t xml:space="preserve"> 01.018.0002-A </t>
  </si>
  <si>
    <t>EMOP</t>
  </si>
  <si>
    <t>LOCACAO DE OBRA COM APARELHO TOPOGRAFICO SOBRE CERCA DE MARC ACAO,INCLUSIVE CONSTRUCAO DESTA E SUA PRE-LOCACAO E O FORNEC IMENTO DO MATERIAL E TENDO POR MEDICAO O PERIMETRO A CONSTRU IR QUIVALENTES, Nº12X12 A 18X30 CIAIS DESONERADOS NCARGOS SOCIAIS DESONERADOS GOS SOCIAIS DESONERADOS ARGOS SOCIAIS DESONERADOS DE 500M SEM PRISMA,EALCANCE MINIMO DE 3000M COM UM PRISMA</t>
  </si>
  <si>
    <t>M</t>
  </si>
  <si>
    <t xml:space="preserve"> 2.3 </t>
  </si>
  <si>
    <t xml:space="preserve"> 90781 </t>
  </si>
  <si>
    <t>TOPOGRAFO COM ENCARGOS COMPLEMENTARES</t>
  </si>
  <si>
    <t>H</t>
  </si>
  <si>
    <t xml:space="preserve"> 3 </t>
  </si>
  <si>
    <t xml:space="preserve"> 3.1 </t>
  </si>
  <si>
    <t xml:space="preserve"> COMP-1002 </t>
  </si>
  <si>
    <t>MOBILIZAÇÃO DO CANTEIRO DE OBRAS - INCLUSO TRANSPORTE DE MATERIAIS, MAQUINÁRIO, EQUIPAMENTOS, FERRAMENTAS, UTENSÍLIOS E PESSOAL PARA O CANTEIRO DE OBRA, PARA O INÍCIO DO CONTRATO OU EVENTUAIS INTERRUPÇÕES DO TRABALHO</t>
  </si>
  <si>
    <t xml:space="preserve"> 3.2 </t>
  </si>
  <si>
    <t xml:space="preserve"> 98459 </t>
  </si>
  <si>
    <t>TAPUME COM TELHA METÁLICA. AF_03/2024</t>
  </si>
  <si>
    <t xml:space="preserve"> 3.3 </t>
  </si>
  <si>
    <t xml:space="preserve"> 02.006.0015-A </t>
  </si>
  <si>
    <t>ALUGUEL CONTAINER (MODULO METALICO ICAVEL),P/ESCRITORIO C/WC ,MED.APROX.2,30M LARG.6,00M COMPR.E 2,50M ALT.CHAPAS ACO C/N ERVURAS TRAPEZOIDAIS,ISOLAMENTO TERMO-ACUSTICO FORRO,CHASSIS REFORCADO E PISO COMPENSADO NAVAL,INCLUINDO INST.ELETR.HIDR OSSANITARIAS,SUPRIDO ACESSORIOS,1 BACIA SANITARIA E 1 LAVATO RIO,EXCL.TRANSP.(04.005.0300),CARGA E DESCARGA (04.013.0015) M COMP. E 2,50M ALT.,ISOL.FORRO TERMO-ACUSTICO,PISO COMP.NAV AL,INCL.INST.ELET/HIDRO.,1 V.SAN./1 LAV.</t>
  </si>
  <si>
    <t>UNXMES</t>
  </si>
  <si>
    <t xml:space="preserve"> 3.4 </t>
  </si>
  <si>
    <t xml:space="preserve"> 02.006.0030-A </t>
  </si>
  <si>
    <t>ALUGUEL CONTAINER(MODULO METALICO ICAVEL),SANITARIO-VESTIARI O,MED.APROX.2,30M LARG.6,00M COMPR.2,50M ALT.CHAPAS ACO NERV URAS TRAPEZOIDAIS,ISOLAMENTO TERMO-ACUSTICO FORRO,CHASSIS RE FORCADO PISO COMPENSADO NAVAL,INCL.INST.ELETR.HIDROSSANITARI AS,SUPRIDO ACESS.7 BACIAS SANITARIAS,2 LAVATORIOS E 2 MICTOR IOS,EXCL.TRANSP.(04.005.0300),CARGA E DESCARGA(04.013.0015) 6,00 E A=2,50M,ISOL.FORRO TERMO-ACUSTICO,PISO COMP.NAVAL,INC L.INST.ELET/HIDRO.,7 V.SAN./2 LAV./2 MIC</t>
  </si>
  <si>
    <t xml:space="preserve"> 3.5 </t>
  </si>
  <si>
    <t xml:space="preserve"> 012095 </t>
  </si>
  <si>
    <t>SBC</t>
  </si>
  <si>
    <t>CONTAINER REFEITORIO 12.12x2,44x2.57 C/5 MESAS/BANCOS/PIA</t>
  </si>
  <si>
    <t>MES</t>
  </si>
  <si>
    <t xml:space="preserve"> 3.6 </t>
  </si>
  <si>
    <t xml:space="preserve"> 061042 </t>
  </si>
  <si>
    <t>ENTRADA ENERGIA BAIXA TENSAO COM MEDIDOR</t>
  </si>
  <si>
    <t>UN</t>
  </si>
  <si>
    <t xml:space="preserve"> 3.7 </t>
  </si>
  <si>
    <t xml:space="preserve"> COMP-81429 </t>
  </si>
  <si>
    <t>LIGAÇÃO PROVISÓRIA DE ÁGUA E ESGOTO</t>
  </si>
  <si>
    <t xml:space="preserve"> 3.8 </t>
  </si>
  <si>
    <t xml:space="preserve"> 97063 </t>
  </si>
  <si>
    <t>MONTAGEM E DESMONTAGEM DE ANDAIME MODULAR FACHADEIRO, COM PISO METÁLICO, PARA EDIFÍCIOS COM MULTIPLOS PAVIMENTOS (EXCLUSIVE ANDAIME E LIMPEZA). AF_03/2024</t>
  </si>
  <si>
    <t xml:space="preserve"> 3.9 </t>
  </si>
  <si>
    <t xml:space="preserve"> COM-40772 </t>
  </si>
  <si>
    <t>LOCACAO DE ANDAIME METALICO TIPO FACHADEIRO, PECAS COM APROXIMADAMENTE 1,20 M DE LARGURA E 2,0 M DE ALTURA, INCLUINDO DIAGONAIS EM X, BARRAS DE LIGACAO, SAPATAS E DEMAIS ITENS NECESSARIOS A MONTAGEM. INCLUSIVE MONTAGEM E DESMONTAGEM</t>
  </si>
  <si>
    <t xml:space="preserve"> 3.10 </t>
  </si>
  <si>
    <t xml:space="preserve"> 97064 </t>
  </si>
  <si>
    <t>MONTAGEM E DESMONTAGEM DE ANDAIME TUBULAR TIPO "TORRE" (EXCLUSIVE ANDAIME E LIMPEZA). AF_03/2024</t>
  </si>
  <si>
    <t xml:space="preserve"> 3.11 </t>
  </si>
  <si>
    <t xml:space="preserve"> COMP-3043 </t>
  </si>
  <si>
    <t>ALUGUEL MENSAL ANDAIME TUBULAR TIPO TORRE</t>
  </si>
  <si>
    <t>MXMES</t>
  </si>
  <si>
    <t xml:space="preserve"> 3.12 </t>
  </si>
  <si>
    <t xml:space="preserve"> 04.014.0095-0 </t>
  </si>
  <si>
    <t>RETIRADA DE ENTULHO DE OBRA COM CACAMBA DE ACO TIPO CONTAINE R COM 5M3 DE CAPACIDADE,INCLUSIVE CARREGAMENTO,TRANSPORTE E DESCARREGAMENTO.CUSTO POR UNIDADE DE CACAMBA E INCLUI A TAX A PARA DESCARGA EM LOCAIS AUTORIZADOS GOS SOCIAIS ENTULHO OBRA,INCL.CARREGA.,TRANSP.E DESCAR.LOCAIS AUTORIZ.</t>
  </si>
  <si>
    <t xml:space="preserve"> 4 </t>
  </si>
  <si>
    <t xml:space="preserve"> 4.1 </t>
  </si>
  <si>
    <t xml:space="preserve"> 101114 </t>
  </si>
  <si>
    <t>ESCAVAÇÃO HORIZONTAL EM SOLO DE 1A CATEGORIA COM TRATOR DE ESTEIRAS (100HP/LÂMINA: 2,19M3). AF_07/2020</t>
  </si>
  <si>
    <t>m³</t>
  </si>
  <si>
    <t xml:space="preserve"> 4.2 </t>
  </si>
  <si>
    <t xml:space="preserve"> 100974 </t>
  </si>
  <si>
    <t>CARGA, MANOBRA E DESCARGA DE SOLOS E MATERIAIS GRANULARES EM CAMINHÃO BASCULANTE 10 M³ - CARGA COM PÁ CARREGADEIRA (CAÇAMBA DE 1,7 A 2,8 M³ / 128 HP) E DESCARGA LIVRE (UNIDADE: M3). AF_07/2020</t>
  </si>
  <si>
    <t xml:space="preserve"> 4.3 </t>
  </si>
  <si>
    <t xml:space="preserve"> 96385 </t>
  </si>
  <si>
    <t>EXECUÇÃO E COMPACTAÇÃO DE CORPO DE ATERRO DE ATERRO (95% DE ENERGIA DO PROCTOR NORMAL) COM SOLO PREDOMINANTEMENTE ARGILOSO ESPESSURA 15 CM - EXCLUSIVE MATERIAL, ESCAVAÇÃO, CARGA E TRANSPORTE. AF_09/2024</t>
  </si>
  <si>
    <t xml:space="preserve"> 4.4 </t>
  </si>
  <si>
    <t xml:space="preserve"> 93590 </t>
  </si>
  <si>
    <t>TRANSPORTE COM CAMINHÃO BASCULANTE DE 10 M³, EM VIA URBANA PAVIMENTADA, ADICIONAL PARA DMT EXCEDENTE A 30 KM (UNIDADE: M3XKM). AF_07/2020</t>
  </si>
  <si>
    <t>M3XKM</t>
  </si>
  <si>
    <t xml:space="preserve"> 4.5 </t>
  </si>
  <si>
    <t xml:space="preserve"> COMP-3047 </t>
  </si>
  <si>
    <t>Descarte de solo em aterro legalizado</t>
  </si>
  <si>
    <t xml:space="preserve"> 5 </t>
  </si>
  <si>
    <t xml:space="preserve"> 5.1 </t>
  </si>
  <si>
    <t>BLOCO DE COROAMENTO E SAPATA</t>
  </si>
  <si>
    <t xml:space="preserve"> 5.1.1 </t>
  </si>
  <si>
    <t xml:space="preserve"> 96523 </t>
  </si>
  <si>
    <t>ESCAVAÇÃO MANUAL PARA BLOCO DE COROAMENTO OU SAPATA (INCLUINDO ESCAVAÇÃO PARA COLOCAÇÃO DE FÔRMAS). AF_01/2024</t>
  </si>
  <si>
    <t xml:space="preserve"> 5.1.2 </t>
  </si>
  <si>
    <t xml:space="preserve"> 96529 </t>
  </si>
  <si>
    <t>FABRICAÇÃO, MONTAGEM E DESMONTAGEM DE FÔRMA PARA SAPATA, EM MADEIRA SERRADA, E=25 MM, 1 UTILIZAÇÃO. AF_01/2024</t>
  </si>
  <si>
    <t xml:space="preserve"> 5.1.3 </t>
  </si>
  <si>
    <t xml:space="preserve"> 96528 </t>
  </si>
  <si>
    <t>FABRICAÇÃO, MONTAGEM E DESMONTAGEM DE FÔRMA PARA BLOCO DE COROAMENTO, EM MADEIRA SERRADA, E=25 MM, 1 UTILIZAÇÃO. AF_01/2024</t>
  </si>
  <si>
    <t xml:space="preserve"> 5.1.4 </t>
  </si>
  <si>
    <t xml:space="preserve"> 96543 </t>
  </si>
  <si>
    <t>ARMAÇÃO DE BLOCO UTILIZANDO AÇO CA-60 DE 5 MM - MONTAGEM. AF_01/2024</t>
  </si>
  <si>
    <t>KG</t>
  </si>
  <si>
    <t xml:space="preserve"> 5.1.5 </t>
  </si>
  <si>
    <t xml:space="preserve"> 96546 </t>
  </si>
  <si>
    <t>ARMAÇÃO DE BLOCO UTILIZANDO AÇO CA-50 DE 10 MM - MONTAGEM. AF_01/2024</t>
  </si>
  <si>
    <t xml:space="preserve"> 5.1.6 </t>
  </si>
  <si>
    <t xml:space="preserve"> 104916 </t>
  </si>
  <si>
    <t>ARMAÇÃO DE SAPATA ISOLADA, VIGA BALDRAME E SAPATA CORRIDA UTILIZANDO AÇO CA-60 DE 5 MM - MONTAGEM. AF_01/2024</t>
  </si>
  <si>
    <t xml:space="preserve"> 5.1.7 </t>
  </si>
  <si>
    <t xml:space="preserve"> 104918 </t>
  </si>
  <si>
    <t>ARMAÇÃO DE SAPATA ISOLADA, VIGA BALDRAME E SAPATA CORRIDA UTILIZANDO AÇO CA-50 DE 8 MM - MONTAGEM. AF_01/2024</t>
  </si>
  <si>
    <t xml:space="preserve"> 5.1.8 </t>
  </si>
  <si>
    <t xml:space="preserve"> 104919 </t>
  </si>
  <si>
    <t>ARMAÇÃO DE SAPATA ISOLADA, VIGA BALDRAME E SAPATA CORRIDA UTILIZANDO AÇO CA-50 DE 10 MM - MONTAGEM. AF_01/2024</t>
  </si>
  <si>
    <t xml:space="preserve"> 5.1.9 </t>
  </si>
  <si>
    <t xml:space="preserve"> 104920 </t>
  </si>
  <si>
    <t>ARMAÇÃO DE BLOCO, SAPATA ISOLADA, VIGA BALDRAME E SAPATA CORRIDA UTILIZANDO AÇO CA-50 DE 12,5 MM - MONTAGEM. AF_01/2024</t>
  </si>
  <si>
    <t xml:space="preserve"> 5.1.10 </t>
  </si>
  <si>
    <t xml:space="preserve"> 104921 </t>
  </si>
  <si>
    <t>ARMAÇÃO DE BLOCO, SAPATA ISOLADA, VIGA BALDRAME E SAPATA CORRIDA UTILIZANDO AÇO CA-50 DE 16 MM - MONTAGEM. AF_01/2024</t>
  </si>
  <si>
    <t xml:space="preserve"> 5.1.11 </t>
  </si>
  <si>
    <t xml:space="preserve"> 96558 </t>
  </si>
  <si>
    <t>CONCRETAGEM DE SAPATA, FCK 30 MPA, COM USO DE BOMBA - LANÇAMENTO, ADENSAMENTO E ACABAMENTO. AF_01/2024</t>
  </si>
  <si>
    <t xml:space="preserve"> 5.1.12 </t>
  </si>
  <si>
    <t xml:space="preserve"> 96557 </t>
  </si>
  <si>
    <t>CONCRETAGEM DE BLOCO DE COROAMENTO OU VIGA BALDRAME, FCK 30 MPA, COM USO DE BOMBA - LANÇAMENTO, ADENSAMENTO E ACABAMENTO. AF_01/2024</t>
  </si>
  <si>
    <t xml:space="preserve"> 5.2 </t>
  </si>
  <si>
    <t>VIGA DE EQUILÍBRIO/BALDRAME</t>
  </si>
  <si>
    <t xml:space="preserve"> 5.2.1 </t>
  </si>
  <si>
    <t xml:space="preserve"> 96527 </t>
  </si>
  <si>
    <t>ESCAVAÇÃO MANUAL PARA VIGA BALDRAME OU SAPATA CORRIDA (INCLUINDO ESCAVAÇÃO PARA COLOCAÇÃO DE FÔRMAS). AF_01/2024</t>
  </si>
  <si>
    <t xml:space="preserve"> 5.2.2 </t>
  </si>
  <si>
    <t xml:space="preserve"> 96536 </t>
  </si>
  <si>
    <t>FABRICAÇÃO, MONTAGEM E DESMONTAGEM DE FÔRMA PARA VIGA BALDRAME, EM MADEIRA SERRADA, E=25 MM, 4 UTILIZAÇÕES. AF_01/2024</t>
  </si>
  <si>
    <t xml:space="preserve"> 5.2.3 </t>
  </si>
  <si>
    <t xml:space="preserve"> 5.2.4 </t>
  </si>
  <si>
    <t xml:space="preserve"> 5.2.5 </t>
  </si>
  <si>
    <t xml:space="preserve"> 5.2.6 </t>
  </si>
  <si>
    <t xml:space="preserve"> 6 </t>
  </si>
  <si>
    <t xml:space="preserve"> 6.1 </t>
  </si>
  <si>
    <t xml:space="preserve"> 10.003.0080-A </t>
  </si>
  <si>
    <t>ESTACA DE CONCRETO ARMADO,MOLDADA NO TERRENO,TIPO HELICE CON TINUA,DIAMETRO DE 400MM,CAPACIDADE DE CARGA DE 60T A 80T,INC LUSIVE FORNECIMENTO DOS MATERIAIS CONSIDERANDO O TRECHO CRAV ADO E CONCRETADO GOS SOCIAIS DESONERADOS GOS SOCIAIS DESONERADOS</t>
  </si>
  <si>
    <t xml:space="preserve"> 6.2 </t>
  </si>
  <si>
    <t xml:space="preserve"> 95602 </t>
  </si>
  <si>
    <t>ARRASAMENTO MECANICO DE ESTACA DE CONCRETO ARMADO, DIAMETROS DE 41 CM A 60 CM. AF_05/2021</t>
  </si>
  <si>
    <t xml:space="preserve"> 6.3 </t>
  </si>
  <si>
    <t xml:space="preserve"> COMP-3042 </t>
  </si>
  <si>
    <t>ENSAIO DE INTEGRIDADE DAS ESTACAS PIT</t>
  </si>
  <si>
    <t xml:space="preserve"> 7 </t>
  </si>
  <si>
    <t xml:space="preserve"> 7.1 </t>
  </si>
  <si>
    <t>PILAR</t>
  </si>
  <si>
    <t xml:space="preserve"> 7.1.1 </t>
  </si>
  <si>
    <t xml:space="preserve"> 92413 </t>
  </si>
  <si>
    <t>MONTAGEM E DESMONTAGEM DE FÔRMA DE PILARES RETANGULARES E ESTRUTURAS SIMILARES, PÉ-DIREITO SIMPLES, EM MADEIRA SERRADA, 4 UTILIZAÇÕES. AF_09/2020</t>
  </si>
  <si>
    <t xml:space="preserve"> 7.1.2 </t>
  </si>
  <si>
    <t xml:space="preserve"> 92759 </t>
  </si>
  <si>
    <t>ARMAÇÃO DE PILAR OU VIGA DE ESTRUTURA CONVENCIONAL DE CONCRETO ARMADO UTILIZANDO AÇO CA-60 DE 5,0 MM - MONTAGEM. AF_06/2022</t>
  </si>
  <si>
    <t xml:space="preserve"> 7.1.3 </t>
  </si>
  <si>
    <t xml:space="preserve"> 92760 </t>
  </si>
  <si>
    <t>ARMAÇÃO DE PILAR OU VIGA DE ESTRUTURA CONVENCIONAL DE CONCRETO ARMADO UTILIZANDO AÇO CA-50 DE 6,3 MM - MONTAGEM. AF_06/2022</t>
  </si>
  <si>
    <t xml:space="preserve"> 7.1.4 </t>
  </si>
  <si>
    <t xml:space="preserve"> 92761 </t>
  </si>
  <si>
    <t>ARMAÇÃO DE PILAR OU VIGA DE ESTRUTURA CONVENCIONAL DE CONCRETO ARMADO UTILIZANDO AÇO CA-50 DE 8,0 MM - MONTAGEM. AF_06/2022</t>
  </si>
  <si>
    <t xml:space="preserve"> 7.1.5 </t>
  </si>
  <si>
    <t xml:space="preserve"> 92762 </t>
  </si>
  <si>
    <t>ARMAÇÃO DE PILAR OU VIGA DE ESTRUTURA CONVENCIONAL DE CONCRETO ARMADO UTILIZANDO AÇO CA-50 DE 10,0 MM - MONTAGEM. AF_06/2022</t>
  </si>
  <si>
    <t xml:space="preserve"> 7.1.6 </t>
  </si>
  <si>
    <t xml:space="preserve"> 92763 </t>
  </si>
  <si>
    <t>ARMAÇÃO DE PILAR OU VIGA DE ESTRUTURA CONVENCIONAL DE CONCRETO ARMADO UTILIZANDO AÇO CA-50 DE 12,5 MM - MONTAGEM. AF_06/2022</t>
  </si>
  <si>
    <t xml:space="preserve"> 7.1.7 </t>
  </si>
  <si>
    <t xml:space="preserve"> 92764 </t>
  </si>
  <si>
    <t>ARMAÇÃO DE PILAR OU VIGA DE ESTRUTURA CONVENCIONAL DE CONCRETO ARMADO UTILIZANDO AÇO CA-50 DE 16,0 MM - MONTAGEM. AF_06/2022</t>
  </si>
  <si>
    <t xml:space="preserve"> 7.1.8 </t>
  </si>
  <si>
    <t xml:space="preserve"> 103672 </t>
  </si>
  <si>
    <t>CONCRETAGEM DE PILARES, FCK = 25 MPA, COM USO DE BOMBA - LANÇAMENTO, ADENSAMENTO E ACABAMENTO. AF_02/2022_PS</t>
  </si>
  <si>
    <t xml:space="preserve"> 7.2 </t>
  </si>
  <si>
    <t>VIGA</t>
  </si>
  <si>
    <t xml:space="preserve"> 7.2.1 </t>
  </si>
  <si>
    <t xml:space="preserve"> 92455 </t>
  </si>
  <si>
    <t>MONTAGEM E DESMONTAGEM DE FÔRMA DE VIGA, ESCORAMENTO COM GARFO DE MADEIRA, PÉ-DIREITO SIMPLES, EM CHAPA DE MADEIRA RESINADA, 4 UTILIZAÇÕES. AF_09/2020</t>
  </si>
  <si>
    <t xml:space="preserve"> 7.2.2 </t>
  </si>
  <si>
    <t xml:space="preserve"> 7.2.3 </t>
  </si>
  <si>
    <t xml:space="preserve"> 7.2.4 </t>
  </si>
  <si>
    <t xml:space="preserve"> 7.2.5 </t>
  </si>
  <si>
    <t xml:space="preserve"> 7.2.6 </t>
  </si>
  <si>
    <t xml:space="preserve"> 7.2.7 </t>
  </si>
  <si>
    <t xml:space="preserve"> 7.2.8 </t>
  </si>
  <si>
    <t xml:space="preserve"> 92765 </t>
  </si>
  <si>
    <t>ARMAÇÃO DE PILAR OU VIGA DE ESTRUTURA CONVENCIONAL DE CONCRETO ARMADO UTILIZANDO AÇO CA-50 DE 20,0 MM - MONTAGEM. AF_06/2022</t>
  </si>
  <si>
    <t xml:space="preserve"> 7.3 </t>
  </si>
  <si>
    <t>LAJE</t>
  </si>
  <si>
    <t xml:space="preserve"> 7.3.1 </t>
  </si>
  <si>
    <t xml:space="preserve"> 92510 </t>
  </si>
  <si>
    <t>MONTAGEM E DESMONTAGEM DE FÔRMA DE LAJE MACIÇA, PÉ-DIREITO SIMPLES, EM CHAPA DE MADEIRA COMPENSADA RESINADA, 2 UTILIZAÇÕES. AF_09/2020</t>
  </si>
  <si>
    <t xml:space="preserve"> 7.3.2 </t>
  </si>
  <si>
    <t xml:space="preserve"> 92768 </t>
  </si>
  <si>
    <t>ARMAÇÃO DE LAJE DE ESTRUTURA CONVENCIONAL DE CONCRETO ARMADO UTILIZANDO AÇO CA-60 DE 5,0 MM - MONTAGEM. AF_06/2022</t>
  </si>
  <si>
    <t xml:space="preserve"> 7.3.3 </t>
  </si>
  <si>
    <t xml:space="preserve"> 92769 </t>
  </si>
  <si>
    <t>ARMAÇÃO DE LAJE DE ESTRUTURA CONVENCIONAL DE CONCRETO ARMADO UTILIZANDO AÇO CA-50 DE 6,3 MM - MONTAGEM. AF_06/2022</t>
  </si>
  <si>
    <t xml:space="preserve"> 7.3.4 </t>
  </si>
  <si>
    <t xml:space="preserve"> 92770 </t>
  </si>
  <si>
    <t>ARMAÇÃO DE LAJE DE ESTRUTURA CONVENCIONAL DE CONCRETO ARMADO UTILIZANDO AÇO CA-50 DE 8,0 MM - MONTAGEM. AF_06/2022</t>
  </si>
  <si>
    <t xml:space="preserve"> 7.3.5 </t>
  </si>
  <si>
    <t xml:space="preserve"> 92771 </t>
  </si>
  <si>
    <t>ARMAÇÃO DE LAJE DE ESTRUTURA CONVENCIONAL DE CONCRETO ARMADO UTILIZANDO AÇO CA-50 DE 10,0 MM - MONTAGEM. AF_06/2022</t>
  </si>
  <si>
    <t xml:space="preserve"> 7.3.6 </t>
  </si>
  <si>
    <t xml:space="preserve"> 92772 </t>
  </si>
  <si>
    <t>ARMAÇÃO DE LAJE DE ESTRUTURA CONVENCIONAL DE CONCRETO ARMADO UTILIZANDO AÇO CA-50 DE 12,5 MM - MONTAGEM. AF_06/2022</t>
  </si>
  <si>
    <t xml:space="preserve"> 7.3.7 </t>
  </si>
  <si>
    <t xml:space="preserve"> 92773 </t>
  </si>
  <si>
    <t>ARMAÇÃO DE LAJE DE ESTRUTURA CONVENCIONAL DE CONCRETO ARMADO UTILIZANDO AÇO CA-50 DE 16,0 MM - MONTAGEM. AF_06/2022</t>
  </si>
  <si>
    <t xml:space="preserve"> 7.3.8 </t>
  </si>
  <si>
    <t xml:space="preserve"> 101963 </t>
  </si>
  <si>
    <t>LAJE PRÉ-MOLDADA UNIDIRECIONAL, BIAPOIADA, PARA PISO, ENCHIMENTO EM CERÂMICA, VIGOTA CONVENCIONAL, ALTURA TOTAL DA LAJE "LT" = 12 CM (ENCHIMENTO+CAPA) = (8+4). AF_08/2025</t>
  </si>
  <si>
    <t xml:space="preserve"> 7.3.9 </t>
  </si>
  <si>
    <t xml:space="preserve"> 92490 </t>
  </si>
  <si>
    <t>MONTAGEM E DESMONTAGEM DE FÔRMA DE LAJE NERVURADA COM CUBETA E ASSOALHO, PÉ-DIREITO SIMPLES, EM CHAPA DE MADEIRA COMPENSADA RESINADA, 8 UTILIZAÇÕES. AF_09/2020</t>
  </si>
  <si>
    <t xml:space="preserve"> 7.3.10 </t>
  </si>
  <si>
    <t xml:space="preserve"> 103675 </t>
  </si>
  <si>
    <t>CONCRETAGEM DE VIGAS E LAJES, FCK=25 MPA, PARA LAJES MACIÇAS OU NERVURADAS COM USO DE BOMBA - LANÇAMENTO, ADENSAMENTO E ACABAMENTO. AF_02/2022_PS</t>
  </si>
  <si>
    <t xml:space="preserve"> 7.4 </t>
  </si>
  <si>
    <t>ESCADA</t>
  </si>
  <si>
    <t xml:space="preserve"> 7.4.1 </t>
  </si>
  <si>
    <t xml:space="preserve"> 102040 </t>
  </si>
  <si>
    <t>MONTAGEM E DESMONTAGEM DE FÔRMA PARA ESCADAS, COM 1 LANCE E LAJE PLANA, EM MADEIRA SERRADA, 2 UTILIZAÇÕES. AF_11/2020</t>
  </si>
  <si>
    <t xml:space="preserve"> 7.4.2 </t>
  </si>
  <si>
    <t xml:space="preserve"> 95943 </t>
  </si>
  <si>
    <t>ARMAÇÃO DE ESCADA, DE UMA ESTRUTURA CONVENCIONAL DE CONCRETO ARMADO UTILIZANDO AÇO CA-60 DE 5,0 MM - MONTAGEM. AF_11/2020</t>
  </si>
  <si>
    <t xml:space="preserve"> 7.4.3 </t>
  </si>
  <si>
    <t xml:space="preserve"> 95944 </t>
  </si>
  <si>
    <t>ARMAÇÃO DE ESCADA, DE UMA ESTRUTURA CONVENCIONAL DE CONCRETO ARMADO UTILIZANDO AÇO CA-50 DE 6,3 MM - MONTAGEM. AF_11/2020</t>
  </si>
  <si>
    <t xml:space="preserve"> 7.4.4 </t>
  </si>
  <si>
    <t xml:space="preserve"> 95945 </t>
  </si>
  <si>
    <t>ARMAÇÃO DE ESCADA, DE UMA ESTRUTURA CONVENCIONAL DE CONCRETO ARMADO UTILIZANDO AÇO CA-50 DE 8,0 MM - MONTAGEM. AF_11/2020</t>
  </si>
  <si>
    <t xml:space="preserve"> 7.4.5 </t>
  </si>
  <si>
    <t xml:space="preserve"> 95946 </t>
  </si>
  <si>
    <t>ARMAÇÃO DE ESCADA, DE UMA ESTRUTURA CONVENCIONAL DE CONCRETO ARMADO UTILIZANDO AÇO CA-50 DE 10,0 MM - MONTAGEM. AF_11/2020</t>
  </si>
  <si>
    <t xml:space="preserve"> 7.4.6 </t>
  </si>
  <si>
    <t xml:space="preserve"> 95947 </t>
  </si>
  <si>
    <t>ARMAÇÃO DE ESCADA, DE UMA ESTRUTURA CONVENCIONAL DE CONCRETO ARMADO UTILIZANDO AÇO CA-50 DE 12,5 MM - MONTAGEM. AF_11/2020</t>
  </si>
  <si>
    <t xml:space="preserve"> 7.4.7 </t>
  </si>
  <si>
    <t xml:space="preserve"> 103686 </t>
  </si>
  <si>
    <t>CONCRETAGEM DE ESCADAS, FCK=25 MPA, COM USO DE BOMBA - LANÇAMENTO, ADENSAMENTO E ACABAMENTO. AF_02/2022_PS</t>
  </si>
  <si>
    <t xml:space="preserve"> 7.4.8 </t>
  </si>
  <si>
    <t xml:space="preserve"> 7.4.9 </t>
  </si>
  <si>
    <t xml:space="preserve"> 7.5 </t>
  </si>
  <si>
    <t>ALVENARIA ESTRUTURAL</t>
  </si>
  <si>
    <t xml:space="preserve"> 7.5.1 </t>
  </si>
  <si>
    <t xml:space="preserve"> 89996 </t>
  </si>
  <si>
    <t>ARMAÇÃO VERTICAL DE ALVENARIA ESTRUTURAL; DIÂMETRO DE 10,0 MM. AF_09/2021</t>
  </si>
  <si>
    <t xml:space="preserve"> 7.5.2 </t>
  </si>
  <si>
    <t xml:space="preserve"> 102920 </t>
  </si>
  <si>
    <t>ARMAÇÃO DE CINTA DE ALVENARIA ESTRUTURAL; DIÂMETRO DE 12,5 MM. AF_09/2021</t>
  </si>
  <si>
    <t xml:space="preserve"> 7.5.3 </t>
  </si>
  <si>
    <t xml:space="preserve"> 89453 </t>
  </si>
  <si>
    <t>ALVENARIA DE BLOCOS DE CONCRETO ESTRUTURAL 14X19X39 CM (ESPESSURA 14 CM), FBK = 4,5 MPA, UTILIZANDO PALHETA. AF_10/2022</t>
  </si>
  <si>
    <t xml:space="preserve"> 7.5.4 </t>
  </si>
  <si>
    <t xml:space="preserve"> 90282 </t>
  </si>
  <si>
    <t>GRAUTE FGK=15 MPA; TRAÇO 1:2,2:2,5:0,3 (EM MASSA SECA DE CIMENTO/ AREIA GROSSA/ BRITA 0/ ADITIVO) - PREPARO MECÂNICO COM BETONEIRA 400 L. AF_09/2021</t>
  </si>
  <si>
    <t xml:space="preserve"> 7.5.5 </t>
  </si>
  <si>
    <t xml:space="preserve"> COMP-25269 </t>
  </si>
  <si>
    <t>PLACA PRÉ-MOLDADA CONCRETO FCK 40 MPA P/ FACHADA 1,50X0,30X0,08 M. FORNECIMENTO E INSTALAÇÃO</t>
  </si>
  <si>
    <t xml:space="preserve"> 8 </t>
  </si>
  <si>
    <t xml:space="preserve"> 8.1 </t>
  </si>
  <si>
    <t>ALVENARIA</t>
  </si>
  <si>
    <t xml:space="preserve"> 8.1.1 </t>
  </si>
  <si>
    <t xml:space="preserve"> 103336 </t>
  </si>
  <si>
    <t>ALVENARIA DE VEDAÇÃO DE BLOCOS VAZADOS DE CONCRETO APARENTE DE 9X19X39 CM (ESPESSURA 9 CM) E ARGAMASSA DE ASSENTAMENTO COM PREPARO EM BETONEIRA. AF_12/2021</t>
  </si>
  <si>
    <t xml:space="preserve"> 8.1.2 </t>
  </si>
  <si>
    <t xml:space="preserve"> 103356 </t>
  </si>
  <si>
    <t>ALVENARIA DE VEDAÇÃO DE BLOCOS CERÂMICOS FURADOS NA HORIZONTAL DE 9X19X29 CM (ESPESSURA 9 CM) E ARGAMASSA DE ASSENTAMENTO COM PREPARO EM BETONEIRA. AF_12/2021</t>
  </si>
  <si>
    <t xml:space="preserve"> 8.1.3 </t>
  </si>
  <si>
    <t xml:space="preserve"> 12.050.0001-A </t>
  </si>
  <si>
    <t>ALVENARIA ESTRUTURAL DE TIJOLOS CERAMICOS 14X19X29CM,APARENT ES,ESPESSURA 14CM,COM QUALIDADE E RESISTENCIA A COMPRESSAO C ONFORME NORMAS DA ABNT,ASSENTES COM ARGAMASSA DE CIMENTO E A REIA,NO TRACO 1:3,SUPERFICIES COM VAOS E ARESTAS,CONFORME PR OJETO CEHAB 0MM QUIVALENTES, Nº12X12 A 18X30 (14X19X29)CM DOS GOS SOCIAIS DESONERADOS</t>
  </si>
  <si>
    <t xml:space="preserve"> 8.1.4 </t>
  </si>
  <si>
    <t xml:space="preserve"> 101161 </t>
  </si>
  <si>
    <t>ALVENARIA DE VEDAÇÃO COM ELEMENTO VAZADO DE CONCRETO (COBOGÓ) DE 7X50X50CM E ARGAMASSA DE ASSENTAMENTO COM PREPARO EM BETONEIRA. AF_05/2020</t>
  </si>
  <si>
    <t xml:space="preserve"> 8.1.5 </t>
  </si>
  <si>
    <t xml:space="preserve"> COMP-1004 </t>
  </si>
  <si>
    <t>PLACA CIMENTÍCIA PRÉ-MOLDADA (STEEL FRAME) 10MM. FORNECIMENTO E INSTALAÇÃO.</t>
  </si>
  <si>
    <t xml:space="preserve"> 8.1.6 </t>
  </si>
  <si>
    <t xml:space="preserve"> COMP-1006 </t>
  </si>
  <si>
    <t>PLACA CIMENTÍCIA 3MM. FORNECIMENTO E INSTALAÇÃO.</t>
  </si>
  <si>
    <t xml:space="preserve"> 8.2 </t>
  </si>
  <si>
    <t>DIVISÓRIAS</t>
  </si>
  <si>
    <t xml:space="preserve"> 8.2.1 </t>
  </si>
  <si>
    <t xml:space="preserve"> 090093 </t>
  </si>
  <si>
    <t>DIVIS.PAINEL/VIDRO/PAINEL MIOLO SEMI-OCO 35MM REV.LAM.COLOC.</t>
  </si>
  <si>
    <t xml:space="preserve"> 8.3 </t>
  </si>
  <si>
    <t>DRYWALL</t>
  </si>
  <si>
    <t xml:space="preserve"> 8.3.1 </t>
  </si>
  <si>
    <t xml:space="preserve"> 96368 </t>
  </si>
  <si>
    <t>PAREDE COM SISTEMA EM CHAPAS DE GESSO PARA DRYWALL, USO INTERNO COM DUAS FACES DUPLAS E ESTRUTURA METÁLICA COM GUIAS DUPLAS, SEM VÃOS. AF_07/2023_PS</t>
  </si>
  <si>
    <t xml:space="preserve"> 8.3.2 </t>
  </si>
  <si>
    <t xml:space="preserve"> 96369 </t>
  </si>
  <si>
    <t>PAREDE COM SISTEMA EM CHAPAS DE GESSO PARA DRYWALL, USO INTERNO, COM DUAS FACES DUPLAS E ESTRUTURA METÁLICA COM GUIAS DUPLAS PARA PAREDES COM ÁREA LÍQUIDA MAIOR OU IGUAL A 6 M2, COM VÃOS. AF_07/2023_PS</t>
  </si>
  <si>
    <t xml:space="preserve"> 8.4 </t>
  </si>
  <si>
    <t>PAINÉIS</t>
  </si>
  <si>
    <t xml:space="preserve"> 8.4.1 </t>
  </si>
  <si>
    <t xml:space="preserve"> COMP-3080 </t>
  </si>
  <si>
    <t>CHUMBAMENTO DE PLACA CIMENTÍCIA COM PARAFUSO TIPO PARABOLT. FORNECIMENTO E INSTALAÇÃO</t>
  </si>
  <si>
    <t xml:space="preserve"> 8.4.2 </t>
  </si>
  <si>
    <t xml:space="preserve"> 98575 </t>
  </si>
  <si>
    <t>TRATAMENTO DE JUNTA DE DILATAÇÃO, COM TARUGO DE POLIETILENO E SELANTE PU, INCLUSO PREENCHIMENTO COM ESPUMA EXPANSIVA PU. AF_09/2023</t>
  </si>
  <si>
    <t xml:space="preserve"> 9 </t>
  </si>
  <si>
    <t xml:space="preserve"> 9.1 </t>
  </si>
  <si>
    <t>JANELAS</t>
  </si>
  <si>
    <t xml:space="preserve"> 9.1.1 </t>
  </si>
  <si>
    <t xml:space="preserve"> 14.003.0160-A </t>
  </si>
  <si>
    <t>CAIXILHO FIXO DE ALUMINIO ANODIZADO AO NATURAL,SERIE 28, EM VENEZIANA.FORNECIMENTO E COLOCACAO CARGOS SOCIAIS DESONERADOS GOS SOCIAIS DESONERADOS</t>
  </si>
  <si>
    <t xml:space="preserve"> 9.1.2 </t>
  </si>
  <si>
    <t xml:space="preserve"> 94569 </t>
  </si>
  <si>
    <t>JANELA DE ALUMÍNIO TIPO MAXIM-AR, BATENTE/ REQUADRO 3 A 14 CM, VIDRO INCLUSO, FIXAÇÃO COM PARAFUSO, SEM GUARNIÇÃO/ ALIZAR, DIMENSÕES 60X80 (A X L) CM, SEM ACABAMENTO, VEDAÇÃO COM SILICONE, EXCLUSIVE CONTRAMARCO - FORNECIMENTO E INSTALAÇÃO. AF_11/2024</t>
  </si>
  <si>
    <t xml:space="preserve"> 9.2 </t>
  </si>
  <si>
    <t>PORTAS</t>
  </si>
  <si>
    <t xml:space="preserve"> 9.2.1 </t>
  </si>
  <si>
    <t xml:space="preserve"> 150210 </t>
  </si>
  <si>
    <t>PORTA DUPLA EM VIDRO LAMINADO INCOLOR 8mm COM FERRAGENS</t>
  </si>
  <si>
    <t xml:space="preserve"> 9.2.2 </t>
  </si>
  <si>
    <t xml:space="preserve"> 90797 </t>
  </si>
  <si>
    <t>KIT DE PORTA-PRONTA DE MADEIRA EM ACABAMENTO MELAMÍNICO BRANCO, FOLHA LEVE OU MÉDIA, E BATENTE METÁLICO, 90X210CM, FIXAÇÃO COM ARGAMASSA - FORNECIMENTO E INSTALAÇÃO. AF_12/2019</t>
  </si>
  <si>
    <t xml:space="preserve"> 9.2.3 </t>
  </si>
  <si>
    <t xml:space="preserve"> 14.003.0225-A </t>
  </si>
  <si>
    <t>PORTA DE ALUMINIO ANODIZADO AO NATURAL,PERFIL SERIE 25,EM VE NEZIANA,EXCLUSIVE FECHADURA.FORNECIMENTO E COLOCACAO CARGOS SOCIAIS DESONERADOS GOS SOCIAIS DESONERADOS</t>
  </si>
  <si>
    <t xml:space="preserve"> 9.2.4 </t>
  </si>
  <si>
    <t xml:space="preserve"> COMP-3027 </t>
  </si>
  <si>
    <t>PORTÃO GRADIL DE ABIR EM DUAS FOLHAS. FORNECIMENTO E INSTALAÇÃO</t>
  </si>
  <si>
    <t xml:space="preserve"> 9.2.5 </t>
  </si>
  <si>
    <t xml:space="preserve"> COMP-3074 </t>
  </si>
  <si>
    <t>PORTA EM VIDRO TEMPERADO INCOLOR COM 6MM DE ESPESSURA, DUAS FOLHAS DE ABRIRCOM MAÇANETA TIPO PUXADOR VERTICAL (FOLHA MENOR FIXADA COM CREMONE E/OU FECHONO PISO E NA VERGA), CAIXILHOS EM ALUMÍNIO NATURAL ESCOVADO. FORNECIMENTO E INSTALAÇÃO.</t>
  </si>
  <si>
    <t xml:space="preserve"> 9.2.6 </t>
  </si>
  <si>
    <t xml:space="preserve"> 111832 </t>
  </si>
  <si>
    <t>PORTA ACUSTICA 0,80x2,10m METALICA C/ISOLAMENTO 34dB C/VISOR</t>
  </si>
  <si>
    <t xml:space="preserve"> 9.2.7 </t>
  </si>
  <si>
    <t xml:space="preserve"> 110236 </t>
  </si>
  <si>
    <t>PORTA DE MADEIRA 1 FL.0,60x2,10m-P/DIVISORIA C/FERRAGENS</t>
  </si>
  <si>
    <t xml:space="preserve"> 9.3 </t>
  </si>
  <si>
    <t>ELEMENTOS DE FACHADA</t>
  </si>
  <si>
    <t xml:space="preserve"> 9.3.1 </t>
  </si>
  <si>
    <t xml:space="preserve"> 112810 </t>
  </si>
  <si>
    <t>BRISE METALICO CHAPA MICROPERFURADAPRE-PINTADA AS288 REFAX</t>
  </si>
  <si>
    <t xml:space="preserve"> 9.4 </t>
  </si>
  <si>
    <t>GUARNIÇÕES</t>
  </si>
  <si>
    <t xml:space="preserve"> 9.4.1 </t>
  </si>
  <si>
    <t xml:space="preserve"> COMP-3075 </t>
  </si>
  <si>
    <t>GUARNICAO / MOLDURA / ARREMATE DE ACABAMENTO PARA ESQUADRIA, EM ALUMINIO PERFIL 25, ACABAMENTO ANODIZADO BRANCO OU BRILHANTE, PARA 1 FACE. FORNECIMENTO E INSTALAÇÃO</t>
  </si>
  <si>
    <t xml:space="preserve"> 9.4.2 </t>
  </si>
  <si>
    <t xml:space="preserve"> COMP-3076 </t>
  </si>
  <si>
    <t>GUARNIÇÃO EM GRANITO, COM 0,15CM DE ESPESSURA, PARA ESQUADRIAS. FORNECIMENTO E INSTALAÇÃO</t>
  </si>
  <si>
    <t xml:space="preserve"> 10 </t>
  </si>
  <si>
    <t xml:space="preserve"> 10.1 </t>
  </si>
  <si>
    <t>INSTALAÇÕES DE ÁGUA FRIA</t>
  </si>
  <si>
    <t xml:space="preserve"> 10.1.1 </t>
  </si>
  <si>
    <t>TUBULAÇÃO E CONEXÕES</t>
  </si>
  <si>
    <t xml:space="preserve"> 10.1.1.1 </t>
  </si>
  <si>
    <t xml:space="preserve"> 89355 </t>
  </si>
  <si>
    <t>TUBO, PVC, SOLDÁVEL, DE 20MM, INSTALADO EM RAMAL OU SUB-RAMAL DE ÁGUA - FORNECIMENTO E INSTALAÇÃO. AF_06/2022</t>
  </si>
  <si>
    <t xml:space="preserve"> 10.1.1.2 </t>
  </si>
  <si>
    <t xml:space="preserve"> 89356 </t>
  </si>
  <si>
    <t>TUBO, PVC, SOLDÁVEL, DE 25MM, INSTALADO EM RAMAL OU SUB-RAMAL DE ÁGUA - FORNECIMENTO E INSTALAÇÃO. AF_06/2022</t>
  </si>
  <si>
    <t xml:space="preserve"> 10.1.1.3 </t>
  </si>
  <si>
    <t xml:space="preserve"> 89357 </t>
  </si>
  <si>
    <t>TUBO, PVC, SOLDÁVEL, DE 32MM, INSTALADO EM RAMAL OU SUB-RAMAL DE ÁGUA - FORNECIMENTO E INSTALAÇÃO. AF_06/2022</t>
  </si>
  <si>
    <t xml:space="preserve"> 10.1.1.4 </t>
  </si>
  <si>
    <t xml:space="preserve"> 103978 </t>
  </si>
  <si>
    <t>TUBO, PVC, SOLDÁVEL, DE 40MM, INSTALADO EM RAMAL DE DISTRIBUIÇÃO DE ÁGUA - FORNECIMENTO E INSTALAÇÃO. AF_06/2022</t>
  </si>
  <si>
    <t xml:space="preserve"> 10.1.1.5 </t>
  </si>
  <si>
    <t xml:space="preserve"> 89379 </t>
  </si>
  <si>
    <t>LUVA DE CORRER, PVC, SOLDÁVEL, DN 25MM, INSTALADO EM RAMAL OU SUB-RAMAL DE ÁGUA - FORNECIMENTO E INSTALAÇÃO. AF_12/2014</t>
  </si>
  <si>
    <t xml:space="preserve"> 10.1.1.6 </t>
  </si>
  <si>
    <t xml:space="preserve"> 89387 </t>
  </si>
  <si>
    <t>LUVA DE CORRER, PVC, SOLDÁVEL, DN 32MM, INSTALADO EM RAMAL OU SUB-RAMAL DE ÁGUA FORNECIMENTO E INSTALAÇÃO. AF_06/2022</t>
  </si>
  <si>
    <t xml:space="preserve"> 10.1.1.7 </t>
  </si>
  <si>
    <t xml:space="preserve"> 104159 </t>
  </si>
  <si>
    <t>LUVA DE CORRER, PVC, SOLDÁVEL, DN 40MM, INSTALADO EM RAMAL DE DISTRIBUIÇÃO DE ÁGUA - FORNECIMENTO E INSTALAÇÃO. AF_06/2022</t>
  </si>
  <si>
    <t xml:space="preserve"> 10.1.1.8 </t>
  </si>
  <si>
    <t xml:space="preserve"> 89358 </t>
  </si>
  <si>
    <t>JOELHO 90 GRAUS, PVC, SOLDÁVEL, DN 20MM, INSTALADO EM RAMAL OU SUB-RAMAL DE ÁGUA - FORNECIMENTO E INSTALAÇÃO. AF_06/2022</t>
  </si>
  <si>
    <t xml:space="preserve"> 10.1.1.9 </t>
  </si>
  <si>
    <t xml:space="preserve"> 89362 </t>
  </si>
  <si>
    <t>JOELHO 90 GRAUS, PVC, SOLDÁVEL, DN 25MM, INSTALADO EM RAMAL OU SUB-RAMAL DE ÁGUA - FORNECIMENTO E INSTALAÇÃO. AF_06/2022</t>
  </si>
  <si>
    <t xml:space="preserve"> 10.1.1.10 </t>
  </si>
  <si>
    <t xml:space="preserve"> 89492 </t>
  </si>
  <si>
    <t>JOELHO 90 GRAUS, PVC, SOLDÁVEL, DN 32MM, INSTALADO EM PRUMADA DE ÁGUA - FORNECIMENTO E INSTALAÇÃO. AF_06/2022</t>
  </si>
  <si>
    <t xml:space="preserve"> 10.1.1.11 </t>
  </si>
  <si>
    <t xml:space="preserve"> 89497 </t>
  </si>
  <si>
    <t>JOELHO 90 GRAUS, PVC, SOLDÁVEL, DN 40MM, INSTALADO EM PRUMADA DE ÁGUA - FORNECIMENTO E INSTALAÇÃO. AF_06/2022</t>
  </si>
  <si>
    <t xml:space="preserve"> 10.1.1.12 </t>
  </si>
  <si>
    <t xml:space="preserve"> 103981 </t>
  </si>
  <si>
    <t>JOELHO 45 GRAUS, PVC, SOLDÁVEL, DN 40MM, INSTALADO EM RAMAL DE DISTRIBUIÇÃO DE ÁGUA - FORNECIMENTO E INSTALAÇÃO. AF_06/2022</t>
  </si>
  <si>
    <t xml:space="preserve"> 10.1.1.13 </t>
  </si>
  <si>
    <t xml:space="preserve"> 90373 </t>
  </si>
  <si>
    <t>JOELHO 90 GRAUS COM BUCHA DE LATÃO, PVC, SOLDÁVEL, DN 25MM, X 1/2 INSTALADO EM RAMAL OU SUB-RAMAL DE ÁGUA - FORNECIMENTO E INSTALAÇÃO. AF_06/2022</t>
  </si>
  <si>
    <t xml:space="preserve"> 10.1.1.14 </t>
  </si>
  <si>
    <t xml:space="preserve"> 96841 </t>
  </si>
  <si>
    <t>JOELHO 90 GRAUS, ROSCA FÊMEA TERMINAL, METÁLICO, PARA INSTALAÇÕES EM PEX ÁGUA, DN 20 MM X 1/2", CONEXÃO POR ANEL DESLIZANTE - FORNECIMENTO E INSTALAÇÃO. AF_02/2023</t>
  </si>
  <si>
    <t xml:space="preserve"> 10.1.1.15 </t>
  </si>
  <si>
    <t xml:space="preserve"> 89366 </t>
  </si>
  <si>
    <t>JOELHO 90 GRAUS COM BUCHA DE LATÃO, PVC, SOLDÁVEL, DN 25MM, X 3/4 INSTALADO EM RAMAL OU SUB-RAMAL DE ÁGUA - FORNECIMENTO E INSTALAÇÃO. AF_06/2022</t>
  </si>
  <si>
    <t xml:space="preserve"> 10.1.1.16 </t>
  </si>
  <si>
    <t xml:space="preserve"> 89445 </t>
  </si>
  <si>
    <t>TÊ DE REDUÇÃO, PVC, SOLDÁVEL, DN 32MM X 25MM, INSTALADO EM RAMAL DE DISTRIBUIÇÃO DE ÁGUA - FORNECIMENTO E INSTALAÇÃO. AF_06/2022</t>
  </si>
  <si>
    <t xml:space="preserve"> 10.1.1.17 </t>
  </si>
  <si>
    <t xml:space="preserve"> 104012 </t>
  </si>
  <si>
    <t>TÊ DE REDUÇÃO, PVC, SOLDÁVEL, DN 40MM X 32MM, INSTALADO EM RAMAL DE DISTRIBUIÇÃO DE ÁGUA - FORNECIMENTO E INSTALAÇÃO. AF_06/2022</t>
  </si>
  <si>
    <t xml:space="preserve"> 10.1.1.18 </t>
  </si>
  <si>
    <t xml:space="preserve"> 89623 </t>
  </si>
  <si>
    <t>TE, PVC, SOLDÁVEL, DN 40MM, INSTALADO EM PRUMADA DE ÁGUA - FORNECIMENTO E INSTALAÇÃO. AF_06/2022</t>
  </si>
  <si>
    <t xml:space="preserve"> 10.1.1.19 </t>
  </si>
  <si>
    <t xml:space="preserve"> 89617 </t>
  </si>
  <si>
    <t>TE, PVC, SOLDÁVEL, DN 25MM, INSTALADO EM PRUMADA DE ÁGUA - FORNECIMENTO E INSTALAÇÃO. AF_06/2022</t>
  </si>
  <si>
    <t xml:space="preserve"> 10.1.1.20 </t>
  </si>
  <si>
    <t xml:space="preserve"> 89620 </t>
  </si>
  <si>
    <t>TE, PVC, SOLDÁVEL, DN 32MM, INSTALADO EM PRUMADA DE ÁGUA - FORNECIMENTO E INSTALAÇÃO. AF_06/2022</t>
  </si>
  <si>
    <t xml:space="preserve"> 10.1.1.21 </t>
  </si>
  <si>
    <t xml:space="preserve"> 89442 </t>
  </si>
  <si>
    <t>TÊ DE REDUÇÃO, PVC, SOLDÁVEL, DN 25MM X 20MM, INSTALADO EM RAMAL DE DISTRIBUIÇÃO DE ÁGUA - FORNECIMENTO E INSTALAÇÃO. AF_06/2022</t>
  </si>
  <si>
    <t xml:space="preserve"> 10.1.1.22 </t>
  </si>
  <si>
    <t xml:space="preserve"> 89396 </t>
  </si>
  <si>
    <t>TÊ COM BUCHA DE LATÃO NA BOLSA CENTRAL, PVC, SOLDÁVEL, DN 25MM X 1/2, INSTALADO EM RAMAL OU SUB-RAMAL DE ÁGUA - FORNECIMENTO E INSTALAÇÃO. AF_06/2022</t>
  </si>
  <si>
    <t xml:space="preserve"> 10.1.1.23 </t>
  </si>
  <si>
    <t xml:space="preserve"> 103947 </t>
  </si>
  <si>
    <t>BUCHA DE REDUÇÃO, CURTA, PVC, SOLDÁVEL, DN 25 X 20 MM, INSTALADO EM RAMAL OU SUB-RAMAL DE ÁGUA - FORNECIMENTO E INSTALAÇÃO. AF_06/2022</t>
  </si>
  <si>
    <t xml:space="preserve"> 10.1.1.24 </t>
  </si>
  <si>
    <t xml:space="preserve"> 103948 </t>
  </si>
  <si>
    <t>BUCHA DE REDUÇÃO, CURTA, PVC, SOLDÁVEL, DN 32 X 25 MM, INSTALADO EM RAMAL OU SUB-RAMAL DE ÁGUA - FORNECIMENTO E INSTALAÇÃO. AF_06/2022</t>
  </si>
  <si>
    <t xml:space="preserve"> 10.1.1.25 </t>
  </si>
  <si>
    <t xml:space="preserve"> 94703 </t>
  </si>
  <si>
    <t>ADAPTADOR COM FLANGE E ANEL DE VEDAÇÃO, PVC, SOLDÁVEL, DN 25 MM X 3/4", INSTALADO EM RESERVAÇÃO PREDIAL DE ÁGUA - FORNECIMENTO E INSTALAÇÃO. AF_04/2024</t>
  </si>
  <si>
    <t xml:space="preserve"> 10.1.1.26 </t>
  </si>
  <si>
    <t xml:space="preserve"> 94704 </t>
  </si>
  <si>
    <t>ADAPTADOR COM FLANGE E ANEL DE VEDAÇÃO, PVC, SOLDÁVEL, DN 32 MM X 1", INSTALADO EM RESERVAÇÃO PREDIAL DE ÁGUA - FORNECIMENTO E INSTALAÇÃO. AF_04/2024</t>
  </si>
  <si>
    <t xml:space="preserve"> 10.1.1.27 </t>
  </si>
  <si>
    <t xml:space="preserve"> 94705 </t>
  </si>
  <si>
    <t>ADAPTADOR COM FLANGE E ANEL DE VEDAÇÃO, PVC, SOLDÁVEL, DN 40 MM X 1 1/4", INSTALADO EM RESERVAÇÃO PREDIAL DE ÁGUA - FORNECIMENTO E INSTALAÇÃO. AF_04/2024</t>
  </si>
  <si>
    <t xml:space="preserve"> 10.1.1.28 </t>
  </si>
  <si>
    <t xml:space="preserve"> 89987 </t>
  </si>
  <si>
    <t>REGISTRO DE GAVETA BRUTO, LATÃO, ROSCÁVEL, 3/4", COM ACABAMENTO E CANOPLA CROMADOS - FORNECIMENTO E INSTALAÇÃO. AF_08/2021</t>
  </si>
  <si>
    <t xml:space="preserve"> 10.1.1.29 </t>
  </si>
  <si>
    <t xml:space="preserve"> 94792 </t>
  </si>
  <si>
    <t>REGISTRO DE GAVETA BRUTO, LATÃO, ROSCÁVEL, 1", COM ACABAMENTO E CANOPLA CROMADOS - FORNECIMENTO E INSTALAÇÃO. AF_08/2021</t>
  </si>
  <si>
    <t xml:space="preserve"> 10.1.1.30 </t>
  </si>
  <si>
    <t xml:space="preserve"> 94793 </t>
  </si>
  <si>
    <t>REGISTRO DE GAVETA BRUTO, LATÃO, ROSCÁVEL, 1 1/4", COM ACABAMENTO E CANOPLA CROMADOS - FORNECIMENTO E INSTALAÇÃO. AF_08/2021</t>
  </si>
  <si>
    <t xml:space="preserve"> 10.1.1.31 </t>
  </si>
  <si>
    <t xml:space="preserve"> 102609 </t>
  </si>
  <si>
    <t>CAIXA D´ÁGUA EM POLIETILENO, 2000 LITROS - FORNECIMENTO E INSTALAÇÃO. AF_06/2021</t>
  </si>
  <si>
    <t xml:space="preserve"> 10.1.1.32 </t>
  </si>
  <si>
    <t xml:space="preserve"> 7602/001 </t>
  </si>
  <si>
    <t>TORNEIRA DE METAL AMARELO, PARA TANQUE / JARDIM, DE PAREDE, COM BICO PLASTICO, CANO CURTO, AREA EXTERNA, PADRAO POPULAR / USO GERAL, 1/2" OU 3/4" (REF 1128). FORNECIMENTO E INSTALAÇÃO</t>
  </si>
  <si>
    <t xml:space="preserve"> 10.1.2 </t>
  </si>
  <si>
    <t>ACESSÓRIOS</t>
  </si>
  <si>
    <t xml:space="preserve"> 10.1.2.1 </t>
  </si>
  <si>
    <t xml:space="preserve"> AL 04.15.0100 </t>
  </si>
  <si>
    <t>SCO</t>
  </si>
  <si>
    <t>Alvenaria para caixas enterradas, ate 0,80m de profundidade, de tijolo macico (7x10x20)cm, com argamassa de cimento, saibro e areia no traco 1:2:2 e parede de 1 vez (19cm).(desonerado)</t>
  </si>
  <si>
    <t xml:space="preserve"> 10.1.2.2 </t>
  </si>
  <si>
    <t xml:space="preserve"> 06.016.0105-A </t>
  </si>
  <si>
    <t>TAMPAO DE FERRO FUNDIDO NODULAR MISTO (FERRO FUNDIDO E CONCR ETO,EXCLUSIVE ESTE),ARTICULADO,TIPO LEVE,DE 0,60M DE DIAMETR O,ASSENTADO COM ARGAMASSA DE CIMENTO E AREIA,NO TRACO 1:4 EM VOLUME.FORNECIMENTO E ASSENTAMENTO DE 60CM, TIPO LEVE DOS GOS SOCIAIS DESONERADOS</t>
  </si>
  <si>
    <t xml:space="preserve"> 10.1.2.3 </t>
  </si>
  <si>
    <t xml:space="preserve"> 02393 </t>
  </si>
  <si>
    <t>TORNEIRA DE PRESSAO PARA JARDIM, DE 1/2" X10CM APROXIM., EM METAL CROMADO</t>
  </si>
  <si>
    <t xml:space="preserve"> 10.1.2.4 </t>
  </si>
  <si>
    <t xml:space="preserve"> 89353 </t>
  </si>
  <si>
    <t>REGISTRO DE GAVETA BRUTO, LATÃO, ROSCÁVEL, 3/4" - FORNECIMENTO E INSTALAÇÃO. AF_08/2021</t>
  </si>
  <si>
    <t xml:space="preserve"> 10.1.2.5 </t>
  </si>
  <si>
    <t xml:space="preserve"> 89429 </t>
  </si>
  <si>
    <t>ADAPTADOR CURTO COM BOLSA E ROSCA PARA REGISTRO, PVC, SOLDÁVEL, DN 25MM X 3/4, INSTALADO EM RAMAL DE DISTRIBUIÇÃO DE ÁGUA - FORNECIMENTO E INSTALAÇÃO. AF_06/2022</t>
  </si>
  <si>
    <t xml:space="preserve"> 10.1.2.6 </t>
  </si>
  <si>
    <t xml:space="preserve"> 10.1.2.7 </t>
  </si>
  <si>
    <t xml:space="preserve"> COMP-1005 </t>
  </si>
  <si>
    <t>PRESSURIZADOR DE ÁGUA 120W. FORNECIMENTO E INSTALAÇÃO.</t>
  </si>
  <si>
    <t xml:space="preserve"> 10.2 </t>
  </si>
  <si>
    <t>INSTALAÇÕES DE ESGOTO SANITÁRIO</t>
  </si>
  <si>
    <t xml:space="preserve"> 10.2.1 </t>
  </si>
  <si>
    <t xml:space="preserve"> MT 05.20.0100 </t>
  </si>
  <si>
    <t>Escavacao e reaterro de vala, em material de 1a categoria, para ligacao predial de esgoto sanitario.</t>
  </si>
  <si>
    <t>m</t>
  </si>
  <si>
    <t xml:space="preserve"> 10.2.2 </t>
  </si>
  <si>
    <t xml:space="preserve"> 89711 </t>
  </si>
  <si>
    <t>TUBO PVC, SERIE NORMAL, ESGOTO PREDIAL, DN 40 MM, FORNECIDO E INSTALADO EM RAMAL DE DESCARGA OU RAMAL DE ESGOTO SANITÁRIO. AF_08/2022</t>
  </si>
  <si>
    <t xml:space="preserve"> 10.2.3 </t>
  </si>
  <si>
    <t xml:space="preserve"> 89712 </t>
  </si>
  <si>
    <t>TUBO PVC, SERIE NORMAL, ESGOTO PREDIAL, DN 50 MM, FORNECIDO E INSTALADO EM RAMAL DE DESCARGA OU RAMAL DE ESGOTO SANITÁRIO. AF_08/2022</t>
  </si>
  <si>
    <t xml:space="preserve"> 10.2.4 </t>
  </si>
  <si>
    <t xml:space="preserve"> 89713 </t>
  </si>
  <si>
    <t>TUBO PVC, SERIE NORMAL, ESGOTO PREDIAL, DN 75 MM, FORNECIDO E INSTALADO EM RAMAL DE DESCARGA OU RAMAL DE ESGOTO SANITÁRIO. AF_08/2022</t>
  </si>
  <si>
    <t xml:space="preserve"> 10.2.5 </t>
  </si>
  <si>
    <t xml:space="preserve"> 89714 </t>
  </si>
  <si>
    <t>TUBO PVC, SERIE NORMAL, ESGOTO PREDIAL, DN 100 MM, FORNECIDO E INSTALADO EM RAMAL DE DESCARGA OU RAMAL DE ESGOTO SANITÁRIO. AF_08/2022</t>
  </si>
  <si>
    <t xml:space="preserve"> 10.2.6 </t>
  </si>
  <si>
    <t xml:space="preserve"> 89753 </t>
  </si>
  <si>
    <t>LUVA SIMPLES, PVC, SERIE NORMAL, ESGOTO PREDIAL, DN 50 MM, JUNTA ELÁSTICA, FORNECIDO E INSTALADO EM RAMAL DE DESCARGA OU RAMAL DE ESGOTO SANITÁRIO. AF_08/2022</t>
  </si>
  <si>
    <t xml:space="preserve"> 10.2.7 </t>
  </si>
  <si>
    <t xml:space="preserve"> 89774 </t>
  </si>
  <si>
    <t>LUVA SIMPLES, PVC, SERIE NORMAL, ESGOTO PREDIAL, DN 75 MM, JUNTA ELÁSTICA, FORNECIDO E INSTALADO EM RAMAL DE DESCARGA OU RAMAL DE ESGOTO SANITÁRIO. AF_08/2022</t>
  </si>
  <si>
    <t xml:space="preserve"> 10.2.8 </t>
  </si>
  <si>
    <t xml:space="preserve"> 89779 </t>
  </si>
  <si>
    <t>LUVA DE CORRER, PVC, SERIE NORMAL, ESGOTO PREDIAL, DN 100 MM, JUNTA ELÁSTICA, FORNECIDO E INSTALADO EM RAMAL DE DESCARGA OU RAMAL DE ESGOTO SANITÁRIO. AF_08/2022</t>
  </si>
  <si>
    <t xml:space="preserve"> 10.2.9 </t>
  </si>
  <si>
    <t xml:space="preserve"> 89732 </t>
  </si>
  <si>
    <t>JOELHO 45 GRAUS, PVC, SERIE NORMAL, ESGOTO PREDIAL, DN 50 MM, JUNTA ELÁSTICA, FORNECIDO E INSTALADO EM RAMAL DE DESCARGA OU RAMAL DE ESGOTO SANITÁRIO. AF_08/2022</t>
  </si>
  <si>
    <t xml:space="preserve"> 10.2.10 </t>
  </si>
  <si>
    <t xml:space="preserve"> 89746 </t>
  </si>
  <si>
    <t>JOELHO 45 GRAUS, PVC, SERIE NORMAL, ESGOTO PREDIAL, DN 100 MM, JUNTA ELÁSTICA, FORNECIDO E INSTALADO EM RAMAL DE DESCARGA OU RAMAL DE ESGOTO SANITÁRIO. AF_08/2022</t>
  </si>
  <si>
    <t xml:space="preserve"> 10.2.11 </t>
  </si>
  <si>
    <t xml:space="preserve"> 89744 </t>
  </si>
  <si>
    <t>JOELHO 90 GRAUS, PVC, SERIE NORMAL, ESGOTO PREDIAL, DN 100 MM, JUNTA ELÁSTICA, FORNECIDO E INSTALADO EM RAMAL DE DESCARGA OU RAMAL DE ESGOTO SANITÁRIO. AF_08/2022</t>
  </si>
  <si>
    <t xml:space="preserve"> 10.2.12 </t>
  </si>
  <si>
    <t xml:space="preserve"> 89726 </t>
  </si>
  <si>
    <t>JOELHO 45 GRAUS, PVC, SERIE NORMAL, ESGOTO PREDIAL, DN 40 MM, JUNTA SOLDÁVEL, FORNECIDO E INSTALADO EM RAMAL DE DESCARGA OU RAMAL DE ESGOTO SANITÁRIO. AF_08/2022</t>
  </si>
  <si>
    <t xml:space="preserve"> 10.2.13 </t>
  </si>
  <si>
    <t xml:space="preserve"> 89724 </t>
  </si>
  <si>
    <t>JOELHO 90 GRAUS, PVC, SERIE NORMAL, ESGOTO PREDIAL, DN 40 MM, JUNTA SOLDÁVEL, FORNECIDO E INSTALADO EM RAMAL DE DESCARGA OU RAMAL DE ESGOTO SANITÁRIO. AF_08/2022</t>
  </si>
  <si>
    <t xml:space="preserve"> 10.2.14 </t>
  </si>
  <si>
    <t xml:space="preserve"> 89739 </t>
  </si>
  <si>
    <t>JOELHO 45 GRAUS, PVC, SERIE NORMAL, ESGOTO PREDIAL, DN 75 MM, JUNTA ELÁSTICA, FORNECIDO E INSTALADO EM RAMAL DE DESCARGA OU RAMAL DE ESGOTO SANITÁRIO. AF_08/2022</t>
  </si>
  <si>
    <t xml:space="preserve"> 10.2.15 </t>
  </si>
  <si>
    <t xml:space="preserve"> 89731 </t>
  </si>
  <si>
    <t>JOELHO 90 GRAUS, PVC, SERIE NORMAL, ESGOTO PREDIAL, DN 50 MM, JUNTA ELÁSTICA, FORNECIDO E INSTALADO EM RAMAL DE DESCARGA OU RAMAL DE ESGOTO SANITÁRIO. AF_08/2022</t>
  </si>
  <si>
    <t xml:space="preserve"> 10.2.16 </t>
  </si>
  <si>
    <t xml:space="preserve"> 89737 </t>
  </si>
  <si>
    <t>JOELHO 90 GRAUS, PVC, SERIE NORMAL, ESGOTO PREDIAL, DN 75 MM, JUNTA ELÁSTICA, FORNECIDO E INSTALADO EM RAMAL DE DESCARGA OU RAMAL DE ESGOTO SANITÁRIO. AF_08/2022</t>
  </si>
  <si>
    <t xml:space="preserve"> 10.2.17 </t>
  </si>
  <si>
    <t xml:space="preserve"> 89783 </t>
  </si>
  <si>
    <t>JUNÇÃO SIMPLES, PVC, SERIE NORMAL, ESGOTO PREDIAL, DN 40 MM, JUNTA SOLDÁVEL, FORNECIDO E INSTALADO EM RAMAL DE DESCARGA OU RAMAL DE ESGOTO SANITÁRIO. AF_08/2022</t>
  </si>
  <si>
    <t xml:space="preserve"> 10.2.18 </t>
  </si>
  <si>
    <t xml:space="preserve"> 89785 </t>
  </si>
  <si>
    <t>JUNÇÃO SIMPLES, PVC, SERIE NORMAL, ESGOTO PREDIAL, DN 50 X 50 MM, JUNTA ELÁSTICA, FORNECIDO E INSTALADO EM RAMAL DE DESCARGA OU RAMAL DE ESGOTO SANITÁRIO. AF_08/2022</t>
  </si>
  <si>
    <t xml:space="preserve"> 10.2.19 </t>
  </si>
  <si>
    <t xml:space="preserve"> 104345 </t>
  </si>
  <si>
    <t>JUNÇÃO DE REDUÇÃO INVERTIDA, PVC, SÉRIE NORMAL, ESGOTO PREDIAL, DN 100 X 50 MM, JUNTA ELÁSTICA, FORNECIDO E INSTALADO EM RAMAL DE DESCARGA OU RAMAL DE ESGOTO SANITÁRIO. AF_08/2022</t>
  </si>
  <si>
    <t xml:space="preserve"> 10.2.20 </t>
  </si>
  <si>
    <t xml:space="preserve"> 89569 </t>
  </si>
  <si>
    <t>JUNÇÃO SIMPLES, PVC, SERIE R, ÁGUA PLUVIAL, DN 100 X 75 MM, JUNTA ELÁSTICA, FORNECIDO E INSTALADO EM RAMAL DE ENCAMINHAMENTO. AF_06/2022</t>
  </si>
  <si>
    <t xml:space="preserve"> 10.2.21 </t>
  </si>
  <si>
    <t xml:space="preserve"> 89797 </t>
  </si>
  <si>
    <t>JUNÇÃO SIMPLES, PVC, SERIE NORMAL, ESGOTO PREDIAL, DN 100 X 100 MM, JUNTA ELÁSTICA, FORNECIDO E INSTALADO EM RAMAL DE DESCARGA OU RAMAL DE ESGOTO SANITÁRIO. AF_08/2022</t>
  </si>
  <si>
    <t xml:space="preserve"> 10.2.22 </t>
  </si>
  <si>
    <t xml:space="preserve"> 104341 </t>
  </si>
  <si>
    <t>BUCHA DE REDUÇÃO LONGA, PVC, SÉRIE NORMAL, ESGOTO PREDIAL, DN 50 X 40 MM, JUNTA SOLDÁVEL E ELÁSTICA, FORNECIDO E INSTALADO EM RAMAL DE DESCARGA OU RAMAL DE ESGOTO SANITÁRIO. AF_08/2022</t>
  </si>
  <si>
    <t xml:space="preserve"> 10.2.23 </t>
  </si>
  <si>
    <t xml:space="preserve"> 89549 </t>
  </si>
  <si>
    <t>REDUÇÃO EXCÊNTRICA, PVC, SERIE R, ÁGUA PLUVIAL, DN 75 X 50 MM, JUNTA ELÁSTICA, FORNECIDO E INSTALADO EM RAMAL DE ENCAMINHAMENTO. AF_06/2022</t>
  </si>
  <si>
    <t xml:space="preserve"> 10.2.24 </t>
  </si>
  <si>
    <t xml:space="preserve"> 89784 </t>
  </si>
  <si>
    <t>TE, PVC, SERIE NORMAL, ESGOTO PREDIAL, DN 50 X 50 MM, JUNTA ELÁSTICA, FORNECIDO E INSTALADO EM RAMAL DE DESCARGA OU RAMAL DE ESGOTO SANITÁRIO. AF_08/2022</t>
  </si>
  <si>
    <t xml:space="preserve"> 10.2.25 </t>
  </si>
  <si>
    <t xml:space="preserve"> 89786 </t>
  </si>
  <si>
    <t>TE, PVC, SERIE NORMAL, ESGOTO PREDIAL, DN 75 X 75 MM, JUNTA ELÁSTICA, FORNECIDO E INSTALADO EM RAMAL DE DESCARGA OU RAMAL DE ESGOTO SANITÁRIO. AF_08/2022</t>
  </si>
  <si>
    <t xml:space="preserve"> 10.2.26 </t>
  </si>
  <si>
    <t xml:space="preserve"> 104346 </t>
  </si>
  <si>
    <t>TE, PVC, SÉRIE NORMAL, ESGOTO PREDIAL, DN 100 X 75 MM, JUNTA ELÁSTICA, FORNECIDO E INSTALADO EM RAMAL DE DESCARGA OU RAMAL DE ESGOTO SANITÁRIO. AF_08/2022</t>
  </si>
  <si>
    <t xml:space="preserve"> 10.2.27 </t>
  </si>
  <si>
    <t xml:space="preserve"> 104344 </t>
  </si>
  <si>
    <t>TE, PVC, SÉRIE NORMAL, ESGOTO PREDIAL, DN 100 X 50 MM, JUNTA ELÁSTICA, FORNECIDO E INSTALADO EM RAMAL DE DESCARGA OU RAMAL DE ESGOTO SANITÁRIO. AF_08/2022</t>
  </si>
  <si>
    <t xml:space="preserve"> 10.2.28 </t>
  </si>
  <si>
    <t xml:space="preserve"> 104326 </t>
  </si>
  <si>
    <t>RALO SECO CÔNICO, PVC, DN 100 X 40 MM, JUNTA SOLDÁVEL, FORNECIDO E INSTALADO EM RAMAL DE DESCARGA OU EM RAMAL DE ESGOTO SANITÁRIO. AF_08/2022</t>
  </si>
  <si>
    <t xml:space="preserve"> 10.2.29 </t>
  </si>
  <si>
    <t xml:space="preserve"> 89707/003 </t>
  </si>
  <si>
    <t>CAIXA SIFONADA, PVC, DN 150 X 170 X 75 MM, JUNTA ELÁSTICA, FORNECIDA E INSTALADA EM RAMAL DE DESCARGA OU EM RAMAL DE ESGOTO SANITÁRIO. AF_08/2022</t>
  </si>
  <si>
    <t xml:space="preserve"> 10.2.30 </t>
  </si>
  <si>
    <t xml:space="preserve"> 89707 </t>
  </si>
  <si>
    <t>CAIXA SIFONADA, PVC, DN 100 X 100 X 50 MM, JUNTA ELÁSTICA, FORNECIDA E INSTALADA EM RAMAL DE DESCARGA OU EM RAMAL DE ESGOTO SANITÁRIO. AF_08/2022</t>
  </si>
  <si>
    <t xml:space="preserve"> 10.2.31 </t>
  </si>
  <si>
    <t xml:space="preserve"> 89707/002 </t>
  </si>
  <si>
    <t>CAIXA SIFONADA, PVC, DN 100 X 140 X 50 MM, JUNTA ELÁSTICA, FORNECIDA E INSTALADA EM RAMAL DE DESCARGA OU EM RAMAL DE ESGOTO SANITÁRIO. AF_08/2022</t>
  </si>
  <si>
    <t xml:space="preserve"> 10.2.32 </t>
  </si>
  <si>
    <t xml:space="preserve"> 104348 </t>
  </si>
  <si>
    <t>TERMINAL DE VENTILAÇÃO, PVC, SÉRIE NORMAL, ESGOTO PREDIAL, DN 50 MM, JUNTA SOLDÁVEL, FORNECIDO E INSTALADO EM PRUMADA DE ESGOTO SANITÁRIO OU VENTILAÇÃO. AF_08/2022</t>
  </si>
  <si>
    <t xml:space="preserve"> 10.2.33 </t>
  </si>
  <si>
    <t xml:space="preserve"> 104351 </t>
  </si>
  <si>
    <t>TERMINAL DE VENTILAÇÃO, PVC, SÉRIE NORMAL, ESGOTO PREDIAL, DN 75 MM, JUNTA SOLDÁVEL, FORNECIDO E INSTALADO EM PRUMADA DE ESGOTO SANITÁRIO OU VENTILAÇÃO. AF_08/2022</t>
  </si>
  <si>
    <t xml:space="preserve"> 10.2.34 </t>
  </si>
  <si>
    <t xml:space="preserve"> 103004/002 </t>
  </si>
  <si>
    <t>CANALETA DE CONCRETO POLIMÉRICO COM GRELHA, LARGURA DE 30 CM - FORNECIMENTO E INSTALAÇÃO.</t>
  </si>
  <si>
    <t xml:space="preserve"> 10.2.35 </t>
  </si>
  <si>
    <t xml:space="preserve"> 06.014.0054-A </t>
  </si>
  <si>
    <t>CAIXA DE PASSAGEM EM ALVENARIA DE TIJOLO MACICO(7X10X20CM),E M PAREDES DE UMA VEZ(0,20M),DE 0,60X0,60X0,80M,EXCLUSIVE TAM PA,UTILIZANDO ARGAMASSA DE CIMENTO E AREIA,NO TRACO 1:4 EM V OLUME,COM FUNDO EM CONCRETO SIMPLES PROVIDO DE CALHA INTERNA ,SENDO AS PAREDES REVESTIDAS INETERNAMENTE COM A MESMA ARGAM ASSA NCARGOS SOCIAIS DESONERADOS DOS GOS SOCIAIS DESONERADOS</t>
  </si>
  <si>
    <t xml:space="preserve"> 10.2.36 </t>
  </si>
  <si>
    <t xml:space="preserve"> 98107 </t>
  </si>
  <si>
    <t>CAIXA DE GORDURA SIMPLES (CAPACIDADE: 36 L), RETANGULAR, EM ALVENARIA COM BLOCOS DE CONCRETO, DIMENSÕES INTERNAS = 0,2X0,4 M, ALTURA INTERNA = 0,8 M. AF_12/2020</t>
  </si>
  <si>
    <t xml:space="preserve"> 10.3 </t>
  </si>
  <si>
    <t>LOUÇAS E EQUIPAMENTOS</t>
  </si>
  <si>
    <t xml:space="preserve"> 10.3.1 </t>
  </si>
  <si>
    <t xml:space="preserve"> 86888 </t>
  </si>
  <si>
    <t>VASO SANITÁRIO SIFONADO COM CAIXA ACOPLADA LOUÇA BRANCA - FORNECIMENTO E INSTALAÇÃO. AF_01/2020</t>
  </si>
  <si>
    <t xml:space="preserve"> 10.3.2 </t>
  </si>
  <si>
    <t xml:space="preserve"> 100858 </t>
  </si>
  <si>
    <t>MICTÓRIO SIFONADO LOUÇA BRANCA - PADRÃO MÉDIO - FORNECIMENTO E INSTALAÇÃO. AF_01/2020</t>
  </si>
  <si>
    <t xml:space="preserve"> 10.3.3 </t>
  </si>
  <si>
    <t xml:space="preserve"> COMP-3032 </t>
  </si>
  <si>
    <t>CUBA DE EMBUTIR RETANGULAR BRANCO 48X36CM - FORNECIMENTO E INSTALAÇÃO.</t>
  </si>
  <si>
    <t xml:space="preserve"> 10.3.4 </t>
  </si>
  <si>
    <t xml:space="preserve"> COMP-1033 </t>
  </si>
  <si>
    <t>LAVATORIO DE CANTO DE LOUCA BRANCA, SUSPENSO (SEM COLUNA), DIMENSOES *40 X 30* CM (L X C). FORNECIMENTO E INSTALAÇÃO.</t>
  </si>
  <si>
    <t xml:space="preserve"> 10.3.5 </t>
  </si>
  <si>
    <t xml:space="preserve"> 86935 </t>
  </si>
  <si>
    <t>CUBA DE EMBUTIR DE AÇO INOXIDÁVEL MÉDIA, INCLUSO VÁLVULA TIPO AMERICANA EM METAL CROMADO E SIFÃO FLEXÍVEL EM PVC - FORNECIMENTO E INSTALAÇÃO. AF_01/2020</t>
  </si>
  <si>
    <t xml:space="preserve"> 10.3.6 </t>
  </si>
  <si>
    <t xml:space="preserve"> 18.002.0014-A </t>
  </si>
  <si>
    <t>LAVATORIO DE LOUCA BRANCA,COM COLUNA SUSPENSA,PARA PESSOAS C OM NECESSIDADES ESPECIFICAS,COM MEDIDAS EM TORNO DE (45,5X35 ,5)CM,INCLUSIVE SIFAO EM PVC FLEXIVEL,VALVULA DE ESCOAMENTO CROMADA,RABICHO EM PVC,TORNEIRA DE FECHAMENTO AUTOMATICO DE PAREDE,ANTIVANDALISMO DE 85MM,PARA LAVATORIO E ACESSORIOS DE FIXACAO.FORNECIMENTO DE 1" RIMENTO DE 30CM ORNO DE 45,5X35,5CM, P/PESSOAS C/NECESSIDADES ESPECIFICAS UAL E FECHAMENTO AUTOMATICO,ANTIVANDALISMO,DE 85MM,CROMADA HAS E ARRUELAS</t>
  </si>
  <si>
    <t xml:space="preserve"> 10.3.7 </t>
  </si>
  <si>
    <t xml:space="preserve"> 18.009.0105-A </t>
  </si>
  <si>
    <t>TORNEIRA PARA LAVATORIO,DE MESA,ACIONAMENTO HIDROMECANICO CO M LEVE PRESSAO MANUAL E FECHAMENTO AUTOMATICO,ACABAMENTO CRO MADO.FORNECIMENTO L E FECHAMENTO AUTOMATICO,CROMADA</t>
  </si>
  <si>
    <t xml:space="preserve"> 10.3.8 </t>
  </si>
  <si>
    <t xml:space="preserve"> COMP-1040 </t>
  </si>
  <si>
    <t>TORNEIRA METALICA CROMADA DE MESA PARA LAVATORIO, BICA ALTA. FORNECIMENTO E INSTALAÇÃO.</t>
  </si>
  <si>
    <t xml:space="preserve"> 10.3.9 </t>
  </si>
  <si>
    <t xml:space="preserve"> COMP-1041 </t>
  </si>
  <si>
    <t>TORNEIRA METALICA CROMADA DE PAREDE, PARA COZINHA, BICA MOVEL, COM AREJADOR, 1/2" OU 3/4". FORNECIMENTO E INSTALAÇÃO.</t>
  </si>
  <si>
    <t xml:space="preserve"> 10.3.10 </t>
  </si>
  <si>
    <t xml:space="preserve"> 18.003.0015-A </t>
  </si>
  <si>
    <t>VALVULA DE FECHAMENTO AUTOMATICO,PARA MICTORIO,ACABAMENTO CR OMADO.FORNECIMENTO MADO</t>
  </si>
  <si>
    <t xml:space="preserve"> 10.3.11 </t>
  </si>
  <si>
    <t xml:space="preserve"> 100866 </t>
  </si>
  <si>
    <t>BARRA DE APOIO RETA, EM ACO INOX POLIDO, COMPRIMENTO 60CM, FIXADA NA PAREDE - FORNECIMENTO E INSTALAÇÃO. AF_01/2020</t>
  </si>
  <si>
    <t xml:space="preserve"> 10.3.12 </t>
  </si>
  <si>
    <t xml:space="preserve"> 100868 </t>
  </si>
  <si>
    <t>BARRA DE APOIO RETA, EM ACO INOX POLIDO, COMPRIMENTO 80 CM, FIXADA NA PAREDE - FORNECIMENTO E INSTALAÇÃO. AF_01/2020</t>
  </si>
  <si>
    <t xml:space="preserve"> 10.3.13 </t>
  </si>
  <si>
    <t xml:space="preserve"> 86883 </t>
  </si>
  <si>
    <t>SIFÃO DO TIPO FLEXÍVEL EM PVC 1 X 1.1/2 - FORNECIMENTO E INSTALAÇÃO. AF_01/2020</t>
  </si>
  <si>
    <t xml:space="preserve"> 10.3.14 </t>
  </si>
  <si>
    <t xml:space="preserve"> 86881 </t>
  </si>
  <si>
    <t>SIFÃO DO TIPO GARRAFA EM METAL CROMADO 1 X 1.1/2" - FORNECIMENTO E INSTALAÇÃO. AF_01/2020</t>
  </si>
  <si>
    <t xml:space="preserve"> 10.3.15 </t>
  </si>
  <si>
    <t xml:space="preserve"> 102144/001 </t>
  </si>
  <si>
    <t>ESPELHO CRISTAL, ESPESSURA 4MM, ADERIDO COM ADESIVO FIXA ESPELHO FITA DUPLA-FACE, COM MOLDURA DE M</t>
  </si>
  <si>
    <t xml:space="preserve"> 10.3.16 </t>
  </si>
  <si>
    <t xml:space="preserve"> 95545 </t>
  </si>
  <si>
    <t>SABONETEIRA DE PAREDE EM METAL CROMADO, INCLUSO FIXAÇÃO. AF_01/2020</t>
  </si>
  <si>
    <t xml:space="preserve"> 10.3.17 </t>
  </si>
  <si>
    <t xml:space="preserve"> 190705 </t>
  </si>
  <si>
    <t>TOALHEIRO EM INOX INTERFOLHA NOBLE - BIOVIS</t>
  </si>
  <si>
    <t xml:space="preserve"> 10.3.18 </t>
  </si>
  <si>
    <t xml:space="preserve"> COMP-1044 </t>
  </si>
  <si>
    <t>DISPENSER ROLÃO PARA PAPEL HIGIÊNICO EM INOX. FORNECIMENTO E INSTALAÇÃO.</t>
  </si>
  <si>
    <t xml:space="preserve"> 10.3.19 </t>
  </si>
  <si>
    <t xml:space="preserve"> COMP-1045 </t>
  </si>
  <si>
    <t>BANCADA EM GRANITO BRANCO SIENA OU EQUIVALENTE TÉCNICO. FORNECIMENTO E INSTALAÇÃO.</t>
  </si>
  <si>
    <t xml:space="preserve"> 11 </t>
  </si>
  <si>
    <t xml:space="preserve"> 11.1 </t>
  </si>
  <si>
    <t xml:space="preserve"> 11.2 </t>
  </si>
  <si>
    <t xml:space="preserve"> 89576 </t>
  </si>
  <si>
    <t>TUBO PVC, SÉRIE R, ÁGUA PLUVIAL, DN 75 MM, FORNECIDO E INSTALADO EM CONDUTORES VERTICAIS DE ÁGUAS PLUVIAIS. AF_06/2022</t>
  </si>
  <si>
    <t xml:space="preserve"> 11.3 </t>
  </si>
  <si>
    <t xml:space="preserve"> 11.4 </t>
  </si>
  <si>
    <t xml:space="preserve"> 89849 </t>
  </si>
  <si>
    <t>TUBO PVC, SERIE NORMAL, ESGOTO PREDIAL, DN 150 MM, FORNECIDO E INSTALADO EM SUBCOLETOR AÉREO DE ESGOTO SANITÁRIO. AF_08/2022</t>
  </si>
  <si>
    <t xml:space="preserve"> 11.5 </t>
  </si>
  <si>
    <t xml:space="preserve"> 06.272.0004-A </t>
  </si>
  <si>
    <t>TUBO PVC,CONFORME ABNT NBR-7362,PARA ESGOTO SANITARIO,COM DI AMETRO NOMINAL DE 200MM,INCLUSIVE ANEL DE BORRACHA.FORNECIME NTO ANEL DE BORRACHA, ABNT-NBR 7362, DE 200MM</t>
  </si>
  <si>
    <t xml:space="preserve"> 11.6 </t>
  </si>
  <si>
    <t xml:space="preserve"> 11.7 </t>
  </si>
  <si>
    <t xml:space="preserve"> 11.8 </t>
  </si>
  <si>
    <t xml:space="preserve"> 11.9 </t>
  </si>
  <si>
    <t xml:space="preserve"> 104171 </t>
  </si>
  <si>
    <t>LUVA DE CORRER, PVC, SERIE R, ÁGUA PLUVIAL, DN 150 MM, JUNTA ELÁSTICA, FORNECIDO E INSTALADO EM RAMAL DE ENCAMINHAMENTO. AF_06/2022</t>
  </si>
  <si>
    <t xml:space="preserve"> 11.10 </t>
  </si>
  <si>
    <t xml:space="preserve"> 89802 </t>
  </si>
  <si>
    <t>JOELHO 45 GRAUS, PVC, SERIE NORMAL, ESGOTO PREDIAL, DN 50 MM, JUNTA ELÁSTICA, FORNECIDO E INSTALADO EM PRUMADA DE ESGOTO SANITÁRIO OU VENTILAÇÃO. AF_08/2022</t>
  </si>
  <si>
    <t xml:space="preserve"> 11.11 </t>
  </si>
  <si>
    <t xml:space="preserve"> 89584 </t>
  </si>
  <si>
    <t>JOELHO 90 GRAUS, PVC, SERIE R, ÁGUA PLUVIAL, DN 100 MM, JUNTA ELÁSTICA, FORNECIDO E INSTALADO EM CONDUTORES VERTICAIS DE ÁGUAS PLUVIAIS. AF_06/2022</t>
  </si>
  <si>
    <t xml:space="preserve"> 11.12 </t>
  </si>
  <si>
    <t xml:space="preserve"> 89810 </t>
  </si>
  <si>
    <t>JOELHO 45 GRAUS, PVC, SERIE NORMAL, ESGOTO PREDIAL, DN 100 MM, JUNTA ELÁSTICA, FORNECIDO E INSTALADO EM PRUMADA DE ESGOTO SANITÁRIO OU VENTILAÇÃO. AF_08/2022</t>
  </si>
  <si>
    <t xml:space="preserve"> 11.13 </t>
  </si>
  <si>
    <t xml:space="preserve"> 89807 </t>
  </si>
  <si>
    <t>CURVA CURTA 90 GRAUS, PVC, SERIE NORMAL, ESGOTO PREDIAL, DN 75 MM, JUNTA ELÁSTICA, FORNECIDO E INSTALADO EM PRUMADA DE ESGOTO SANITÁRIO OU VENTILAÇÃO. AF_08/2022</t>
  </si>
  <si>
    <t xml:space="preserve"> 11.14 </t>
  </si>
  <si>
    <t xml:space="preserve"> 89811 </t>
  </si>
  <si>
    <t>CURVA CURTA 90 GRAUS, PVC, SERIE NORMAL, ESGOTO PREDIAL, DN 100 MM, JUNTA ELÁSTICA, FORNECIDO E INSTALADO EM PRUMADA DE ESGOTO SANITÁRIO OU VENTILAÇÃO. AF_08/2022</t>
  </si>
  <si>
    <t xml:space="preserve"> 11.15 </t>
  </si>
  <si>
    <t xml:space="preserve"> 89693 </t>
  </si>
  <si>
    <t>TÊ, PVC, SERIE R, ÁGUA PLUVIAL, DN 100 X 100 MM, JUNTA ELÁSTICA, FORNECIDO E INSTALADO EM CONDUTORES VERTICAIS DE ÁGUAS PLUVIAIS. AF_06/2022</t>
  </si>
  <si>
    <t xml:space="preserve"> 11.16 </t>
  </si>
  <si>
    <t xml:space="preserve"> 89690 </t>
  </si>
  <si>
    <t>JUNÇÃO SIMPLES, PVC, SERIE R, ÁGUA PLUVIAL, DN 100 X 100 MM, JUNTA ELÁSTICA, FORNECIDO E INSTALADO EM CONDUTORES VERTICAIS DE ÁGUAS PLUVIAIS. AF_06/2022</t>
  </si>
  <si>
    <t xml:space="preserve"> 11.17 </t>
  </si>
  <si>
    <t xml:space="preserve"> 104345/002 </t>
  </si>
  <si>
    <t>JUNÇÃO DE REDUÇÃO SIMPLES, PVC, SÉRIE NORMAL, ESGOTO PREDIAL, DN 100 X 50 MM, JUNTA ELÁSTICA, FORNECIDO E INSTALADO EM RAMAL DE DESCARGA OU RAMAL DE ESGOTO SANITÁRIO.</t>
  </si>
  <si>
    <t xml:space="preserve"> 11.18 </t>
  </si>
  <si>
    <t xml:space="preserve"> IT 19.05.0903 </t>
  </si>
  <si>
    <t>Ralo de cobertura semi-esferico de ferro fundido, tipo abacaxi, com 4". Fornecimento e instalacao.(desonerado)</t>
  </si>
  <si>
    <t xml:space="preserve"> 11.19 </t>
  </si>
  <si>
    <t xml:space="preserve"> IT 19.05.0900 </t>
  </si>
  <si>
    <t>Ralo de cobertura semi-esferico de ferro fundido, tipo abacaxi, com 3". Fornecimento e instalacao.(desonerado)</t>
  </si>
  <si>
    <t xml:space="preserve"> 11.20 </t>
  </si>
  <si>
    <t xml:space="preserve"> 11.21 </t>
  </si>
  <si>
    <t xml:space="preserve"> 103001 </t>
  </si>
  <si>
    <t>GRELHA DE FERRO FUNDIDO SIMPLES COM REQUADRO, 150 X 1000 MM, ASSENTADA COM ARGAMASSA 1 : 3 CIMENTO: AREIA - FORNECIMENTO E INSTALAÇÃO. AF_05/2025</t>
  </si>
  <si>
    <t xml:space="preserve"> 11.22 </t>
  </si>
  <si>
    <t xml:space="preserve"> 12 </t>
  </si>
  <si>
    <t xml:space="preserve"> 12.1 </t>
  </si>
  <si>
    <t>CONDUTORES</t>
  </si>
  <si>
    <t xml:space="preserve"> 12.1.1 </t>
  </si>
  <si>
    <t xml:space="preserve"> 063511 </t>
  </si>
  <si>
    <t>CABO PP 3 CONDUTORES 450/750V 1,50mm2</t>
  </si>
  <si>
    <t xml:space="preserve"> 12.1.2 </t>
  </si>
  <si>
    <t xml:space="preserve"> 91926 </t>
  </si>
  <si>
    <t>CABO DE COBRE FLEXÍVEL ISOLADO, 2,5 MM², ANTI-CHAMA 450/750 V, PARA CIRCUITOS TERMINAIS - FORNECIMENTO E INSTALAÇÃO. AF_03/2023</t>
  </si>
  <si>
    <t xml:space="preserve"> 12.1.3 </t>
  </si>
  <si>
    <t xml:space="preserve"> 91928 </t>
  </si>
  <si>
    <t>CABO DE COBRE FLEXÍVEL ISOLADO, 4 MM², ANTI-CHAMA 450/750 V, PARA CIRCUITOS TERMINAIS - FORNECIMENTO E INSTALAÇÃO. AF_03/2023</t>
  </si>
  <si>
    <t xml:space="preserve"> 12.1.4 </t>
  </si>
  <si>
    <t xml:space="preserve"> 91927 </t>
  </si>
  <si>
    <t>CABO DE COBRE FLEXÍVEL ISOLADO, 2,5 MM², ANTI-CHAMA 0,6/1,0 KV, PARA CIRCUITOS TERMINAIS - FORNECIMENTO E INSTALAÇÃO. AF_03/2023</t>
  </si>
  <si>
    <t xml:space="preserve"> 12.1.5 </t>
  </si>
  <si>
    <t xml:space="preserve"> 91929 </t>
  </si>
  <si>
    <t>CABO DE COBRE FLEXÍVEL ISOLADO, 4 MM², ANTI-CHAMA 0,6/1,0 KV, PARA CIRCUITOS TERMINAIS - FORNECIMENTO E INSTALAÇÃO. AF_03/2023</t>
  </si>
  <si>
    <t xml:space="preserve"> 12.1.6 </t>
  </si>
  <si>
    <t xml:space="preserve"> 91931 </t>
  </si>
  <si>
    <t>CABO DE COBRE FLEXÍVEL ISOLADO, 6 MM², ANTI-CHAMA 0,6/1,0 KV, PARA CIRCUITOS TERMINAIS - FORNECIMENTO E INSTALAÇÃO. AF_03/2023</t>
  </si>
  <si>
    <t xml:space="preserve"> 12.1.7 </t>
  </si>
  <si>
    <t xml:space="preserve"> 91935 </t>
  </si>
  <si>
    <t>CABO DE COBRE FLEXÍVEL ISOLADO, 16 MM², ANTI-CHAMA 0,6/1,0 KV, PARA CIRCUITOS TERMINAIS - FORNECIMENTO E INSTALAÇÃO. AF_03/2023</t>
  </si>
  <si>
    <t xml:space="preserve"> 12.1.8 </t>
  </si>
  <si>
    <t xml:space="preserve"> 92984 </t>
  </si>
  <si>
    <t>CABO DE COBRE FLEXÍVEL ISOLADO, 25 MM², ANTI-CHAMA 0,6/1,0 KV, PARA REDE ENTERRADA DE DISTRIBUIÇÃO DE ENERGIA ELÉTRICA - FORNECIMENTO E INSTALAÇÃO. AF_12/2021</t>
  </si>
  <si>
    <t xml:space="preserve"> 12.1.9 </t>
  </si>
  <si>
    <t xml:space="preserve"> 92988 </t>
  </si>
  <si>
    <t>CABO DE COBRE FLEXÍVEL ISOLADO, 50 MM², ANTI-CHAMA 0,6/1,0 KV, PARA REDE ENTERRADA DE DISTRIBUIÇÃO DE ENERGIA ELÉTRICA - FORNECIMENTO E INSTALAÇÃO. AF_12/2021</t>
  </si>
  <si>
    <t xml:space="preserve"> 12.1.10 </t>
  </si>
  <si>
    <t xml:space="preserve"> 92992 </t>
  </si>
  <si>
    <t>CABO DE COBRE FLEXÍVEL ISOLADO, 95 MM², ANTI-CHAMA 0,6/1,0 KV, PARA REDE ENTERRADA DE DISTRIBUIÇÃO DE ENERGIA ELÉTRICA - FORNECIMENTO E INSTALAÇÃO. AF_12/2021</t>
  </si>
  <si>
    <t xml:space="preserve"> 12.1.11 </t>
  </si>
  <si>
    <t xml:space="preserve"> 92998 </t>
  </si>
  <si>
    <t>CABO DE COBRE FLEXÍVEL ISOLADO, 185 MM², ANTI-CHAMA 0,6/1,0 KV, PARA REDE ENTERRADA DE DISTRIBUIÇÃO DE ENERGIA ELÉTRICA - FORNECIMENTO E INSTALAÇÃO. AF_12/2021</t>
  </si>
  <si>
    <t xml:space="preserve"> 12.1.12 </t>
  </si>
  <si>
    <t xml:space="preserve"> COMP-3038 </t>
  </si>
  <si>
    <t>CONDUTOR COBRE 25MM² 12/20KV - CLASSE 2 (HEPR/XLPE) - FORNECIMENTO E INSTALAÇÃO.</t>
  </si>
  <si>
    <t xml:space="preserve"> 12.1.13 </t>
  </si>
  <si>
    <t xml:space="preserve"> COMP-3039 </t>
  </si>
  <si>
    <t>Cabo multiplexado, classe 8,7/15 kv, constituídos de 03(três) fases, 3x50mm², unipolares, de alumínio, com blindagem em tubo longitudinal de alumínio e um cabo mensageiro (elemento de sustentação) - 50mm².</t>
  </si>
  <si>
    <t xml:space="preserve"> 12.1.14 </t>
  </si>
  <si>
    <t xml:space="preserve"> 92990 </t>
  </si>
  <si>
    <t>CABO DE COBRE FLEXÍVEL ISOLADO, 70 MM², ANTI-CHAMA 0,6/1,0 KV, PARA REDE ENTERRADA DE DISTRIBUIÇÃO DE ENERGIA ELÉTRICA - FORNECIMENTO E INSTALAÇÃO. AF_12/2021</t>
  </si>
  <si>
    <t xml:space="preserve"> 12.1.15 </t>
  </si>
  <si>
    <t xml:space="preserve"> 92994 </t>
  </si>
  <si>
    <t>CABO DE COBRE FLEXÍVEL ISOLADO, 120 MM², ANTI-CHAMA 0,6/1,0 KV, PARA REDE ENTERRADA DE DISTRIBUIÇÃO DE ENERGIA ELÉTRICA - FORNECIMENTO E INSTALAÇÃO. AF_12/2021</t>
  </si>
  <si>
    <t xml:space="preserve"> 12.2 </t>
  </si>
  <si>
    <t>CORDOALHA OU CABO DE COBRE</t>
  </si>
  <si>
    <t xml:space="preserve"> 12.2.1 </t>
  </si>
  <si>
    <t xml:space="preserve"> 15.009.0135-A </t>
  </si>
  <si>
    <t>CABO SOLIDO DE COBRE ELETROLITICO NU,TEMPERA MOLE,CLASSE 2, SECAO CIRCULAR DE 25MM2.FORNECIMENTO E COLOCACAO , SECAO CIRCULAR DE 10,0 A 500,0MM2 CARGOS SOCIAIS DESONERADOS GOS SOCIAIS DESONERADOS</t>
  </si>
  <si>
    <t xml:space="preserve"> 12.2.2 </t>
  </si>
  <si>
    <t xml:space="preserve"> 96973 </t>
  </si>
  <si>
    <t>CORDOALHA DE COBRE NU 35 MM², NÃO ENTERRADA, COM ISOLADOR - FORNECIMENTO E INSTALAÇÃO. AF_08/2023</t>
  </si>
  <si>
    <t xml:space="preserve"> 12.2.3 </t>
  </si>
  <si>
    <t xml:space="preserve"> 96977 </t>
  </si>
  <si>
    <t>CORDOALHA DE COBRE NU 50 MM², ENTERRADA - FORNECIMENTO E INSTALAÇÃO. AF_08/2023</t>
  </si>
  <si>
    <t xml:space="preserve"> 12.2.4 </t>
  </si>
  <si>
    <t xml:space="preserve"> IT 24.44.0071 </t>
  </si>
  <si>
    <t>Fio de cobre nu, na bitola de 16mm2. Fornecimento e instalacao.(desonerado)</t>
  </si>
  <si>
    <t xml:space="preserve"> 12.2.5 </t>
  </si>
  <si>
    <t xml:space="preserve"> 078051 </t>
  </si>
  <si>
    <t>SOLDA EXOTERMICA COM MOLDE GTB 16Y</t>
  </si>
  <si>
    <t xml:space="preserve"> 12.3 </t>
  </si>
  <si>
    <t>CAIXAS DE PASSAGEM</t>
  </si>
  <si>
    <t xml:space="preserve"> 12.3.1 </t>
  </si>
  <si>
    <t xml:space="preserve"> 91943 </t>
  </si>
  <si>
    <t>CAIXA RETANGULAR 4" X 4" MÉDIA (1,30 M DO PISO), PVC, INSTALADA EM PAREDE - FORNECIMENTO E INSTALAÇÃO. AF_03/2023</t>
  </si>
  <si>
    <t xml:space="preserve"> 12.3.2 </t>
  </si>
  <si>
    <t xml:space="preserve"> 91937 </t>
  </si>
  <si>
    <t>CAIXA OCTOGONAL 3" X 3", PVC, INSTALADA EM LAJE - FORNECIMENTO E INSTALAÇÃO. AF_03/2023</t>
  </si>
  <si>
    <t xml:space="preserve"> 12.3.3 </t>
  </si>
  <si>
    <t xml:space="preserve"> IT 24.46.0109 </t>
  </si>
  <si>
    <t>Caixa de passagem para telefone, conforme especificacao da Telebras, nas dimensoes (20x20x12)cm. Fornecimento e instalacao.(desonerado)</t>
  </si>
  <si>
    <t xml:space="preserve"> 12.3.4 </t>
  </si>
  <si>
    <t xml:space="preserve"> IT 25.46.0109 </t>
  </si>
  <si>
    <t>Caixa de passagem para telefone, conforme especificacao da Telebras, nas dimensoes (20x20x12)cm. Fornecimento e instalacao.</t>
  </si>
  <si>
    <t xml:space="preserve"> 12.3.5 </t>
  </si>
  <si>
    <t xml:space="preserve"> 06.014.0060-A </t>
  </si>
  <si>
    <t>CAIXA DE PASSAGEM EM ALVENARIA DE TIJOLO MACICO(7X10X20CM),E M PAREDES DE UMA VEZ (0,20M),DE 0,40X0,40X0,60M,UTILIZANDO A RGAMASSA DE CIMENTO E AREIA,NO TRACO 1:4 EM VOLUME,COM FUNDO EM CONCRETO SIMPLES PROVIDO DE CALHA INTERNA,SENDO AS PAREDE S REVESTIDAS INTERNAMENTE COM A MESMA ARGAMASSA,INCLUSIVE TA MPA DE CONCRETO ARMADO,15MPA,COM ESPESSURA DE 10CM 3MM QUIVALENTES, Nº12X12 A 18X30 NCARGOS SOCIAIS DESONERADOS DOS GOS SOCIAIS DESONERADOS</t>
  </si>
  <si>
    <t xml:space="preserve"> 12.3.6 </t>
  </si>
  <si>
    <t xml:space="preserve"> 12.3.7 </t>
  </si>
  <si>
    <t xml:space="preserve"> 06.014.0068-A </t>
  </si>
  <si>
    <t>CAIXA DE PASSAGEM EM ALVENARIA DE TIJOLO MACICO(7X10X20CM),E M PAREDES DE UMA VEZ(0,20M),DE 1,00X1,00X1,00M,UTILIZANDO AR GAMASSA DE CIMENTO E AREIA,NO TRACO 1:4 EM VOLUME,COM FUNDO EM CONCRETO SIMPLES PROVIDO DE CALHA INTERNA,SENDO AS PAREDE S REVESTIDAS INTERNAMENTE COM A MESMA ARGAMASSA,INCLUSIVE TA MPA DE CONCRETO ARMADO,15MPA,COM ESPESSURA DE 10CM 3MM QUIVALENTES, Nº12X12 A 18X30 NCARGOS SOCIAIS DESONERADOS DOS GOS SOCIAIS DESONERADOS</t>
  </si>
  <si>
    <t xml:space="preserve"> 12.3.8 </t>
  </si>
  <si>
    <t xml:space="preserve"> 12.4 </t>
  </si>
  <si>
    <t>ELETRODUTOS</t>
  </si>
  <si>
    <t xml:space="preserve"> 12.4.1 </t>
  </si>
  <si>
    <t xml:space="preserve"> IT 25.14.0053 </t>
  </si>
  <si>
    <t>Eletroduto de ferro galvanizado, diametro de 19mm (3/4"), inclusive conexoes e emendas, exclusive abertura de rasgo. Fornecimento e instalacao.</t>
  </si>
  <si>
    <t xml:space="preserve"> 12.4.2 </t>
  </si>
  <si>
    <t xml:space="preserve"> IT 25.14.0056 </t>
  </si>
  <si>
    <t>Eletroduto de ferro galvanizado, diametro de 25mm (1"), inclusive conexoes e emendas, exclusive abertura e fechamento rasgo. Fornecimento e instalacao.</t>
  </si>
  <si>
    <t xml:space="preserve"> 12.4.3 </t>
  </si>
  <si>
    <t xml:space="preserve"> IT 25.14.0077 </t>
  </si>
  <si>
    <t>Eletroduto de ferro galvanizado, diametro de 100mm (4"), inclusive conexoes e emendas, exclusive abertura e fechamento rasgo. Fornecimento e instalacao.</t>
  </si>
  <si>
    <t xml:space="preserve"> 12.4.4 </t>
  </si>
  <si>
    <t xml:space="preserve"> IT 25.04.0071 </t>
  </si>
  <si>
    <t>Eletroduto de PVC rigido, diametro de 4", inclusive conexoes e emendas, exclusive abertura e fechamento de rasgo. Fornecimento e instalacao.</t>
  </si>
  <si>
    <t xml:space="preserve"> 12.4.5 </t>
  </si>
  <si>
    <t xml:space="preserve"> 95727 </t>
  </si>
  <si>
    <t>ELETRODUTO RÍGIDO SOLDÁVEL, PVC, DN 25 MM (3/4"), APARENTE - FORNECIMENTO E INSTALAÇÃO. AF_10/2022</t>
  </si>
  <si>
    <t xml:space="preserve"> 12.4.6 </t>
  </si>
  <si>
    <t xml:space="preserve"> 97667 </t>
  </si>
  <si>
    <t>ELETRODUTO FLEXÍVEL CORRUGADO, PEAD, DN 50 (1 1/2"), PARA REDE ENTERRADA DE DISTRIBUIÇÃO DE ENERGIA ELÉTRICA - FORNECIMENTO E INSTALAÇÃO. AF_12/2021</t>
  </si>
  <si>
    <t xml:space="preserve"> 12.4.7 </t>
  </si>
  <si>
    <t xml:space="preserve"> 97668 </t>
  </si>
  <si>
    <t>ELETRODUTO FLEXÍVEL CORRUGADO, PEAD, DN 63 (2"), PARA REDE ENTERRADA DE DISTRIBUIÇÃO DE ENERGIA ELÉTRICA - FORNECIMENTO E INSTALAÇÃO. AF_12/2021</t>
  </si>
  <si>
    <t xml:space="preserve"> 12.4.8 </t>
  </si>
  <si>
    <t xml:space="preserve"> 97669 </t>
  </si>
  <si>
    <t>ELETRODUTO FLEXÍVEL CORRUGADO, PEAD, DN 90 (3"), PARA REDE ENTERRADA DE DISTRIBUIÇÃO DE ENERGIA ELÉTRICA - FORNECIMENTO E INSTALAÇÃO. AF_12/2021</t>
  </si>
  <si>
    <t xml:space="preserve"> 12.4.9 </t>
  </si>
  <si>
    <t xml:space="preserve"> 97670 </t>
  </si>
  <si>
    <t>ELETRODUTO FLEXÍVEL CORRUGADO, PEAD, DN 100 (4"), PARA REDE ENTERRADA DE DISTRIBUIÇÃO DE ENERGIA ELÉTRICA - FORNECIMENTO E INSTALAÇÃO. AF_12/2021</t>
  </si>
  <si>
    <t xml:space="preserve"> 12.4.10 </t>
  </si>
  <si>
    <t xml:space="preserve"> COMP-7866 </t>
  </si>
  <si>
    <t>ELETRODUTO FLEXÍVEL CORRUGADO, PEAD, DN 25 (3/4"), PARA REDE ENTERRADA DE DISTRIBUIÇÃO DE ENERGIA ELÉTRICA - FORNECIMENTO E INSTALAÇÃO.</t>
  </si>
  <si>
    <t xml:space="preserve"> 12.5 </t>
  </si>
  <si>
    <t>ELETROCALHAS</t>
  </si>
  <si>
    <t xml:space="preserve"> 12.5.1 </t>
  </si>
  <si>
    <t xml:space="preserve"> 15.018.0517-A </t>
  </si>
  <si>
    <t>ELETROCALHA PERFURADA,COM TAMPA,TIPO "U",200X50MM,TRATAMENTO SUPERFICIAL PRE-ZINCADO A QUENTE,EXCLUSIVE CONEXOES,ACESSOR IOS E FIXACAO SUPERIOR.FORNECIMENTO E COLOCACAO -ZINCADA, SEM TAMPA 0MM CARGOS SOCIAIS DESONERADOS GOS SOCIAIS DESONERADOS</t>
  </si>
  <si>
    <t xml:space="preserve"> 12.5.2 </t>
  </si>
  <si>
    <t xml:space="preserve"> 15.018.0752-A </t>
  </si>
  <si>
    <t>TE HORIZONTAL,90º,PARA ELETROCALHA PERFURADA OU LISA,200X50M M.FORNECIMENTO E COLOCACAO 0MM, PRE-ZINCADA CARGOS SOCIAIS DESONERADOS GOS SOCIAIS DESONERADOS</t>
  </si>
  <si>
    <t xml:space="preserve"> 12.5.3 </t>
  </si>
  <si>
    <t xml:space="preserve"> 15.018.0792-A </t>
  </si>
  <si>
    <t>CRUZETA HORIZONTAL,90º,PARA ELETROCALHA PERFURADA OU LISA,20 0X50MM.FORNECIMENTO E COLOCACAO 200X50MM, PRE-ZINCADA CARGOS SOCIAIS DESONERADOS GOS SOCIAIS DESONERADOS</t>
  </si>
  <si>
    <t xml:space="preserve"> 12.5.4 </t>
  </si>
  <si>
    <t xml:space="preserve"> 15.018.0732-A </t>
  </si>
  <si>
    <t>CURVA DE INVERSAO,90º,PARA ELETROCALHA PERFURADA OU LISA,200 X50MM.FORNECIMENTO E COLOCACAO 00X50MM, PRE-ZINCADA CARGOS SOCIAIS DESONERADOS GOS SOCIAIS DESONERADOS</t>
  </si>
  <si>
    <t xml:space="preserve"> 12.5.5 </t>
  </si>
  <si>
    <t xml:space="preserve"> 97249 </t>
  </si>
  <si>
    <t>EMENDA PARA ELETROCALHA, LISA OU PERFURADA EM AÇO GALVANIZADO, LARGURA 50MM E ALTURA 50MM - FORNECIMENTO E INSTALAÇÃO. AF_04/2023</t>
  </si>
  <si>
    <t xml:space="preserve"> 12.6 </t>
  </si>
  <si>
    <t>PERFILADO</t>
  </si>
  <si>
    <t xml:space="preserve"> 12.6.1 </t>
  </si>
  <si>
    <t xml:space="preserve"> 15.018.0175-A </t>
  </si>
  <si>
    <t>CANALETA PERFURADA ALTA(PERFILADOS),MEDINDO(38X38X6000)MM PR E-GALVANIZADA,INCLUSIVE SUPORTE E CONEXOES.FORNECIMENTO E CO LOCACAO , DE (30X20)MM CARGOS SOCIAIS DESONERADOS GOS SOCIAIS DESONERADOS</t>
  </si>
  <si>
    <t xml:space="preserve"> 12.7 </t>
  </si>
  <si>
    <t>ILUMINAÇÃO</t>
  </si>
  <si>
    <t xml:space="preserve"> 12.7.1 </t>
  </si>
  <si>
    <t xml:space="preserve"> 18.027.0482-A </t>
  </si>
  <si>
    <t>LUMINARIA DE SOBREPOR, FIXADA EM LAJE OU FORRO, TIPO CALHA, CHANFRADA OU PRISMATICA, COMPLETA, COM LAMPADA LED TUBULAR DE 4 X 9W.FORNECIMENTO E COLOCACAO DE 900LM PARA 4 LAMPADAS TUBULARES DE 600MM CARGOS SOCIAIS DESONERADOS GOS SOCIAIS DESONERADOS</t>
  </si>
  <si>
    <t xml:space="preserve"> 12.7.2 </t>
  </si>
  <si>
    <t xml:space="preserve"> 18.027.0302-A </t>
  </si>
  <si>
    <t>LUMINARIA DE SOBREPOR,FIXADA EM LAJE OU FORRO,TIPO CALHA,CHA NFRADA OU PRISMATICA,COMPLETA,EQUIPADA COM REATOR ELETRONICO DE ALTO FATOR DE POTENCIA E LAMPADA FLUORESCENTE DE 1X20W.F ORNECIMENTO E COLOCACAO LAMPADAS FLUORESCENTES - 20W - SIMPLES PARA 1 LAMPADA TUBULAR DE 600MM CARGOS SOCIAIS DESONERADOS GOS SOCIAIS DESONERADOS</t>
  </si>
  <si>
    <t xml:space="preserve"> 12.7.3 </t>
  </si>
  <si>
    <t xml:space="preserve"> IT 29.05.0200 </t>
  </si>
  <si>
    <t>Arandela oval em aluminio fundido com grade de protecao e vidro temperado modelo RPI-3016/P marca Raphael Paci ou similar, para lampada fluorescente compacta, espiral, 15W, base E-27, 127V, cor amarela. Fornecimento e instalacao.(desonerado)</t>
  </si>
  <si>
    <t xml:space="preserve"> 12.7.4 </t>
  </si>
  <si>
    <t xml:space="preserve"> 060045 </t>
  </si>
  <si>
    <t>LUMINARIA REFLETOR C/ SENSOR DE PRESENCA IP68 E LAMPADA 50 W</t>
  </si>
  <si>
    <t xml:space="preserve"> 12.7.5 </t>
  </si>
  <si>
    <t xml:space="preserve"> 060211 </t>
  </si>
  <si>
    <t>LUMINARIA REFLETOR LED 9W MONOCROMATICO BRANCO - SODRAMAR</t>
  </si>
  <si>
    <t xml:space="preserve"> 12.7.6 </t>
  </si>
  <si>
    <t xml:space="preserve"> 100903 </t>
  </si>
  <si>
    <t>LÂMPADA TUBULAR LED DE 18/20 W, COM SOQUETE, BASE G13 - FORNECIMENTO E INSTALAÇÃO. AF_09/2024_PS</t>
  </si>
  <si>
    <t xml:space="preserve"> 12.7.7 </t>
  </si>
  <si>
    <t xml:space="preserve"> COMP-3033 </t>
  </si>
  <si>
    <t>ABRAÇADEIRA (PAR) PARA FIXAÇÃO DE LÂMPADA TUBULAR - FORNECIMENTO E INSTALAÇÃO. AF_09/2024_PS</t>
  </si>
  <si>
    <t xml:space="preserve"> 12.7.8 </t>
  </si>
  <si>
    <t xml:space="preserve"> 18.260.0070-A </t>
  </si>
  <si>
    <t>RELE FOTOELETRICO,PARA COMANDO DE ILUMINACAO EXTERNA,NA TENS AO DE 220V E CARGA MAXIMA DE 1.000W.FORNECIMENTO E COLOCACAO CARGOS SOCIAIS DESONERADOS GOS SOCIAIS DESONERADOS</t>
  </si>
  <si>
    <t xml:space="preserve"> 12.7.9 </t>
  </si>
  <si>
    <t xml:space="preserve"> COMP-1090 </t>
  </si>
  <si>
    <t>INSTALAÇÃO DE PLUG MACHO 10A EM LUMINÁRIAS - FORNECIMENTO E INSTALAÇÃO</t>
  </si>
  <si>
    <t xml:space="preserve"> 12.8 </t>
  </si>
  <si>
    <t>INTERRUPTORES E TOMADAS</t>
  </si>
  <si>
    <t xml:space="preserve"> 12.8.1 </t>
  </si>
  <si>
    <t xml:space="preserve"> 91981 </t>
  </si>
  <si>
    <t>INTERRUPTOR BIPOLAR (1 MÓDULO), 10A/250V, INCLUINDO SUPORTE E PLACA - FORNECIMENTO E INSTALAÇÃO. AF_03/2023</t>
  </si>
  <si>
    <t xml:space="preserve"> 12.8.2 </t>
  </si>
  <si>
    <t xml:space="preserve"> 91969 </t>
  </si>
  <si>
    <t>INTERRUPTOR PARALELO (3 MÓDULOS), 10A/250V, INCLUINDO SUPORTE E PLACA - FORNECIMENTO E INSTALAÇÃO. AF_03/2023</t>
  </si>
  <si>
    <t xml:space="preserve"> 12.8.3 </t>
  </si>
  <si>
    <t xml:space="preserve"> 91959 </t>
  </si>
  <si>
    <t>INTERRUPTOR SIMPLES (2 MÓDULOS), 10A/250V, INCLUINDO SUPORTE E PLACA - FORNECIMENTO E INSTALAÇÃO. AF_03/2023</t>
  </si>
  <si>
    <t xml:space="preserve"> 12.8.4 </t>
  </si>
  <si>
    <t xml:space="preserve"> 12.8.5 </t>
  </si>
  <si>
    <t xml:space="preserve"> 15.019.0055-A </t>
  </si>
  <si>
    <t>TOMADA ELETRICA 2P+T,10A/250V,PADRAO BRASILEIRO,DE SOBREPOR. FORNECIMENTO E COLOCACAO OR CARGOS SOCIAIS DESONERADOS</t>
  </si>
  <si>
    <t xml:space="preserve"> 12.8.6 </t>
  </si>
  <si>
    <t xml:space="preserve"> 15.019.0057-A </t>
  </si>
  <si>
    <t>TOMADA ELETRICA 2P+T,20A/250V,PADRAO BRASILEIRO,DE SOBREPOR. FORNECIMENTO E COLOCACAO OR CARGOS SOCIAIS DESONERADOS</t>
  </si>
  <si>
    <t xml:space="preserve"> 12.8.7 </t>
  </si>
  <si>
    <t xml:space="preserve"> 95801 </t>
  </si>
  <si>
    <t>CONDULETE DE ALUMÍNIO, TIPO X, PARA ELETRODUTO DE AÇO GALVANIZADO DN 20 MM (3/4''), APARENTE - FORNECIMENTO E INSTALAÇÃO. AF_10/2022</t>
  </si>
  <si>
    <t xml:space="preserve"> 12.9 </t>
  </si>
  <si>
    <t>ENTRADA DE ENERGIA E ATERRAMENTO</t>
  </si>
  <si>
    <t xml:space="preserve"> 12.9.1 </t>
  </si>
  <si>
    <t xml:space="preserve"> 15.007.0338-A </t>
  </si>
  <si>
    <t>MUFLA TERMINAL,INTERNA OU EXTERNA,PARA CABO SINGELO DE 15KV. FORNECIMENTO E COLOCACAO CA CARGOS SOCIAIS DESONERADOS GOS SOCIAIS DESONERADOS</t>
  </si>
  <si>
    <t xml:space="preserve"> 12.9.2 </t>
  </si>
  <si>
    <t xml:space="preserve"> 14.002.0265-A </t>
  </si>
  <si>
    <t>SUPORTE TIPO MAO FRANCESA DE ALTA RESISTENCIA,EM ACO,ABAS CO M MEDIDAS EM TORNO DE (50X33)CM,COM CAPACIDADE DE PESO MAXIM O APROXIMADO DE 110KG.FORNECIMENTO E INSTALACAO X33)CM,COM CAPACIDADE DE PESO MAXIMO APROXIMADO DE 110KG DOS GOS SOCIAIS DESONERADOS</t>
  </si>
  <si>
    <t xml:space="preserve"> 12.9.3 </t>
  </si>
  <si>
    <t xml:space="preserve"> 15.007.0357-A </t>
  </si>
  <si>
    <t>CHAVE FUSIVEL,UNIPOLAR,COMANDO POR VARA DE MANOBRA,15KV-100A .FORNECIMENTO E COLOCACAO MANOBRA, DE 15KV-100A CARGOS SOCIAIS DESONERADOS GOS SOCIAIS DESONERADOS</t>
  </si>
  <si>
    <t xml:space="preserve"> 12.9.4 </t>
  </si>
  <si>
    <t xml:space="preserve"> 21.028.0150-A </t>
  </si>
  <si>
    <t>GRAMPO DE LINHA VIVA EM BRONZE FUNDIDO,ACABAMENTO ESTANHADO PARA CABO DE 16 A 240MM2.FORNECIMENTO</t>
  </si>
  <si>
    <t xml:space="preserve"> 12.9.5 </t>
  </si>
  <si>
    <t xml:space="preserve"> 12.9.6 </t>
  </si>
  <si>
    <t xml:space="preserve"> S </t>
  </si>
  <si>
    <t>CRUZETA 1900MM DE FIBRA DE VIDRO PARA POSTE. FORNECIMENTO E INSTALAÇÃO</t>
  </si>
  <si>
    <t xml:space="preserve"> 12.9.7 </t>
  </si>
  <si>
    <t xml:space="preserve"> COMP-1022 </t>
  </si>
  <si>
    <t>POSTE METÁLICO 6,0M COM CAIXA DE PASSAGEM EM ALVENARIA. FORNECIMENTO E INSTALAÇÃO</t>
  </si>
  <si>
    <t xml:space="preserve"> 12.9.8 </t>
  </si>
  <si>
    <t xml:space="preserve"> 101547 </t>
  </si>
  <si>
    <t>ISOLADOR, TIPO DISCO, PARA TENSÃO 15 KV - FORNECIMENTO E INSTALAÇÃO. AF_07/2020</t>
  </si>
  <si>
    <t xml:space="preserve"> 12.9.9 </t>
  </si>
  <si>
    <t xml:space="preserve"> 172880 </t>
  </si>
  <si>
    <t>LUMINARIA PUBLICA COB SUPER C/1 LED PETALA 100W 6500K BRANCO</t>
  </si>
  <si>
    <t xml:space="preserve"> 12.9.10 </t>
  </si>
  <si>
    <t xml:space="preserve"> 069302 </t>
  </si>
  <si>
    <t>LUMINARIA PUBLICA COB SUPER C/ 2LED PETALA 100W 6500K BRANCO</t>
  </si>
  <si>
    <t xml:space="preserve"> 12.9.11 </t>
  </si>
  <si>
    <t xml:space="preserve"> IP 05.12.0750 </t>
  </si>
  <si>
    <t>Poste composto de Poliester reforcado com Fibra de Vidro - PRFV, secao unica, altura total de 11,00 m, altura util de 9,00 m, conicidade normal, tipo pesado, carga nominal de 600 daN, diametro no topo de 180 mm, engastado, especificacao EM-RIOLUZ No101. Fornecimento e assentamento.</t>
  </si>
  <si>
    <t xml:space="preserve"> 12.9.12 </t>
  </si>
  <si>
    <t xml:space="preserve"> IT 24.70.0150 </t>
  </si>
  <si>
    <t>Para-raio de distribuicao em corpo polimerico de ZNO, para 15Kv/10Ka. Fornecimento e instalacao.(desonerado)</t>
  </si>
  <si>
    <t xml:space="preserve"> 12.9.13 </t>
  </si>
  <si>
    <t xml:space="preserve"> COMP-1008 </t>
  </si>
  <si>
    <t>CAIXA DE EQUALIZAÇÃO 20X20X12CM, 9 TERMINAIS, EM CHAPA METALICA, DE EMBUTIR. FORNECIMENTO E INSTALAÇÃO.</t>
  </si>
  <si>
    <t xml:space="preserve"> 12.9.14 </t>
  </si>
  <si>
    <t xml:space="preserve"> IT 24.70.0103 </t>
  </si>
  <si>
    <t>Haste para aterramento, tipo Copperweld, de 5/8" (16mm), com 2,40m de comprimento, referencia PK-065, Paraklin ou similar. Fornecimento e instalacao.(desonerado)</t>
  </si>
  <si>
    <t xml:space="preserve"> 13 </t>
  </si>
  <si>
    <t xml:space="preserve"> 13.1 </t>
  </si>
  <si>
    <t xml:space="preserve"> COMP-1116 </t>
  </si>
  <si>
    <t>BARRA CHATA ALUMÍNIO 7/8" X 1/8". FORNECIMENTO E INSTALAÇÃO.</t>
  </si>
  <si>
    <t xml:space="preserve"> 13.2 </t>
  </si>
  <si>
    <t xml:space="preserve"> COMP-1007 </t>
  </si>
  <si>
    <t>RE-BAR, 3/8"- 10MM X 3M, GALVANIZADA A FOGO EXCLUSIVA PARA SPDA. FORNECIMENTO E INSTALAÇÃO.</t>
  </si>
  <si>
    <t xml:space="preserve"> 13.3 </t>
  </si>
  <si>
    <t xml:space="preserve"> 13.4 </t>
  </si>
  <si>
    <t xml:space="preserve"> 13.5 </t>
  </si>
  <si>
    <t xml:space="preserve"> IP 54.10.0809 </t>
  </si>
  <si>
    <t>Parafuso com cabeca sextavada de (12x1,75x50)mm. Fornecimento.(desonerado)</t>
  </si>
  <si>
    <t xml:space="preserve"> 13.6 </t>
  </si>
  <si>
    <t xml:space="preserve"> COMP-3050 </t>
  </si>
  <si>
    <t>Conector com pino M12</t>
  </si>
  <si>
    <t xml:space="preserve"> 13.7 </t>
  </si>
  <si>
    <t xml:space="preserve"> 078563 </t>
  </si>
  <si>
    <t>GRAMPO LEVE (CLIP) REFORCADO GALV. P/AMARRACAO DE FIOS/CABOS</t>
  </si>
  <si>
    <t xml:space="preserve"> 13.8 </t>
  </si>
  <si>
    <t xml:space="preserve"> 061702 </t>
  </si>
  <si>
    <t>TERMINAL COMPRESSAO PARA CABO 35MM</t>
  </si>
  <si>
    <t xml:space="preserve"> 13.9 </t>
  </si>
  <si>
    <t xml:space="preserve"> COMP-3051 </t>
  </si>
  <si>
    <t>Conector ATERRINSERT</t>
  </si>
  <si>
    <t xml:space="preserve"> 13.10 </t>
  </si>
  <si>
    <t xml:space="preserve"> 078369 </t>
  </si>
  <si>
    <t>CONECTOR PARA MINICAPTOR COM FURO VERTICAL 3/8 TEL5021</t>
  </si>
  <si>
    <t xml:space="preserve"> 14 </t>
  </si>
  <si>
    <t xml:space="preserve"> 14.1 </t>
  </si>
  <si>
    <t xml:space="preserve"> 14.1.1 </t>
  </si>
  <si>
    <t xml:space="preserve"> 14.1.2 </t>
  </si>
  <si>
    <t xml:space="preserve"> 14.1.3 </t>
  </si>
  <si>
    <t xml:space="preserve"> 14.1.4 </t>
  </si>
  <si>
    <t xml:space="preserve"> 14.2 </t>
  </si>
  <si>
    <t xml:space="preserve"> 14.2.1 </t>
  </si>
  <si>
    <t xml:space="preserve"> 15.018.0483-A </t>
  </si>
  <si>
    <t>ELETROCALHA PERFURADA,SEM TAMPA,TIPO "U",100X50MM,TRATAMENTO SUPERFICIAL PRE-ZINCADO A QUENTE,EXCLUSIVE CONEXOES,ACESSOR IOS E FIXACAO SUPERIOR.FORNECIMENTO E COLOCACAO -ZINCADA, SEM TAMPA CARGOS SOCIAIS DESONERADOS GOS SOCIAIS DESONERADOS</t>
  </si>
  <si>
    <t xml:space="preserve"> 14.2.2 </t>
  </si>
  <si>
    <t xml:space="preserve"> COMP-1009 </t>
  </si>
  <si>
    <t>SAÍDA HORIZONTAL DE ELETROCALHA PARA ELETRODUTO 3/4". FORNECIMENTO E INSTALAÇÃO.</t>
  </si>
  <si>
    <t xml:space="preserve"> 14.2.3 </t>
  </si>
  <si>
    <t xml:space="preserve"> 15.018.0485-A </t>
  </si>
  <si>
    <t>ELETROCALHA PERFURADA,SEM TAMPA,TIPO "U",200X50MM,TRATAMENTO SUPERFICIAL PRE-ZINCADO A QUENTE,EXCLUSIVE CONEXOES,ACESSOR IOS E FIXACAO SUPERIOR.FORNECIMENTO E COLOCACAO -ZINCADA, SEM TAMPA CARGOS SOCIAIS DESONERADOS GOS SOCIAIS DESONERADOS</t>
  </si>
  <si>
    <t xml:space="preserve"> 14.3 </t>
  </si>
  <si>
    <t>CONDULETES E TOMADAS</t>
  </si>
  <si>
    <t xml:space="preserve"> 14.3.1 </t>
  </si>
  <si>
    <t xml:space="preserve"> 15.019.0010-A </t>
  </si>
  <si>
    <t>TOMADA DE PISO,SIMPLES,EM CORPO DE ALUMINIO FUNDIDO E TAMPA EM LATAO POLIDO,10A/250V.FORNECIMENTO E COLOCACAO LATAO POLIDO,       COM TOMADA DE 10A, 250V, TIPO SIMPLES CARGOS SOCIAIS DESONERADOS</t>
  </si>
  <si>
    <t xml:space="preserve"> 14.3.2 </t>
  </si>
  <si>
    <t xml:space="preserve"> COMP-10555 </t>
  </si>
  <si>
    <t>TOMADA RJ45, 8 FIOS, CAT 5E, CONJUNTO MONTADO PARA CONDULETE 3/4" DE SOBREPOR, 4" X 2" (PLACA + SUPORTE + MODULO). FORNECIMENTO E INSTALAÇÃO.</t>
  </si>
  <si>
    <t xml:space="preserve"> 14.4 </t>
  </si>
  <si>
    <t xml:space="preserve"> 14.4.1 </t>
  </si>
  <si>
    <t xml:space="preserve"> 98305 </t>
  </si>
  <si>
    <t>RACK FECHADO 44U PARA SERVIDOR - FORNECIMENTO E INSTALAÇÃO. AF_08/2025</t>
  </si>
  <si>
    <t xml:space="preserve"> 14.4.2 </t>
  </si>
  <si>
    <t xml:space="preserve"> 98302 </t>
  </si>
  <si>
    <t>PATCH PANEL 24 PORTAS, CATEGORIA 6 - FORNECIMENTO E INSTALAÇÃO. AF_11/2019</t>
  </si>
  <si>
    <t xml:space="preserve"> 14.4.3 </t>
  </si>
  <si>
    <t xml:space="preserve"> COMP-1010 </t>
  </si>
  <si>
    <t>SWITCH 24 PORTAS TECNOLOGIA POE. FORNECIMENTO E INSTALAÇÃO.</t>
  </si>
  <si>
    <t xml:space="preserve"> 14.4.4 </t>
  </si>
  <si>
    <t xml:space="preserve"> 079444 </t>
  </si>
  <si>
    <t>ORGANIZADOR HORIZONTAL DE CABOS 1 U</t>
  </si>
  <si>
    <t xml:space="preserve"> 14.4.5 </t>
  </si>
  <si>
    <t xml:space="preserve"> COMP-1011 </t>
  </si>
  <si>
    <t>RÉGUA COM 6 TOMADAS PARA RACK. FORNECIMENTO E INSTALAÇÃO.</t>
  </si>
  <si>
    <t xml:space="preserve"> 14.4.6 </t>
  </si>
  <si>
    <t xml:space="preserve"> 059252 </t>
  </si>
  <si>
    <t>SWITCH WIRED TP - LINK GIGABIT 24 PORTAS TL - SG1024D.</t>
  </si>
  <si>
    <t xml:space="preserve"> 14.4.7 </t>
  </si>
  <si>
    <t xml:space="preserve"> 059441 </t>
  </si>
  <si>
    <t>PATCH CORDS RJ45 CAT 6 4 PARES 2,50M</t>
  </si>
  <si>
    <t xml:space="preserve"> 14.4.8 </t>
  </si>
  <si>
    <t xml:space="preserve"> 059251 </t>
  </si>
  <si>
    <t>DISTRIBUIDOR INTERNO OPTICO DIO 24 FIBRAS</t>
  </si>
  <si>
    <t xml:space="preserve"> 14.4.9 </t>
  </si>
  <si>
    <t xml:space="preserve"> 012064 </t>
  </si>
  <si>
    <t>RACK - KIT VENTILACAO COM 2 VENTILADORES PARA RACK PISO/PAREDE</t>
  </si>
  <si>
    <t xml:space="preserve"> 14.5 </t>
  </si>
  <si>
    <t>CABEAMENTO</t>
  </si>
  <si>
    <t xml:space="preserve"> 14.5.1 </t>
  </si>
  <si>
    <t xml:space="preserve"> 98297 </t>
  </si>
  <si>
    <t>CABO ELETRÔNICO CATEGORIA 6, INSTALADO EM EDIFICAÇÃO INSTITUCIONAL - FORNECIMENTO E INSTALAÇÃO. AF_11/2019</t>
  </si>
  <si>
    <t xml:space="preserve"> 14.5.2 </t>
  </si>
  <si>
    <t xml:space="preserve"> 059562 </t>
  </si>
  <si>
    <t>CABO DE FIBRA OPTICA 4 FIBRAS - PADRAO MONOMODO</t>
  </si>
  <si>
    <t xml:space="preserve"> 14.5.3 </t>
  </si>
  <si>
    <t xml:space="preserve"> COMP-3046 </t>
  </si>
  <si>
    <t>CRIMPAGEM, CERTIFICACAO E IDENTIFICACAO DOS CABOS UTP</t>
  </si>
  <si>
    <t xml:space="preserve"> 14.5.4 </t>
  </si>
  <si>
    <t xml:space="preserve"> 059449 </t>
  </si>
  <si>
    <t>CERTIFICACAO DE CABEAMENTO DE FIBRA OPTICA</t>
  </si>
  <si>
    <t>CJ</t>
  </si>
  <si>
    <t xml:space="preserve"> 14.6 </t>
  </si>
  <si>
    <t>QUADROS E CAIXAS DE PASSAGEM</t>
  </si>
  <si>
    <t xml:space="preserve"> 14.6.1 </t>
  </si>
  <si>
    <t xml:space="preserve"> 14.6.2 </t>
  </si>
  <si>
    <t xml:space="preserve"> 15.018.0320-A </t>
  </si>
  <si>
    <t>CAIXA DE PASSAGEM DE EMBUTIR,EM ACO,COM TAMPA PARAFUSADA,DE 30X30CM.FORNECIMENTO E COLOCACAO DE 30X30CM CARGOS SOCIAIS DESONERADOS GOS SOCIAIS DESONERADOS</t>
  </si>
  <si>
    <t xml:space="preserve"> 14.6.3 </t>
  </si>
  <si>
    <t xml:space="preserve"> IT 24.46.0103 </t>
  </si>
  <si>
    <t>Caixa de passagem em aco estampado, de 4"x4", exclusive abertura e fechamento do rasgo. Fornecimento e instalacao.(desonerado)</t>
  </si>
  <si>
    <t xml:space="preserve"> 14.6.4 </t>
  </si>
  <si>
    <t xml:space="preserve"> 15.018.0150-A </t>
  </si>
  <si>
    <t>CAIXA DE PASSAGEM Nº4,PARA TELEFONE,CONFORME ESPECIFICACAO D A TELEBRAS,NAS DIMENSOES DE 60X60X13,5CM.FORNECIMENTO E COLO CACAO X13,5)CM CARGOS SOCIAIS DESONERADOS</t>
  </si>
  <si>
    <t xml:space="preserve"> 14.6.5 </t>
  </si>
  <si>
    <t xml:space="preserve"> 15 </t>
  </si>
  <si>
    <t xml:space="preserve"> 15.1 </t>
  </si>
  <si>
    <t xml:space="preserve"> 060416 </t>
  </si>
  <si>
    <t>LUMINARIA LUZ EMERGENCIA LED 400 LUMENS FAROIS EMBUTIDOS P3</t>
  </si>
  <si>
    <t xml:space="preserve"> 15.2 </t>
  </si>
  <si>
    <t xml:space="preserve"> 060631 </t>
  </si>
  <si>
    <t>LUMINARIA BALIZADOR LED PAREDE ESCADA 3000K CAIXA 4X2 ST759</t>
  </si>
  <si>
    <t xml:space="preserve"> 15.3 </t>
  </si>
  <si>
    <t xml:space="preserve"> 055861 </t>
  </si>
  <si>
    <t>EXTINTOR PO QUIMICO SECO ABC 4KG NBR 15808:2017</t>
  </si>
  <si>
    <t xml:space="preserve"> 15.4 </t>
  </si>
  <si>
    <t xml:space="preserve"> 101907 </t>
  </si>
  <si>
    <t>EXTINTOR DE INCÊNDIO PORTÁTIL COM CARGA DE CO2 DE 6 KG, CLASSE BC - FORNECIMENTO E INSTALAÇÃO. AF_10/2020_PE</t>
  </si>
  <si>
    <t xml:space="preserve"> 15.5 </t>
  </si>
  <si>
    <t xml:space="preserve"> COMP-3045 </t>
  </si>
  <si>
    <t>SUPORTE TIPO TRIPE PARA EXTINTOR</t>
  </si>
  <si>
    <t xml:space="preserve"> 15.6 </t>
  </si>
  <si>
    <t xml:space="preserve"> COMP-1080 </t>
  </si>
  <si>
    <t>PLACA M1 - DESCRITIVA DOS SISTEMAS DE PROTEÇÃO CONTRA INCÊNDIO EXISTENTES NA EDIFICAÇÃO, CONFORME ESPECIFICAÇÃO DE PROJETO. FORNECIMENTO E INSTALAÇÃO</t>
  </si>
  <si>
    <t xml:space="preserve"> 15.7 </t>
  </si>
  <si>
    <t xml:space="preserve"> COMP-1081 </t>
  </si>
  <si>
    <t>PLACA M2 - LOTAÇÃO MÁXIMA DE PESSOAS, CONFORME ESPECIFICAÇÃO DE PROJETO. FORNECIMENTO E INSTALAÇÃO</t>
  </si>
  <si>
    <t xml:space="preserve"> 15.8 </t>
  </si>
  <si>
    <t xml:space="preserve"> 05.054.0104-A </t>
  </si>
  <si>
    <t>PLACA FOTOLUMINESCENTE DE SINALIZACAO DE SEGURANCA CONTRA IN CENDIO,PARA INDICACAO CONTINUADA DE ROTA DE FUGA,EM PVC ANTI CHAMA,DIMENSOES APROXIMADAS DE (7X20)CM,CONFORME ABNT NBR 16 820.FORNECIMENTO E COLOCACAO ICACAO ROTA FUGA,PVC ANTICHAMA,(7X28)CM, ABNT NBR 16820 DOS</t>
  </si>
  <si>
    <t xml:space="preserve"> 15.9 </t>
  </si>
  <si>
    <t xml:space="preserve"> 05.054.0105-A </t>
  </si>
  <si>
    <t>PLACA FOTOLUMINESCENTE DE SINALIZACAO DE SEGURANCA CONTRA IN CENDIO,PARA EQUIPAMENTOS DE COMBATE A INCENDIO E ALARME,EM P VC ANTICHAMA,DIMENSOES APROXIMADAS DE (15X15)CM,CONFORME ABN T NBR 16820.FORNECIMENTO E COLOCACAO BATE INCEND. E ALARME,PVC ANTICHAMA,(15X15)CM,ABNT NBR 16820 DOS</t>
  </si>
  <si>
    <t xml:space="preserve"> 15.10 </t>
  </si>
  <si>
    <t xml:space="preserve"> COMP-1083 </t>
  </si>
  <si>
    <t>PLACA P1 CIRCULAR - PROIBIDO FUMAR, CONFORME ESPECIFICAÇÃO DE PROJETO. FORNECIMENTO E INSTALAÇÃO</t>
  </si>
  <si>
    <t xml:space="preserve"> 16 </t>
  </si>
  <si>
    <t xml:space="preserve"> 16.1 </t>
  </si>
  <si>
    <t xml:space="preserve"> 16.1.1 </t>
  </si>
  <si>
    <t xml:space="preserve"> 59438 </t>
  </si>
  <si>
    <t>CAMERA DOME FULL HD INFRAVERMELHO MULTI HD VHD 1220DG4</t>
  </si>
  <si>
    <t xml:space="preserve"> 16.1.2 </t>
  </si>
  <si>
    <t xml:space="preserve"> 068399 </t>
  </si>
  <si>
    <t>CAMERA BULLET INFRAVER. MULTI HD 4X1 INTELBRAS VHD3230 B G7</t>
  </si>
  <si>
    <t xml:space="preserve"> 16.1.3 </t>
  </si>
  <si>
    <t xml:space="preserve"> 100555 </t>
  </si>
  <si>
    <t>RACK ABERTO EM COLUNA 44U PARA SERVIDOR - FORNECIMENTO E INSTALAÇÃO. AF_08/2025</t>
  </si>
  <si>
    <t xml:space="preserve"> 16.1.4 </t>
  </si>
  <si>
    <t xml:space="preserve"> 059440 </t>
  </si>
  <si>
    <t>Servidor de gerenciamento, banco  de dados, sistema de gravação, visualização e armazenamento (com 3 HD de 6TB) - fornecimento, instalação, teste e comissionamento</t>
  </si>
  <si>
    <t xml:space="preserve"> 16.2 </t>
  </si>
  <si>
    <t>INFRAESTRUTURA</t>
  </si>
  <si>
    <t xml:space="preserve"> 16.2.1 </t>
  </si>
  <si>
    <t xml:space="preserve"> 16.2.2 </t>
  </si>
  <si>
    <t xml:space="preserve"> 16.2.3 </t>
  </si>
  <si>
    <t xml:space="preserve"> 16.2.4 </t>
  </si>
  <si>
    <t xml:space="preserve"> 16.2.5 </t>
  </si>
  <si>
    <t xml:space="preserve"> COMP-3048 </t>
  </si>
  <si>
    <t>CAIXA TERMOPLASTICA HERMETICA</t>
  </si>
  <si>
    <t xml:space="preserve"> 16.2.6 </t>
  </si>
  <si>
    <t xml:space="preserve"> 061359 </t>
  </si>
  <si>
    <t>CONECTOR FEMEA PARA RJ45</t>
  </si>
  <si>
    <t xml:space="preserve"> 16.3 </t>
  </si>
  <si>
    <t>CABOS</t>
  </si>
  <si>
    <t xml:space="preserve"> 16.3.1 </t>
  </si>
  <si>
    <t xml:space="preserve"> 17 </t>
  </si>
  <si>
    <t xml:space="preserve"> 17.1 </t>
  </si>
  <si>
    <t xml:space="preserve"> 17.1.1 </t>
  </si>
  <si>
    <t xml:space="preserve"> 18.034.0204-A </t>
  </si>
  <si>
    <t>DAMPER CORTA FOGO MEDINDO (200X200)MM,ACIONAMENTO AUTOMATICO ,PELA ACAO DE ELEMENTO FUSIVEL,MODELO DCF COM FUSIVEL DE DIS PARO (COM ATESTADO UL) COM ROMPIMENTO EM 72°C OU 141°C,COM C HAVE FIM DE CURSO.FORNECIMENTO E COLOCACAO 3%-DESGASTE DE FERRAMENTAS E EPI</t>
  </si>
  <si>
    <t xml:space="preserve"> 17.1.2 </t>
  </si>
  <si>
    <t xml:space="preserve"> 43.08.003 </t>
  </si>
  <si>
    <t>CONDENSADOR PARA SISTEMA VRF DE AR CONDICIONADO, CAPACIDADE DE 11 TR A 13 TR</t>
  </si>
  <si>
    <t xml:space="preserve"> 17.1.3 </t>
  </si>
  <si>
    <t xml:space="preserve"> 43.08.002 </t>
  </si>
  <si>
    <t>CONDENSADOR PARA SISTEMA VRF DE AR CONDICIONADO, CAPACIDADE DE 8 TR A 10 TR</t>
  </si>
  <si>
    <t xml:space="preserve"> 17.1.4 </t>
  </si>
  <si>
    <t xml:space="preserve"> 43.08.040 </t>
  </si>
  <si>
    <t>EVAPORADOR PARA SISTEMA VRF DE AR CONDICIONADO, TIPO CASSETE, CAPACIDADE DE 1 TR</t>
  </si>
  <si>
    <t xml:space="preserve"> 17.1.5 </t>
  </si>
  <si>
    <t xml:space="preserve"> 43.08.041 </t>
  </si>
  <si>
    <t>EVAPORADOR PARA SISTEMA VRF DE AR CONDICIONADO, TIPO CASSETE, CAPACIDADE DE 2 TR</t>
  </si>
  <si>
    <t xml:space="preserve"> 17.2 </t>
  </si>
  <si>
    <t>GRELHAS, FILTROS E REGULADORES DE AR</t>
  </si>
  <si>
    <t xml:space="preserve"> 17.2.1 </t>
  </si>
  <si>
    <t xml:space="preserve"> 103287/002 </t>
  </si>
  <si>
    <t>GRELHA PARA SISTEMA DE AR CONDICIONADO, 525X225 MM - FORNECIMENTO E INSTALAÇÃO.</t>
  </si>
  <si>
    <t xml:space="preserve"> 17.2.2 </t>
  </si>
  <si>
    <t xml:space="preserve"> 103287/003 </t>
  </si>
  <si>
    <t>GRELHA PARA SISTEMA DE AR CONDICIONADO, 325X125 MM - FORNECIMENTO E INSTALAÇÃO.</t>
  </si>
  <si>
    <t xml:space="preserve"> 17.2.3 </t>
  </si>
  <si>
    <t xml:space="preserve"> 103287/004 </t>
  </si>
  <si>
    <t>GRELHA PARA SISTEMA DE AR CONDICIONADO, 225X125 MM - FORNECIMENTO E INSTALAÇÃO.</t>
  </si>
  <si>
    <t xml:space="preserve"> 17.3 </t>
  </si>
  <si>
    <t>REDE FRIGORIGENA</t>
  </si>
  <si>
    <t xml:space="preserve"> 17.3.1 </t>
  </si>
  <si>
    <t xml:space="preserve"> 97331 </t>
  </si>
  <si>
    <t>TUBO EM COBRE FLEXÍVEL, DN 1/4", COM ISOLAMENTO, INSTALADO EM RAMAL DE ALIMENTAÇÃO DE AR CONDICIONADO COM CONDENSADORA CENTRAL - FORNECIMENTO E INSTALAÇÃO. AF_12/2015</t>
  </si>
  <si>
    <t xml:space="preserve"> 17.3.2 </t>
  </si>
  <si>
    <t xml:space="preserve"> 97332 </t>
  </si>
  <si>
    <t>TUBO EM COBRE FLEXÍVEL, DN 3/8", COM ISOLAMENTO, INSTALADO EM RAMAL DE ALIMENTAÇÃO DE AR CONDICIONADO COM CONDENSADORA CENTRAL - FORNECIMENTO E INSTALAÇÃO. AF_12/2015</t>
  </si>
  <si>
    <t xml:space="preserve"> 17.3.3 </t>
  </si>
  <si>
    <t xml:space="preserve"> 97333 </t>
  </si>
  <si>
    <t>TUBO EM COBRE FLEXÍVEL, DN 1/2", COM ISOLAMENTO, INSTALADO EM RAMAL DE ALIMENTAÇÃO DE AR CONDICIONADO COM CONDENSADORA CENTRAL - FORNECIMENTO E INSTALAÇÃO. AF_12/2015</t>
  </si>
  <si>
    <t xml:space="preserve"> 17.3.4 </t>
  </si>
  <si>
    <t xml:space="preserve"> 97334 </t>
  </si>
  <si>
    <t>TUBO EM COBRE FLEXÍVEL, DN 5/8", COM ISOLAMENTO, INSTALADO EM RAMAL DE ALIMENTAÇÃO DE AR CONDICIONADO COM CONDENSADORA CENTRAL FORNECIMENTO E INSTALAÇÃO. AF_12/2015</t>
  </si>
  <si>
    <t xml:space="preserve"> 17.3.5 </t>
  </si>
  <si>
    <t xml:space="preserve"> 056730 </t>
  </si>
  <si>
    <t>TUBO FLEXIVEL DE COBRE PARA GAS 19,05mm 3/4""(0,403kg/m)</t>
  </si>
  <si>
    <t xml:space="preserve"> 17.3.6 </t>
  </si>
  <si>
    <t xml:space="preserve"> 97334/001 </t>
  </si>
  <si>
    <t>TUBO EM COBRE FLEXÍVEL, DN 7/8", COM ISOLAMENTO, INSTALADO EM RAMAL DE ALIMENTAÇÃO DE AR CONDICIONADO COM CONDENSADORA CENTRAL FORNECIMENTO E INSTALAÇÃO.</t>
  </si>
  <si>
    <t xml:space="preserve"> 17.3.7 </t>
  </si>
  <si>
    <t xml:space="preserve"> 070202 </t>
  </si>
  <si>
    <t>DUTO AR COND.CHAPA 24+MANTA LAN/VIDRO-PAP.ALUM.PREPARO 40x20cm</t>
  </si>
  <si>
    <t xml:space="preserve"> 17.3.8 </t>
  </si>
  <si>
    <t xml:space="preserve"> 07881 </t>
  </si>
  <si>
    <t>BOTIJA COM GAS REFRIGERANTE R-22, DE 13, 6 KG, EMBALAGEM DESCARTAVEL</t>
  </si>
  <si>
    <t xml:space="preserve"> 17.4 </t>
  </si>
  <si>
    <t>DRENO</t>
  </si>
  <si>
    <t xml:space="preserve"> 17.4.1 </t>
  </si>
  <si>
    <t xml:space="preserve"> 96645 </t>
  </si>
  <si>
    <t>TUBO, PPR, DN 32, CLASSE PN 12, INSTALADO EM RAMAL DE DISTRIBUIÇÃO DE ÁGUA FORNECIMENTO E INSTALAÇÃO. AF_08/2022</t>
  </si>
  <si>
    <t xml:space="preserve"> 17.4.2 </t>
  </si>
  <si>
    <t xml:space="preserve"> 96646 </t>
  </si>
  <si>
    <t>TUBO, PPR, DN 40, CLASSE PN 12, INSTALADO EM RAMAL DE DISTRIBUIÇÃO DE ÁGUA FORNECIMENTO E INSTALAÇÃO. AF_08/2022</t>
  </si>
  <si>
    <t xml:space="preserve"> 17.4.3 </t>
  </si>
  <si>
    <t xml:space="preserve"> 96659 </t>
  </si>
  <si>
    <t>LUVA, PPR, DN 32 MM, CLASSE PN 25, INSTALADO EM RAMAL DE DISTRIBUIÇÃO DE ÁGUA FORNECIMENTO E INSTALAÇÃO. AF_08/2022</t>
  </si>
  <si>
    <t xml:space="preserve"> 17.4.4 </t>
  </si>
  <si>
    <t xml:space="preserve"> 96652 </t>
  </si>
  <si>
    <t>JOELHO 90 GRAUS, PPR, DN 32 MM, CLASSE PN 25, INSTALADO EM RAMAL DE DISTRIBUIÇÃO - FORNECIMENTO E INSTALAÇÃO. AF_08/2022</t>
  </si>
  <si>
    <t xml:space="preserve"> 17.4.5 </t>
  </si>
  <si>
    <t xml:space="preserve"> 105163 </t>
  </si>
  <si>
    <t>JOELHO PPR, 45 GRAUS, SOLDÁVEL, DN 32 MM, INSTALADO EM RESERVAÇÃO PREDIAL DE ÁGUA - FORNECIMENTO E INSTALAÇÃO. AF_04/2024</t>
  </si>
  <si>
    <t xml:space="preserve"> 17.4.6 </t>
  </si>
  <si>
    <t xml:space="preserve"> 96666 </t>
  </si>
  <si>
    <t>TÊ NORMAL, PPR, DN 32 MM, CLASSE PN 25, INSTALADO EM RAMAL DE DISTRIBUIÇÃO DE ÁGUA FORNECIMENTO E INSTALAÇÃO. AF_08/2022</t>
  </si>
  <si>
    <t xml:space="preserve"> 17.4.7 </t>
  </si>
  <si>
    <t xml:space="preserve"> 96667 </t>
  </si>
  <si>
    <t>TÊ NORMAL, PPR, DN 40 MM, CLASSE PN 25, INSTALADO EM RAMAL DE DISTRIBUIÇÃO DE ÁGUA FORNECIMENTO E INSTALAÇÃO. AF_08/2022</t>
  </si>
  <si>
    <t xml:space="preserve"> 18 </t>
  </si>
  <si>
    <t xml:space="preserve"> 18.1 </t>
  </si>
  <si>
    <t xml:space="preserve"> 080615 </t>
  </si>
  <si>
    <t>PLATAFORMA ELEVAT. TRANSPORTE VERTICAL DESNIVEL DE 2 ATE 4M</t>
  </si>
  <si>
    <t>mês</t>
  </si>
  <si>
    <t xml:space="preserve"> 19 </t>
  </si>
  <si>
    <t xml:space="preserve"> 19.1 </t>
  </si>
  <si>
    <t>REVESTIMENTO EM ARGAMASSA</t>
  </si>
  <si>
    <t xml:space="preserve"> 19.1.1 </t>
  </si>
  <si>
    <t xml:space="preserve"> 104411 </t>
  </si>
  <si>
    <t>CHAPISCO APLICADO EM ALVENARIA E ESTRUTURAS DE CONCRETO INTERNAS, COM EQUIPAMENTO DE PROJEÇÃO. ARGAMASSA TRAÇO 1:3 COM PREPARO EM BETONEIRA 400 L. AF_10/2022</t>
  </si>
  <si>
    <t xml:space="preserve"> 19.1.2 </t>
  </si>
  <si>
    <t xml:space="preserve"> 87531 </t>
  </si>
  <si>
    <t>EMBOÇO, EM ARGAMASSA TRAÇO 1:2:8, PREPARO MECÂNICO, APLICADO MANUALMENTE EM PAREDES INTERNAS DE AMBIENTES COM ÁREA ENTRE 5M² E 10M², E = 17,5MM, COM TALISCAS. AF_03/2024</t>
  </si>
  <si>
    <t xml:space="preserve"> 19.1.3 </t>
  </si>
  <si>
    <t xml:space="preserve"> 87535 </t>
  </si>
  <si>
    <t>EMBOÇO, EM ARGAMASSA TRAÇO 1:2:8, PREPARO MECÂNICO, APLICADO MANUALMENTE EM PAREDES INTERNAS DE AMBIENTES COM ÁREA MAIOR QUE 10M², E = 17,5MM, COM TALISCAS. AF_03/2024</t>
  </si>
  <si>
    <t xml:space="preserve"> 19.1.4 </t>
  </si>
  <si>
    <t xml:space="preserve"> 87905 </t>
  </si>
  <si>
    <t>CHAPISCO APLICADO EM ALVENARIA (COM PRESENÇA DE VÃOS) E ESTRUTURAS DE CONCRETO DE FACHADA, COM COLHER DE PEDREIRO. ARGAMASSA TRAÇO 1:3 COM PREPARO EM BETONEIRA 400L. AF_10/2022</t>
  </si>
  <si>
    <t xml:space="preserve"> 19.1.5 </t>
  </si>
  <si>
    <t xml:space="preserve"> 87775 </t>
  </si>
  <si>
    <t>EMBOÇO OU MASSA ÚNICA EM ARGAMASSA TRAÇO 1:2:8, PREPARO MECÂNICO COM BETONEIRA 400 L, APLICADA MANUALMENTE EM PANOS DE FACHADA COM PRESENÇA DE VÃOS, ESPESSURA DE 25 MM. AF_08/2022</t>
  </si>
  <si>
    <t xml:space="preserve"> 19.2 </t>
  </si>
  <si>
    <t>PINTURA</t>
  </si>
  <si>
    <t xml:space="preserve"> 19.2.1 </t>
  </si>
  <si>
    <t xml:space="preserve"> 88485 </t>
  </si>
  <si>
    <t>FUNDO SELADOR ACRÍLICO, APLICAÇÃO MANUAL EM PAREDE, UMA DEMÃO. AF_04/2023</t>
  </si>
  <si>
    <t xml:space="preserve"> 19.2.2 </t>
  </si>
  <si>
    <t xml:space="preserve"> 88497 </t>
  </si>
  <si>
    <t>EMASSAMENTO COM MASSA LÁTEX, APLICAÇÃO EM PAREDE, DUAS DEMÃOS, LIXAMENTO MANUAL. AF_04/2023</t>
  </si>
  <si>
    <t xml:space="preserve"> 19.2.3 </t>
  </si>
  <si>
    <t xml:space="preserve"> 88489 </t>
  </si>
  <si>
    <t>PINTURA LÁTEX ACRÍLICA PREMIUM, APLICAÇÃO MANUAL EM PAREDES, DUAS DEMÃOS. AF_04/2023</t>
  </si>
  <si>
    <t xml:space="preserve"> 19.2.4 </t>
  </si>
  <si>
    <t xml:space="preserve"> 88412 </t>
  </si>
  <si>
    <t>APLICAÇÃO MANUAL DE FUNDO SELADOR ACRÍLICO EM PANOS CEGOS DE FACHADA (SEM PRESENÇA DE VÃOS) DE EDIFÍCIOS DE MÚLTIPLOS PAVIMENTOS. AF_03/2024</t>
  </si>
  <si>
    <t xml:space="preserve"> 19.2.5 </t>
  </si>
  <si>
    <t xml:space="preserve"> 96127 </t>
  </si>
  <si>
    <t>APLICAÇÃO MANUAL DE MASSA ACRÍLICA EM PANOS DE FACHADA SEM PRESENÇA DE VÃOS, DE EDIFÍCIOS DE MÚLTIPLOS PAVIMENTOS, UMA DEMÃO. AF_03/2024</t>
  </si>
  <si>
    <t xml:space="preserve"> 19.2.6 </t>
  </si>
  <si>
    <t xml:space="preserve"> 95623 </t>
  </si>
  <si>
    <t>APLICAÇÃO MANUAL DE TINTA LÁTEX ACRÍLICA EM PANOS SEM PRESENÇA DE VÃOS DE EDIFÍCIOS DE MÚLTIPLOS PAVIMENTOS, DUAS DEMÃOS. AF_03/2024</t>
  </si>
  <si>
    <t xml:space="preserve"> 19.2.7 </t>
  </si>
  <si>
    <t xml:space="preserve"> 102489 </t>
  </si>
  <si>
    <t>PINTURA HIDROFUGANTE COM SILICONE, APLICAÇÃO MANUAL, 2 DEMÃOS. AF_05/2021</t>
  </si>
  <si>
    <t xml:space="preserve"> 19.3 </t>
  </si>
  <si>
    <t>AZULEJOS</t>
  </si>
  <si>
    <t xml:space="preserve"> 19.3.1 </t>
  </si>
  <si>
    <t xml:space="preserve"> 104611 </t>
  </si>
  <si>
    <t>REVESTIMENTO CERÂMICO PARA PAREDES INTERNAS COM PLACAS TIPO ESMALTADA DE DIMENSÕES 60X60 CM APLICADAS NA ALTURA INTEIRA DAS PAREDES. AF_02/2023_PE</t>
  </si>
  <si>
    <t xml:space="preserve"> 20 </t>
  </si>
  <si>
    <t xml:space="preserve"> 20.1 </t>
  </si>
  <si>
    <t xml:space="preserve"> 98546 </t>
  </si>
  <si>
    <t>IMPERMEABILIZAÇÃO DE SUPERFÍCIE COM MANTA ASFÁLTICA, UMA CAMADA, INCLUSIVE APLICAÇÃO DE PRIMER ASFÁLTICO, E=4MM. AF_09/2023</t>
  </si>
  <si>
    <t xml:space="preserve"> 20.2 </t>
  </si>
  <si>
    <t xml:space="preserve"> 87748 </t>
  </si>
  <si>
    <t>CONTRAPISO EM ARGAMASSA PRONTA, PREPARO MECÂNICO COM MISTURADOR 300 KG, APLICADO EM ÁREAS MOLHADAS SOBRE LAJE, ADERIDO, ACABAMENTO NÃO REFORÇADO, ESPESSURA 3CM. AF_07/2021</t>
  </si>
  <si>
    <t xml:space="preserve"> 20.3 </t>
  </si>
  <si>
    <t xml:space="preserve"> 98554 </t>
  </si>
  <si>
    <t>IMPERMEABILIZAÇÃO DE SUPERFÍCIE COM MEMBRANA À BASE DE RESINA ACRÍLICA, 3 DEMÃOS. AF_09/2023</t>
  </si>
  <si>
    <t xml:space="preserve"> 20.4 </t>
  </si>
  <si>
    <t xml:space="preserve"> COMP-1020 </t>
  </si>
  <si>
    <t>PAINEL ACÚSTICO CLASSE II2-IT10 - TEKS 50MM NA COR CINZA OU EQUIVALENTE TÉCNICO. FORNECIMENTO E INSTALAÇÃO.</t>
  </si>
  <si>
    <t xml:space="preserve"> 20.5 </t>
  </si>
  <si>
    <t xml:space="preserve"> COMP-1021 </t>
  </si>
  <si>
    <t>NEXACUSTIC 40, PLENUM 5CM +LÃ DE 5CM NRC 0,75 EM MDF IGNÍFUGO NA COR CEREZZO. CLASSE IIA-IT10. FORNECIMENTO E INSTALAÇÃO</t>
  </si>
  <si>
    <t xml:space="preserve"> 21 </t>
  </si>
  <si>
    <t xml:space="preserve"> 21.1 </t>
  </si>
  <si>
    <t>PISO INTERNO</t>
  </si>
  <si>
    <t xml:space="preserve"> 21.1.1 </t>
  </si>
  <si>
    <t xml:space="preserve"> COMP-1014 </t>
  </si>
  <si>
    <t>PISO DE MADEIRA PLÁSTICA LINHA ECOWOOD OU EQUIVALENTE TÉCNICO, APLICADO SOBRE CONTRAPISO. FORNECIMENTO E INSTALAÇÃO.</t>
  </si>
  <si>
    <t xml:space="preserve"> 21.1.2 </t>
  </si>
  <si>
    <t xml:space="preserve"> COMP-1013 </t>
  </si>
  <si>
    <t>PISO VINÍLICO EM MANTA DECODE FIBER 25104088. FORNECIMENTO E INSTALAÇÃO.</t>
  </si>
  <si>
    <t xml:space="preserve"> 21.1.3 </t>
  </si>
  <si>
    <t xml:space="preserve"> 104598 </t>
  </si>
  <si>
    <t>REVESTIMENTO CERÂMICO PARA PISO COM PLACAS TIPO PORCELANATO DE DIMENSÕES 80X80 CM APLICADA EM AMBIENTES DE ÁREA MAIOR QUE 10 M². AF_02/2023_PE</t>
  </si>
  <si>
    <t xml:space="preserve"> 21.1.4 </t>
  </si>
  <si>
    <t xml:space="preserve"> COMP-1015 </t>
  </si>
  <si>
    <t>CARPETE NYLON MANTA TRÂNSITO COMERCIAL PESADO 9 MM. FORNECIMENTO E INSTALAÇÃO</t>
  </si>
  <si>
    <t xml:space="preserve"> 21.1.5 </t>
  </si>
  <si>
    <t xml:space="preserve"> COMP-1016 </t>
  </si>
  <si>
    <t>PISO FULGET ESPESSURA 12MM, FORMANDO QUADROS COM JUNTA PLÁSTICA. DIMENSSÕES: 1,20X1,20CM</t>
  </si>
  <si>
    <t xml:space="preserve"> 21.1.6 </t>
  </si>
  <si>
    <t xml:space="preserve"> 87261 </t>
  </si>
  <si>
    <t>REVESTIMENTO CERÂMICO PARA PISO COM PLACAS TIPO PORCELANATO DE DIMENSÕES 60X60 CM APLICADA EM AMBIENTES DE ÁREA MENOR QUE 5 M². AF_02/2023_PE</t>
  </si>
  <si>
    <t xml:space="preserve"> 21.1.7 </t>
  </si>
  <si>
    <t xml:space="preserve"> 98689 </t>
  </si>
  <si>
    <t>SOLEIRA EM GRANITO, LARGURA 15 CM, ESPESSURA 2,0 CM. AF_09/2020</t>
  </si>
  <si>
    <t xml:space="preserve"> 21.1.8 </t>
  </si>
  <si>
    <t xml:space="preserve"> 104658 </t>
  </si>
  <si>
    <t>PISO PODOTÁTIL DE ALERTA OU DIRECIONAL, DE CONCRETO, ASSENTADO SOBRE ARGAMASSA. AF_03/2024</t>
  </si>
  <si>
    <t xml:space="preserve"> 21.2 </t>
  </si>
  <si>
    <t>PISO EXTERNO</t>
  </si>
  <si>
    <t xml:space="preserve"> 21.2.1 </t>
  </si>
  <si>
    <t xml:space="preserve"> 97097 </t>
  </si>
  <si>
    <t>ACABAMENTO POLIDO PARA PISO DE CONCRETO ARMADO OU LAJE SOBRE SOLO DE ALTA RESISTÊNCIA. AF_09/2021</t>
  </si>
  <si>
    <t xml:space="preserve"> 21.2.2 </t>
  </si>
  <si>
    <t xml:space="preserve"> 94992 </t>
  </si>
  <si>
    <t>EXECUÇÃO DE PASSEIO (CALÇADA) OU PISO DE CONCRETO COM CONCRETO MOLDADO IN LOCO, FEITO EM OBRA, ACABAMENTO CONVENCIONAL, ESPESSURA 6 CM, ARMADO. AF_08/2022</t>
  </si>
  <si>
    <t xml:space="preserve"> 22 </t>
  </si>
  <si>
    <t xml:space="preserve"> 22.1 </t>
  </si>
  <si>
    <t xml:space="preserve"> RV 24.10.0100 </t>
  </si>
  <si>
    <t>Forro acustico, em gesso cartonado, exclusive materiais de acabamento, despesas com andaimes e transporte. Fornecimento e colocacao.(desonerado)</t>
  </si>
  <si>
    <t xml:space="preserve"> 22.2 </t>
  </si>
  <si>
    <t xml:space="preserve"> COMP-1030 </t>
  </si>
  <si>
    <t>REVESTIMENTO EM LÃ DE PET PARA LAJE NERVURADA. FORNECIMENTO E INSTALAÇÃO.</t>
  </si>
  <si>
    <t xml:space="preserve"> 22.3 </t>
  </si>
  <si>
    <t xml:space="preserve"> 96113 </t>
  </si>
  <si>
    <t>FORRO EM PLACAS DE GESSO, PARA AMBIENTES COMERCIAIS. AF_08/2023_PS</t>
  </si>
  <si>
    <t xml:space="preserve"> 22.4 </t>
  </si>
  <si>
    <t xml:space="preserve"> COMP-3028 </t>
  </si>
  <si>
    <t>CHAPA GALVANIZADA PERFURADA COM FUROS QUADRADOS DE 5 MM, COM PINTURA ALQUÍDICA. FORNECIMENTO E INSTALAÇÃO.</t>
  </si>
  <si>
    <t xml:space="preserve"> 23 </t>
  </si>
  <si>
    <t xml:space="preserve"> 23.1 </t>
  </si>
  <si>
    <t>PAISAGISMO</t>
  </si>
  <si>
    <t xml:space="preserve"> 23.1.1 </t>
  </si>
  <si>
    <t xml:space="preserve"> 09.007.0002-A </t>
  </si>
  <si>
    <t>ARRANCAMENTO E REPLANTIO DE ARVORE ADULTA,ENTRE 3,00 E 5,00M DE ALTURA E ATE 20CM DE DIAMETRO,INCLUSIVE ESCAVACAO E REGA DURANTE 15 DIAS,EXCLUSIVE TRANSPORTE IVE ENCARGOS SOCIAIS DESONERADOS</t>
  </si>
  <si>
    <t xml:space="preserve"> 23.1.2 </t>
  </si>
  <si>
    <t xml:space="preserve"> 09.007.0003-A </t>
  </si>
  <si>
    <t>ARRANCAMENTO E REPLANTIO DE ARVORE ADULTA,ACIMA DE 5,00M DE ALTURA E MAIS DE 20CM DE DIAMETRO,INCLUSIVE ESCAVACAO E REGA DURANTE 15 DIAS,EXCLUSIVE TRANSPORTE IVE ENCARGOS SOCIAIS DESONERADOS</t>
  </si>
  <si>
    <t xml:space="preserve"> 23.1.3 </t>
  </si>
  <si>
    <t xml:space="preserve"> 09.001.0020-A </t>
  </si>
  <si>
    <t>PLANTIO DE GRAMA EM PLACAS TIPO ESMERALDA,INCLUSIVE FORNECIM ENTO DA GRAMA E TRANSPORTE,EXCLUSIVE PREPARO DO TERRENO E O MATERIAL PARA ESTE IVE ENCARGOS SOCIAIS DESONERADOS</t>
  </si>
  <si>
    <t xml:space="preserve"> 23.1.4 </t>
  </si>
  <si>
    <t xml:space="preserve"> 98516 </t>
  </si>
  <si>
    <t>PLANTIO DE PALMEIRA COM ALTURA DE MUDA MENOR OU IGUAL A 2,00 M . AF_07/2024</t>
  </si>
  <si>
    <t xml:space="preserve"> 23.1.5 </t>
  </si>
  <si>
    <t xml:space="preserve"> PJ 09.30.0300 </t>
  </si>
  <si>
    <t>Especies vegetais com altura de (0,40 a 2,00)m, tipo Arbusto Philodendron Bipinnatifidum (Banana de Macaco), Agave Americana (Pita Azul), Agave Americana Marginata (Agave), Codiaeum variegatum (Croton), Colocasia Esculenta (Inhame Branco), Cordia Lutea (Cordia Amarela), Dracaena Fragans (Coqueiro de Venus, Pau D'Agua), Ligustrum Sinensi (Ligustro Chines), Musa Coccinea (Bananeira Florida, Bananeira Vermelha), Myrthus Communs (Murta), Nerium Oleander (Espirradeira), Philodendron Selloum (Guaimbe), Philodendron Speciosum (Filodendro Imperial), Philodendron Wilsonii (Filodendro), Polyscias Fruticosa (Arvore da Felicidade), Rhododendron x Simsii (Azaleia Belga), Senna Alata (Maria Preta), Stenolobium Stans/Tecoma Stans (Ipe de Jardim) ou similar. Fornecimento.(desonerado)</t>
  </si>
  <si>
    <t xml:space="preserve"> 23.1.6 </t>
  </si>
  <si>
    <t xml:space="preserve"> 34.04.050 </t>
  </si>
  <si>
    <t>ÁRVORE ORNAMENTAL TIPO PATA DE VACA - H= 2,00 M</t>
  </si>
  <si>
    <t xml:space="preserve"> 23.2 </t>
  </si>
  <si>
    <t>URBANISMO</t>
  </si>
  <si>
    <t xml:space="preserve"> 23.2.1 </t>
  </si>
  <si>
    <t xml:space="preserve"> 92398 </t>
  </si>
  <si>
    <t>EXECUÇÃO DE PAVIMENTO EM PISO INTERTRAVADO, COM BLOCO RETANGULAR COR NATURAL DE 20 X 10 CM, ESPESSURA 8 CM. AF_10/2022</t>
  </si>
  <si>
    <t xml:space="preserve"> 23.2.2 </t>
  </si>
  <si>
    <t xml:space="preserve"> 23.2.3 </t>
  </si>
  <si>
    <t xml:space="preserve"> 23.2.4 </t>
  </si>
  <si>
    <t xml:space="preserve"> 23.2.5 </t>
  </si>
  <si>
    <t xml:space="preserve"> 102500 </t>
  </si>
  <si>
    <t>PINTURA DE DEMARCAÇÃO DE VAGA COM TINTA ACRÍLICA, E = 10 CM, APLICAÇÃO MANUAL. AF_05/2021</t>
  </si>
  <si>
    <t xml:space="preserve"> 23.2.6 </t>
  </si>
  <si>
    <t xml:space="preserve"> 18.027.0152-A </t>
  </si>
  <si>
    <t>LUMINARIA DECORATIVA,PARA ILUMINACAO PUBLICA E ESTACIONAMENT OS,COM DUAS PETALAS,PARA LAMPADA LED DE 50W,EQUIPADA COM CEL ULA FOTOELETRICA,INCLUSIVE LAMPADA.FORNECIMENTO E COLOCACAO 50W, BIVOLT DECORATIVA-PUBLICA TIPO PETALA EM TOPO DE POSTE CARGOS SOCIAIS DESONERADOS GOS SOCIAIS DESONERADOS</t>
  </si>
  <si>
    <t>MN</t>
  </si>
  <si>
    <t xml:space="preserve"> 23.2.7 </t>
  </si>
  <si>
    <t xml:space="preserve"> 18.027.0150-A </t>
  </si>
  <si>
    <t>LUMINARIA DECORATIVA,PARA ILUMINACAO PUBLICA E ESTACIONAMENT OS,COM UMA PETALA,PARA LAMPADA LED DE 50W,EQUIPADA COM CELUL A FOTOELETRICA,INCLUSIVE LAMPADA.FORNECIMENTO E COLOCACAO 50W, BIVOLT A DECORATIVA-PUBLICA TIPO PETALA EM TOPO DE POSTE CARGOS SOCIAIS DESONERADOS GOS SOCIAIS DESONERADOS</t>
  </si>
  <si>
    <t xml:space="preserve"> 23.2.8 </t>
  </si>
  <si>
    <t xml:space="preserve"> 09.012.0002-A </t>
  </si>
  <si>
    <t>BANCO DE CONCRETO APARENTE,C/45CM DE LARGURA E 10CM DE ESPES SURA,SOBRE DOIS APOIOS DO MESMO MATERIAL,C/SECAO DE 10X30CM 3MM QUIVALENTES, Nº12X12 A 18X30 S SOCIAIS DESONERADOS DOS GOS SOCIAIS DESONERADOS</t>
  </si>
  <si>
    <t xml:space="preserve"> 23.2.9 </t>
  </si>
  <si>
    <t xml:space="preserve"> 34.20.384 </t>
  </si>
  <si>
    <t>BICICLETÁRIO MODELO U INVERTIDO EM TUBO CIRCULAR DE AÇO Ø 2", COM ACABAMENTO EM PINTURA ELETROSTÁTICA, PARA FIXAÇÃO CHUMBADO/PARAFUSADO</t>
  </si>
  <si>
    <t xml:space="preserve"> 23.2.10 </t>
  </si>
  <si>
    <t xml:space="preserve"> COMP-3072 </t>
  </si>
  <si>
    <t>MURO DE MOURÃO DE CONCRETO, ALTURA 2,60M. FORNECIMENTO E INSTALAÇÃO</t>
  </si>
  <si>
    <t xml:space="preserve"> 23.2.11 </t>
  </si>
  <si>
    <t xml:space="preserve"> COMP-3073 </t>
  </si>
  <si>
    <t>MURO DE MOURÃO DE CONCRETO, ALTURA 1,50M. FORNECIMENTO E INSTALAÇÃO</t>
  </si>
  <si>
    <t xml:space="preserve"> 23.3 </t>
  </si>
  <si>
    <t>ACESSIBILIDADE</t>
  </si>
  <si>
    <t xml:space="preserve"> 23.3.1 </t>
  </si>
  <si>
    <t xml:space="preserve"> 14.002.0215-A </t>
  </si>
  <si>
    <t>CORRIMAO DUPLO EM TUBO DE ACO GALVANIZADO COM DIAMETRO DE 1. 1/4",BARRA SUPERIOR COM ALTURA DE 92CM E BARRA INFERIOR COM ALTURA DE 70CM,FIXADO NA PAREDE POR CHUMBADORES,CONFORME ABN T NBR 9050 PARA ACESSIBILIDADE.FORNECIMENTO E COLOCACAO .1/4" DOS CARGOS SOCIAIS DESONERADOS GOS SOCIAIS DESONERADOS</t>
  </si>
  <si>
    <t xml:space="preserve"> 24 </t>
  </si>
  <si>
    <t xml:space="preserve"> 24.1 </t>
  </si>
  <si>
    <t xml:space="preserve"> AP 09.10.0050 </t>
  </si>
  <si>
    <t>Bebedouro eletrico tipo pressao em aco inoxidavel, modelo de pe, adulto/crianca, capacidade 80l/h. Fornecimento.(desonerado)</t>
  </si>
  <si>
    <t xml:space="preserve"> 24.2 </t>
  </si>
  <si>
    <t xml:space="preserve"> COMP-3025 </t>
  </si>
  <si>
    <t>SUPORTE PROJETOR TETO TELESCÓPIO COM BANDEJA. FORNECIMENTO E INSTALAÇÃO.</t>
  </si>
  <si>
    <t xml:space="preserve"> 24.3 </t>
  </si>
  <si>
    <t xml:space="preserve"> COMP-3029 </t>
  </si>
  <si>
    <t>POLTRONA ACOLCHOADA PARA AUDITÓRIO. FORNECIMENTO E INSTALAÇÃO</t>
  </si>
  <si>
    <t xml:space="preserve"> 24.4 </t>
  </si>
  <si>
    <t xml:space="preserve"> COMP-3030 </t>
  </si>
  <si>
    <t>BANCADA DE GRANITO, DE FORMAS DIVERSAS, COM ESTRUTURA EM FERRO GALVANIZADO. FORNECIMENTO E INSTALAÇÃO</t>
  </si>
  <si>
    <t xml:space="preserve"> 24.5 </t>
  </si>
  <si>
    <t xml:space="preserve"> COMP-3031 </t>
  </si>
  <si>
    <t>BALCÃO PARA RECEPÇÃO. FORNECIMENTO E INSTALAÇÃO</t>
  </si>
  <si>
    <t xml:space="preserve"> 25 </t>
  </si>
  <si>
    <t xml:space="preserve"> 25.1 </t>
  </si>
  <si>
    <t xml:space="preserve"> COMP-5000 </t>
  </si>
  <si>
    <t>PLACA TIPO S1. FORNECIMENTO E INSTALAÇÃO</t>
  </si>
  <si>
    <t xml:space="preserve"> 25.2 </t>
  </si>
  <si>
    <t xml:space="preserve"> COMP-5001 </t>
  </si>
  <si>
    <t>PLACA TIPO S2. FORNECIMENTO E INSTALAÇÃO</t>
  </si>
  <si>
    <t xml:space="preserve"> 25.3 </t>
  </si>
  <si>
    <t xml:space="preserve"> COMP-5002 </t>
  </si>
  <si>
    <t>PLACA TIPO S3. FORNECIMENTO E INSTALAÇÃO</t>
  </si>
  <si>
    <t xml:space="preserve"> 25.4 </t>
  </si>
  <si>
    <t xml:space="preserve"> COMP-5003 </t>
  </si>
  <si>
    <t>PLACA TIPO S4. FORNECIMENTO E INSTALAÇÃO</t>
  </si>
  <si>
    <t xml:space="preserve"> 25.5 </t>
  </si>
  <si>
    <t xml:space="preserve"> COMP-5004 </t>
  </si>
  <si>
    <t>PLACA TIPO S5. FORNECIMENTO E INSTALAÇÃO</t>
  </si>
  <si>
    <t xml:space="preserve"> 25.6 </t>
  </si>
  <si>
    <t xml:space="preserve"> COMP-5005 </t>
  </si>
  <si>
    <t>PLACA TIPO S6. FORNECIMENTO E INSTALAÇÃO</t>
  </si>
  <si>
    <t xml:space="preserve"> 25.7 </t>
  </si>
  <si>
    <t xml:space="preserve"> COMP-5006 </t>
  </si>
  <si>
    <t>PLACA TIPO S7. FORNECIMENTO E INSTALAÇÃO</t>
  </si>
  <si>
    <t xml:space="preserve"> 25.8 </t>
  </si>
  <si>
    <t xml:space="preserve"> COMP-5007 </t>
  </si>
  <si>
    <t>PLACA TIPO S8. FORNECIMENTO E INSTALAÇÃO</t>
  </si>
  <si>
    <t xml:space="preserve"> 25.9 </t>
  </si>
  <si>
    <t xml:space="preserve"> COMP-5009 </t>
  </si>
  <si>
    <t>PLACA TIPO S9. FORNECIMENTO E INSTALAÇÃO</t>
  </si>
  <si>
    <t xml:space="preserve"> 25.10 </t>
  </si>
  <si>
    <t xml:space="preserve"> COMP-3044 </t>
  </si>
  <si>
    <t>PÓRTICO EM CHAPA PERFURADA COM LOGO DA , CONFORME ESPECIFICAÇÕES DE PROJETO. FORNECIMENTO E INSTALAÇÃO</t>
  </si>
  <si>
    <t xml:space="preserve"> 26 </t>
  </si>
  <si>
    <t xml:space="preserve"> 26.1 </t>
  </si>
  <si>
    <t>ESTRUTURA</t>
  </si>
  <si>
    <t xml:space="preserve"> 26.1.1 </t>
  </si>
  <si>
    <t>FUNDAÇÃO</t>
  </si>
  <si>
    <t xml:space="preserve"> 26.1.1.1 </t>
  </si>
  <si>
    <t xml:space="preserve"> 26.1.1.2 </t>
  </si>
  <si>
    <t xml:space="preserve"> 96541 </t>
  </si>
  <si>
    <t>FABRICAÇÃO, MONTAGEM E DESMONTAGEM DE FÔRMA PARA SAPATA, EM CHAPA DE MADEIRA COMPENSADA RESINADA, E=17 MM, 4 UTILIZAÇÕES. AF_01/2024</t>
  </si>
  <si>
    <t xml:space="preserve"> 26.1.1.3 </t>
  </si>
  <si>
    <t xml:space="preserve"> 26.1.1.4 </t>
  </si>
  <si>
    <t xml:space="preserve"> 26.1.1.5 </t>
  </si>
  <si>
    <t xml:space="preserve"> 11.025.0014-A </t>
  </si>
  <si>
    <t>CONCRETO BOMBEADO,FCK=40MPA,COMPREENDENDO O FORNECIMENTO DE CONCRETO IMPORTADO DE USINA,COLOCACAO NAS FORMAS,ESPALHAMENT O,ADENSAMENTO MECANICO E ACABAMENTO S SOCIAIS DESONERADOS NCARGOS SOCIAIS DESONERADOS DOS GOS SOCIAIS DESONERADOS</t>
  </si>
  <si>
    <t xml:space="preserve"> 26.1.1.6 </t>
  </si>
  <si>
    <t xml:space="preserve"> 94319 </t>
  </si>
  <si>
    <t>ATERRO MANUAL DE VALAS COM SOLO ARGILO-ARENOSO. AF_08/2023</t>
  </si>
  <si>
    <t xml:space="preserve"> 26.1.2 </t>
  </si>
  <si>
    <t>VIGAS E PILARES</t>
  </si>
  <si>
    <t xml:space="preserve"> 26.1.2.1 </t>
  </si>
  <si>
    <t xml:space="preserve"> 26.1.2.2 </t>
  </si>
  <si>
    <t xml:space="preserve"> 26.1.2.3 </t>
  </si>
  <si>
    <t xml:space="preserve"> 26.1.2.4 </t>
  </si>
  <si>
    <t xml:space="preserve"> 26.1.2.5 </t>
  </si>
  <si>
    <t xml:space="preserve"> 26.1.2.6 </t>
  </si>
  <si>
    <t xml:space="preserve"> 26.1.2.7 </t>
  </si>
  <si>
    <t xml:space="preserve"> 26.1.3 </t>
  </si>
  <si>
    <t xml:space="preserve"> 26.1.3.1 </t>
  </si>
  <si>
    <t xml:space="preserve"> 26.1.3.2 </t>
  </si>
  <si>
    <t xml:space="preserve"> 26.1.3.3 </t>
  </si>
  <si>
    <t xml:space="preserve"> 26.1.3.4 </t>
  </si>
  <si>
    <t xml:space="preserve"> 26.1.3.5 </t>
  </si>
  <si>
    <t xml:space="preserve"> 26.1.3.6 </t>
  </si>
  <si>
    <t xml:space="preserve"> 26.1.3.7 </t>
  </si>
  <si>
    <t xml:space="preserve"> 26.2 </t>
  </si>
  <si>
    <t>ACESSORIOS</t>
  </si>
  <si>
    <t xml:space="preserve"> 26.2.1 </t>
  </si>
  <si>
    <t xml:space="preserve"> 14.002.0162-A </t>
  </si>
  <si>
    <t>GRADE PARA PROTECAO DE SUBESTACAO ELETRICA OU EQUIVALENTE,EM TELA DE ARAME GALVANIZADO Nº12,MALHA DE 1",FORMANDO QUADROS CONTORNADOS POR CANTONEIRAS DE FERRO DE 3/4"X3/4"X1/8",FIXAD OS EM MONTANTES DE TUBOS GALVANIZADOS COM DIAMETRO DE 2".FOR NECIMENTO E COLOCACAO DE 5/8"X1/8" ATE 1.1/2"X1/8" " X2,5)CM CARGOS SOCIAIS DESONERADOS GOS SOCIAIS DESONERADOS</t>
  </si>
  <si>
    <t xml:space="preserve"> 26.2.2 </t>
  </si>
  <si>
    <t xml:space="preserve"> 50.10.110 </t>
  </si>
  <si>
    <t>EXTINTOR MANUAL DE PÓ QUÍMICO SECO ABC - CAPACIDADE DE 4 KG</t>
  </si>
  <si>
    <t xml:space="preserve"> 26.2.3 </t>
  </si>
  <si>
    <t xml:space="preserve"> 09.005.0115-A </t>
  </si>
  <si>
    <t>PODA DE ARVORES,LIMPEZA DE GALHOS SECOS E RETIRADA DE PARASI TAS IVE ENCARGOS SOCIAIS DESONERADOS</t>
  </si>
  <si>
    <t xml:space="preserve"> 26.3 </t>
  </si>
  <si>
    <t xml:space="preserve"> 26.3.1 </t>
  </si>
  <si>
    <t xml:space="preserve"> 18.028.0150-A </t>
  </si>
  <si>
    <t>TRANSFORMADOR DE DISTRIBUICAO DE 225KVA,ABRIGADA,CLASSE 15KV ,A SECO,TENSAO PRIMARIA DE 13,8KV,TENSAO SECUNDARIA DE 220/1 27V-60HZ.FORNECIMENTO E COLOCACAO NSAO PRIMARIA DE 13,8KV, TENSAO SECUND.220/127V-60HZ,C/ACESS CARGOS SOCIAIS DESONERADOS GOS SOCIAIS DESONERADOS</t>
  </si>
  <si>
    <t xml:space="preserve"> 26.3.2 </t>
  </si>
  <si>
    <t xml:space="preserve"> COMP-3041 </t>
  </si>
  <si>
    <t>Cubículo de entrada e medição para uso abrigado, classe 15 kV</t>
  </si>
  <si>
    <t xml:space="preserve"> 26.4 </t>
  </si>
  <si>
    <t>QUADROS</t>
  </si>
  <si>
    <t xml:space="preserve"> 26.4.1 </t>
  </si>
  <si>
    <t xml:space="preserve"> 93660 </t>
  </si>
  <si>
    <t>DISJUNTOR BIPOLAR TIPO DIN, CORRENTE NOMINAL DE 10A - FORNECIMENTO E INSTALAÇÃO. AF_07/2025</t>
  </si>
  <si>
    <t xml:space="preserve"> 26.4.2 </t>
  </si>
  <si>
    <t xml:space="preserve"> 93653 </t>
  </si>
  <si>
    <t>DISJUNTOR MONOPOLAR TIPO DIN, CORRENTE NOMINAL DE 10A - FORNECIMENTO E INSTALAÇÃO. AF_07/2025</t>
  </si>
  <si>
    <t xml:space="preserve"> 26.4.3 </t>
  </si>
  <si>
    <t xml:space="preserve"> 93654 </t>
  </si>
  <si>
    <t>DISJUNTOR MONOPOLAR TIPO DIN, CORRENTE NOMINAL DE 16A - FORNECIMENTO E INSTALAÇÃO. AF_07/2025</t>
  </si>
  <si>
    <t xml:space="preserve"> 26.4.4 </t>
  </si>
  <si>
    <t xml:space="preserve"> 93661 </t>
  </si>
  <si>
    <t>DISJUNTOR BIPOLAR TIPO DIN, CORRENTE NOMINAL DE 16A - FORNECIMENTO E INSTALAÇÃO. AF_07/2025</t>
  </si>
  <si>
    <t xml:space="preserve"> 26.4.5 </t>
  </si>
  <si>
    <t xml:space="preserve"> 15.007.0605-A </t>
  </si>
  <si>
    <t>DISJUNTOR TERMOMAGNETICO,TRIPOLAR,DE 80 A 100A,3KA,MODELO DI N,TIPO C.FORNECIMENTO E COLOCACAO CARGOS SOCIAIS DESONERADOS GOS SOCIAIS DESONERADOS</t>
  </si>
  <si>
    <t xml:space="preserve"> 26.4.6 </t>
  </si>
  <si>
    <t xml:space="preserve"> 101895 </t>
  </si>
  <si>
    <t>DISJUNTOR TERMOMAGNÉTICO TRIPOLAR, CORRENTE NOMINAL DE 125A - FORNECIMENTO E INSTALAÇÃO. AF_07/2025</t>
  </si>
  <si>
    <t xml:space="preserve"> 26.4.7 </t>
  </si>
  <si>
    <t xml:space="preserve"> IT 24.50.0206 </t>
  </si>
  <si>
    <t>Disjuntor, tripolar de 50A. Fornecimento e instalacao.(desonerado)</t>
  </si>
  <si>
    <t xml:space="preserve"> 26.4.8 </t>
  </si>
  <si>
    <t xml:space="preserve"> 93671 </t>
  </si>
  <si>
    <t>DISJUNTOR TRIPOLAR TIPO DIN, CORRENTE NOMINAL DE 32A - FORNECIMENTO E INSTALAÇÃO. AF_07/2025</t>
  </si>
  <si>
    <t xml:space="preserve"> 26.4.9 </t>
  </si>
  <si>
    <t xml:space="preserve"> 101896 </t>
  </si>
  <si>
    <t>DISJUNTOR TERMOMAGNÉTICO TRIPOLAR, CORRENTE NOMINAL DE 200A - FORNECIMENTO E INSTALAÇÃO. AF_07/2025</t>
  </si>
  <si>
    <t xml:space="preserve"> 26.4.10 </t>
  </si>
  <si>
    <t xml:space="preserve"> 101898 </t>
  </si>
  <si>
    <t>DISJUNTOR TERMOMAGNÉTICO TRIPOLAR, CORRENTE NOMINAL DE 400A - FORNECIMENTO E INSTALAÇÃO. AF_07/2025</t>
  </si>
  <si>
    <t xml:space="preserve"> 26.4.11 </t>
  </si>
  <si>
    <t xml:space="preserve"> 15.007.0642-A </t>
  </si>
  <si>
    <t>DISPOSITIVO DE PROTECAO CONTRA SURTO (DPS),CLASSE II,1 POLO, TENSAO 175V,CORRENTES APROXIMADAS DE DESCARGA NOMINAL E MAXI MA DE 20KA E 45KA.FORNECIMENTO E COLOCACAO 175V,CORRENTE DESC.NOMINAL 20KA,CORRENTE DESC.MAXIMA 45KA CARGOS SOCIAIS DESONERADOS GOS SOCIAIS DESONERADOS</t>
  </si>
  <si>
    <t xml:space="preserve"> 26.4.12 </t>
  </si>
  <si>
    <t xml:space="preserve"> 101875 </t>
  </si>
  <si>
    <t>QUADRO DE DISTRIBUIÇÃO DE ENERGIA EM CHAPA DE AÇO GALVANIZADO, DE EMBUTIR, COM BARRAMENTO TRIFÁSICO, PARA 12 DISJUNTORES DIN 100A - FORNECIMENTO E INSTALAÇÃO. AF_07/2025</t>
  </si>
  <si>
    <t xml:space="preserve"> 26.4.13 </t>
  </si>
  <si>
    <t xml:space="preserve"> 101881 </t>
  </si>
  <si>
    <t>QUADRO DE DISTRIBUIÇÃO DE ENERGIA EM CHAPA DE AÇO GALVANIZADO, DE EMBUTIR, COM BARRAMENTO TRIFÁSICO, PARA 40 DISJUNTORES DIN 100A - FORNECIMENTO E INSTALAÇÃO. AF_07/2025</t>
  </si>
  <si>
    <t xml:space="preserve"> 26.4.14 </t>
  </si>
  <si>
    <t xml:space="preserve"> COMP-3040 </t>
  </si>
  <si>
    <t>MULTIMEDIDOR DE ENERGIA</t>
  </si>
  <si>
    <t xml:space="preserve"> 27 </t>
  </si>
  <si>
    <t xml:space="preserve"> 27.1 </t>
  </si>
  <si>
    <t>SAPATAS ISOLADAS</t>
  </si>
  <si>
    <t xml:space="preserve"> 27.1.1 </t>
  </si>
  <si>
    <t xml:space="preserve"> 27.1.2 </t>
  </si>
  <si>
    <t xml:space="preserve"> 27.1.3 </t>
  </si>
  <si>
    <t xml:space="preserve"> 27.1.4 </t>
  </si>
  <si>
    <t xml:space="preserve"> 27.1.5 </t>
  </si>
  <si>
    <t xml:space="preserve"> 27.2 </t>
  </si>
  <si>
    <t xml:space="preserve"> 27.2.1 </t>
  </si>
  <si>
    <t xml:space="preserve"> 27.2.2 </t>
  </si>
  <si>
    <t xml:space="preserve"> 27.2.3 </t>
  </si>
  <si>
    <t xml:space="preserve"> 27.2.4 </t>
  </si>
  <si>
    <t xml:space="preserve"> 27.2.5 </t>
  </si>
  <si>
    <t xml:space="preserve"> 101953 </t>
  </si>
  <si>
    <t>LAJE PRÉ-MOLDADA UNIDIRECIONAL, BIAPOIADA, ENCHIMENTO EM EPS, VIGOTA TRELIÇADA, ALTURA TOTAL DA LAJE (ENCHIMENTO+CAPA) = (16+4). AF_11/2020</t>
  </si>
  <si>
    <t xml:space="preserve"> 27.3 </t>
  </si>
  <si>
    <t xml:space="preserve"> 27.3.1 </t>
  </si>
  <si>
    <t xml:space="preserve"> 27.3.2 </t>
  </si>
  <si>
    <t xml:space="preserve"> 27.3.3 </t>
  </si>
  <si>
    <t xml:space="preserve"> 27.3.4 </t>
  </si>
  <si>
    <t xml:space="preserve"> 27.3.5 </t>
  </si>
  <si>
    <t xml:space="preserve"> 27.3.6 </t>
  </si>
  <si>
    <t xml:space="preserve"> 27.4 </t>
  </si>
  <si>
    <t xml:space="preserve"> 27.4.1 </t>
  </si>
  <si>
    <t xml:space="preserve"> 27.4.2 </t>
  </si>
  <si>
    <t xml:space="preserve"> 27.4.3 </t>
  </si>
  <si>
    <t xml:space="preserve"> 27.4.4 </t>
  </si>
  <si>
    <t xml:space="preserve"> 28 </t>
  </si>
  <si>
    <t xml:space="preserve"> 28.1 </t>
  </si>
  <si>
    <t xml:space="preserve"> 28.2 </t>
  </si>
  <si>
    <t xml:space="preserve"> 28.3 </t>
  </si>
  <si>
    <t xml:space="preserve"> 28.4 </t>
  </si>
  <si>
    <t xml:space="preserve"> 28.5 </t>
  </si>
  <si>
    <t xml:space="preserve"> 28.6 </t>
  </si>
  <si>
    <t xml:space="preserve"> 28.7 </t>
  </si>
  <si>
    <t xml:space="preserve"> 28.8 </t>
  </si>
  <si>
    <t xml:space="preserve"> 28.9 </t>
  </si>
  <si>
    <t xml:space="preserve"> 28.10 </t>
  </si>
  <si>
    <t xml:space="preserve"> 28.11 </t>
  </si>
  <si>
    <t xml:space="preserve"> 28.12 </t>
  </si>
  <si>
    <t xml:space="preserve"> 29 </t>
  </si>
  <si>
    <t xml:space="preserve"> 29.1 </t>
  </si>
  <si>
    <t xml:space="preserve"> 210023 </t>
  </si>
  <si>
    <t>LIMPEZA FINAL DE OBRAS</t>
  </si>
  <si>
    <t xml:space="preserve"> 29.2 </t>
  </si>
  <si>
    <t xml:space="preserve"> COMP-1102 </t>
  </si>
  <si>
    <t>DESMOBILIZAÇÃO DO CANTEIRO DE OBRAS - INCLUSO TRANSPORTE DE MATERIAIS, MAQUINÁRIO, EQUIPAMENTOS, FERRAMENTAS, UTENSÍLIOS E PESSOAL PARA O CANTEIRO DE OBRA, PARA O FIM DO CONTRATO OU EVENTUAIS INTERRUPÇÕES DO TRABALHO.</t>
  </si>
  <si>
    <t>Total sem BDI</t>
  </si>
  <si>
    <t>Total do BDI</t>
  </si>
  <si>
    <t>Total Geral</t>
  </si>
  <si>
    <t>Desconto ofertado</t>
  </si>
  <si>
    <t>Valor Total com Desconto</t>
  </si>
  <si>
    <t>PLANILHA DE CRONOGRAMA FÍSICO-FINANCEIRO</t>
  </si>
  <si>
    <t>CRONOGRAMA FÍSICO-FINANCEIRO</t>
  </si>
  <si>
    <t>VALOR (R$)</t>
  </si>
  <si>
    <t>MÊS 1</t>
  </si>
  <si>
    <t>MÊS 2</t>
  </si>
  <si>
    <t>MÊS 3</t>
  </si>
  <si>
    <t>MÊS 4</t>
  </si>
  <si>
    <t>MÊS 5</t>
  </si>
  <si>
    <t>MÊS 6</t>
  </si>
  <si>
    <t>MÊS 7</t>
  </si>
  <si>
    <t>MÊS 8</t>
  </si>
  <si>
    <t>MÊS 9</t>
  </si>
  <si>
    <t>MÊS 10</t>
  </si>
  <si>
    <t>MÊS 11</t>
  </si>
  <si>
    <t>MÊS 12</t>
  </si>
  <si>
    <t>MÊS 13</t>
  </si>
  <si>
    <t>Total parcela</t>
  </si>
  <si>
    <t>BANCO</t>
  </si>
  <si>
    <t>TIPO</t>
  </si>
  <si>
    <t>PREÇO UNITÁRIO</t>
  </si>
  <si>
    <t>%</t>
  </si>
  <si>
    <t>ACUMUL. %</t>
  </si>
  <si>
    <t>CL</t>
  </si>
  <si>
    <t>Alvenarias Diversas</t>
  </si>
  <si>
    <t>Concretagem para Estruturas de Concreto Armado</t>
  </si>
  <si>
    <t>Impermeabilização, Proteção Mecânica e Tratamento de Junta</t>
  </si>
  <si>
    <t>Esquadrias - Janelas</t>
  </si>
  <si>
    <t>Pavimento Intertravado</t>
  </si>
  <si>
    <t>ESQUADRIAS DE ALUMINIO</t>
  </si>
  <si>
    <t>Fôrmas para Estruturas de Concreto Armado</t>
  </si>
  <si>
    <t>Contrapiso</t>
  </si>
  <si>
    <t>Instalações para Canteiros de Obras</t>
  </si>
  <si>
    <t>PAREDES E PAINEIS</t>
  </si>
  <si>
    <t>Redes de Lógica, Telefonia e Imagem</t>
  </si>
  <si>
    <t>Material</t>
  </si>
  <si>
    <t>Armação para Estruturas de Concreto Armado</t>
  </si>
  <si>
    <t>Paredes em Drywall</t>
  </si>
  <si>
    <t>Fundações Rasas (Blocos, Sapatas, Vigas Baldrame)</t>
  </si>
  <si>
    <t>INSTALACOES PROVISORIAS</t>
  </si>
  <si>
    <t>Instalações Elétricas - Eletrodutos Embutidos, Cabos, Caixas, Tomadas e Interruptores</t>
  </si>
  <si>
    <t>ASTU - ASSENTAMENTO DE TUBOS E PECAS</t>
  </si>
  <si>
    <t>Redes Enterradas de Distribuição Elétrica</t>
  </si>
  <si>
    <t>Canaletas, Grelhas e Caixas com Grelha para Drenagem</t>
  </si>
  <si>
    <t>INSTALACOES MECANICAS - AR CONDICIONADO</t>
  </si>
  <si>
    <t>Equipamentos de Proteção Coletiva</t>
  </si>
  <si>
    <t>VIDROS</t>
  </si>
  <si>
    <t>Massa Única Externa</t>
  </si>
  <si>
    <t>INSTALACOES DE TELEFONE-LOGICA-CFTV-CATV</t>
  </si>
  <si>
    <t>IP</t>
  </si>
  <si>
    <t>Massa Única Interna</t>
  </si>
  <si>
    <t>MOVT - MOVIMENTO DE TERRA</t>
  </si>
  <si>
    <t>IT</t>
  </si>
  <si>
    <t>Instalações Prediais de Esgoto - Tubos e Conexões</t>
  </si>
  <si>
    <t>SEDI - SERVIÇOS DIVERSOS</t>
  </si>
  <si>
    <t>Revestimentos Cerâmicos Internos</t>
  </si>
  <si>
    <t>Eletrocalhas</t>
  </si>
  <si>
    <t>RV</t>
  </si>
  <si>
    <t>Lajes Pré-Moldadas</t>
  </si>
  <si>
    <t>Iluminação Predial e Monitoramento</t>
  </si>
  <si>
    <t>Transporte, Carga e Descarga de Materiais</t>
  </si>
  <si>
    <t>Pintura Interna</t>
  </si>
  <si>
    <t>Instalações Elétricas - Eletrodutos, Conexões e Conduletes Aparentes</t>
  </si>
  <si>
    <t>Instalações Prediais de Água Fria em PVC</t>
  </si>
  <si>
    <t>ESQUADRIAS DE MADEIRA</t>
  </si>
  <si>
    <t>Instalações de ar condicionado em cobre</t>
  </si>
  <si>
    <t>MT</t>
  </si>
  <si>
    <t>INSTALACOES ELETRICAS - LUMINARIAS</t>
  </si>
  <si>
    <t>Passeios de Concreto</t>
  </si>
  <si>
    <t>INSTALACOES HIDRAULICAS - GAS</t>
  </si>
  <si>
    <t>ESQUADRIAS DE FERRO</t>
  </si>
  <si>
    <t>Pintura para Pisos e para Sinalização Horizontal e Vertical</t>
  </si>
  <si>
    <t>Acessibilidade</t>
  </si>
  <si>
    <t>FUES - FUNDAÇÕES E ESTRUTURAS</t>
  </si>
  <si>
    <t>INEL - INSTALAÇÃO ELÉTRICA/ELETRIFICAÇÃO E ILUMINAÇÃO EXTERNA</t>
  </si>
  <si>
    <t>Alvenaria Estrutural - Blocos de Concreto</t>
  </si>
  <si>
    <t>Escadas</t>
  </si>
  <si>
    <t>Louças e Metais</t>
  </si>
  <si>
    <t>Aterros, Bases, Sub bases e Imprimações</t>
  </si>
  <si>
    <t>INSTALACOES ELETRICAS - SONORIZACAO</t>
  </si>
  <si>
    <t>Esquadrias - Portas</t>
  </si>
  <si>
    <t>Alvenaria de Vedação</t>
  </si>
  <si>
    <t>Instalações Hidráulicas em PPR</t>
  </si>
  <si>
    <t>URBANIZACAO</t>
  </si>
  <si>
    <t>INSTALACOES ELETRICAS - ELETRODUTOS</t>
  </si>
  <si>
    <t>Chapisco</t>
  </si>
  <si>
    <t>Sinalização Vertical Viária</t>
  </si>
  <si>
    <t>Sistema de Proteção contra Descargas Atmosféricas - SPDA</t>
  </si>
  <si>
    <t>ATERRAMENTO</t>
  </si>
  <si>
    <t>Radier, Piso de Concreto e Laje sobre Solo</t>
  </si>
  <si>
    <t>CANT - CANTEIRO DE OBRAS</t>
  </si>
  <si>
    <t>Instalações Prediais de Águas Pluviais - Tubos, Conexões, Caixas e Ralos</t>
  </si>
  <si>
    <t>Caixas de Água para Edificações</t>
  </si>
  <si>
    <t>Forros</t>
  </si>
  <si>
    <t>Escavação Horizontal</t>
  </si>
  <si>
    <t>Válvulas e Registros para Sistemas Prediais</t>
  </si>
  <si>
    <t>Instalações Elétricas - Quadros, Cabos, Disjuntores, Contatores e Barramentos Blindados</t>
  </si>
  <si>
    <t>Instalações de Gás e Incêndio em Aço e Ferro Galvanizado</t>
  </si>
  <si>
    <t>INES - INSTALAÇÕES ESPECIAIS</t>
  </si>
  <si>
    <t>AP</t>
  </si>
  <si>
    <t>AL</t>
  </si>
  <si>
    <t>Instalações Elétricas - Rede de Distribuição</t>
  </si>
  <si>
    <t>Graute e Armação</t>
  </si>
  <si>
    <t>ILUMINACAO PUBLICA</t>
  </si>
  <si>
    <t>APARELHOS SANITARIOS</t>
  </si>
  <si>
    <t>Paisagismo - Plantio</t>
  </si>
  <si>
    <t>Pintura Externa</t>
  </si>
  <si>
    <t>Aterro e Reaterro de Valas</t>
  </si>
  <si>
    <t>INSTALACOES ELETRICAS - LEITOS E CABOS</t>
  </si>
  <si>
    <t>Instalações Hidráulicas em PEX</t>
  </si>
  <si>
    <t>Caixas Enterradas</t>
  </si>
  <si>
    <t>Arrasamento de Estacas</t>
  </si>
  <si>
    <t>Livro SINAPI: Cálculos e Parâmetros</t>
  </si>
  <si>
    <t>PJ</t>
  </si>
  <si>
    <t>Instalações Hidráulicas - Reservação e Bombas de Recalque</t>
  </si>
  <si>
    <t>Pisos</t>
  </si>
  <si>
    <t>Instalações Prediais de Esgoto - Caixas e Ralos</t>
  </si>
  <si>
    <t>PLANILHA DE COMPOSIÇÕES</t>
  </si>
  <si>
    <t>Código</t>
  </si>
  <si>
    <t>Banco</t>
  </si>
  <si>
    <t>Descrição</t>
  </si>
  <si>
    <t>Tipo</t>
  </si>
  <si>
    <t>Und</t>
  </si>
  <si>
    <t>Quant.</t>
  </si>
  <si>
    <t>Porcent.</t>
  </si>
  <si>
    <t>Valor Unit</t>
  </si>
  <si>
    <t>Total</t>
  </si>
  <si>
    <t>Composição</t>
  </si>
  <si>
    <t>Composição Auxiliar</t>
  </si>
  <si>
    <t xml:space="preserve"> 05.105.0100-A </t>
  </si>
  <si>
    <t>MAO-DE-OBRA DE VIGIA,INCLUSIVE ENCARGOS SOCIAIS</t>
  </si>
  <si>
    <t xml:space="preserve"> 93572 </t>
  </si>
  <si>
    <t>ENCARREGADO GERAL DE OBRAS COM ENCARGOS COMPLEMENTARES</t>
  </si>
  <si>
    <t xml:space="preserve"> 93565 </t>
  </si>
  <si>
    <t>ENGENHEIRO CIVIL DE OBRA JUNIOR COM ENCARGOS COMPLEMENTARES</t>
  </si>
  <si>
    <t xml:space="preserve"> 100321 </t>
  </si>
  <si>
    <t>TÉCNICO EM SEGURANÇA DO TRABALHO COM ENCARGOS COMPLEMENTARES</t>
  </si>
  <si>
    <t xml:space="preserve"> 93563 </t>
  </si>
  <si>
    <t>ALMOXARIFE COM ENCARGOS COMPLEMENTARES</t>
  </si>
  <si>
    <t>MO sem LS =&gt;</t>
  </si>
  <si>
    <t>LS =&gt;</t>
  </si>
  <si>
    <t>MO com LS =&gt;</t>
  </si>
  <si>
    <t>Valor do BDI =&gt;</t>
  </si>
  <si>
    <t>Valor com BDI =&gt;</t>
  </si>
  <si>
    <t>Quant. =&gt;</t>
  </si>
  <si>
    <t>1,00</t>
  </si>
  <si>
    <t>Preço Total =&gt;</t>
  </si>
  <si>
    <t xml:space="preserve"> 88262 </t>
  </si>
  <si>
    <t>CARPINTEIRO DE FORMAS COM ENCARGOS COMPLEMENTARES</t>
  </si>
  <si>
    <t xml:space="preserve"> 88316 </t>
  </si>
  <si>
    <t>SERVENTE COM ENCARGOS COMPLEMENTARES</t>
  </si>
  <si>
    <t xml:space="preserve"> 102234 </t>
  </si>
  <si>
    <t>PINTURA IMUNIZANTE PARA MADEIRA, 2 DEMÃOS. AF_01/2021</t>
  </si>
  <si>
    <t>Pintura em Madeira</t>
  </si>
  <si>
    <t>Insumo</t>
  </si>
  <si>
    <t xml:space="preserve"> 00005069 </t>
  </si>
  <si>
    <t>PREGO DE ACO POLIDO COM CABECA 17 X 27 (2 1/2 X 11)</t>
  </si>
  <si>
    <t xml:space="preserve"> 00004509 </t>
  </si>
  <si>
    <t>SARRAFO *2,5 X 10* CM EM PINUS, MISTA OU EQUIVALENTE DA REGIAO - BRUTA</t>
  </si>
  <si>
    <t xml:space="preserve"> 00005065 </t>
  </si>
  <si>
    <t>PREGO DE ACO POLIDO COM CABECA 10 X 10 (7/8 X 17)</t>
  </si>
  <si>
    <t xml:space="preserve"> 00004813 </t>
  </si>
  <si>
    <t>PLACA DE OBRA (PARA CONSTRUCAO CIVIL) EM CHAPA GALVANIZADA *N. 22*, ADESIVADA, DE *2,4 X 1,2* M (SEM POSTES PARA FIXACAO)</t>
  </si>
  <si>
    <t>6,00</t>
  </si>
  <si>
    <t xml:space="preserve"> 19.011.0019-C </t>
  </si>
  <si>
    <t>ESTACAO TOTAL,COM PRECISAO ANGULAR DE 1" A 2",ALCANCE MINIMO DE 500M SEM PRISMA,E ALCANCE MINIMO DE 3000M COM UM PRISMA, GATILHO RAPIDO,DISPLAY DUPLO,TECLADO ALFANUMERICO,MEMORIA IN TERNA COM MINIMO DE 17.000 PONTOS,PODENDO SER EXPANDIDO POR CARTAO DE MEMORIA OU PEN DRIVE,TRANSFERENCIA DE DADOS VIA USB,BATERIA RECARREGAVEL,EXCLUSIVE EQUIPE DE TOPOGRAFIA M PRISMA E 3000M COMPRISMA,MEMORIA INT. PARA 17.000 PONTOS</t>
  </si>
  <si>
    <t xml:space="preserve"> 20046 </t>
  </si>
  <si>
    <t>MAO-DE-OBRA DE CARPINTEIRO DE FORMA DE C ONCRETO, INCLUSIVE ENCARGOS SOCIAIS DESO NERADOS</t>
  </si>
  <si>
    <t>Mão de Obra</t>
  </si>
  <si>
    <t xml:space="preserve"> 20150 </t>
  </si>
  <si>
    <t>MAO-DE-OBRA DE TOPOGRAFO B (SERVICOS DE CAMPO),INCLUSIVE ENCARGOS SOCIAIS DESONE RADOS</t>
  </si>
  <si>
    <t xml:space="preserve"> 20132 </t>
  </si>
  <si>
    <t>MAO-DE-OBRA DE SERVENTE DA CONSTRUCAO CI VIL, INCLUSIVE ENCARGOS SOCIAIS DESONERA DOS</t>
  </si>
  <si>
    <t xml:space="preserve"> 00453 </t>
  </si>
  <si>
    <t>PREGO COM OU SEM CABECA, EM CAIXAS DE 50 KG, OU QUANTIDADES EQUIVALENTES, Nº12X12  A 18X30</t>
  </si>
  <si>
    <t xml:space="preserve"> 20032 </t>
  </si>
  <si>
    <t>MAO-DE-OBRA DE AUXILIAR DE TOPOGRAFIA, I NCLUSIVE ENCARGOS SOCIAIS DESONERADOS</t>
  </si>
  <si>
    <t xml:space="preserve"> 00349 </t>
  </si>
  <si>
    <t>PINUS, EM PECAS DE 2,50X30,00CM (1"X12")  - GRUPOS:I,II,III E IV, DA TABELA CLASS IFICATORIA MUNICIPAL DE ESPECIFICACOES D E PRODUTOS MADEIREIROS DO MUNICIPIO RJ</t>
  </si>
  <si>
    <t xml:space="preserve"> 00368 </t>
  </si>
  <si>
    <t>PINUS, EM PECAS DE 7,50X7,50CM (3"X3") -  GRUPOS: I,II,III E IV, DA TABELA CLASSI FICATORIA MUNICIPAL DE ESPECIFICACOES DE  PRODUTOS MADEIREIROS DO MUNICIPIO DO RJ</t>
  </si>
  <si>
    <t xml:space="preserve"> 00004 </t>
  </si>
  <si>
    <t>ARAME RECOZIDO Nº 18</t>
  </si>
  <si>
    <t>941,81</t>
  </si>
  <si>
    <t xml:space="preserve"> 95406 </t>
  </si>
  <si>
    <t>CURSO DE CAPACITAÇÃO PARA TOPÓGRAFO (ENCARGOS COMPLEMENTARES) - HORISTA</t>
  </si>
  <si>
    <t xml:space="preserve"> 00043469 </t>
  </si>
  <si>
    <t>FERRAMENTAS - FAMILIA TOPOGRAFO - HORISTA (ENCARGOS COMPLEMENTARES - COLETADO CAIXA)</t>
  </si>
  <si>
    <t xml:space="preserve"> 00043493 </t>
  </si>
  <si>
    <t>EPI - FAMILIA TOPOGRAFO - HORISTA (ENCARGOS COMPLEMENTARES - COLETADO CAIXA)</t>
  </si>
  <si>
    <t xml:space="preserve"> 00037372 </t>
  </si>
  <si>
    <t>EXAMES - HORISTA (COLETADO CAIXA - ENCARGOS COMPLEMENTARES)</t>
  </si>
  <si>
    <t xml:space="preserve"> 00007592 </t>
  </si>
  <si>
    <t>TOPOGRAFO (HORISTA)</t>
  </si>
  <si>
    <t xml:space="preserve"> 00037373 </t>
  </si>
  <si>
    <t>SEGURO - HORISTA (COLETADO CAIXA - ENCARGOS COMPLEMENTARES)</t>
  </si>
  <si>
    <t>16,00</t>
  </si>
  <si>
    <t xml:space="preserve"> 89876 </t>
  </si>
  <si>
    <t>CAMINHÃO BASCULANTE 14 M3, COM CAVALO MECÂNICO DE CAPACIDADE MÁXIMA DE TRAÇÃO COMBINADO DE 36000 KG, POTÊNCIA 286 CV, INCLUSIVE SEMIREBOQUE COM CAÇAMBA METÁLICA - CHP DIURNO. AF_12/2014</t>
  </si>
  <si>
    <t>Custos Horários Produtivo e Improdutivo dos Equipamentos</t>
  </si>
  <si>
    <t>CHP</t>
  </si>
  <si>
    <t xml:space="preserve"> 94974 </t>
  </si>
  <si>
    <t>CONCRETO MAGRO PARA LASTRO, TRAÇO 1:4,5:4,5 (EM MASSA SECA DE CIMENTO/ AREIA MÉDIA/ BRITA 1) - PREPARO MANUAL. AF_05/2021</t>
  </si>
  <si>
    <t>Produção de Concreto</t>
  </si>
  <si>
    <t xml:space="preserve"> 88239 </t>
  </si>
  <si>
    <t>AJUDANTE DE CARPINTEIRO COM ENCARGOS COMPLEMENTARES</t>
  </si>
  <si>
    <t xml:space="preserve"> 91693 </t>
  </si>
  <si>
    <t>SERRA CIRCULAR DE BANCADA COM MOTOR ELÉTRICO POTÊNCIA DE 5HP, COM COIFA PARA DISCO 10" - CHI DIURNO. AF_08/2015</t>
  </si>
  <si>
    <t>CHI</t>
  </si>
  <si>
    <t xml:space="preserve"> 91692 </t>
  </si>
  <si>
    <t>SERRA CIRCULAR DE BANCADA COM MOTOR ELÉTRICO POTÊNCIA DE 5HP, COM COIFA PARA DISCO 10" - CHP DIURNO. AF_08/2015</t>
  </si>
  <si>
    <t xml:space="preserve"> 00004491 </t>
  </si>
  <si>
    <t>PONTALETE *7,5 X 7,5* CM EM PINUS, MISTA OU EQUIVALENTE DA REGIAO - BRUTA</t>
  </si>
  <si>
    <t xml:space="preserve"> 00007243 </t>
  </si>
  <si>
    <t>TELHA TRAPEZOIDAL EM ACO ZINCADO, SEM PINTURA, ALTURA DE APROXIMADAMENTE 40 MM, ESPESSURA DE 0,50 MM E LARGURA UTIL DE 980 MM</t>
  </si>
  <si>
    <t xml:space="preserve"> 00006194 </t>
  </si>
  <si>
    <t>TABUA *2,5 X 15 CM EM PINUS, MISTA OU EQUIVALENTE DA REGIAO - BRUTA</t>
  </si>
  <si>
    <t xml:space="preserve"> 00005061 </t>
  </si>
  <si>
    <t>PREGO DE ACO POLIDO COM CABECA 18 X 27 (2 1/2 X 10)</t>
  </si>
  <si>
    <t>711,38</t>
  </si>
  <si>
    <t xml:space="preserve"> 07168 </t>
  </si>
  <si>
    <t>ALUGUEL CONTAINER ESCRITORIO C/WC,MED.AP ROX.:2,30M LARG,6,00M COMP. E 2,50M ALT. ,ISOL.FORRO TERMO-ACUSTICO,PISO COMP.NAV AL,INCL.INST.ELET/HIDRO.,1 V.SAN./1 LAV.</t>
  </si>
  <si>
    <t>UNxMES</t>
  </si>
  <si>
    <t>13,00</t>
  </si>
  <si>
    <t xml:space="preserve"> 07171 </t>
  </si>
  <si>
    <t>ALUGUEL CONTAINER SANITARIO-VESTIARIO,ME D.APROX.,:L=2,30M,C=6,00 E A=2,50M,ISOL. FORRO TERMO-ACUSTICO,PISO COMP.NAVAL,INC L.INST.ELET/HIDRO.,7 V.SAN./2 LAV./2 MIC</t>
  </si>
  <si>
    <t xml:space="preserve"> 036410 </t>
  </si>
  <si>
    <t>ALUGUEL MENSAL DE CONTAINER REFEITORIO 12.12x2,44x2.57 C/5 MESAS/BANCOS/PIA</t>
  </si>
  <si>
    <t xml:space="preserve"> 099806 </t>
  </si>
  <si>
    <t>AJUDANTE DE ELETRICISTA</t>
  </si>
  <si>
    <t xml:space="preserve"> 007838 </t>
  </si>
  <si>
    <t>CURVA 90 ELETRODUTO GALVANIZADO ELETROLITICO 1"</t>
  </si>
  <si>
    <t xml:space="preserve"> 000050 </t>
  </si>
  <si>
    <t>CIMENTO PORTLAND CP III 32RS NBR 11578 (quilo)</t>
  </si>
  <si>
    <t xml:space="preserve"> 003420 </t>
  </si>
  <si>
    <t>FITA ISOLANTE HIGHLAND ADESIVA 19m x 20mm</t>
  </si>
  <si>
    <t xml:space="preserve"> 099250 </t>
  </si>
  <si>
    <t>ELETRICISTA</t>
  </si>
  <si>
    <t xml:space="preserve"> 003580 </t>
  </si>
  <si>
    <t>CABO SUPERASTIC FLEX 450/750V 4mm2 CORES DIVERSAS</t>
  </si>
  <si>
    <t xml:space="preserve"> 000200 </t>
  </si>
  <si>
    <t>PEDRA BRITADA #1 E 2</t>
  </si>
  <si>
    <t xml:space="preserve"> 007143 </t>
  </si>
  <si>
    <t>ARMACAO 3x16 PRESSBOW PARA POSTE 3 ISOLADORES</t>
  </si>
  <si>
    <t xml:space="preserve"> 047113 </t>
  </si>
  <si>
    <t>POSTE DE CONCRETO ARMADO DE SECAO DUPLO T 11,00m RESISTENCIA DE 600 DAN, TIPO B</t>
  </si>
  <si>
    <t xml:space="preserve"> 001567 </t>
  </si>
  <si>
    <t>ELETRODUTO GALVANIZADO NBR 5597 25mm 1" (2,178kg/m)</t>
  </si>
  <si>
    <t xml:space="preserve"> 003826 </t>
  </si>
  <si>
    <t>CAIXA DE PASSAGEM FERRO ESMALTADO 3"x3"</t>
  </si>
  <si>
    <t xml:space="preserve"> 007727 </t>
  </si>
  <si>
    <t>ISOLADOR PINO POLIMERICO TIPO BASTAO 15KV</t>
  </si>
  <si>
    <t xml:space="preserve"> 099900 </t>
  </si>
  <si>
    <t>SERVENTE</t>
  </si>
  <si>
    <t xml:space="preserve"> 099050 </t>
  </si>
  <si>
    <t>PEDREIRO</t>
  </si>
  <si>
    <t xml:space="preserve"> 000100 </t>
  </si>
  <si>
    <t>AREIA GROSSA LAVADA</t>
  </si>
  <si>
    <t xml:space="preserve"> 88267 </t>
  </si>
  <si>
    <t>ENCANADOR OU BOMBEIRO HIDRÁULICO COM ENCARGOS COMPLEMENTARES</t>
  </si>
  <si>
    <t xml:space="preserve"> 97976 </t>
  </si>
  <si>
    <t>POÇO DE INSPEÇÃO CIRCULAR PARA ESGOTO, EM ALVENARIA COM TIJOLOS CERÂMICOS MACIÇOS, DIÂMETRO INTERNO = 0,60 M, PROFUNDIDADE = 0,95 M, EXCLUINDO TAMPÃO. AF_12/2020</t>
  </si>
  <si>
    <t>Poços de Visita e Caixas para Bocas de Lobo</t>
  </si>
  <si>
    <t xml:space="preserve"> 88248 </t>
  </si>
  <si>
    <t>AUXILIAR DE ENCANADOR OU BOMBEIRO HIDRÁULICO COM ENCARGOS COMPLEMENTARES</t>
  </si>
  <si>
    <t xml:space="preserve"> 00011831 </t>
  </si>
  <si>
    <t>TORNEIRA PLASTICA PARA TANQUE 1/2" OU 3/4" COM BICO PARA MANGUEIRA</t>
  </si>
  <si>
    <t xml:space="preserve"> 00003524 </t>
  </si>
  <si>
    <t>JOELHO PVC, SOLDAVEL, COM BUCHA DE LATAO, 90 GRAUS, 25 MM X 3/4", PARA AGUA FRIA PREDIAL</t>
  </si>
  <si>
    <t xml:space="preserve"> 00006240 </t>
  </si>
  <si>
    <t>TAMPAO FOFO SIMPLES COM BASE / REQUADRO, CLASSE D400 CARGA MAX. 40 T, REDONDO, TAMPA 600 MM (COM INSCRICAO EM RELEVO DO TIPO DE REDE)</t>
  </si>
  <si>
    <t xml:space="preserve"> 00003729 </t>
  </si>
  <si>
    <t>KIT CAVALETE, PVC, COM REGISTRO, PARA HIDROMETRO, BITOLAS 1/2" OU 3/4" - COMPLETO</t>
  </si>
  <si>
    <t xml:space="preserve"> 00003907 </t>
  </si>
  <si>
    <t>LUVA DE REDUCAO ROSCAVEL, PVC, 1" X 3/4", PARA AGUA FRIA PREDIAL</t>
  </si>
  <si>
    <t xml:space="preserve"> 00009868 </t>
  </si>
  <si>
    <t>TUBO PVC, SOLDAVEL, DE 25 MM, AGUA FRIA (NBR-5648)</t>
  </si>
  <si>
    <t xml:space="preserve"> 00012773 </t>
  </si>
  <si>
    <t>HIDROMETRO UNIJATO / MEDIDOR DE AGUA, DN 1/2", VAZAO MAXIMA DE 3 M3/H, PARA AGUA POTAVEL FRIA, RELOJOARIA PLANA, CLASSE B, HORIZONTAL (SEM CONEXOES)</t>
  </si>
  <si>
    <t xml:space="preserve"> 00006029 </t>
  </si>
  <si>
    <t>REGISTRO DE ESFERA PVC, COM CABECA QUADRADA, COM ROSCA EXTERNA, 1/2"</t>
  </si>
  <si>
    <t xml:space="preserve"> 00020065 </t>
  </si>
  <si>
    <t>TUBO PVC SERIE NORMAL, DN 150 MM, PARA ESGOTO PREDIAL (NBR 5688)</t>
  </si>
  <si>
    <t xml:space="preserve"> 00001419 </t>
  </si>
  <si>
    <t>COLAR TOMADA PVC, COM TRAVAS, SAIDA COM ROSCA, DE 50 MM X 1/2" OU 50 MM X 3/4", PARA LIGACAO PREDIAL DE AGUA</t>
  </si>
  <si>
    <t xml:space="preserve"> 00003529 </t>
  </si>
  <si>
    <t>JOELHO PVC, SOLDAVEL, 90 GRAUS, 25 MM, COR MARROM, PARA AGUA FRIA PREDIAL</t>
  </si>
  <si>
    <t xml:space="preserve"> 100251 </t>
  </si>
  <si>
    <t>TRANSPORTE HORIZONTAL MANUAL, DE TUBO DE AÇO CARBONO LEVE OU MÉDIO, PRETO OU GALVANIZADO, COM DIÂMETRO MAIOR QUE 32 MM E MENOR OU IGUAL A 65 MM (UNIDADE: MXKM). AF_07/2019</t>
  </si>
  <si>
    <t>Transporte de Materiais dentro do Canteiro de Obras</t>
  </si>
  <si>
    <t>MXKM</t>
  </si>
  <si>
    <t xml:space="preserve"> 88278 </t>
  </si>
  <si>
    <t>MONTADOR DE ESTRUTURAS METÁLICAS COM ENCARGOS COMPLEMENTARES</t>
  </si>
  <si>
    <t>840,00</t>
  </si>
  <si>
    <t xml:space="preserve"> 00020193 </t>
  </si>
  <si>
    <t>LOCACAO DE ANDAIME METALICO TIPO FACHADEIRO, PECAS COM APROXIMADAMENTE 1,20 M DE LARGURA E 2,0 M DE ALTURA, INCLUINDO DIAGONAIS EM X, BARRAS DE LIGACAO, SAPATAS E DEMAIS ITENS NECESSARIOS A MONTAGEM (NAO INCLUI INSTALACAO)</t>
  </si>
  <si>
    <t>Equipamento</t>
  </si>
  <si>
    <t>M2XMES</t>
  </si>
  <si>
    <t>1.680,00</t>
  </si>
  <si>
    <t xml:space="preserve"> 00040291 </t>
  </si>
  <si>
    <t>LOCACAO DE TORRE METALICA COMPLETA PARA UMA CARGA DE 8 TF (80 KN) E PE DIREITO DE 6 M, INCLUINDO MODULOS, DIAGONAIS, SAPATAS E FORCADOS</t>
  </si>
  <si>
    <t xml:space="preserve"> 021259 </t>
  </si>
  <si>
    <t>ALUGUEL MENSAL 4 SAPATAS PARA ANDAIME TUBULAR</t>
  </si>
  <si>
    <t>26,00</t>
  </si>
  <si>
    <t xml:space="preserve"> 01999 </t>
  </si>
  <si>
    <t>MAO-DE-OBRA DE SERVENTE DA CONSTRUCAO CI VIL, INCLUSIVE ENCARGOS SOCIAIS</t>
  </si>
  <si>
    <t xml:space="preserve"> 10962 </t>
  </si>
  <si>
    <t>ALUGUEL CACAMBA DE ACO TIPO CONTAINER C/ 5M3 CAPAC.P/RETIRADA ENTULHO OBRA,INCL.C ARREGA.,TRANSP.E DESCAR.LOCAIS AUTORIZ.</t>
  </si>
  <si>
    <t>40,00</t>
  </si>
  <si>
    <t xml:space="preserve"> 89031 </t>
  </si>
  <si>
    <t>TRATOR DE ESTEIRAS, POTÊNCIA 100 HP, PESO OPERACIONAL 9,4 T, COM LÂMINA 2,19 M3 - CHI DIURNO. AF_06/2014</t>
  </si>
  <si>
    <t xml:space="preserve"> 89032 </t>
  </si>
  <si>
    <t>TRATOR DE ESTEIRAS, POTÊNCIA 100 HP, PESO OPERACIONAL 9,4 T, COM LÂMINA 2,19 M3 - CHP DIURNO. AF_06/2014</t>
  </si>
  <si>
    <t>419,38</t>
  </si>
  <si>
    <t xml:space="preserve"> 5940 </t>
  </si>
  <si>
    <t>PÁ CARREGADEIRA SOBRE RODAS, POTÊNCIA LÍQUIDA 128 HP, CAPACIDADE DA CAÇAMBA 1,7 A 2,8 M3, PESO OPERACIONAL 11632 KG - CHP DIURNO. AF_06/2014</t>
  </si>
  <si>
    <t xml:space="preserve"> 91386 </t>
  </si>
  <si>
    <t>CAMINHÃO BASCULANTE 10 M3, TRUCADO CABINE SIMPLES, PESO BRUTO TOTAL 23.000 KG, CARGA ÚTIL MÁXIMA 15.935 KG, DISTÂNCIA ENTRE EIXOS 4,80 M, POTÊNCIA 230 CV INCLUSIVE CAÇAMBA METÁLICA - CHP DIURNO. AF_06/2014</t>
  </si>
  <si>
    <t xml:space="preserve"> 5942 </t>
  </si>
  <si>
    <t>PÁ CARREGADEIRA SOBRE RODAS, POTÊNCIA LÍQUIDA 128 HP, CAPACIDADE DA CAÇAMBA 1,7 A 2,8 M3, PESO OPERACIONAL 11632 KG - CHI DIURNO. AF_06/2014</t>
  </si>
  <si>
    <t xml:space="preserve"> 91387 </t>
  </si>
  <si>
    <t>CAMINHÃO BASCULANTE 10 M3, TRUCADO CABINE SIMPLES, PESO BRUTO TOTAL 23.000 KG, CARGA ÚTIL MÁXIMA 15.935 KG, DISTÂNCIA ENTRE EIXOS 4,80 M, POTÊNCIA 230 CV INCLUSIVE CAÇAMBA METÁLICA - CHI DIURNO. AF_06/2014</t>
  </si>
  <si>
    <t>502,05</t>
  </si>
  <si>
    <t xml:space="preserve"> 73436 </t>
  </si>
  <si>
    <t>ROLO COMPACTADOR VIBRATÓRIO PÉ DE CARNEIRO PARA SOLOS, POTÊNCIA 80 HP, PESO OPERACIONAL SEM/COM LASTRO 7,4 / 8,8 T, LARGURA DE TRABALHO 1,68 M - CHP DIURNO. AF_02/2016</t>
  </si>
  <si>
    <t xml:space="preserve"> 93244 </t>
  </si>
  <si>
    <t>ROLO COMPACTADOR VIBRATÓRIO PÉ DE CARNEIRO PARA SOLOS, POTÊNCIA 80 HP, PESO OPERACIONAL SEM/COM LASTRO 7,4 / 8,8 T, LARGURA DE TRABALHO 1,68 M - CHI DIURNO. AF_02/2016</t>
  </si>
  <si>
    <t xml:space="preserve"> 5901 </t>
  </si>
  <si>
    <t>CAMINHÃO PIPA 10.000 L TRUCADO, PESO BRUTO TOTAL 23.000 KG, CARGA ÚTIL MÁXIMA 15.935 KG, DISTÂNCIA ENTRE EIXOS 4,8 M, POTÊNCIA 230 CV, INCLUSIVE TANQUE DE AÇO PARA TRANSPORTE DE ÁGUA - CHP DIURNO. AF_06/2014</t>
  </si>
  <si>
    <t xml:space="preserve"> 5932 </t>
  </si>
  <si>
    <t>MOTONIVELADORA POTÊNCIA BÁSICA LÍQUIDA (PRIMEIRA MARCHA) 125 HP, PESO BRUTO 13032 KG, LARGURA DA LÂMINA DE 3,7 M - CHP DIURNO. AF_06/2014</t>
  </si>
  <si>
    <t xml:space="preserve"> 5934 </t>
  </si>
  <si>
    <t>MOTONIVELADORA POTÊNCIA BÁSICA LÍQUIDA (PRIMEIRA MARCHA) 125 HP, PESO BRUTO 13032 KG, LARGURA DA LÂMINA DE 3,7 M - CHI DIURNO. AF_06/2014</t>
  </si>
  <si>
    <t xml:space="preserve"> 5903 </t>
  </si>
  <si>
    <t>CAMINHÃO PIPA 10.000 L TRUCADO, PESO BRUTO TOTAL 23.000 KG, CARGA ÚTIL MÁXIMA 15.935 KG, DISTÂNCIA ENTRE EIXOS 4,8 M, POTÊNCIA 230 CV, INCLUSIVE TANQUE DE AÇO PARA TRANSPORTE DE ÁGUA - CHI DIURNO. AF_06/2014</t>
  </si>
  <si>
    <t>335,40</t>
  </si>
  <si>
    <t>10.041,72</t>
  </si>
  <si>
    <t xml:space="preserve"> A.05.000.020306 </t>
  </si>
  <si>
    <t>CPOS/CDHU</t>
  </si>
  <si>
    <t>TAXA DE DESTINAÇÃO DE RESÍDUO SÓLIDO EM ATERRO, TIPO SOLO/TERRA</t>
  </si>
  <si>
    <t xml:space="preserve"> 88309 </t>
  </si>
  <si>
    <t>PEDREIRO COM ENCARGOS COMPLEMENTARES</t>
  </si>
  <si>
    <t>283,16</t>
  </si>
  <si>
    <t xml:space="preserve"> 00006212 </t>
  </si>
  <si>
    <t>TABUA *2,5 X 30 CM EM PINUS, MISTA OU EQUIVALENTE DA REGIAO - BRUTA</t>
  </si>
  <si>
    <t xml:space="preserve"> 00004517 </t>
  </si>
  <si>
    <t>SARRAFO *2,5 X 7,5* CM EM PINUS, MISTA OU EQUIVALENTE DA REGIAO - BRUTA</t>
  </si>
  <si>
    <t xml:space="preserve"> 00002692 </t>
  </si>
  <si>
    <t>DESMOLDANTE PROTETOR PARA FORMAS DE MADEIRA, DE BASE OLEOSA EMULSIONADA EM AGUA</t>
  </si>
  <si>
    <t>L</t>
  </si>
  <si>
    <t xml:space="preserve"> 00005073 </t>
  </si>
  <si>
    <t>PREGO DE ACO POLIDO COM CABECA 17 X 24 (2 1/4 X 11)</t>
  </si>
  <si>
    <t xml:space="preserve"> 00040304 </t>
  </si>
  <si>
    <t>PREGO DE ACO POLIDO COM CABECA DUPLA 17 X 27 (2 1/2 X 11)</t>
  </si>
  <si>
    <t xml:space="preserve"> 00005074 </t>
  </si>
  <si>
    <t>PREGO DE ACO POLIDO COM CABECA 15 X 18 (1 1/2 X 13)</t>
  </si>
  <si>
    <t>148,91</t>
  </si>
  <si>
    <t>53,11</t>
  </si>
  <si>
    <t xml:space="preserve"> 92800 </t>
  </si>
  <si>
    <t>CORTE E DOBRA DE AÇO CA-60, DIÂMETRO DE 5,0 MM. AF_06/2022</t>
  </si>
  <si>
    <t xml:space="preserve"> 88238 </t>
  </si>
  <si>
    <t>AJUDANTE DE ARMADOR COM ENCARGOS COMPLEMENTARES</t>
  </si>
  <si>
    <t xml:space="preserve"> 88245 </t>
  </si>
  <si>
    <t>ARMADOR COM ENCARGOS COMPLEMENTARES</t>
  </si>
  <si>
    <t xml:space="preserve"> 00043132 </t>
  </si>
  <si>
    <t>ARAME RECOZIDO 16 BWG, D = 1,65 MM (0,016 KG/M) OU 18 BWG, D = 1,25 MM (0,01 KG/M)</t>
  </si>
  <si>
    <t xml:space="preserve"> 00039017 </t>
  </si>
  <si>
    <t>ESPACADOR / DISTANCIADOR CIRCULAR COM ENTRADA LATERAL, EM PLASTICO, PARA VERGALHAO *4,2 A 12,5* MM, COBRIMENTO 20 MM</t>
  </si>
  <si>
    <t>10,00</t>
  </si>
  <si>
    <t xml:space="preserve"> 92803 </t>
  </si>
  <si>
    <t>CORTE E DOBRA DE AÇO CA-50, DIÂMETRO DE 10,0 MM. AF_06/2022</t>
  </si>
  <si>
    <t>41,00</t>
  </si>
  <si>
    <t>27,00</t>
  </si>
  <si>
    <t xml:space="preserve"> 92802 </t>
  </si>
  <si>
    <t>CORTE E DOBRA DE AÇO CA-50, DIÂMETRO DE 8,0 MM. AF_06/2022</t>
  </si>
  <si>
    <t>2,00</t>
  </si>
  <si>
    <t>1.584,00</t>
  </si>
  <si>
    <t xml:space="preserve"> 92804 </t>
  </si>
  <si>
    <t>CORTE E DOBRA DE AÇO CA-50, DIÂMETRO DE 12,5 MM. AF_06/2022</t>
  </si>
  <si>
    <t>1.437,00</t>
  </si>
  <si>
    <t xml:space="preserve"> 92805 </t>
  </si>
  <si>
    <t>CORTE E DOBRA DE AÇO CA-50, DIÂMETRO DE 16,0 MM. AF_06/2022</t>
  </si>
  <si>
    <t>930,00</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</si>
  <si>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</si>
  <si>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</si>
  <si>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</si>
  <si>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</si>
  <si>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00001525 </t>
  </si>
  <si>
    <t>CONCRETO USINADO BOMBEAVEL, CLASSE DE RESISTENCIA C30, BRITA 0 E 1, SLUMP = 100 +/- 20 MM, COM BOMBEAMENTO (DISPONIBILIZACAO DE BOMBA), SEM O LANCAMENTO (NBR 8953)</t>
  </si>
  <si>
    <t>64,69</t>
  </si>
  <si>
    <t>30,80</t>
  </si>
  <si>
    <t>4,932</t>
  </si>
  <si>
    <t>25,99</t>
  </si>
  <si>
    <t>131,00</t>
  </si>
  <si>
    <t>72,00</t>
  </si>
  <si>
    <t>476,00</t>
  </si>
  <si>
    <t>5,20</t>
  </si>
  <si>
    <t xml:space="preserve"> 19.011.0040-C </t>
  </si>
  <si>
    <t>ROTATIVA PARA EXECUCAO DE POCOS PROFUNDOS,SOBRE CAMINHAO DE 12T (INCLUSIVE ESTE) COM TECNICO EM SONDAGEM E 3 SONDADORES, COM AS SEGUINTES ESPECIFICACOES MINIMAS:MOTOR DIESEL DE 162C V,COMPRESSOR DE AR ROTATIVO DE 270HP,DESCARGA LIVRE DE 747PC M E PRESSAO DE 150PSI -4, GRAU SAE 20W-40 ROX. 145PSI E DESC. LIVRE EFETIVA  APROX. 700PCM CAMINHAO 12T (INCL. ESTE) DE), INCLUSIVE ENCARGOS SOCIAIS DESONERADOS OU INJECOES), INCLUSIVE ENCARGOS SOCIAIS DESONERADOS IS DESONERADOS</t>
  </si>
  <si>
    <t xml:space="preserve"> 11.008.0001-B </t>
  </si>
  <si>
    <t>BARRA DE ACO CA-25,REDONDA,SEM SALIENCIA OU MOSSA,COEFICIENT E DE CONFORMACAO SUPERFICIAL MINIMO(ADERENCIA)IGUAL A 1,DIAM ETRO IGUAL A 6,3MM,DESTINADA A ARMADURA DE PECAS DE CONCRETO ARMADO,COMPREENDENDO 10% DE PERDAS DE PONTAS E ARAME 18.FOR NECIMENTO</t>
  </si>
  <si>
    <t xml:space="preserve"> 11.009.0015-B </t>
  </si>
  <si>
    <t>BARRA DE ACO CA-50,COM SALIENCIA OU MOSSA,COEFICIENTE DE CON FORMACAO SUPERFICIAL MINIMO (ADERENCIA) IGUAL A 1,5,DIAMETRO ACIMA DE 12,5MM,DESTINADA A ARMADURA DE CONCRETO ARMADO,10% DE PERDAS DE PONTAS E ARAME 18.FORNECIMENTO</t>
  </si>
  <si>
    <t xml:space="preserve"> 11.011.0031-B </t>
  </si>
  <si>
    <t>CORTE,DOBRAGEM,MONTAGEM E COLOCACAO DE FERRAGENS NAS FORMAS, ACO CA-50,EM BARRAS REDONDAS,COM DIAMETRO ACIMA DE 12,5MM S SOCIAIS DESONERADOS GOS SOCIAIS DESONERADOS</t>
  </si>
  <si>
    <t xml:space="preserve"> 19.005.0028-C </t>
  </si>
  <si>
    <t>RETROESCAVADEIRA, COM PESO OPERACIONAL EM TORNO DE 7T, MOTOR DIESEL EM TORNO DE 75CV, CAPACIDADE APROXIMADA DA CACAMBA DE 0,76M3, PROFUNDIDADE DE ESCAVACAO MAXIMA DE 4,00M, INCLUSIVE OPERADOR -4, GRAU SAE 20W-40 R DIESEL EM TORNO DE 75CV, CAPAC. APROX. CACAMBA DE 0,76M3 DIAGONAIS, 14.00X24 ENCARGOS SOCIAIS DESONERADOS</t>
  </si>
  <si>
    <t xml:space="preserve"> 19.004.0012-C </t>
  </si>
  <si>
    <t>CAMINHAO BASCULANTE,NO TOCO,CAPACIDADE DE 5,00M3,INCLUSIVE M OTORISTA -4, GRAU SAE 20W-40 5,00M3 CARGOS SOCIAIS DESONERADOS</t>
  </si>
  <si>
    <t xml:space="preserve"> 19.011.0045-C </t>
  </si>
  <si>
    <t>RETIFICADOR DE SOLDA,ELETRICO,DE 430A BOZZI OU SIMILAR</t>
  </si>
  <si>
    <t xml:space="preserve"> 11.011.0023-B </t>
  </si>
  <si>
    <t>CORTE,DOBRAGEM,MONTAGEM E COLOCACAO DE FERRAGENS NA FORMAS,A CO CA-25,EM BARRA REDONDA COM DIAMETRO IGUAL A 6,3MM S SOCIAIS DESONERADOS GOS SOCIAIS DESONERADOS</t>
  </si>
  <si>
    <t xml:space="preserve"> 05204 </t>
  </si>
  <si>
    <t>CONCRETO BOMBEAVEL, UTILIZANDO BRITA 1, DE 30MPA</t>
  </si>
  <si>
    <t xml:space="preserve"> 20134 </t>
  </si>
  <si>
    <t>MAO-DE-OBRA DE SOLDADOR DA CONSTRUCAO CI VIL, INCLUSIVE ENCARGOS SOCIAIS DESONERA DOS</t>
  </si>
  <si>
    <t xml:space="preserve"> 13420 </t>
  </si>
  <si>
    <t>ELETRODO C/DIAM.DE 5MM (3/16"), E-7018-6 G</t>
  </si>
  <si>
    <t>180,00</t>
  </si>
  <si>
    <t xml:space="preserve"> 102274 </t>
  </si>
  <si>
    <t>MARTELO DEMOLIDOR ELÉTRICO, COM POTÊNCIA DE 2.000 W, 1.000 IMPACTOS POR MINUTO, PESO DE 30 KG - CHI DIURNO. AF_01/2021</t>
  </si>
  <si>
    <t xml:space="preserve"> 102275 </t>
  </si>
  <si>
    <t>MARTELO DEMOLIDOR ELÉTRICO, COM POTÊNCIA DE 2.000 W, 1.000 IMPACTOS POR MINUTO, PESO DE 30 KG - CHP DIURNO. AF_01/2021</t>
  </si>
  <si>
    <t>12,00</t>
  </si>
  <si>
    <t xml:space="preserve"> 000047 </t>
  </si>
  <si>
    <t>ENSAIO - ADENSAMENTO DE SOLOS (DNER-IE 005/94 - NBR 16853:2020)</t>
  </si>
  <si>
    <t xml:space="preserve"> 92269 </t>
  </si>
  <si>
    <t>FABRICAÇÃO DE FÔRMA PARA PILARES E ESTRUTURAS SIMILARES, EM MADEIRA SERRADA, E=25 MM. AF_09/2020</t>
  </si>
  <si>
    <t>381,56</t>
  </si>
  <si>
    <t>583,00</t>
  </si>
  <si>
    <t xml:space="preserve"> 92801 </t>
  </si>
  <si>
    <t>CORTE E DOBRA DE AÇO CA-50, DIÂMETRO DE 6,3 MM. AF_06/2022</t>
  </si>
  <si>
    <t>321,00</t>
  </si>
  <si>
    <t>39,00</t>
  </si>
  <si>
    <t>747,00</t>
  </si>
  <si>
    <t>1.979,90</t>
  </si>
  <si>
    <t>1.730,00</t>
  </si>
  <si>
    <t xml:space="preserve"> 00001527 </t>
  </si>
  <si>
    <t>CONCRETO USINADO BOMBEAVEL, CLASSE DE RESISTENCIA C25, BRITA 0 E 1, SLUMP = 100 +/- 20 MM, COM BOMBEAMENTO (DISPONIBILIZACAO DE BOMBA), SEM O LANCAMENTO (NBR 8953)</t>
  </si>
  <si>
    <t>25,31</t>
  </si>
  <si>
    <t xml:space="preserve"> 92272 </t>
  </si>
  <si>
    <t>FABRICAÇÃO DE ESCORAS DE VIGA DO TIPO GARFO, EM MADEIRA. AF_09/2020</t>
  </si>
  <si>
    <t xml:space="preserve"> 92265 </t>
  </si>
  <si>
    <t>FABRICAÇÃO DE FÔRMA PARA VIGAS, EM CHAPA DE MADEIRA COMPENSADA RESINADA, E = 17 MM. AF_09/2020</t>
  </si>
  <si>
    <t xml:space="preserve"> 00006193 </t>
  </si>
  <si>
    <t>TABUA NAO APARELHADA *2,5 X 20* CM, EM MACARANDUBA/MASSARANDUBA, ANGELIM OU EQUIVALENTE DA REGIAO - BRUTA</t>
  </si>
  <si>
    <t>444,10</t>
  </si>
  <si>
    <t>857,20</t>
  </si>
  <si>
    <t>2.007,10</t>
  </si>
  <si>
    <t>141,00</t>
  </si>
  <si>
    <t>1.970,00</t>
  </si>
  <si>
    <t>1.134,30</t>
  </si>
  <si>
    <t>3.670,80</t>
  </si>
  <si>
    <t xml:space="preserve"> 92806 </t>
  </si>
  <si>
    <t>CORTE E DOBRA DE AÇO CA-50, DIÂMETRO DE 20,0 MM. AF_06/2022</t>
  </si>
  <si>
    <t>1.035,00</t>
  </si>
  <si>
    <t xml:space="preserve"> 92267 </t>
  </si>
  <si>
    <t>FABRICAÇÃO DE FÔRMA PARA LAJES, EM CHAPA DE MADEIRA COMPENSADA RESINADA, E = 17 MM. AF_09/2020</t>
  </si>
  <si>
    <t xml:space="preserve"> 00010749 </t>
  </si>
  <si>
    <t>LOCACAO DE ESCORA METALICA TELESCOPICA, COM ALTURA REGULAVEL DE *1,80* A *3,20* M, COM CAPACIDADE DE CARGA DE NO MINIMO 1000 KGF (10 KN), INCLUSO TRIPE E FORCADO</t>
  </si>
  <si>
    <t xml:space="preserve"> 00040270 </t>
  </si>
  <si>
    <t>VIGA DE ESCORAMENTO H20, DE MADEIRA, PESO DE 5,00 A 5,20 KG/M, COM EXTREMIDADES PLASTICAS</t>
  </si>
  <si>
    <t>157,24</t>
  </si>
  <si>
    <t>847,50</t>
  </si>
  <si>
    <t>508,00</t>
  </si>
  <si>
    <t>129,00</t>
  </si>
  <si>
    <t>2.048,00</t>
  </si>
  <si>
    <t>4.619,00</t>
  </si>
  <si>
    <t>43,00</t>
  </si>
  <si>
    <t xml:space="preserve"> 92767 </t>
  </si>
  <si>
    <t>ARMAÇÃO DE LAJE DE ESTRUTURA CONVENCIONAL DE CONCRETO ARMADO UTILIZANDO AÇO CA-60 DE 4,2 MM - MONTAGEM. AF_06/2022</t>
  </si>
  <si>
    <t xml:space="preserve"> 103674 </t>
  </si>
  <si>
    <t>CONCRETAGEM DE VIGAS E LAJES, FCK=25 MPA, PARA LAJES PREMOLDADAS COM USO DE BOMBA - LANÇAMENTO, ADENSAMENTO E ACABAMENTO. AF_02/2022_PS</t>
  </si>
  <si>
    <t xml:space="preserve"> 92273 </t>
  </si>
  <si>
    <t>FABRICAÇÃO DE ESCORAS DO TIPO PONTALETE, EM MADEIRA, PARA PÉ-DIREITO SIMPLES. AF_09/2020</t>
  </si>
  <si>
    <t xml:space="preserve"> 00003737 </t>
  </si>
  <si>
    <t>LAJE PRE-MOLDADA CONVENCIONAL (LAJOTAS + VIGOTAS) PARA PISO, UNIDIRECIONAL, SOBRECARGA DE 350 KG/M2, VAO ATE 4,50 M (SEM COLOCACAO)</t>
  </si>
  <si>
    <t>53,41</t>
  </si>
  <si>
    <t xml:space="preserve"> 00040290 </t>
  </si>
  <si>
    <t>LOCACAO DE FORMA PLASTICA PARA LAJE NERVURADA, DIMENSOES *60* X *60* X *16* CM</t>
  </si>
  <si>
    <t>652,15</t>
  </si>
  <si>
    <t>241,05</t>
  </si>
  <si>
    <t xml:space="preserve"> 101996 </t>
  </si>
  <si>
    <t>FABRICAÇÃO DE FÔRMA PARA ESCADAS, COM 1 LANCE E LAJE PLANA, EM MADEIRA SERRADA, E=25 MM. AF_11/2020</t>
  </si>
  <si>
    <t>1,55</t>
  </si>
  <si>
    <t>105,00</t>
  </si>
  <si>
    <t>414,00</t>
  </si>
  <si>
    <t>0,25</t>
  </si>
  <si>
    <t>28,18</t>
  </si>
  <si>
    <t>3,43</t>
  </si>
  <si>
    <t xml:space="preserve"> 00000034 </t>
  </si>
  <si>
    <t>ACO CA-50, 10,0 MM, VERGALHAO</t>
  </si>
  <si>
    <t>91,00</t>
  </si>
  <si>
    <t xml:space="preserve"> 00043055 </t>
  </si>
  <si>
    <t>ACO CA-50, 12,5 MM OU 16,0 MM, VERGALHAO</t>
  </si>
  <si>
    <t>54,00</t>
  </si>
  <si>
    <t xml:space="preserve"> 88715 </t>
  </si>
  <si>
    <t>ARGAMASSA TRAÇO 1:2:9 (EM VOLUME DE CIMENTO, CAL E AREIA MÉDIA ÚMIDA) PARA EMBOÇO/MASSA ÚNICA/ASSENTAMENTO DE ALVENARIA DE VEDAÇÃO, PREPARO MECÂNICO COM BETONEIRA 400 L. AF_08/2019</t>
  </si>
  <si>
    <t>Argamassas</t>
  </si>
  <si>
    <t xml:space="preserve"> 00038591 </t>
  </si>
  <si>
    <t>BLOCO DE CONCRETO ESTRUTURAL 14 X 19 X 34 CM, FBK 4,5 MPA (NBR 6136)</t>
  </si>
  <si>
    <t xml:space="preserve"> 00025070 </t>
  </si>
  <si>
    <t>BLOCO DE CONCRETO ESTRUTURAL 14 X 19 X 39 CM, FBK 4,5 MPA (NBR 6136)</t>
  </si>
  <si>
    <t xml:space="preserve"> 00038597 </t>
  </si>
  <si>
    <t>CANALETA DE CONCRETO ESTRUTURAL 14 X 19 X 39 CM, FBK 4,5 MPA (NBR 6136)</t>
  </si>
  <si>
    <t xml:space="preserve"> 00038589 </t>
  </si>
  <si>
    <t>MEIO BLOCO DE CONCRETO ESTRUTURAL 14 X 19 X 19 CM, FBK 4,5 MPA (NBR 6136)</t>
  </si>
  <si>
    <t>56,62</t>
  </si>
  <si>
    <t xml:space="preserve"> 88831 </t>
  </si>
  <si>
    <t>BETONEIRA CAPACIDADE NOMINAL DE 400 L, CAPACIDADE DE MISTURA 280 L, MOTOR ELÉTRICO TRIFÁSICO POTÊNCIA DE 2 CV, SEM CARREGADOR - CHI DIURNO. AF_05/2023</t>
  </si>
  <si>
    <t xml:space="preserve"> 88830 </t>
  </si>
  <si>
    <t>BETONEIRA CAPACIDADE NOMINAL DE 400 L, CAPACIDADE DE MISTURA 280 L, MOTOR ELÉTRICO TRIFÁSICO POTÊNCIA DE 2 CV, SEM CARREGADOR - CHP DIURNO. AF_05/2023</t>
  </si>
  <si>
    <t xml:space="preserve"> 88377 </t>
  </si>
  <si>
    <t>OPERADOR DE BETONEIRA ESTACIONÁRIA/MISTURADOR COM ENCARGOS COMPLEMENTARES</t>
  </si>
  <si>
    <t xml:space="preserve"> 00000132 </t>
  </si>
  <si>
    <t>ADITIVO PLASTIFICANTE RETARDADOR DE PEGA E REDUTOR DE AGUA PARA CONCRETO, LIQUIDO E ISENTO DE CLORETOS</t>
  </si>
  <si>
    <t xml:space="preserve"> 00000367 </t>
  </si>
  <si>
    <t>AREIA GROSSA - POSTO JAZIDA/FORNECEDOR (RETIRADO NA JAZIDA, SEM TRANSPORTE)</t>
  </si>
  <si>
    <t xml:space="preserve"> 00004720 </t>
  </si>
  <si>
    <t>PEDRA BRITADA N. 0, OU PEDRISCO (4,8 A 9,5 MM) POSTO PEDREIRA/FORNECEDOR, SEM FRETE</t>
  </si>
  <si>
    <t xml:space="preserve"> 00001379 </t>
  </si>
  <si>
    <t>CIMENTO PORTLAND COMPOSTO CP II-32</t>
  </si>
  <si>
    <t xml:space="preserve"> 94973 </t>
  </si>
  <si>
    <t>CONCRETO FCK = 40MPA, TRAÇO 1:1,6:1,9 (EM MASSA SECA DE CIMENTO/ AREIA MÉDIA/ BRITA 1) - PREPARO MECÂNICO COM BETONEIRA 600 L. AF_05/2021</t>
  </si>
  <si>
    <t xml:space="preserve"> 92266 </t>
  </si>
  <si>
    <t>FABRICAÇÃO DE FÔRMA PARA VIGAS, EM CHAPA DE MADEIRA COMPENSADA PLASTIFICADA, E = 18 MM. AF_09/2020</t>
  </si>
  <si>
    <t xml:space="preserve"> 00010917 </t>
  </si>
  <si>
    <t>TELA DE ACO SOLDADA NERVURADA, CA-60, Q-61, (0,97 KG/M2), DIAMETRO DO FIO = 3,4 MM, LARGURA = 2,45 M, ESPACAMENTO DA MALHA = 15 X 15 CM</t>
  </si>
  <si>
    <t>678,00</t>
  </si>
  <si>
    <t xml:space="preserve"> 87292 </t>
  </si>
  <si>
    <t>ARGAMASSA TRAÇO 1:2:8 (EM VOLUME DE CIMENTO, CAL E AREIA MÉDIA ÚMIDA) PARA EMBOÇO/MASSA ÚNICA/ASSENTAMENTO DE ALVENARIA DE VEDAÇÃO, PREPARO MECÂNICO COM BETONEIRA 400 L. AF_08/2019</t>
  </si>
  <si>
    <t xml:space="preserve"> 00034599 </t>
  </si>
  <si>
    <t>BLOCO DE VEDACAO CONCRETO APARENTE 9 X 19 X 39 CM (CLASSE C - NBR 6136)</t>
  </si>
  <si>
    <t xml:space="preserve"> 00034557 </t>
  </si>
  <si>
    <t>TELA DE ACO SOLDADA GALVANIZADA/ZINCADA PARA ALVENARIA, FIO D = *1,20 A 1,70* MM, MALHA 15 X 15 MM, (C X L) *50 X 7,5* CM</t>
  </si>
  <si>
    <t xml:space="preserve"> 00037395 </t>
  </si>
  <si>
    <t>PINO DE ACO COM FURO, HASTE = 27 MM (ACAO DIRETA)</t>
  </si>
  <si>
    <t>CENTO</t>
  </si>
  <si>
    <t>27,62</t>
  </si>
  <si>
    <t xml:space="preserve"> 00007268 </t>
  </si>
  <si>
    <t>BLOCO CERAMICO / TIJOLO VAZADO PARA ALVENARIA DE VEDACAO, 8 FUROS NA HORIZONTAL DE 9 X 19 X 29 CM (L X A X C)</t>
  </si>
  <si>
    <t>66,62</t>
  </si>
  <si>
    <t xml:space="preserve"> 54.001.0178-B </t>
  </si>
  <si>
    <t>PINUS EM PECAS DE 2,50X22,50CM, (1"X9")</t>
  </si>
  <si>
    <t xml:space="preserve"> 19.005.0007-C </t>
  </si>
  <si>
    <t>DUMPER,CARGA SOLIDA DE 1.000L,INCLUSIVE OPERADOR BA DE (1300X1660X780)MM, CARGA SOLIDA DE 1000L -4, GRAU SAE 20W-40 RADIAIS, 145/80R13 OMPACTADOR LEVE...), INCLUSIVE ENCARGOS SOCIAIS DESONERADOS</t>
  </si>
  <si>
    <t xml:space="preserve"> 07.002.0025-B </t>
  </si>
  <si>
    <t>ARGAMASSA DE CIMENTO E AREIA,NO TRACO 1:3,PREPARO MECANICO NEIRO E ABNT NBR 16697 OMPACTADOR LEVE...), INCLUSIVE ENCARGOS SOCIAIS DESONERADOS GOS SOCIAIS DESONERADOS</t>
  </si>
  <si>
    <t xml:space="preserve"> 19.005.0007-E </t>
  </si>
  <si>
    <t>DUMPER,CARGA SOLIDA DE 1.000L,INCLUSIVE OPERADOR BA DE (1300X1660X780)MM, CARGA SOLIDA DE 1000L OMPACTADOR LEVE...), INCLUSIVE ENCARGOS SOCIAIS DESONERADOS</t>
  </si>
  <si>
    <t xml:space="preserve"> 07172 </t>
  </si>
  <si>
    <t>BLOCO ESTRUTURAL CERAMICO, COMUM, COM FU ROS NA VERTICAL, DE (14X19X29)CM</t>
  </si>
  <si>
    <t xml:space="preserve"> 20115 </t>
  </si>
  <si>
    <t>MAO-DE-OBRA DE PEDREIRO, INCLUSIVE ENCAR GOS SOCIAIS DESONERADOS</t>
  </si>
  <si>
    <t xml:space="preserve"> 00014 </t>
  </si>
  <si>
    <t>ACO CA-60, ESTIRADO, PRECO DE REVENDEDOR , NO DIAMETRO DE 05,0MM</t>
  </si>
  <si>
    <t>39,30</t>
  </si>
  <si>
    <t xml:space="preserve"> 100489 </t>
  </si>
  <si>
    <t>ARGAMASSA TRAÇO 1:3 (EM VOLUME DE CIMENTO E AREIA MÉDIA ÚMIDA), PREPARO MECÂNICO COM BETONEIRA 600 L. AF_08/2019</t>
  </si>
  <si>
    <t xml:space="preserve"> 00000665 </t>
  </si>
  <si>
    <t>ELEMENTO VAZADO DE CONCRETO, QUADRICULADO, 16 FUROS *50 X 50 X 7* CM</t>
  </si>
  <si>
    <t>713,69</t>
  </si>
  <si>
    <t xml:space="preserve"> 88261 </t>
  </si>
  <si>
    <t>CARPINTEIRO DE ESQUADRIAS COM ENCARGOS COMPLEMENTARES</t>
  </si>
  <si>
    <t xml:space="preserve"> COT-01 </t>
  </si>
  <si>
    <t>PLACA CIMENTÍCIA 4MM DE ESPESSURA. 1,20 X 2,40M</t>
  </si>
  <si>
    <t xml:space="preserve"> 00011 </t>
  </si>
  <si>
    <t>CANTONEIRA DE ACO DOCE, P/SERRALHERIA, P RECO DE REVENDEDOR, DE 5/8"X1/8" ATE 1.1 /2"X1/8"</t>
  </si>
  <si>
    <t xml:space="preserve"> 05906 </t>
  </si>
  <si>
    <t>PARAFUSO FERRO, ROSCA SOBERBA, CABECA CH ATA, DE (3,8X30)MM</t>
  </si>
  <si>
    <t xml:space="preserve"> 05880 </t>
  </si>
  <si>
    <t>BUCHA DE NYLON, TIPO S-05</t>
  </si>
  <si>
    <t>374,26</t>
  </si>
  <si>
    <t xml:space="preserve"> 005598 </t>
  </si>
  <si>
    <t>PLACA CIMENTICIA PARA STEEL FRAME BRASILIT LISA E = 4mm, DE 1,20m x 2,40m COM REBAIXO</t>
  </si>
  <si>
    <t>65,89</t>
  </si>
  <si>
    <t xml:space="preserve"> 012604 </t>
  </si>
  <si>
    <t>DIVISORIA PAINEL/VIDRO - PAINEL MSO/COMEIA E=35MM COLOCADA</t>
  </si>
  <si>
    <t>196,99</t>
  </si>
  <si>
    <t xml:space="preserve"> 00037586 </t>
  </si>
  <si>
    <t>PINO DE ACO COM ARRUELA CONICA, DIAMETRO ARRUELA = *23* MM E COMP HASTE = *27* MM (ACAO INDIRETA)</t>
  </si>
  <si>
    <t xml:space="preserve"> 00039432 </t>
  </si>
  <si>
    <t>FITA DE PAPEL REFORCADA COM LAMINA DE METAL PARA REFORCO DE CANTOS DE CHAPA DE GESSO PARA DRYWALL</t>
  </si>
  <si>
    <t xml:space="preserve"> 00039434 </t>
  </si>
  <si>
    <t>MASSA DE REJUNTE EM PO PARA DRYWALL, A BASE DE GESSO, SECAGEM RAPIDA, PARA TRATAMENTO DE JUNTAS DE CHAPA DE GESSO (NECESSITA ADICAO DE AGUA)</t>
  </si>
  <si>
    <t xml:space="preserve"> 00039443 </t>
  </si>
  <si>
    <t>PARAFUSO DRY WALL, EM ACO ZINCADO, CABECA LENTILHA E PONTA BROCA (LB), LARGURA 4,2 MM, COMPRIMENTO 13 MM</t>
  </si>
  <si>
    <t xml:space="preserve"> 00039431 </t>
  </si>
  <si>
    <t>FITA DE PAPEL MICROPERFURADO, 50 X 150 MM, PARA TRATAMENTO DE JUNTAS DE CHAPA DE GESSO PARA DRYWALL</t>
  </si>
  <si>
    <t xml:space="preserve"> 00039422 </t>
  </si>
  <si>
    <t>PERFIL MONTANTE, FORMATO C, EM ACO ZINCADO, PARA ESTRUTURA PAREDE DRYWALL, E = 0,5 MM, 70 X 3000 MM (L X C)</t>
  </si>
  <si>
    <t xml:space="preserve"> 00039419 </t>
  </si>
  <si>
    <t>PERFIL GUIA, FORMATO U, EM ACO ZINCADO, PARA ESTRUTURA PAREDE DRYWALL, E = 0,5 MM, 70 X 3000 MM (L X C)</t>
  </si>
  <si>
    <t xml:space="preserve"> 00039413 </t>
  </si>
  <si>
    <t>PLACA / CHAPA DE GESSO ACARTONADO, STANDARD (ST), COR BRANCA, E = 12,5 MM, 1200 X 2400 MM (L X C)</t>
  </si>
  <si>
    <t xml:space="preserve"> 00039435 </t>
  </si>
  <si>
    <t>PARAFUSO DRY WALL, EM ACO FOSFATIZADO, CABECA TROMBETA E PONTA AGULHA (TA), COMPRIMENTO 25 MM</t>
  </si>
  <si>
    <t xml:space="preserve"> 00039437 </t>
  </si>
  <si>
    <t>PARAFUSO DRY WALL, EM ACO FOSFATIZADO, CABECA TROMBETA E PONTA AGULHA (TA), COMPRIMENTO 45 MM</t>
  </si>
  <si>
    <t>277,60</t>
  </si>
  <si>
    <t>24,36</t>
  </si>
  <si>
    <t xml:space="preserve"> 21.050.0045-A </t>
  </si>
  <si>
    <t>CHUMBADOR DE ACO INOXIDAVEL 304,TEC BOLT,TBM 12.100,COMPRIME NTO DE 96MM E DIAMETRO DE 1/2",COM ARRUELA LISA E DE PRESSAO E PORCA,TECNART OU SIMILAR.FORNECIMENTO OM COMPRIMENTO DE 96MM, DIAMETRO DE 1/2"</t>
  </si>
  <si>
    <t xml:space="preserve"> 88242 </t>
  </si>
  <si>
    <t>AJUDANTE DE PEDREIRO COM ENCARGOS COMPLEMENTARES</t>
  </si>
  <si>
    <t>652,00</t>
  </si>
  <si>
    <t xml:space="preserve"> 00044074 </t>
  </si>
  <si>
    <t>PRIMER DE POLIURETANO</t>
  </si>
  <si>
    <t xml:space="preserve"> 00044073 </t>
  </si>
  <si>
    <t>TARUGO DELIMITADOR DE PROFUNDIDADE EM ESPUMA DE POLIETILENO DE BAIXA DENSIDADE 10 MM, CINZA</t>
  </si>
  <si>
    <t xml:space="preserve"> 00000142 </t>
  </si>
  <si>
    <t>SELANTE ELASTICO MONOCOMPONENTE A BASE DE POLIURETANO (PU) PARA JUNTAS DIVERSAS</t>
  </si>
  <si>
    <t>310ML</t>
  </si>
  <si>
    <t>1.835,88</t>
  </si>
  <si>
    <t xml:space="preserve"> 20131 </t>
  </si>
  <si>
    <t>MAO-DE-OBRA DE SERRALHEIRO DA CONSTRUCAO  CIVIL, INCLUSIVE ENCARGOS SOCIAIS DESON ERADOS</t>
  </si>
  <si>
    <t xml:space="preserve"> 00022 </t>
  </si>
  <si>
    <t>ALUMINIO EM PERFIL TUBULAR EXTRUDADO, LI GA COMUM</t>
  </si>
  <si>
    <t>1,44</t>
  </si>
  <si>
    <t xml:space="preserve"> 00039961 </t>
  </si>
  <si>
    <t>SILICONE ACETICO USO GERAL INCOLOR 280 G</t>
  </si>
  <si>
    <t xml:space="preserve"> 00004377 </t>
  </si>
  <si>
    <t>PARAFUSO DE ACO ZINCADO COM ROSCA SOBERBA, CABECA CHATA E FENDA SIMPLES, DIAMETRO 4,2 MM, COMPRIMENTO * 32 * MM</t>
  </si>
  <si>
    <t xml:space="preserve"> 00034381 </t>
  </si>
  <si>
    <t>JANELA MAXIM-AR, EM ALUMINIO PERFIL 25, 60 X 80 CM (A X L), ACABAMENTO BRANCO OU BRILHANTE, BATENTE DE 4 A 5 CM, COM VIDRO 4 MM, SEM GUARNICAO/ALIZAR</t>
  </si>
  <si>
    <t>112,72</t>
  </si>
  <si>
    <t xml:space="preserve"> 099661 </t>
  </si>
  <si>
    <t>AJUDANTE ESPECIALIZADO - VIDRACEIRO</t>
  </si>
  <si>
    <t xml:space="preserve"> 012736 </t>
  </si>
  <si>
    <t>FECHADURA PARA PORTA DE VIDRO COM 2 FUROS 2 FLS PVF2I AGL</t>
  </si>
  <si>
    <t xml:space="preserve"> 017179 </t>
  </si>
  <si>
    <t>VIDRO LAMINADO INCOLOR 8mm (2 x 4mm)</t>
  </si>
  <si>
    <t xml:space="preserve"> 099537 </t>
  </si>
  <si>
    <t>VIDRACEIRO</t>
  </si>
  <si>
    <t>14,34</t>
  </si>
  <si>
    <t xml:space="preserve"> 88629 </t>
  </si>
  <si>
    <t>ARGAMASSA TRAÇO 1:3 (EM VOLUME DE CIMENTO E AREIA MÉDIA ÚMIDA), PREPARO MANUAL. AF_08/2019</t>
  </si>
  <si>
    <t xml:space="preserve"> 00039485 </t>
  </si>
  <si>
    <t>KIT PORTA PRONTA DE MADEIRA, FOLHA LEVE (NBR 15930) DE 900 X 2100 MM, DE 35 MM A 40 MM DE ESPESSURA, COM MARCO EM ACO, NUCLEO COLMEIA, CAPA LISA EM HDF, ACABAMENTO MELAMINICO BRANCO (INCLUI MARCO, ALIZARES, DOBRADICAS E FECHADURA)</t>
  </si>
  <si>
    <t>5,00</t>
  </si>
  <si>
    <t>9,45</t>
  </si>
  <si>
    <t xml:space="preserve"> 88315 </t>
  </si>
  <si>
    <t>SERRALHEIRO COM ENCARGOS COMPLEMENTARES</t>
  </si>
  <si>
    <t xml:space="preserve"> 88251 </t>
  </si>
  <si>
    <t>AUXILIAR DE SERRALHEIRO COM ENCARGOS COMPLEMENTARES</t>
  </si>
  <si>
    <t xml:space="preserve"> 00004948 </t>
  </si>
  <si>
    <t>PORTAO DE ABRIR / GIRO, EM GRADIL DE METALON REDONDO DE 3/4" VERTICAL, COM REQUADRO, ACABAMENTO NATURAL - COMPLETO</t>
  </si>
  <si>
    <t>17,37</t>
  </si>
  <si>
    <t xml:space="preserve"> 88325 </t>
  </si>
  <si>
    <t>VIDRACEIRO COM ENCARGOS COMPLEMENTARES</t>
  </si>
  <si>
    <t xml:space="preserve"> 88243 </t>
  </si>
  <si>
    <t>AJUDANTE ESPECIALIZADO COM ENCARGOS COMPLEMENTARES</t>
  </si>
  <si>
    <t xml:space="preserve"> 00003103 </t>
  </si>
  <si>
    <t>FECHADURA PARA PORTA PIVOTANTE DE VIDRO TEMPERADO, EM ACO INOX COM ACABAMENTO CROMADO, RECORTE PADRAO SANTA MARINA, COM CILINDRO EM LATAO, INCLUINDO CHAVE TIPO CILINDRO</t>
  </si>
  <si>
    <t xml:space="preserve"> 00010496 </t>
  </si>
  <si>
    <t>VIDRO COMUM LAMINADO, LISO, INCOLOR, DUPLO, ESPESSURA TOTAL 6 MM (CADA CAMADA E= 3 MM) - COLOCADO</t>
  </si>
  <si>
    <t>Serviços</t>
  </si>
  <si>
    <t>30,00</t>
  </si>
  <si>
    <t xml:space="preserve"> 099662 </t>
  </si>
  <si>
    <t>AJUDANTE DE SERRALHEIRO</t>
  </si>
  <si>
    <t xml:space="preserve"> 010099 </t>
  </si>
  <si>
    <t>PORTA ACUSTICA METALICA COM ISOLAMENTO 0,80x2,10 COMPLETA VILA BARBARA</t>
  </si>
  <si>
    <t xml:space="preserve"> 099230 </t>
  </si>
  <si>
    <t>SERRALHEIRO</t>
  </si>
  <si>
    <t xml:space="preserve"> 012737 </t>
  </si>
  <si>
    <t>DOBRADICA LATAO CROMADO 3"x2.1/2" UNIAO MUNDIAL</t>
  </si>
  <si>
    <t xml:space="preserve"> 099449 </t>
  </si>
  <si>
    <t>AJUDANTE DE CARPINTEIRO</t>
  </si>
  <si>
    <t xml:space="preserve"> 012724 </t>
  </si>
  <si>
    <t>FECHADURA 982 ESCOVADA COM ROSETA LA FONTE</t>
  </si>
  <si>
    <t xml:space="preserve"> 099360 </t>
  </si>
  <si>
    <t>CARPINTEIRO DE ESQUADRIA</t>
  </si>
  <si>
    <t xml:space="preserve"> 000769 </t>
  </si>
  <si>
    <t>PORTA MADEIRA LISA PINTURA 0,60x2,10m</t>
  </si>
  <si>
    <t xml:space="preserve"> 026233 </t>
  </si>
  <si>
    <t>MAO DE OBRA PARA INSTALACAO DE BRISE</t>
  </si>
  <si>
    <t xml:space="preserve"> 028592 </t>
  </si>
  <si>
    <t>ESTRUTURA METALICA GALVANIZADA PARA FIXACAO DE ACM OU BRISE</t>
  </si>
  <si>
    <t xml:space="preserve"> 020089 </t>
  </si>
  <si>
    <t>BRISE METALICO EM CHAPA MICROPERFURADA PRE-PINTADA LC100 REFA</t>
  </si>
  <si>
    <t>118,60</t>
  </si>
  <si>
    <t xml:space="preserve"> 00036888 </t>
  </si>
  <si>
    <t>GUARNICAO / MOLDURA / ARREMATE DE ACABAMENTO PARA ESQUADRIA, EM ALUMINIO PERFIL 25, ACABAMENTO ANODIZADO BRANCO OU BRILHANTE, PARA 1 FACE</t>
  </si>
  <si>
    <t>86,94</t>
  </si>
  <si>
    <t xml:space="preserve"> 10790 </t>
  </si>
  <si>
    <t>PLACA DE GRANITO CINZA ANDORINHA, PARA D IVISORIA, 2CM DE ESPESSURA</t>
  </si>
  <si>
    <t>25,50</t>
  </si>
  <si>
    <t xml:space="preserve"> 00038383 </t>
  </si>
  <si>
    <t>LIXA D'AGUA EM FOLHA, COR PRETA, GRAO 100</t>
  </si>
  <si>
    <t xml:space="preserve"> 00009867 </t>
  </si>
  <si>
    <t>TUBO PVC, SOLDAVEL, DE 20 MM, AGUA FRIA (NBR-5648)</t>
  </si>
  <si>
    <t>171,00</t>
  </si>
  <si>
    <t xml:space="preserve"> 00009869 </t>
  </si>
  <si>
    <t>TUBO PVC, SOLDAVEL, DE 32 MM, AGUA FRIA (NBR-5648)</t>
  </si>
  <si>
    <t>218,00</t>
  </si>
  <si>
    <t xml:space="preserve"> 00009874 </t>
  </si>
  <si>
    <t>TUBO PVC, SOLDAVEL, DE 40 MM, AGUA FRIA (NBR-5648)</t>
  </si>
  <si>
    <t xml:space="preserve"> 00020083 </t>
  </si>
  <si>
    <t>SOLUCAO PREPARADORA / LIMPADORA PARA PVC, FRASCO COM 1000 CM3</t>
  </si>
  <si>
    <t xml:space="preserve"> 00000122 </t>
  </si>
  <si>
    <t>ADESIVO PLASTICO PARA PVC, FRASCO COM *850* GR</t>
  </si>
  <si>
    <t xml:space="preserve"> 00003873 </t>
  </si>
  <si>
    <t>LUVA DE CORRER PARA TUBO SOLDAVEL, PVC, 25 MM, PARA AGUA FRIA PREDIAL</t>
  </si>
  <si>
    <t xml:space="preserve"> 00038021 </t>
  </si>
  <si>
    <t>LUVA DE CORRER PARA TUBO SOLDAVEL, PVC, 32 MM, PARA AGUA FRIA PREDIAL</t>
  </si>
  <si>
    <t xml:space="preserve"> 00043838 </t>
  </si>
  <si>
    <t>LUVA DE CORRER PARA TUBO SOLDAVEL, PVC, 40 MM, PARA AGUA FRIA PREDIAL</t>
  </si>
  <si>
    <t xml:space="preserve"> 00003542 </t>
  </si>
  <si>
    <t>JOELHO PVC, SOLDAVEL, 90 GRAUS, 20 MM, COR MARROM, PARA AGUA FRIA PREDIAL</t>
  </si>
  <si>
    <t>9,00</t>
  </si>
  <si>
    <t>37,00</t>
  </si>
  <si>
    <t xml:space="preserve"> 00003536 </t>
  </si>
  <si>
    <t>JOELHO PVC, SOLDAVEL, 90 GRAUS, 32 MM, COR MARROM, PARA AGUA FRIA PREDIAL</t>
  </si>
  <si>
    <t>11,00</t>
  </si>
  <si>
    <t xml:space="preserve"> 00003535 </t>
  </si>
  <si>
    <t>JOELHO PVC, SOLDAVEL, 90 GRAUS, 40 MM, COR MARROM, PARA AGUA FRIA PREDIAL</t>
  </si>
  <si>
    <t xml:space="preserve"> 00003502 </t>
  </si>
  <si>
    <t>JOELHO, PVC SOLDAVEL, 45 GRAUS, 40 MM, COR MARROM, PARA AGUA FRIA PREDIAL</t>
  </si>
  <si>
    <t xml:space="preserve"> 00020147 </t>
  </si>
  <si>
    <t>JOELHO PVC, SOLDAVEL, COM BUCHA DE LATAO, 90 GRAUS, 25 MM X 1/2", PARA AGUA FRIA PREDIAL</t>
  </si>
  <si>
    <t xml:space="preserve"> 00038925 </t>
  </si>
  <si>
    <t>JOELHO/COTOVELO 90 GRAUS, ROSCA FEMEA TERMINAL, METALICO, PARA CONEXAO COM ANEL DESLIZANTE, DN 20 MM X 1/2", EM TUBO PEX PARA INST. AGUA QUENTE/FRIA</t>
  </si>
  <si>
    <t xml:space="preserve"> 00003148 </t>
  </si>
  <si>
    <t>FITA VEDA ROSCA, EM PTFE, ROLO DE 18 MM X 50 M (L X C)</t>
  </si>
  <si>
    <t>20,00</t>
  </si>
  <si>
    <t xml:space="preserve"> 00007136 </t>
  </si>
  <si>
    <t>TE DE REDUCAO, PVC, SOLDAVEL, 90 GRAUS, 32 MM X 25 MM, PARA AGUA FRIA PREDIAL</t>
  </si>
  <si>
    <t>4,00</t>
  </si>
  <si>
    <t xml:space="preserve"> 00007128 </t>
  </si>
  <si>
    <t>TE DE REDUCAO, PVC, SOLDAVEL, 90 GRAUS, 40 MM X 32 MM, PARA AGUA FRIA PREDIAL</t>
  </si>
  <si>
    <t xml:space="preserve"> 00007141 </t>
  </si>
  <si>
    <t>TE SOLDAVEL, PVC, 90 GRAUS, 40 MM, PARA AGUA FRIA PREDIAL (NBR 5648)</t>
  </si>
  <si>
    <t xml:space="preserve"> 00007139 </t>
  </si>
  <si>
    <t>TE SOLDAVEL, PVC, 90 GRAUS, 25 MM, PARA AGUA FRIA PREDIAL (NBR 5648)</t>
  </si>
  <si>
    <t>15,00</t>
  </si>
  <si>
    <t xml:space="preserve"> 00007140 </t>
  </si>
  <si>
    <t>TE SOLDAVEL, PVC, 90 GRAUS, 32 MM, PARA AGUA FRIA PREDIAL (NBR 5648)</t>
  </si>
  <si>
    <t xml:space="preserve"> 00007104 </t>
  </si>
  <si>
    <t>TE DE REDUCAO, PVC, SOLDAVEL, 90 GRAUS, 25 MM X 20 MM, PARA AGUA FRIA PREDIAL</t>
  </si>
  <si>
    <t>8,00</t>
  </si>
  <si>
    <t xml:space="preserve"> 00007137 </t>
  </si>
  <si>
    <t>TE PVC, SOLDAVEL, COM BUCHA DE LATAO NA BOLSA CENTRAL, 90 GRAUS, 25 MM X 1/2", PARA AGUA FRIA PREDIAL</t>
  </si>
  <si>
    <t>3,00</t>
  </si>
  <si>
    <t xml:space="preserve"> 00000828 </t>
  </si>
  <si>
    <t>BUCHA DE REDUCAO DE PVC, SOLDAVEL, CURTA, COM 25 X 20 MM, PARA AGUA FRIA PREDIAL</t>
  </si>
  <si>
    <t xml:space="preserve"> 00000829 </t>
  </si>
  <si>
    <t>BUCHA DE REDUCAO DE PVC, SOLDAVEL, CURTA, COM 32 X 25 MM, PARA AGUA FRIA PREDIAL</t>
  </si>
  <si>
    <t xml:space="preserve"> 00000096 </t>
  </si>
  <si>
    <t>ADAPTADOR PVC SOLDAVEL, COM FLANGE E ANEL DE VEDACAO, 25 MM X 3/4", PARA CAIXA D'AGUA</t>
  </si>
  <si>
    <t xml:space="preserve"> 00000097 </t>
  </si>
  <si>
    <t>ADAPTADOR PVC SOLDAVEL, COM FLANGE E ANEL DE VEDACAO, 32 MM X 1", PARA CAIXA D'AGUA</t>
  </si>
  <si>
    <t xml:space="preserve"> 00000098 </t>
  </si>
  <si>
    <t>ADAPTADOR PVC SOLDAVEL, COM FLANGE E ANEL DE VEDACAO, 40 MM X 1 1/4", PARA CAIXA D'AGUA</t>
  </si>
  <si>
    <t xml:space="preserve"> 00006005 </t>
  </si>
  <si>
    <t>REGISTRO GAVETA COM ACABAMENTO E CANOPLA CROMADOS, SIMPLES, BITOLA 3/4"</t>
  </si>
  <si>
    <t>19,00</t>
  </si>
  <si>
    <t xml:space="preserve"> 00006013 </t>
  </si>
  <si>
    <t>REGISTRO GAVETA COM ACABAMENTO E CANOPLA CROMADOS, SIMPLES, BITOLA 1"</t>
  </si>
  <si>
    <t xml:space="preserve"> 00006014 </t>
  </si>
  <si>
    <t>REGISTRO GAVETA COM ACABAMENTO E CANOPLA CROMADOS, SIMPLES, BITOLA 1 1/4"</t>
  </si>
  <si>
    <t xml:space="preserve"> 00034640 </t>
  </si>
  <si>
    <t>CAIXA D'AGUA / RESERVATORIO EM POLIETILENO, 2000 LITROS, COM TAMPA</t>
  </si>
  <si>
    <t xml:space="preserve"> 00007602 </t>
  </si>
  <si>
    <t>TORNEIRA DE METAL AMARELO, PARA TANQUE / JARDIM, DE PAREDE, COM BICO PLASTICO, CANO CURTO, AREA EXTERNA, PADRAO POPULAR / USO GERAL, 1/2" OU 3/4"</t>
  </si>
  <si>
    <t xml:space="preserve"> 00003146 </t>
  </si>
  <si>
    <t>FITA VEDA ROSCA, EM PTFE, ROLO DE 18 MM X 10 M (L X C)</t>
  </si>
  <si>
    <t xml:space="preserve"> RV 04.10.0450 </t>
  </si>
  <si>
    <t>Argamassa de cimento, saibro e areia, no traco 1:2:2.(desonerado)</t>
  </si>
  <si>
    <t xml:space="preserve"> MOD902150 </t>
  </si>
  <si>
    <t>Pedreiro: assentamento de tijolo, bloco de concreto, alvenaria de pedra, servicos de lancamento de concreto (desonerado)</t>
  </si>
  <si>
    <t>h</t>
  </si>
  <si>
    <t xml:space="preserve"> MAT135950 </t>
  </si>
  <si>
    <t>Tijolo macico, de (5,5x9,5x19,5)cm</t>
  </si>
  <si>
    <t xml:space="preserve"> EVE000050 </t>
  </si>
  <si>
    <t>3% incidente sobre mao de obra direta com Encargos Sociais para cobrir despesas relativa a equipamentos de protecao individual, uniformes e ferramentas</t>
  </si>
  <si>
    <t>Verba</t>
  </si>
  <si>
    <t xml:space="preserve"> MOD902450 </t>
  </si>
  <si>
    <t>Servente (desonerado)</t>
  </si>
  <si>
    <t>3,60</t>
  </si>
  <si>
    <t xml:space="preserve"> 07.002.0030-B </t>
  </si>
  <si>
    <t>ARGAMASSA DE CIMENTO E AREIA,NO TRACO 1:4,PREPARO MECANICO NEIRO E ABNT NBR 16697 OMPACTADOR LEVE...), INCLUSIVE ENCARGOS SOCIAIS DESONERADOS GOS SOCIAIS DESONERADOS</t>
  </si>
  <si>
    <t xml:space="preserve"> 00508 </t>
  </si>
  <si>
    <t>TAMPAO DE FERRO FUNDIDO NODULAR MISTO, A RTICULADO, DIAMETRO DE 60CM, TIPO LEVE</t>
  </si>
  <si>
    <t xml:space="preserve"> 00006016 </t>
  </si>
  <si>
    <t>REGISTRO GAVETA BRUTO EM LATAO FORJADO, BITOLA 3/4"</t>
  </si>
  <si>
    <t xml:space="preserve"> 00000065 </t>
  </si>
  <si>
    <t>ADAPTADOR PVC SOLDAVEL CURTO COM BOLSA E ROSCA, 25 MM X 3/4", PARA AGUA FRIA</t>
  </si>
  <si>
    <t>7,00</t>
  </si>
  <si>
    <t xml:space="preserve"> 88247 </t>
  </si>
  <si>
    <t>AUXILIAR DE ELETRICISTA COM ENCARGOS COMPLEMENTARES</t>
  </si>
  <si>
    <t xml:space="preserve"> 88264 </t>
  </si>
  <si>
    <t>ELETRICISTA COM ENCARGOS COMPLEMENTARES</t>
  </si>
  <si>
    <t xml:space="preserve"> COT-03 </t>
  </si>
  <si>
    <t>Pressurizador de Água 120W</t>
  </si>
  <si>
    <t xml:space="preserve"> MOD002450 </t>
  </si>
  <si>
    <t>Servente</t>
  </si>
  <si>
    <t>117,26</t>
  </si>
  <si>
    <t xml:space="preserve"> 00009835 </t>
  </si>
  <si>
    <t>TUBO PVC SERIE NORMAL, DN 40 MM, PARA ESGOTO PREDIAL (NBR 5688)</t>
  </si>
  <si>
    <t xml:space="preserve"> 00009838 </t>
  </si>
  <si>
    <t>TUBO PVC SERIE NORMAL, DN 50 MM, PARA ESGOTO PREDIAL (NBR 5688)</t>
  </si>
  <si>
    <t>29,00</t>
  </si>
  <si>
    <t xml:space="preserve"> 00009837 </t>
  </si>
  <si>
    <t>TUBO PVC SERIE NORMAL, DN 75 MM, PARA ESGOTO PREDIAL (NBR 5688)</t>
  </si>
  <si>
    <t>33,00</t>
  </si>
  <si>
    <t xml:space="preserve"> 00009836 </t>
  </si>
  <si>
    <t>TUBO PVC SERIE NORMAL, DN 100 MM, PARA ESGOTO PREDIAL (NBR 5688)</t>
  </si>
  <si>
    <t>130,00</t>
  </si>
  <si>
    <t xml:space="preserve"> 00003875 </t>
  </si>
  <si>
    <t>LUVA SIMPLES, PVC, SOLDAVEL, DN 50 MM, SERIE NORMAL, PARA ESGOTO PREDIAL</t>
  </si>
  <si>
    <t>31,00</t>
  </si>
  <si>
    <t xml:space="preserve"> 00003898 </t>
  </si>
  <si>
    <t>LUVA SIMPLES, PVC, SOLDAVEL, DN 75 MM, SERIE NORMAL, PARA ESGOTO PREDIAL</t>
  </si>
  <si>
    <t>24,00</t>
  </si>
  <si>
    <t xml:space="preserve"> 00020078 </t>
  </si>
  <si>
    <t>PASTA LUBRIFICANTE PARA TUBOS E CONEXOES COM JUNTA ELASTICA, EMBALAGEM DE *400* GR (USO EM PVC, ACO, POLIETILENO E OUTROS)</t>
  </si>
  <si>
    <t xml:space="preserve"> 00000301 </t>
  </si>
  <si>
    <t>ANEL BORRACHA PARA TUBO ESGOTO PREDIAL, DN 100 MM (NBR 5688)</t>
  </si>
  <si>
    <t xml:space="preserve"> 00003893 </t>
  </si>
  <si>
    <t>LUVA DE CORRER, PVC, DN 100 MM, PARA ESGOTO PREDIAL</t>
  </si>
  <si>
    <t xml:space="preserve"> 00003518 </t>
  </si>
  <si>
    <t>JOELHO PVC, SOLDAVEL, PB, 45 GRAUS, DN 50 MM, PARA ESGOTO PREDIAL</t>
  </si>
  <si>
    <t xml:space="preserve"> 00000296 </t>
  </si>
  <si>
    <t>ANEL BORRACHA PARA TUBO ESGOTO PREDIAL, DN 50 MM (NBR 5688)</t>
  </si>
  <si>
    <t xml:space="preserve"> 00003528 </t>
  </si>
  <si>
    <t>JOELHO PVC, SOLDAVEL, PB, 45 GRAUS, DN 100 MM, PARA ESGOTO PREDIAL</t>
  </si>
  <si>
    <t xml:space="preserve"> 00003520 </t>
  </si>
  <si>
    <t>JOELHO PVC, SOLDAVEL, PB, 90 GRAUS, DN 100 MM, PARA ESGOTO PREDIAL</t>
  </si>
  <si>
    <t xml:space="preserve"> 00003516 </t>
  </si>
  <si>
    <t>JOELHO PVC, SOLDAVEL, BB, 45 GRAUS, DN 40 MM, PARA ESGOTO PREDIAL</t>
  </si>
  <si>
    <t xml:space="preserve"> 00003517 </t>
  </si>
  <si>
    <t>JOELHO PVC, SOLDAVEL, BB, 90 GRAUS, SEM ANEL, DN 40 MM, PARA ESGOTO PREDIAL SECUNDARIO</t>
  </si>
  <si>
    <t>28,00</t>
  </si>
  <si>
    <t xml:space="preserve"> 00000297 </t>
  </si>
  <si>
    <t>ANEL BORRACHA PARA TUBO ESGOTO PREDIAL, DN 75 MM (NBR 5688)</t>
  </si>
  <si>
    <t xml:space="preserve"> 00003519 </t>
  </si>
  <si>
    <t>JOELHO PVC, SOLDAVEL, PB, 45 GRAUS, DN 75 MM, PARA ESGOTO PREDIAL</t>
  </si>
  <si>
    <t xml:space="preserve"> 00003526 </t>
  </si>
  <si>
    <t>JOELHO PVC, SOLDAVEL, PB, 90 GRAUS, DN 50 MM, PARA ESGOTO PREDIAL</t>
  </si>
  <si>
    <t xml:space="preserve"> 00003509 </t>
  </si>
  <si>
    <t>JOELHO PVC, SOLDAVEL, PB, 90 GRAUS, DN 75 MM, PARA ESGOTO PREDIAL</t>
  </si>
  <si>
    <t xml:space="preserve"> 00003666 </t>
  </si>
  <si>
    <t>JUNCAO SIMPLES, PVC, 45 GRAUS, DN 40 X 40 MM, SERIE NORMAL PARA ESGOTO PREDIAL</t>
  </si>
  <si>
    <t xml:space="preserve"> 00003662 </t>
  </si>
  <si>
    <t>JUNCAO SIMPLES, PVC, 45 GRAUS, DN 50 X 50 MM, SERIE NORMAL PARA ESGOTO PREDIAL</t>
  </si>
  <si>
    <t xml:space="preserve"> 00010908 </t>
  </si>
  <si>
    <t>JUNCAO DE REDUCAO INVERTIDA, PVC SOLDAVEL, 100 X 50 MM, SERIE NORMAL PARA ESGOTO PREDIAL</t>
  </si>
  <si>
    <t xml:space="preserve"> 00020143 </t>
  </si>
  <si>
    <t>JUNCAO SIMPLES, PVC SERIE R, DN 100 X 75 MM, PARA ESGOTO PREDIAL</t>
  </si>
  <si>
    <t xml:space="preserve"> 00000298 </t>
  </si>
  <si>
    <t>ANEL BORRACHA, DN 75 MM, PARA TUBO SERIE REFORCADA ESGOTO PREDIAL</t>
  </si>
  <si>
    <t xml:space="preserve"> 00000299 </t>
  </si>
  <si>
    <t>ANEL BORRACHA, DN 100 MM, PARA TUBO SERIE REFORCADA ESGOTO PREDIAL</t>
  </si>
  <si>
    <t xml:space="preserve"> 00003670 </t>
  </si>
  <si>
    <t>JUNCAO SIMPLES, PVC, 45 GRAUS, DN 100 X 100 MM, SERIE NORMAL PARA ESGOTO PREDIAL</t>
  </si>
  <si>
    <t xml:space="preserve"> 00020086 </t>
  </si>
  <si>
    <t>BUCHA DE REDUCAO DE PVC, SOLDAVEL, LONGA, 50 X 40 MM, PARA ESGOTO PREDIAL</t>
  </si>
  <si>
    <t xml:space="preserve"> 00020045 </t>
  </si>
  <si>
    <t>REDUCAO EXCENTRICA PVC, SERIE R, DN 75 X 50 MM, PARA ESGOTO PREDIAL</t>
  </si>
  <si>
    <t xml:space="preserve"> 00020085 </t>
  </si>
  <si>
    <t>ANEL BORRACHA, DN 50 MM, PARA TUBO SERIE REFORCADA ESGOTO PREDIAL</t>
  </si>
  <si>
    <t xml:space="preserve"> 00007097 </t>
  </si>
  <si>
    <t>TE SANITARIO, PVC, DN 50 X 50 MM, SERIE NORMAL, PARA ESGOTO PREDIAL</t>
  </si>
  <si>
    <t xml:space="preserve"> 00011658 </t>
  </si>
  <si>
    <t>TE SANITARIO, PVC, DN 75 X 75 MM, SERIE NORMAL PARA ESGOTO PREDIAL</t>
  </si>
  <si>
    <t xml:space="preserve"> 00011656 </t>
  </si>
  <si>
    <t>TE SANITARIO DE REDUCAO, PVC, DN 100 X 75 MM, SERIE NORMAL PARA ESGOTO PREDIAL</t>
  </si>
  <si>
    <t xml:space="preserve"> 00011655 </t>
  </si>
  <si>
    <t>TE SANITARIO DE REDUCAO, PVC, DN 100 X 50 MM, SERIE NORMAL, PARA ESGOTO PREDIAL</t>
  </si>
  <si>
    <t xml:space="preserve"> 00011711 </t>
  </si>
  <si>
    <t>RALO SECO CONICO, PVC, 100 X 40 MM, COM GRELHA QUADRADA BRANCA</t>
  </si>
  <si>
    <t xml:space="preserve"> INS-27314307 </t>
  </si>
  <si>
    <t>CAIXA SIFONADA PVC 150X170X75MM</t>
  </si>
  <si>
    <t xml:space="preserve"> 00005103 </t>
  </si>
  <si>
    <t>CAIXA SIFONADA PVC, 100 X 100 X 50 MM, COM GRELHA REDONDA, BRANCA</t>
  </si>
  <si>
    <t xml:space="preserve"> INS-13675595 </t>
  </si>
  <si>
    <t>CAIXA SIFONADA PVC 100X140X50MM</t>
  </si>
  <si>
    <t xml:space="preserve"> 00039319 </t>
  </si>
  <si>
    <t>TERMINAL DE VENTILACAO, 50 MM, SERIE NORMAL, ESGOTO PREDIAL</t>
  </si>
  <si>
    <t xml:space="preserve"> 00039320 </t>
  </si>
  <si>
    <t>TERMINAL DE VENTILACAO, 75 MM, SERIE NORMAL, ESGOTO PREDIAL</t>
  </si>
  <si>
    <t xml:space="preserve"> INS-49891335 </t>
  </si>
  <si>
    <t>CANALETA DE PISO GRELHA EM FERRO FUNDIDO 30X100CM</t>
  </si>
  <si>
    <t xml:space="preserve"> 00010541 </t>
  </si>
  <si>
    <t>CALHA/CANALETA DE CONCRETO SIMPLES, TIPO MEIA CANA, DIAMETRO DE 30 CM, PARA AGUA PLUVIAL</t>
  </si>
  <si>
    <t xml:space="preserve"> 00037595 </t>
  </si>
  <si>
    <t>ARGAMASSA COLANTE TIPO AC III</t>
  </si>
  <si>
    <t>0,80</t>
  </si>
  <si>
    <t xml:space="preserve"> 11.001.0001-B </t>
  </si>
  <si>
    <t>CONCRETO DOSADO RACIONALMENTE PARA UMA RESISTENCIA CARACTERI STICA A COMPRESSAO DE 10MPA,COMPREENDENDO APENAS O FORNECIME NTO DOS MATERIAIS,INCLUSIVE 5% DE PERDAS NEIRO E ABNT NBR 16697 O DE JANEIRO</t>
  </si>
  <si>
    <t xml:space="preserve"> 12.002.0065-B </t>
  </si>
  <si>
    <t>ALVENARIA PARA CAIXAS ENTERRADAS,ATE 0,80M DE PROFUNDIDADE,D E TIJOLOS MACICOS 7X10X20CM,ASSENTES COM ARGAMASSA DE CIMENT O,SAIBRO E AREIA,NO TRACO 1:2:2,EM PAREDES DE UMA VEZ (0,20M ) DOS GOS SOCIAIS DESONERADOS</t>
  </si>
  <si>
    <t xml:space="preserve"> 13.001.0030-B </t>
  </si>
  <si>
    <t>EMBOCO COM ARGAMASSA DE CIMENTO E AREIA,NO TRACO 1:4 COM 1,5 CM DE ESPESSURA,INCLUSIVE CHAPISCO DE CIMENTO E AREIA,NO TRA CO 1:3 DOS GOS SOCIAIS DESONERADOS EIA NO TRACO 1:3</t>
  </si>
  <si>
    <t xml:space="preserve"> 101616 </t>
  </si>
  <si>
    <t>PREPARO DE FUNDO DE VALA COM LARGURA MENOR QUE 1,5 M (ACERTO DO SOLO NATURAL). AF_08/2020</t>
  </si>
  <si>
    <t>Escoramento e Preparo de Fundo de Valas</t>
  </si>
  <si>
    <t xml:space="preserve"> 87316 </t>
  </si>
  <si>
    <t>ARGAMASSA TRAÇO 1:4 (EM VOLUME DE CIMENTO E AREIA GROSSA ÚMIDA) PARA CHAPISCO CONVENCIONAL, PREPARO MECÂNICO COM BETONEIRA 400 L. AF_08/2019</t>
  </si>
  <si>
    <t xml:space="preserve"> 94970 </t>
  </si>
  <si>
    <t>CONCRETO FCK = 20MPA, TRAÇO 1:2,7:3 (EM MASSA SECA DE CIMENTO/ AREIA MÉDIA/ BRITA 1) - PREPARO MECÂNICO COM BETONEIRA 600 L. AF_05/2021</t>
  </si>
  <si>
    <t xml:space="preserve"> 100475 </t>
  </si>
  <si>
    <t>ARGAMASSA TRAÇO 1:3 (EM VOLUME DE CIMENTO E AREIA MÉDIA ÚMIDA) COM ADIÇÃO DE IMPERMEABILIZANTE, PREPARO MECÂNICO COM BETONEIRA 400 L. AF_08/2019</t>
  </si>
  <si>
    <t xml:space="preserve"> 97733 </t>
  </si>
  <si>
    <t>PEÇA RETANGULAR PRÉ-MOLDADA, VOLUME DE CONCRETO DE ATÉ 10 LITROS, TAXA DE AÇO APROXIMADA DE 30KG/M³. AF_03/2024</t>
  </si>
  <si>
    <t>Estruturas Pré-Fabricadas e Pré-Moldadas</t>
  </si>
  <si>
    <t xml:space="preserve"> 00000650 </t>
  </si>
  <si>
    <t>BLOCO DE VEDACAO DE CONCRETO, 9 X 19 X 39 CM (CLASSE C - NBR 6136)</t>
  </si>
  <si>
    <t xml:space="preserve"> 00006138 </t>
  </si>
  <si>
    <t>ANEL DE VEDACAO, PVC FLEXIVEL, 100 MM, PARA SAIDA DE BACIA / VASO SANITARIO</t>
  </si>
  <si>
    <t xml:space="preserve"> 00010422 </t>
  </si>
  <si>
    <t>BACIA SANITARIA (VASO) COM CAIXA ACOPLADA, SIFAO APARENTE, DE LOUCA BRANCA (SEM ASSENTO)</t>
  </si>
  <si>
    <t xml:space="preserve"> 00037329 </t>
  </si>
  <si>
    <t>REJUNTE EPOXI, QUALQUER COR</t>
  </si>
  <si>
    <t xml:space="preserve"> 00004384 </t>
  </si>
  <si>
    <t>PARAFUSO NIQUELADO COM ACABAMENTO CROMADO PARA FIXAR PECA SANITARIA, INCLUI PORCA CEGA, ARRUELA E BUCHA DE NYLON TAMANHO S-10</t>
  </si>
  <si>
    <t xml:space="preserve"> 00004351 </t>
  </si>
  <si>
    <t>PARAFUSO NIQUELADO 3 1/2" COM ACABAMENTO CROMADO PARA FIXAR PECA SANITARIA, INCLUI PORCA CEGA, ARRUELA E BUCHA DE NYLON TAMANHO S-8</t>
  </si>
  <si>
    <t xml:space="preserve"> 00021112 </t>
  </si>
  <si>
    <t>VALVULA DE DESCARGA EM METAL CROMADO PARA MICTORIO COM ACIONAMENTO POR PRESSAO E FECHAMENTO AUTOMATICO</t>
  </si>
  <si>
    <t xml:space="preserve"> 00006142 </t>
  </si>
  <si>
    <t>CONJUNTO DE LIGACAO AJUSTAVEL, PARA VASO / BACIA SANITARIA, EM PLASTICO BRANCO, COM TUBO, CANOPLA E ESPUDE</t>
  </si>
  <si>
    <t xml:space="preserve"> 00010432 </t>
  </si>
  <si>
    <t>MICTORIO INDIVIDUAL, SIFONADO, DE LOUCA BRANCA, SEM COMPLEMENTOS</t>
  </si>
  <si>
    <t xml:space="preserve"> 88274 </t>
  </si>
  <si>
    <t>MARMORISTA/GRANITEIRO COM ENCARGOS COMPLEMENTARES</t>
  </si>
  <si>
    <t xml:space="preserve"> 00004823 </t>
  </si>
  <si>
    <t>MASSA PLASTICA PARA MARMORE/GRANITO</t>
  </si>
  <si>
    <t xml:space="preserve"> COT-29 </t>
  </si>
  <si>
    <t>Cuba De Embutir Retangular L375 Branco Deca 48x36cm</t>
  </si>
  <si>
    <t xml:space="preserve"> 00036521 </t>
  </si>
  <si>
    <t>LAVATORIO DE CANTO DE LOUCA BRANCA, SUSPENSO (SEM COLUNA), DIMENSOES *40 X 30* CM (L X C)</t>
  </si>
  <si>
    <t xml:space="preserve"> 86878 </t>
  </si>
  <si>
    <t>VÁLVULA EM METAL CROMADO TIPO AMERICANA 3.1/2" X 1.1/2" PARA PIA - FORNECIMENTO E INSTALAÇÃO. AF_01/2020</t>
  </si>
  <si>
    <t xml:space="preserve"> 86900 </t>
  </si>
  <si>
    <t>CUBA DE EMBUTIR RETANGULAR DE AÇO INOXIDÁVEL, 46 X 30 X 12 CM - FORNECIMENTO E INSTALAÇÃO. AF_01/2020</t>
  </si>
  <si>
    <t xml:space="preserve"> 14789 </t>
  </si>
  <si>
    <t>KIT DE ACESSORIOS PARA FIXACAO, COMPREEN DENDO PARAFUSOS, BUCHAS E ARRUELAS</t>
  </si>
  <si>
    <t xml:space="preserve"> 02355 </t>
  </si>
  <si>
    <t>VALVULA DE ESCOAMENTO, P/LAVATORIO, 1603 , EM METAL CROMADO, DE 1"</t>
  </si>
  <si>
    <t xml:space="preserve"> 02985 </t>
  </si>
  <si>
    <t>RABICHO/LIGAÇAO FLEXIVEL EM METAL CROMAD O COM SAIDA DE 1/2" E COMPRIMENTO DE 30C M</t>
  </si>
  <si>
    <t xml:space="preserve"> 13101 </t>
  </si>
  <si>
    <t>LAVATORIO DE LOUCA BRANCA COM COLUNA SUS PENSA, MEDINDO EM TORNO DE (45,5X35,5)CM , CONFORME ABNT NBR 9050 PARA ACESSIBILI DADE</t>
  </si>
  <si>
    <t xml:space="preserve"> 14524 </t>
  </si>
  <si>
    <t>TORNEIRA P/LAVATORIO,DE MESA,COM ALAVANC A,ACIONAMENTO MANUAL E FECHAMENTO AUTOMA TICO,CROMADA,PNE,CONFORME ABNT NBR 9050</t>
  </si>
  <si>
    <t xml:space="preserve"> 03901 </t>
  </si>
  <si>
    <t>SIFAO EM METAL CROMADO, DE  1"X1.1/4"</t>
  </si>
  <si>
    <t xml:space="preserve"> 13113 </t>
  </si>
  <si>
    <t>TORNEIRA P/LAVATORIO,DE MESA,ACIONAMENTO  HIDROMECANICO MANUAL E FECHAMENTO AUTOM ATICO,CROMADA</t>
  </si>
  <si>
    <t xml:space="preserve"> 00036791 </t>
  </si>
  <si>
    <t>TORNEIRA METALICA CROMADA DE MESA PARA LAVATORIO, BICA ALTA, COM AREJADOR</t>
  </si>
  <si>
    <t xml:space="preserve"> 00011773 </t>
  </si>
  <si>
    <t>TORNEIRA METALICA CROMADA DE PAREDE, PARA COZINHA, BICA MOVEL, COM AREJADOR, 1/2" OU 3/4"</t>
  </si>
  <si>
    <t xml:space="preserve"> 13105 </t>
  </si>
  <si>
    <t>VALVULA DE FECHAMENTO AUTOMATICO, P/MICT ORIO, ACABAMENTO CROMADO</t>
  </si>
  <si>
    <t xml:space="preserve"> 00036204 </t>
  </si>
  <si>
    <t>BARRA DE APOIO RETA, EM ACO INOX POLIDO, COMPRIMENTO 60CM, DIAMETRO MINIMO 3 CM</t>
  </si>
  <si>
    <t xml:space="preserve"> 00036081 </t>
  </si>
  <si>
    <t>BARRA DE APOIO RETA, EM ACO INOX POLIDO, COMPRIMENTO 80CM, DIAMETRO MINIMO 3 CM</t>
  </si>
  <si>
    <t xml:space="preserve"> 00044945 </t>
  </si>
  <si>
    <t>SIFAO / TUBO SINFONADO EXTENSIVEL/SANFONADO, UNIVERSAL/ SIMPLES, ENTRE *50 A 70* CM, DE PLASTICO BRANCO</t>
  </si>
  <si>
    <t xml:space="preserve"> 00006136 </t>
  </si>
  <si>
    <t>SIFAO EM METAL CROMADO PARA PIA OU LAVATORIO, 1 X 1.1/2"</t>
  </si>
  <si>
    <t xml:space="preserve"> 00011186 </t>
  </si>
  <si>
    <t>ESPELHO CRISTAL E = 4 MM</t>
  </si>
  <si>
    <t xml:space="preserve"> 00020017 </t>
  </si>
  <si>
    <t>GUARNICAO / ALIZAR / VISTA LISA EM MADEIRA MACICA, PARA PORTA, E = *1* CM, L = *5* CM, CEDRINHO / ANGELIM COMERCIAL / TAURI/ CURUPIXA / PEROBA / CUMARU OU EQUIVALENTE DA REGIAO</t>
  </si>
  <si>
    <t xml:space="preserve"> 00004375 </t>
  </si>
  <si>
    <t>BUCHA DE NYLON SEM ABA S6</t>
  </si>
  <si>
    <t xml:space="preserve"> 00011059 </t>
  </si>
  <si>
    <t>PARAFUSO ROSCA SOBERBA ZINCADO CABECA CHATA FENDA SIMPLES 5,5 X 50 MM (2")</t>
  </si>
  <si>
    <t>13,10</t>
  </si>
  <si>
    <t xml:space="preserve"> 00011757 </t>
  </si>
  <si>
    <t>SABONETEIRA DE PAREDE EM METAL CROMADO</t>
  </si>
  <si>
    <t xml:space="preserve"> 088206 </t>
  </si>
  <si>
    <t>TOALHEIRO EM INOX INTERFOLHA NOBLE BIOVIS</t>
  </si>
  <si>
    <t xml:space="preserve"> COT-15 </t>
  </si>
  <si>
    <t>Porta Papel Higiênico Rolão Inox</t>
  </si>
  <si>
    <t xml:space="preserve"> 07.007.0010-B </t>
  </si>
  <si>
    <t>ARGAMASSA DE CIMENTO,SAIBRO E AREIA,NO TRACO 1:2:2,PREPARO MECANICO NEIRO E ABNT NBR 16697 OMPACTADOR LEVE...), INCLUSIVE ENCARGOS SOCIAIS DESONERADOS GOS SOCIAIS DESONERADOS</t>
  </si>
  <si>
    <t xml:space="preserve"> 07.001.0010-B </t>
  </si>
  <si>
    <t>PASTA DE CIMENTO COMUM E ABNT NBR 16697 GOS SOCIAIS DESONERADOS</t>
  </si>
  <si>
    <t xml:space="preserve"> 00044528 </t>
  </si>
  <si>
    <t>CIMENTO PORTLAND ESTRUTURAL BRANCO CPB - 32 OU CPB - 40</t>
  </si>
  <si>
    <t xml:space="preserve"> 05350 </t>
  </si>
  <si>
    <t>PIGMENTO EM PO A BASE DE OXIDO DE FERRO</t>
  </si>
  <si>
    <t xml:space="preserve"> 10795 </t>
  </si>
  <si>
    <t>PLACA DE GRANITO BRANCO ITAUNAS, PARA DI VISORIA, 2CM DE ESPESSURA</t>
  </si>
  <si>
    <t>4,64</t>
  </si>
  <si>
    <t xml:space="preserve"> 00009839 </t>
  </si>
  <si>
    <t>TUBO PVC, SERIE R, DN 75 MM, PARA ESGOTO OU AGUAS PLUVIAIS PREDIAL (NBR 5688)</t>
  </si>
  <si>
    <t>199,00</t>
  </si>
  <si>
    <t>225,00</t>
  </si>
  <si>
    <t xml:space="preserve"> 05118 </t>
  </si>
  <si>
    <t>TUBO DE PVC PARA ESGOTO, REFORCADO, PONT A E BOLSA, INCLUSIVE ANEL DE BORRACHA, A BNT-NBR 7362, DE 200MM</t>
  </si>
  <si>
    <t>45,00</t>
  </si>
  <si>
    <t>51,00</t>
  </si>
  <si>
    <t xml:space="preserve"> 00020166 </t>
  </si>
  <si>
    <t>LUVA DE CORRER, PVC SERIE R, 150 MM, PARA ESGOTO PREDIAL</t>
  </si>
  <si>
    <t>25,00</t>
  </si>
  <si>
    <t xml:space="preserve"> 00020157 </t>
  </si>
  <si>
    <t>JOELHO, PVC SERIE R, 90 GRAUS, DN 100 MM, PARA ESGOTO PREDIAL</t>
  </si>
  <si>
    <t>84,00</t>
  </si>
  <si>
    <t xml:space="preserve"> 00001951 </t>
  </si>
  <si>
    <t>CURVA PVC CURTA 90 GRAUS, DN 75 MM, PARA ESGOTO PREDIAL</t>
  </si>
  <si>
    <t xml:space="preserve"> 00001966 </t>
  </si>
  <si>
    <t>CURVA PVC CURTA 90 GRAUS, DN 100 MM, PARA ESGOTO PREDIAL</t>
  </si>
  <si>
    <t>17,00</t>
  </si>
  <si>
    <t xml:space="preserve"> 00020179 </t>
  </si>
  <si>
    <t>TE, PVC, SERIE R, 100 X 100 MM, PARA ESGOTO PREDIAL</t>
  </si>
  <si>
    <t xml:space="preserve"> 00020144 </t>
  </si>
  <si>
    <t>JUNCAO SIMPLES, PVC SERIE R, DN 100 X 100 MM, PARA ESGOTO PREDIAL</t>
  </si>
  <si>
    <t xml:space="preserve"> 00003659 </t>
  </si>
  <si>
    <t>JUNCAO SIMPLES DE REDUCAO, PVC, DN 100 X 50 MM, SERIE NORMAL PARA ESGOTO PREDIAL</t>
  </si>
  <si>
    <t xml:space="preserve"> MAT115750 </t>
  </si>
  <si>
    <t>Ralo de ferro fundido, de cobertura, semi-esferico, tipo abacaxi, diametro nominal de 4"</t>
  </si>
  <si>
    <t xml:space="preserve"> MAT115700 </t>
  </si>
  <si>
    <t>Ralo de ferro fundido, de cobertura, semi-esferico, tipo abacaxi, diametro nominal de 3"</t>
  </si>
  <si>
    <t xml:space="preserve"> 00011235 </t>
  </si>
  <si>
    <t>GRELHA FOFO SIMPLES COM REQUADRO, CARGA MAXIMA 1,5 T, 150 X 1000 MM, E= *15* MM</t>
  </si>
  <si>
    <t>122,00</t>
  </si>
  <si>
    <t xml:space="preserve"> 012824 </t>
  </si>
  <si>
    <t>CABO PP CORDPLAST 3 CONDUTORES 450/750V 1,50mm2</t>
  </si>
  <si>
    <t>100,00</t>
  </si>
  <si>
    <t xml:space="preserve"> 00001014 </t>
  </si>
  <si>
    <t>CABO DE COBRE, FLEXIVEL, CLASSE 4 OU 5, ISOLACAO EM PVC/A, ANTICHAMA BWF-B, 1 CONDUTOR, 450/750 V, SECAO NOMINAL 2,5 MM2</t>
  </si>
  <si>
    <t xml:space="preserve"> 00021127 </t>
  </si>
  <si>
    <t>FITA ISOLANTE ADESIVA ANTICHAMA, USO ATE 750 V, EM ROLO DE 19 MM X 5 M</t>
  </si>
  <si>
    <t>7.200,00</t>
  </si>
  <si>
    <t xml:space="preserve"> 00000981 </t>
  </si>
  <si>
    <t>CABO DE COBRE, FLEXIVEL, CLASSE 4 OU 5, ISOLACAO EM PVC/A, ANTICHAMA BWF-B, 1 CONDUTOR, 450/750 V, SECAO NOMINAL 4 MM2</t>
  </si>
  <si>
    <t>5.500,00</t>
  </si>
  <si>
    <t xml:space="preserve"> 00001022 </t>
  </si>
  <si>
    <t>CABO DE COBRE, FLEXIVEL, CLASSE 4 OU 5, ISOLACAO EM PVC/A, ANTICHAMA BWF-B, COBERTURA PVC-ST1, ANTICHAMA BWF-B, 1 CONDUTOR, 0,6/1 KV, SECAO NOMINAL 2,5 MM2</t>
  </si>
  <si>
    <t>200,00</t>
  </si>
  <si>
    <t xml:space="preserve"> 00001021 </t>
  </si>
  <si>
    <t>CABO DE COBRE, FLEXIVEL, CLASSE 4 OU 5, ISOLACAO EM PVC/A, ANTICHAMA BWF-B, COBERTURA PVC-ST1, ANTICHAMA BWF-B, 1 CONDUTOR, 0,6/1 KV, SECAO NOMINAL 4 MM2</t>
  </si>
  <si>
    <t>1.100,00</t>
  </si>
  <si>
    <t xml:space="preserve"> 00000994 </t>
  </si>
  <si>
    <t>CABO DE COBRE, FLEXIVEL, CLASSE 4 OU 5, ISOLACAO EM PVC/A, ANTICHAMA BWF-B, COBERTURA PVC-ST1, ANTICHAMA BWF-B, 1 CONDUTOR, 0,6/1 KV, SECAO NOMINAL 6 MM2</t>
  </si>
  <si>
    <t>150,00</t>
  </si>
  <si>
    <t xml:space="preserve"> 00000995 </t>
  </si>
  <si>
    <t>CABO DE COBRE, FLEXIVEL, CLASSE 4 OU 5, ISOLACAO EM PVC/A, ANTICHAMA BWF-B, COBERTURA PVC-ST1, ANTICHAMA BWF-B, 1 CONDUTOR, 0,6/1 KV, SECAO NOMINAL 16 MM2</t>
  </si>
  <si>
    <t xml:space="preserve"> 00000996 </t>
  </si>
  <si>
    <t>CABO DE COBRE, FLEXIVEL, CLASSE 4 OU 5, ISOLACAO EM PVC/A, ANTICHAMA BWF-B, COBERTURA PVC-ST1, ANTICHAMA BWF-B, 1 CONDUTOR, 0,6/1 KV, SECAO NOMINAL 25 MM2</t>
  </si>
  <si>
    <t xml:space="preserve"> 00001018 </t>
  </si>
  <si>
    <t>CABO DE COBRE, FLEXIVEL, CLASSE 4 OU 5, ISOLACAO EM PVC/A, ANTICHAMA BWF-B, COBERTURA PVC-ST1, ANTICHAMA BWF-B, 1 CONDUTOR, 0,6/1 KV, SECAO NOMINAL 50 MM2</t>
  </si>
  <si>
    <t>345,00</t>
  </si>
  <si>
    <t xml:space="preserve"> 00000998 </t>
  </si>
  <si>
    <t>CABO DE COBRE, FLEXIVEL, CLASSE 4 OU 5, ISOLACAO EM PVC/A, ANTICHAMA BWF-B, COBERTURA PVC-ST1, ANTICHAMA BWF-B, 1 CONDUTOR, 0,6/1 KV, SECAO NOMINAL 95 MM2</t>
  </si>
  <si>
    <t xml:space="preserve"> 00001000 </t>
  </si>
  <si>
    <t>CABO DE COBRE, FLEXIVEL, CLASSE 4 OU 5, ISOLACAO EM PVC/A, ANTICHAMA BWF-B, COBERTURA PVC-ST1, ANTICHAMA BWF-B, 1 CONDUTOR, 0,6/1 KV, SECAO NOMINAL 185 MM2</t>
  </si>
  <si>
    <t>70,00</t>
  </si>
  <si>
    <t xml:space="preserve"> COT-32 </t>
  </si>
  <si>
    <t>Condutor cobre 25mm² 12/20kV - classe 2 (HEPR/XLPE)</t>
  </si>
  <si>
    <t xml:space="preserve"> COT-12 </t>
  </si>
  <si>
    <t>90,00</t>
  </si>
  <si>
    <t xml:space="preserve"> 00000977 </t>
  </si>
  <si>
    <t>CABO DE COBRE, FLEXIVEL, CLASSE 4 OU 5, ISOLACAO EM PVC/A, ANTICHAMA BWF-B, COBERTURA PVC-ST1, ANTICHAMA BWF-B, 1 CONDUTOR, 0,6/1 KV, SECAO NOMINAL 70 MM2</t>
  </si>
  <si>
    <t xml:space="preserve"> 00001017 </t>
  </si>
  <si>
    <t>CABO DE COBRE, FLEXIVEL, CLASSE 4 OU 5, ISOLACAO EM PVC/A, ANTICHAMA BWF-B, COBERTURA PVC-ST1, ANTICHAMA BWF-B, 1 CONDUTOR, 0,6/1 KV, SECAO NOMINAL 120 MM2</t>
  </si>
  <si>
    <t>250,00</t>
  </si>
  <si>
    <t xml:space="preserve"> 20060 </t>
  </si>
  <si>
    <t>MAO-DE-OBRA DE ELETRICISTA DA CONSTRUCAO  CIVIL, INCLUSIVE ENCARGOS SOCIAIS DESON ERADOS</t>
  </si>
  <si>
    <t xml:space="preserve"> 00289 </t>
  </si>
  <si>
    <t>CABO SOLIDO DE COBRE ELETROLITICO NU, TE MPERA MOLE, CLASSE 2, SECAO CIRCULAR DE 10,0 A 500,0MM2</t>
  </si>
  <si>
    <t>140,00</t>
  </si>
  <si>
    <t xml:space="preserve"> 98463 </t>
  </si>
  <si>
    <t>SUPORTE ISOLADOR PARA FIXAÇÃO DA CORDOALHA DE COBRE EM ALVENARIA OU CONCRETO - FORNECIMENTO E INSTALAÇÃO. AF_08/2023</t>
  </si>
  <si>
    <t xml:space="preserve"> 00000863 </t>
  </si>
  <si>
    <t>CABO DE COBRE NU 35 MM2 MEIO-DURO</t>
  </si>
  <si>
    <t xml:space="preserve"> 00000867 </t>
  </si>
  <si>
    <t>CABO DE COBRE NU 50 MM2 MEIO-DURO</t>
  </si>
  <si>
    <t xml:space="preserve"> MAT058700 </t>
  </si>
  <si>
    <t>Fio de cobre nu, de 16mm2</t>
  </si>
  <si>
    <t xml:space="preserve"> MOD900950 </t>
  </si>
  <si>
    <t>Eletricista - instalacao eletrica predial e industrial comum (desonerado)</t>
  </si>
  <si>
    <t xml:space="preserve"> 163358 </t>
  </si>
  <si>
    <t>PALITO IGNITOR PARA SOLDA EXOTERMICA</t>
  </si>
  <si>
    <t xml:space="preserve"> 087547 </t>
  </si>
  <si>
    <t>FERRAMENTA - ALICATE PARA CADINHO SOLDA EXOTERMICA Z201 GRANDE</t>
  </si>
  <si>
    <t xml:space="preserve"> 033225 </t>
  </si>
  <si>
    <t>MOLDE CADINHO SOLDA EXOTERMICA 16/35mm HASTE 35mm Fi Hcj 5/8-35-2 MAXXAWELD</t>
  </si>
  <si>
    <t xml:space="preserve"> 071889 </t>
  </si>
  <si>
    <t>CARTUCHO EM PO PARA SOLDA EXOTERMICA 90/115/150/250</t>
  </si>
  <si>
    <t xml:space="preserve"> 00001873 </t>
  </si>
  <si>
    <t>CAIXA DE PASSAGEM, EM PVC, DE 4" X 4", PARA ELETRODUTO FLEXIVEL CORRUGADO</t>
  </si>
  <si>
    <t xml:space="preserve"> 00001871 </t>
  </si>
  <si>
    <t>CAIXA OCTOGONAL DE FUNDO MOVEL, EM PVC, DE 3" X 3", PARA ELETRODUTO FLEXIVEL CORRUGADO</t>
  </si>
  <si>
    <t xml:space="preserve"> MAT025600 </t>
  </si>
  <si>
    <t>Caixa de passagem em aco, de embutir, padrao Telebras, medindo: (20x20x13,5)cm</t>
  </si>
  <si>
    <t xml:space="preserve"> MOD000950 </t>
  </si>
  <si>
    <t>Eletricista - instalacao eletrica predial e industrial comum</t>
  </si>
  <si>
    <t xml:space="preserve"> 11.001.0005-B </t>
  </si>
  <si>
    <t>CONCRETO DOSADO RACIONALMENTE PARA UMA RESISTENCIA CARACTERI STICA A COMPRESSAO DE 15MPA,COMPREENDENDO APENAS O FORNECIME NTO DOS MATERIAIS,INCLUSIVE 5% DE PERDAS NEIRO E ABNT NBR 16697 O DE JANEIRO</t>
  </si>
  <si>
    <t xml:space="preserve"> 00029 </t>
  </si>
  <si>
    <t>ACO CA-25, ESTIRADO, PRECO DE REVENDEDOR , NO DIAMETRO DE 06,3MM</t>
  </si>
  <si>
    <t>21,00</t>
  </si>
  <si>
    <t xml:space="preserve"> 12.002.0070-B </t>
  </si>
  <si>
    <t>ALVENARIA PARA CAIXAS ENTERRADAS,DE 0,80 A 1,60M DE PROFUNDI DADE,DE TIJOLOS MACICOS 7X10X20CM,ASSENTES COM ARGAMASSA DE CIMENTO,SAIBRO E AREIA,NO TRACO 1:2:2,EM PAREDES DE UMA VEZ (0,20M) DOS GOS SOCIAIS DESONERADOS</t>
  </si>
  <si>
    <t xml:space="preserve"> MAT050900 </t>
  </si>
  <si>
    <t>Eletroduto de aco galvanizado, eletrolitico, em varas de 3m, diametro nominal de 3/4"</t>
  </si>
  <si>
    <t>vara</t>
  </si>
  <si>
    <t>450,00</t>
  </si>
  <si>
    <t xml:space="preserve"> MAT082850 </t>
  </si>
  <si>
    <t>Luva de aco galvanizado, para eletroduto, diametro nominal de 1"</t>
  </si>
  <si>
    <t xml:space="preserve"> MAT050950 </t>
  </si>
  <si>
    <t>Eletroduto de aco galvanizado, eletrolitico, em varas de 3m, diametro nominal de 1"</t>
  </si>
  <si>
    <t xml:space="preserve"> MAT051200 </t>
  </si>
  <si>
    <t>Eletroduto de aco galvanizado, eletrolitico, em varas de 3m, diametro nominal de 4"</t>
  </si>
  <si>
    <t xml:space="preserve"> MAT051650 </t>
  </si>
  <si>
    <t>Eletroduto de PVC rigido, em varas de 3m, com rosca em ambas as extremidades, diametro nominal de 4"</t>
  </si>
  <si>
    <t xml:space="preserve"> MAT084550 </t>
  </si>
  <si>
    <t>Luva de PVC rigido, para eletroduto, diametro nominal de 4"</t>
  </si>
  <si>
    <t xml:space="preserve"> 91170 </t>
  </si>
  <si>
    <t>FIXAÇÃO DE TUBOS HORIZONTAIS DE PVC ÁGUA, PVC ESGOTO, PVC ÁGUA PLUVIAL, CPVC, PPR, COBRE OU AÇO, DIÂMETROS MENORES OU IGUAIS A 40 MM, COM ABRAÇADEIRA METÁLICA RÍGIDA TIPO U PERFIL 1 1/4", FIXADA EM PERFILADO EM LAJE. AF_09/2023_PS</t>
  </si>
  <si>
    <t>Rasgos e Fixações</t>
  </si>
  <si>
    <t xml:space="preserve"> 00002678 </t>
  </si>
  <si>
    <t>ELETRODUTO DE PVC RIGIDO SOLDAVEL, CLASSE B, DE 25 MM</t>
  </si>
  <si>
    <t>135,00</t>
  </si>
  <si>
    <t xml:space="preserve"> 00039246 </t>
  </si>
  <si>
    <t>ELETRODUTO/DUTO PEAD FLEXIVEL PAREDE SIMPLES, CORRUGACAO HELICOIDAL, COR PRETA, SEM ROSCA, DE 1 1/2", CRC 680 N, PARA CABEAMENTO SUBTERRANEO (NBR 15715)</t>
  </si>
  <si>
    <t>80,00</t>
  </si>
  <si>
    <t xml:space="preserve"> 00002446 </t>
  </si>
  <si>
    <t>ELETRODUTO/DUTO PEAD FLEXIVEL PAREDE SIMPLES, CORRUGACAO HELICOIDAL, COR PRETA, SEM ROSCA, DE 2", CRC 680 N, PARA CABEAMENTO SUBTERRANEO (NBR 15715)</t>
  </si>
  <si>
    <t xml:space="preserve"> 00002442 </t>
  </si>
  <si>
    <t>ELETRODUTO/DUTO PEAD FLEXIVEL PAREDE SIMPLES, CORRUGACAO HELICOIDAL, COR PRETA, SEM ROSCA, DE 3", CRC 680 N, PARA CABEAMENTO SUBTERRANEO (NBR 15715)</t>
  </si>
  <si>
    <t xml:space="preserve"> 00039248 </t>
  </si>
  <si>
    <t>ELETRODUTO/DUTO PEAD FLEXIVEL PAREDE SIMPLES, CORRUGACAO HELICOIDAL, COR PRETA, SEM ROSCA, DE 4", CRC 680 N, PARA CABEAMENTO SUBTERRANEO (NBR 15715)</t>
  </si>
  <si>
    <t xml:space="preserve"> 00040400 </t>
  </si>
  <si>
    <t>ELETRODUTO FLEXIVEL PLANO EM PEAD, COR PRETA E LARANJA, DIAMETRO 25 MM</t>
  </si>
  <si>
    <t>300,00</t>
  </si>
  <si>
    <t xml:space="preserve"> 11946 </t>
  </si>
  <si>
    <t>ELETROCALHA PERFURADA, SEM VIROLA, MED. (200X50X3000)MM, PRE-ZINCADA, SEM TAMPA</t>
  </si>
  <si>
    <t xml:space="preserve"> 13887 </t>
  </si>
  <si>
    <t>TAMPA DE ENCAIXE PARA ELETROCALHA PERFUR ADA OU LISA, 200X3000MM</t>
  </si>
  <si>
    <t>120,00</t>
  </si>
  <si>
    <t xml:space="preserve"> 12126 </t>
  </si>
  <si>
    <t>TE HORIZONTAL 90°, PARA ELETROCALHA PERF URADA OU LISA, 200X50MM, PRE-ZINCADA</t>
  </si>
  <si>
    <t xml:space="preserve"> 12162 </t>
  </si>
  <si>
    <t>CRUZETA HORIZONTAL, 90°, PARA ELETROCALH A PERFURADA OU LISA, 200X50MM, PRE-ZINCA DA</t>
  </si>
  <si>
    <t xml:space="preserve"> 12108 </t>
  </si>
  <si>
    <t>CURVA DE INVERSAO 90°, PARA ELETROCALHA PERFURADA OU LISA, 200X50MM, PRE-ZINCADA</t>
  </si>
  <si>
    <t xml:space="preserve"> 00043965 </t>
  </si>
  <si>
    <t>PARAFUSO, EM ACO ZINCADO, CABECA LENTILHA AUTOTRAVANTE DIAMETRO 5/16" X 1"</t>
  </si>
  <si>
    <t xml:space="preserve"> 00013348 </t>
  </si>
  <si>
    <t>ARRUELA EM ACO GALVANIZADO, DIAMETRO EXTERNO = 35MM, ESPESSURA = 3MM, DIAMETRO DO FURO= 18MM</t>
  </si>
  <si>
    <t xml:space="preserve"> 00044027 </t>
  </si>
  <si>
    <t>TALA PARA EMENDA DE ELETROCALHA, SIMPLES / RETA, LISA OU PERFURADA, EM CHAPA DE ACO GALVANIZADO #22, ALTURA 50 MM</t>
  </si>
  <si>
    <t xml:space="preserve"> 00039997 </t>
  </si>
  <si>
    <t>PORCA ZINCADA, SEXTAVADA, DIAMETRO 1/4"</t>
  </si>
  <si>
    <t xml:space="preserve"> 00044344 </t>
  </si>
  <si>
    <t>EMENDA INTERNA, TIPO U, BASE LISA, PARA ELETROCALHA, EM CHAPA DE ACO GALVANIZADO ESPESSURA #22, 50 X 50 MM (L X A)</t>
  </si>
  <si>
    <t>166,00</t>
  </si>
  <si>
    <t xml:space="preserve"> 07635 </t>
  </si>
  <si>
    <t>CANALETA PERFURADA ALTA, DE (38X38X6000) MM</t>
  </si>
  <si>
    <t xml:space="preserve"> 07637 </t>
  </si>
  <si>
    <t>TIRANTE ROSQUEADO, DE 1/4"X3000MM</t>
  </si>
  <si>
    <t xml:space="preserve"> 05568 </t>
  </si>
  <si>
    <t>PORCA ALTA, DE 1/4"</t>
  </si>
  <si>
    <t xml:space="preserve"> 07636 </t>
  </si>
  <si>
    <t>SUSPENSAO PARA PERFILADO</t>
  </si>
  <si>
    <t xml:space="preserve"> 07641 </t>
  </si>
  <si>
    <t>ARRUELA LISA DE DIAMETRO INTERNO, DE 1/4 "</t>
  </si>
  <si>
    <t xml:space="preserve"> 05565 </t>
  </si>
  <si>
    <t>PINO COM ROSCA, EM CAIXAS COM 100 PECAS,  NO DIAMETRO DE 1/4", DE (30X20)MM</t>
  </si>
  <si>
    <t xml:space="preserve"> 07639 </t>
  </si>
  <si>
    <t>PROLONGADOR PARA TIRANTE ROSQUEADO, DE 1 /4"</t>
  </si>
  <si>
    <t>270,00</t>
  </si>
  <si>
    <t xml:space="preserve"> 14189 </t>
  </si>
  <si>
    <t>LAMPADA LED, TUBULAR, 600MM, T8, 9W, FLU XO LUMINOSO EM TORNO DE 900LM</t>
  </si>
  <si>
    <t xml:space="preserve"> 05946 </t>
  </si>
  <si>
    <t>SUPORTE TIPO PE DE GALINHA PARA FIXACAO DE LUMINARIAS</t>
  </si>
  <si>
    <t xml:space="preserve"> 05337 </t>
  </si>
  <si>
    <t>SUPORTE P/LAMPADA TUBULAR</t>
  </si>
  <si>
    <t xml:space="preserve"> 14677 </t>
  </si>
  <si>
    <t>CALHA CHANFRADA EM CHAPA DE ACO PARA LUM INARIA DE SOBREPOR, PARA 4 LAMPADAS TUBU LARES DE 600MM</t>
  </si>
  <si>
    <t xml:space="preserve"> 14669 </t>
  </si>
  <si>
    <t>CALHA CHANFRADA EM CHAPA DE ACO PARA LUM INARIA DE SOBREPOR, PARA 1 LAMPADA TUBUL AR DE 600MM</t>
  </si>
  <si>
    <t xml:space="preserve"> 05944 </t>
  </si>
  <si>
    <t>REATOR ELETRONICO DE ALTO FATOR DE POTEN CIA (AFT&gt;0,92), PARA LAMPADAS FLUORESCEN TES - 20W - SIMPLES</t>
  </si>
  <si>
    <t xml:space="preserve"> 04311 </t>
  </si>
  <si>
    <t>LAMPADA FLUORESCENTE TUBULAR, DE 20W</t>
  </si>
  <si>
    <t xml:space="preserve"> MAT078700 </t>
  </si>
  <si>
    <t>Lampada fluorescente compacta, bulbo tubular no formato espiral, 15W, base E-27 em latao niquelado, tensao 127V, fluxo luminoso medio de 903 Lumens, reator eletronico integrado a base da rosca, temperatura de cor 2.700 K, posicao de funcionamento universal</t>
  </si>
  <si>
    <t xml:space="preserve"> MAT005850 </t>
  </si>
  <si>
    <t>Arandela em aluminio fundido pintado (Epoxi), com grade de protecao e vidro optico, sendo: pequena, para lampada de 60W, modelo RPI-3016/Pq, Raphael Paci ou similar</t>
  </si>
  <si>
    <t xml:space="preserve"> 036795 </t>
  </si>
  <si>
    <t>FITA ISOLANTE P44 19mm x 20m</t>
  </si>
  <si>
    <t xml:space="preserve"> 003239 </t>
  </si>
  <si>
    <t>LUMINARIA - REFLETOR COM SENSOR DE PRESENCA E LAMPADA HALOGENA BRASFORD</t>
  </si>
  <si>
    <t xml:space="preserve"> 080525 </t>
  </si>
  <si>
    <t>LUMINARIA - REFLETOR LED 9W MONOCROMATICO BRANCO ATE 18m2 SODRAMAR</t>
  </si>
  <si>
    <t xml:space="preserve"> 00039387 </t>
  </si>
  <si>
    <t>LAMPADA LED TUBULAR BIVOLT 18/20 W, BASE G13</t>
  </si>
  <si>
    <t xml:space="preserve"> 00012295 </t>
  </si>
  <si>
    <t>SOQUETE DE BAQUELITE BASE E27, PARA LAMPADAS</t>
  </si>
  <si>
    <t>365,00</t>
  </si>
  <si>
    <t xml:space="preserve"> COT-30 </t>
  </si>
  <si>
    <t>ABRAÇADEIRA DE PLÁSTICO PARA LÂMPADA TUBULAR</t>
  </si>
  <si>
    <t xml:space="preserve"> 07062 </t>
  </si>
  <si>
    <t>RELE FOTOELETRICO, PARA LUMINARIA EXTERN A, DE 1000W-220V</t>
  </si>
  <si>
    <t>22,00</t>
  </si>
  <si>
    <t xml:space="preserve"> COT-31 </t>
  </si>
  <si>
    <t>PLUG MACHO 2P+T 10A</t>
  </si>
  <si>
    <t>175,00</t>
  </si>
  <si>
    <t xml:space="preserve"> 91946 </t>
  </si>
  <si>
    <t>SUPORTE PARAFUSADO COM PLACA DE ENCAIXE 4" X 2" MÉDIO (1,30 M DO PISO) PARA PONTO ELÉTRICO - FORNECIMENTO E INSTALAÇÃO. AF_03/2023</t>
  </si>
  <si>
    <t xml:space="preserve"> 91980 </t>
  </si>
  <si>
    <t>INTERRUPTOR BIPOLAR (1 MÓDULO), 10A/250V, SEM SUPORTE E SEM PLACA - FORNECIMENTO E INSTALAÇÃO. AF_03/2023</t>
  </si>
  <si>
    <t xml:space="preserve"> 91968 </t>
  </si>
  <si>
    <t>INTERRUPTOR PARALELO (3 MÓDULOS), 10A/250V, SEM SUPORTE E SEM PLACA - FORNECIMENTO E INSTALAÇÃO. AF_03/2023</t>
  </si>
  <si>
    <t xml:space="preserve"> 91958 </t>
  </si>
  <si>
    <t>INTERRUPTOR SIMPLES (2 MÓDULOS), 10A/250V, SEM SUPORTE E SEM PLACA - FORNECIMENTO E INSTALAÇÃO. AF_03/2023</t>
  </si>
  <si>
    <t xml:space="preserve"> 04307 </t>
  </si>
  <si>
    <t>TOMADA ELETRICA 2P+T, 10A/250V, PADRAO B RASILEIRO, DE SOBREPOR</t>
  </si>
  <si>
    <t xml:space="preserve"> 14479 </t>
  </si>
  <si>
    <t>TOMADA ELETRICA 2P+T, 20A/250V, PADRAO B RASILEIRO, DE SOBREPOR</t>
  </si>
  <si>
    <t xml:space="preserve"> 00011950 </t>
  </si>
  <si>
    <t>BUCHA DE NYLON SEM ABA S6, COM PARAFUSO DE 4,20 X 40 MM EM ACO ZINCADO COM ROSCA SOBERBA, CABECA CHATA E FENDA PHILLIPS</t>
  </si>
  <si>
    <t xml:space="preserve"> 00002580 </t>
  </si>
  <si>
    <t>CONDULETE DE ALUMINIO TIPO X, PARA ELETRODUTO ROSCAVEL DE 3/4", COM TAMPA CEGA</t>
  </si>
  <si>
    <t>197,00</t>
  </si>
  <si>
    <t xml:space="preserve"> 04339 </t>
  </si>
  <si>
    <t>MUFLA TERMINAL PARA CABO SUBTERRANEO, DE  25MM-15KV, MONOFASICA</t>
  </si>
  <si>
    <t xml:space="preserve"> 05883 </t>
  </si>
  <si>
    <t>BUCHA DE NYLON, TIPO S-08</t>
  </si>
  <si>
    <t xml:space="preserve"> 05909 </t>
  </si>
  <si>
    <t>PARAFUSO FERRO, ROSCA SOBERBA, CABECA CH ATA, DE (5,5X50)MM</t>
  </si>
  <si>
    <t xml:space="preserve"> 14820 </t>
  </si>
  <si>
    <t>SUPORTE TIPO MAO FRANCESA DE ALTA RESIST ENCIA,EM ACO,ABAS(50X33)CM,COM CAPACIDAD E DE PESO MAXIMO APROXIMADO DE 110KG</t>
  </si>
  <si>
    <t xml:space="preserve"> 05688 </t>
  </si>
  <si>
    <t>CHAVE FUSIVEL, UNIPOLAR, ACIONAMENTO POR  COMANDO DE VARA DE MANOBRA, DE 15KV-100 A</t>
  </si>
  <si>
    <t xml:space="preserve"> 07086 </t>
  </si>
  <si>
    <t>CONECTOR DE DERIVACAO DE LINHA VIVA, DE 16 A 240MM2</t>
  </si>
  <si>
    <t xml:space="preserve"> COT22 </t>
  </si>
  <si>
    <t>CRUZETA DE FIBRA DE VIDRO PARA POSTE</t>
  </si>
  <si>
    <t xml:space="preserve"> 97886 </t>
  </si>
  <si>
    <t>CAIXA ENTERRADA ELÉTRICA RETANGULAR, EM ALVENARIA COM TIJOLOS CERÂMICOS MACIÇOS, FUNDO COM BRITA, DIMENSÕES INTERNAS: 0,3X0,3X0,3 M. AF_12/2020</t>
  </si>
  <si>
    <t xml:space="preserve"> 03984 </t>
  </si>
  <si>
    <t>POSTE METALICO, CONT.RETO,CONICO,SIMPLES  P/ENGASTAM.C/ALT.APROX.7,00M, C/JANELA P/ILUMINACAO PUBLICA, TIPO SEM BASE</t>
  </si>
  <si>
    <t xml:space="preserve"> 00003405 </t>
  </si>
  <si>
    <t>ISOLADOR DE PORCELANA SUSPENSO, DISCO TIPO GARFO OLHAL, DIAMETRO DE 152 MM, PARA TENSAO DE *15* KV</t>
  </si>
  <si>
    <t xml:space="preserve"> 000366 </t>
  </si>
  <si>
    <t>LUMINARIA PUBLICA COB SUPER LED TIPO PETALA 100W 6500K BRANCO</t>
  </si>
  <si>
    <t xml:space="preserve"> MOD000200 </t>
  </si>
  <si>
    <t>Ajudante de montador eletromecanico</t>
  </si>
  <si>
    <t xml:space="preserve"> MAT033700 </t>
  </si>
  <si>
    <t>Cimento Portland, tipo 320, saco de 50Kg</t>
  </si>
  <si>
    <t>Kg</t>
  </si>
  <si>
    <t xml:space="preserve"> MAT006100 </t>
  </si>
  <si>
    <t>Areia grossa lavada, com transporte</t>
  </si>
  <si>
    <t xml:space="preserve"> MAT018600 </t>
  </si>
  <si>
    <t>Brita no 3, com transporte</t>
  </si>
  <si>
    <t xml:space="preserve"> MAT111705 </t>
  </si>
  <si>
    <t>Poste composto de Poliester reforcado com Fibra de Vidro - PRFV, secao unica, altura total de 11 m, altura util de 9 m, conicidade normal, tipo pesado, carga nominal de 600 daN, diametro no topo de 180 mm, engastado, especificacao EM-RIOLUZ No101</t>
  </si>
  <si>
    <t xml:space="preserve"> MAT094150 </t>
  </si>
  <si>
    <t>Para-raio de distribuicao em oxido de zinco polimerico, tipo valvula, classe 10Ka, potencia de 15Kv, padrao LIGHT, modelo PBP da Balestro ou similar</t>
  </si>
  <si>
    <t xml:space="preserve"> 87367 </t>
  </si>
  <si>
    <t>ARGAMASSA TRAÇO 1:1:6 (EM VOLUME DE CIMENTO, CAL E AREIA MÉDIA ÚMIDA) PARA EMBOÇO/MASSA ÚNICA/ASSENTAMENTO DE ALVENARIA DE VEDAÇÃO, PREPARO MANUAL. AF_08/2019</t>
  </si>
  <si>
    <t xml:space="preserve"> COT-06 </t>
  </si>
  <si>
    <t>CAIXA DE EQUALIZAÇÃO 20X20X12CM - 9 TERMINAIS</t>
  </si>
  <si>
    <t xml:space="preserve"> ET 04.60.0050 </t>
  </si>
  <si>
    <t>Concreto armado, executado com concreto dosado para uma resistencia caracteristica a compressao de 15MPa, incluindo materiais para 1m3 de concreto, preparado segundo o item ET 05.20.0200, e colocacao segundo o item ET 05.25.0706; 12m2 de area moldada de formas segundo o item ET 15.10.0100, 60kg de aco CA-50A, inclusive mao-de-obra para corte, dobragem, montagem, tratamento de juntas de concretagem coforme o item 4.16.8 da (NBR-10839), e colocacao nas formas, exclusive escoramento. A utilizacao deste item e recomendada para quantidades inferiores a 20m3.(desonerado)</t>
  </si>
  <si>
    <t>ET</t>
  </si>
  <si>
    <t xml:space="preserve"> MAT066550 </t>
  </si>
  <si>
    <t>Haste de aterramento cobreada, alta camada, de (5/8"x2,40m)</t>
  </si>
  <si>
    <t xml:space="preserve"> COT-04 </t>
  </si>
  <si>
    <t>Barra chata Alumínio Xadai 7/8 X 1/8 - 6M</t>
  </si>
  <si>
    <t>153,00</t>
  </si>
  <si>
    <t xml:space="preserve"> COT-05 </t>
  </si>
  <si>
    <t>RE-BAR 3/8" - 10MM GALVANIZADA A FOGO - 3M</t>
  </si>
  <si>
    <t>391,00</t>
  </si>
  <si>
    <t xml:space="preserve"> MAT092500 </t>
  </si>
  <si>
    <t>Parafuso de aco carbono, cabeca sextavada, medindo: (1/2"x2")</t>
  </si>
  <si>
    <t xml:space="preserve"> COT-20 </t>
  </si>
  <si>
    <t xml:space="preserve"> 036495 </t>
  </si>
  <si>
    <t>GRAMPO LEVE (CLIP) REFORCADO ACO GALVANIZADO PARA AMARRACAO/FIXACAO DE CABOS/VERGALHOES 3/8"</t>
  </si>
  <si>
    <t>690,00</t>
  </si>
  <si>
    <t xml:space="preserve"> 001898 </t>
  </si>
  <si>
    <t>TERMINAL COMPRESSAO PARA CABO 35mm2</t>
  </si>
  <si>
    <t xml:space="preserve"> COT-21 </t>
  </si>
  <si>
    <t xml:space="preserve"> 010125 </t>
  </si>
  <si>
    <t>CONECTOR PARA MINICAPTOR COM FURO VERTICAL 3/8 TEL 5021</t>
  </si>
  <si>
    <t>132,00</t>
  </si>
  <si>
    <t>125,00</t>
  </si>
  <si>
    <t>240,00</t>
  </si>
  <si>
    <t xml:space="preserve"> 11944 </t>
  </si>
  <si>
    <t>ELETROCALHA PERFURADA, SEM VIROLA, MED. (100X50X3000)MM, PRE-ZINCADA, SEM TAMPA</t>
  </si>
  <si>
    <t xml:space="preserve"> COT-07 </t>
  </si>
  <si>
    <t>SAÍDA HORIZONTAL DE ELETROCALHA PARA ELETRODUTO 3/4"</t>
  </si>
  <si>
    <t>38,00</t>
  </si>
  <si>
    <t>63,00</t>
  </si>
  <si>
    <t xml:space="preserve"> 05648 </t>
  </si>
  <si>
    <t>TOMADA DE PISO, DE CORPO DE ALUMINIO FUNDIDO, E TAMPA DE LATAO POLIDO, COM TOMADA DE 10A, 250V, TIPO SIMPLES</t>
  </si>
  <si>
    <t>46,00</t>
  </si>
  <si>
    <t xml:space="preserve"> 00039344 </t>
  </si>
  <si>
    <t>CONDULETE EM PVC, TIPO "X", SEM TAMPA, DE 3/4"</t>
  </si>
  <si>
    <t xml:space="preserve"> 00039601 </t>
  </si>
  <si>
    <t>CONECTOR / TOMADA FEMEA RJ 45, CATEGORIA 6 (CAT 6) PARA CABOS</t>
  </si>
  <si>
    <t>49,00</t>
  </si>
  <si>
    <t xml:space="preserve"> 00043836 </t>
  </si>
  <si>
    <t>RACK DE PISO PARA SERVIDOR, FECHADO, 44U, COM PORTA, 44U X *570* MM</t>
  </si>
  <si>
    <t xml:space="preserve"> 00039596 </t>
  </si>
  <si>
    <t>PATCH PANEL, 24 PORTAS, CATEGORIA 6, COM RACKS DE 19" DE LARGURA E 1 U DE ALTURA</t>
  </si>
  <si>
    <t xml:space="preserve"> 88266 </t>
  </si>
  <si>
    <t>ELETROTÉCNICO COM ENCARGOS COMPLEMENTARES</t>
  </si>
  <si>
    <t xml:space="preserve"> COT-08 </t>
  </si>
  <si>
    <t>SWITCH 24 PORTAS TECNOLOGIA PoE</t>
  </si>
  <si>
    <t>Equipamento para Aquisição Permanente</t>
  </si>
  <si>
    <t xml:space="preserve"> 058975 </t>
  </si>
  <si>
    <t>RACK - ORGANIZADOR HORIZONTAL DE CABOS 1 U</t>
  </si>
  <si>
    <t xml:space="preserve"> 099302 </t>
  </si>
  <si>
    <t>AJUDANTE ESPECIALIZADO - ELETROTECNICO</t>
  </si>
  <si>
    <t xml:space="preserve"> COT-09 </t>
  </si>
  <si>
    <t>RÉGUA COM 6 TOMADAS PARA RACK.</t>
  </si>
  <si>
    <t xml:space="preserve"> 047589 </t>
  </si>
  <si>
    <t>RACK - SWITCH CFTV 24 PORTAS TECNOLOGIA PoE (POWER OVER ETHERNET) HIKVISION DS-3E0326P-E/M(B) FAST ETHERNET</t>
  </si>
  <si>
    <t xml:space="preserve"> 013871 </t>
  </si>
  <si>
    <t>RACK - PATCH CORDS RJ45 CAT 6 4 PARES 2,5m</t>
  </si>
  <si>
    <t>172,00</t>
  </si>
  <si>
    <t xml:space="preserve"> 047588 </t>
  </si>
  <si>
    <t>RACK - DISTRIBUIDOR INTERNO OPTICO DIO 24 FIBRAS ODF FULL JZ-1823 APC</t>
  </si>
  <si>
    <t xml:space="preserve"> 099031 </t>
  </si>
  <si>
    <t>ELETROTECNICO</t>
  </si>
  <si>
    <t xml:space="preserve"> 00039599 </t>
  </si>
  <si>
    <t>CABO DE REDE, PAR TRANCADO UTP, 4 PARES, CATEGORIA 6 (CAT 6), ISOLAMENTO PVC (LSZH)</t>
  </si>
  <si>
    <t>7.320,00</t>
  </si>
  <si>
    <t xml:space="preserve"> 036477 </t>
  </si>
  <si>
    <t>FIBRA OPTICA - CABO FIBRA OPTICA MONOMODO (SM) 4FO INT/EXT</t>
  </si>
  <si>
    <t xml:space="preserve"> SE-10 </t>
  </si>
  <si>
    <t xml:space="preserve"> 012017 </t>
  </si>
  <si>
    <t>FIBRA OPTICA - CERTIFICACAO DE CABEAMENTO DE FIBRA OPTICA NIVEL 1</t>
  </si>
  <si>
    <t xml:space="preserve"> 07.001.0070-B </t>
  </si>
  <si>
    <t>ARGAMASSA DE CIMENTO E AREIA NO TRACO 1:8,PREPARO MANUAL NEIRO E ABNT NBR 16697 GOS SOCIAIS DESONERADOS</t>
  </si>
  <si>
    <t xml:space="preserve"> 14784 </t>
  </si>
  <si>
    <t>CAIXA DE PASSAGEM DE EMBUTIR, EM ACO, CO M TAMPA PARAFUSADA, DE 30X30CM</t>
  </si>
  <si>
    <t xml:space="preserve"> MAT026450 </t>
  </si>
  <si>
    <t>Caixa estampada de chapa no 18, de: (4"x4"), com 4 orellhas</t>
  </si>
  <si>
    <t xml:space="preserve"> MOI900050 </t>
  </si>
  <si>
    <t>Ajudante (desonerado)</t>
  </si>
  <si>
    <t xml:space="preserve"> 02707 </t>
  </si>
  <si>
    <t>CAIXA DE PASSAGEM PARA TELEFONE PADRAO T ELEBRAS, DE (060X060X13,5)CM</t>
  </si>
  <si>
    <t xml:space="preserve"> 050378 </t>
  </si>
  <si>
    <t>LUMINARIA LUZ EMERGENCIA LED 400 LUMENS FAROIS EMBUTIDOS P3 SEGURIMAX</t>
  </si>
  <si>
    <t xml:space="preserve"> 004630 </t>
  </si>
  <si>
    <t>LUMINARIA - BALIZADOR LED PAREDE ESCADA 3000K CAIXA 4x2 ST759 STARLUMEM</t>
  </si>
  <si>
    <t xml:space="preserve"> 55861 </t>
  </si>
  <si>
    <t>EXTINTOR PO QUIMICO SECO ABC 4kg NBR 15808:2017</t>
  </si>
  <si>
    <t xml:space="preserve"> 00010889 </t>
  </si>
  <si>
    <t>EXTINTOR DE INCENDIO PORTATIL COM CARGA DE GAS CARBONICO CO2 DE 6 KG, CLASSE BC</t>
  </si>
  <si>
    <t xml:space="preserve"> 00004350 </t>
  </si>
  <si>
    <t>BUCHA DE NYLON, DIAMETRO DO FURO 8 MM, COMPRIMENTO 40 MM, COM PARAFUSO DE ROSCA SOBERBA, CABECA CHATA, FENDA SIMPLES, 4,8 X 50 MM</t>
  </si>
  <si>
    <t xml:space="preserve"> 14912 </t>
  </si>
  <si>
    <t>SUPORTE DE SOLO PARA EXTINTOR DE INCENDI O PORTATIL, TIPO TRIPE, EM ACO CARBONO, INCLUSIVE PONTEIRAS DE BORRACHA</t>
  </si>
  <si>
    <t xml:space="preserve"> COT-17 </t>
  </si>
  <si>
    <t>Placa M1-A - Descritiva dos Sistemas de Proteção Contra Incêndio Existentes na Edificação 30X40 CM</t>
  </si>
  <si>
    <t xml:space="preserve"> COT-18 </t>
  </si>
  <si>
    <t>Placa M2- Placa M2 Lotação Máxima</t>
  </si>
  <si>
    <t xml:space="preserve"> 14734 </t>
  </si>
  <si>
    <t>PLACA FOTOLUMINESCENTE SINALIZACAO SEG.C ONTRA INCENDIO P/INDICACAO ROTA FUGA,PVC  ANTICHAMA,(7X28)CM, ABNT NBR 16820</t>
  </si>
  <si>
    <t xml:space="preserve"> 14719 </t>
  </si>
  <si>
    <t>PLACA FOTOLUMINESCENTE SINALIZACAO SEG.C INCENDIO,P/EQUIP.COMBATE INCEND. E ALARM E,PVC ANTICHAMA,(15X15)CM,ABNT NBR 16820</t>
  </si>
  <si>
    <t xml:space="preserve"> COT-19 </t>
  </si>
  <si>
    <t>PLACA P1 CIRCULAR - PROIBIDO FUMAR</t>
  </si>
  <si>
    <t xml:space="preserve"> 083121 </t>
  </si>
  <si>
    <t>14,00</t>
  </si>
  <si>
    <t xml:space="preserve"> 007350 </t>
  </si>
  <si>
    <t xml:space="preserve"> 00043837 </t>
  </si>
  <si>
    <t>RACK DE PISO PARA SERVIDOR, ABERTO, EM COLUNA, 44U X *570* MM</t>
  </si>
  <si>
    <t xml:space="preserve"> 010621 </t>
  </si>
  <si>
    <t>SERVIDOR INTEL RACK 2U XEON X3430 2.4GHZ 8MB CACHE, 8GB DDR3</t>
  </si>
  <si>
    <t>60,00</t>
  </si>
  <si>
    <t xml:space="preserve"> 067441 </t>
  </si>
  <si>
    <t>QUADRO - CAIXA HERMETICA VEDADA CINZA PARA INSTALACAO EXTERNA EM POSTE COMPLETA 25x20x8cm</t>
  </si>
  <si>
    <t xml:space="preserve"> 074113 </t>
  </si>
  <si>
    <t>CONECTOR RJ-45 FEMEA CAT 5E SOHOPLUS T568A/B FURUKAWA</t>
  </si>
  <si>
    <t>1.065,00</t>
  </si>
  <si>
    <t xml:space="preserve"> 20104 </t>
  </si>
  <si>
    <t>MAO DE OBRA DE MONTADOR ELETROMECANICO, INCLUSIVE ENCARGOS SOCIAIS DESONERADOS</t>
  </si>
  <si>
    <t xml:space="preserve"> 40073 </t>
  </si>
  <si>
    <t>DAMPER CORTA FOGO (200X200)MM, ACIONAMEN TO AUTOMATICO PELA ACAO DE ELEMENTO FUSI VEL, MODELO DCF COM FUSIVEL DE DISPARO,C /ATESTADO UL, C/ROMPIMENTO 72ºC OU 141ºC</t>
  </si>
  <si>
    <t xml:space="preserve"> Q.04.000.031003 </t>
  </si>
  <si>
    <t>Unidade Condensadora VRF para sistema de ar condicionado, capacidade de 11 TR a 13 TR</t>
  </si>
  <si>
    <t xml:space="preserve"> Q.04.000.031002 </t>
  </si>
  <si>
    <t>Unidade Condensadora VRF para sistema de ar condicionado, capacidade de 8 TR a 10 TR</t>
  </si>
  <si>
    <t xml:space="preserve"> Q.04.000.031040 </t>
  </si>
  <si>
    <t>Unidade Evaporadora VRF para sistema de ar condicionado, tipo cassete, capacidade de 1 TR</t>
  </si>
  <si>
    <t xml:space="preserve"> Q.04.000.031041 </t>
  </si>
  <si>
    <t>Unidade Evaporadora VRF para sistema de ar condicionado, tipo cassete, capacidade de 2 TR</t>
  </si>
  <si>
    <t xml:space="preserve"> 100308 </t>
  </si>
  <si>
    <t>MECÂNICO DE REFRIGERAÇÃO COM ENCARGOS COMPLEMENTARES</t>
  </si>
  <si>
    <t xml:space="preserve"> 00040547 </t>
  </si>
  <si>
    <t>PARAFUSO ZINCADO, AUTOBROCANTE, FLANGEADO, 4,2 MM X 19 MM</t>
  </si>
  <si>
    <t xml:space="preserve"> 007087 </t>
  </si>
  <si>
    <t>GRELHA CONTINUA EM ALUMINIO ANODIZADO FOSCO 500x200mm</t>
  </si>
  <si>
    <t xml:space="preserve"> 002703 </t>
  </si>
  <si>
    <t>GRELHA DE ALETAS FIXAS COM FUROS NAS ABAS, COM CONTRA MOLDURA ANODIZADO 425x225mm TROX</t>
  </si>
  <si>
    <t xml:space="preserve"> COT-16 </t>
  </si>
  <si>
    <t>GRELHA DE ALETAS FIXAS 225X125MM</t>
  </si>
  <si>
    <t xml:space="preserve"> 00039662 </t>
  </si>
  <si>
    <t>TUBO DE COBRE FLEXIVEL, D = 1/4", E = 0,79 MM, PARA AR-CONDICIONADO/ INSTALACOES GAS RESIDENCIAIS E COMERCIAIS</t>
  </si>
  <si>
    <t xml:space="preserve"> 00039738 </t>
  </si>
  <si>
    <t>TUBO DE BORRACHA ELASTOMERICA FLEXIVEL, PRETA, PARA ISOLAMENTO TERMICO DE TUBULACAO, DN 1/4" (6 MM), E= 9 MM, COEFICIENTE DE CONDUTIVIDADE TERMICA 0,036W/MK, VAPOR DE AGUA MAIOR OU IGUAL A 10.000</t>
  </si>
  <si>
    <t xml:space="preserve"> 00039664 </t>
  </si>
  <si>
    <t>TUBO DE COBRE FLEXIVEL, D = 3/8", E = 0,79 MM, PARA AR-CONDICIONADO/ INSTALACOES GAS RESIDENCIAIS E COMERCIAIS</t>
  </si>
  <si>
    <t xml:space="preserve"> 00039741 </t>
  </si>
  <si>
    <t>TUBO DE BORRACHA ELASTOMERICA FLEXIVEL, PRETA, PARA ISOLAMENTO TERMICO DE TUBULACAO, DN 3/8" (10 MM), E= 19 MM, COEFICIENTE DE CONDUTIVIDADE TERMICA 0,036W/MK, VAPOR DE AGUA MAIOR OU IGUAL A 10.000</t>
  </si>
  <si>
    <t>101,00</t>
  </si>
  <si>
    <t xml:space="preserve"> 00039660 </t>
  </si>
  <si>
    <t>TUBO DE COBRE FLEXIVEL, D = 1/2", E = 0,79 MM, PARA AR-CONDICIONADO/ INSTALACOES GAS RESIDENCIAIS E COMERCIAIS</t>
  </si>
  <si>
    <t xml:space="preserve"> 00039737 </t>
  </si>
  <si>
    <t>TUBO DE BORRACHA ELASTOMERICA FLEXIVEL, PRETA, PARA ISOLAMENTO TERMICO DE TUBULACAO, DN 1/2" (12 MM), E= 19 MM, COEFICIENTE DE CONDUTIVIDADE TERMICA 0,036W/MK, VAPOR DE AGUA MAIOR OU IGUAL A 10.000</t>
  </si>
  <si>
    <t>23,00</t>
  </si>
  <si>
    <t xml:space="preserve"> 00039665 </t>
  </si>
  <si>
    <t>TUBO DE COBRE FLEXIVEL, D = 5/8", E = 0,79 MM, PARA AR-CONDICIONADO/ INSTALACOES GAS RESIDENCIAIS E COMERCIAIS</t>
  </si>
  <si>
    <t xml:space="preserve"> 00039853 </t>
  </si>
  <si>
    <t>TUBO DE BORRACHA ELASTOMERICA FLEXIVEL, PRETA, PARA ISOLAMENTO TERMICO DE TUBULACAO, DN 5/8" (15 MM), E= 19 MM, COEFICIENTE DE CONDUTIVIDADE TERMICA 0,036W/MK, VAPOR DE AGUA MAIOR OU IGUAL A 10.000</t>
  </si>
  <si>
    <t>110,00</t>
  </si>
  <si>
    <t xml:space="preserve"> 050815 </t>
  </si>
  <si>
    <t>TUBO COBRE EM ROLO (PANQUECA) 3/4"</t>
  </si>
  <si>
    <t xml:space="preserve"> 099034 </t>
  </si>
  <si>
    <t>AJUDANTE DE BOMBEIRO OU ENCANADOR</t>
  </si>
  <si>
    <t xml:space="preserve"> 099200 </t>
  </si>
  <si>
    <t>BOMBEIRO OU ENCANADOR</t>
  </si>
  <si>
    <t>78,00</t>
  </si>
  <si>
    <t xml:space="preserve"> 00039742 </t>
  </si>
  <si>
    <t>TUBO DE BORRACHA ELASTOMERICA FLEXIVEL, PRETA, PARA ISOLAMENTO TERMICO DE TUBULACAO, DN 7/8" (22 MM), E= 32 MM, COEFICIENTE DE CONDUTIVIDADE TERMICA 0,036W/MK, VAPOR DE AGUA MAIOR OU IGUAL A 10.000</t>
  </si>
  <si>
    <t xml:space="preserve"> COT-02 </t>
  </si>
  <si>
    <t>TUBO DE COBRE FLEXIVEL 7/8" PANQUECA</t>
  </si>
  <si>
    <t>88,00</t>
  </si>
  <si>
    <t xml:space="preserve"> 005910 </t>
  </si>
  <si>
    <t>LAN DE VIDRO COM PAPEL KRAFT ALUMINIZADO (MANTA)</t>
  </si>
  <si>
    <t xml:space="preserve"> 099715 </t>
  </si>
  <si>
    <t>DUTEIRO - MONTADOR</t>
  </si>
  <si>
    <t xml:space="preserve"> 005912 </t>
  </si>
  <si>
    <t>FRIO ASFALTO</t>
  </si>
  <si>
    <t xml:space="preserve"> 030007 </t>
  </si>
  <si>
    <t>FITA PLASTICA 16mm PARA ENGRAVATAMENTO</t>
  </si>
  <si>
    <t xml:space="preserve"> 014226 </t>
  </si>
  <si>
    <t>CHAPA GALVANIZADA #24 600mm x 0,65mm (5,20kg/m2)</t>
  </si>
  <si>
    <t xml:space="preserve"> 099925 </t>
  </si>
  <si>
    <t>AJUDANTE DE MONTADOR</t>
  </si>
  <si>
    <t>116,89</t>
  </si>
  <si>
    <t xml:space="preserve"> 104091 </t>
  </si>
  <si>
    <t>TERMOFUSORA PARA TUBOS E CONEXÕES EM PPR COM DIÂMETROS DE 20 A 63 MM, POTÊNCIA DE 800 W, TENSAO 220 V - CHP DIURNO. AF_05/2022</t>
  </si>
  <si>
    <t xml:space="preserve"> 00038971 </t>
  </si>
  <si>
    <t>TUBO PPR, CLASSE PN 12, DN 32 MM</t>
  </si>
  <si>
    <t>154,00</t>
  </si>
  <si>
    <t xml:space="preserve"> 00038972 </t>
  </si>
  <si>
    <t>TUBO PPR, CLASSE PN 12, DN 40 MM</t>
  </si>
  <si>
    <t xml:space="preserve"> 00038441 </t>
  </si>
  <si>
    <t>LUVA SIMPLES PPR, F/F, SOLDAVEL, DN 32 MM, PARA AGUA QUENTE PREDIAL</t>
  </si>
  <si>
    <t xml:space="preserve"> 00038434 </t>
  </si>
  <si>
    <t>JOELHO PPR, 90 GRAUS, SOLDAVEL, F/F, DN 32 MM, PARA AGUA QUENTE PREDIAL</t>
  </si>
  <si>
    <t>42,00</t>
  </si>
  <si>
    <t xml:space="preserve"> 104092 </t>
  </si>
  <si>
    <t>TERMOFUSORA PARA TUBOS E CONEXÕES EM PPR COM DIÂMETROS DE 20 A 63 MM, POTÊNCIA DE 800 W, TENSAO 220 V - CHI DIURNO. AF_05/2022</t>
  </si>
  <si>
    <t xml:space="preserve"> 00038433 </t>
  </si>
  <si>
    <t>JOELHO PPR, 45 GRAUS, SOLDAVEL, F/F, DN 32 MM, PARA AGUA QUENTE PREDIAL</t>
  </si>
  <si>
    <t>18,00</t>
  </si>
  <si>
    <t xml:space="preserve"> 00038456 </t>
  </si>
  <si>
    <t>TE NORMAL, PPR, F/F/F, SOLDAVEL, 90 GRAUS, DN 32 X 32 X 32 MM, PARA AGUA QUENTE PREDIAL</t>
  </si>
  <si>
    <t xml:space="preserve"> 00038457 </t>
  </si>
  <si>
    <t>TE NORMAL, PPR, F/F/F, SOLDAVEL, 90 GRAUS, DN 40 X 40 X 40 MM, PARA AGUA QUENTE PREDIAL</t>
  </si>
  <si>
    <t xml:space="preserve"> 88279 </t>
  </si>
  <si>
    <t>MONTADOR ELETROMECÂNICO COM ENCARGOS COMPLEMENTARES</t>
  </si>
  <si>
    <t xml:space="preserve"> 006854 </t>
  </si>
  <si>
    <t>PLATAFORMA ELEVATORIA TESOURA (ELETRICA) ALTURA ATE 8m CAPACIDADE 230KG- LOCACAO SEM FRETE</t>
  </si>
  <si>
    <t xml:space="preserve"> 90669 </t>
  </si>
  <si>
    <t>PROJETOR PNEUMÁTICO DE ARGAMASSA PARA CHAPISCO E REBOCO COM RECIPIENTE ACOPLADO, TIPO CANEQUINHA, COM COMPRESSOR DE AR REBOCÁVEL VAZÃO 89 PCM E MOTOR DIESEL DE 20 CV - CHI DIURNO. AF_05/2023</t>
  </si>
  <si>
    <t xml:space="preserve"> 87377 </t>
  </si>
  <si>
    <t>ARGAMASSA TRAÇO 1:3 (EM VOLUME DE CIMENTO E AREIA GROSSA ÚMIDA) PARA CHAPISCO CONVENCIONAL, PREPARO MANUAL. AF_08/2019</t>
  </si>
  <si>
    <t xml:space="preserve"> 90668 </t>
  </si>
  <si>
    <t>PROJETOR PNEUMÁTICO DE ARGAMASSA PARA CHAPISCO E REBOCO COM RECIPIENTE ACOPLADO, TIPO CANEQUINHA, COM COMPRESSOR DE AR REBOCÁVEL VAZÃO 89 PCM E MOTOR DIESEL DE 20 CV - CHP DIURNO. AF_05/2023</t>
  </si>
  <si>
    <t>494,33</t>
  </si>
  <si>
    <t>70,42</t>
  </si>
  <si>
    <t>413,11</t>
  </si>
  <si>
    <t xml:space="preserve"> 87313 </t>
  </si>
  <si>
    <t>ARGAMASSA TRAÇO 1:3 (EM VOLUME DE CIMENTO E AREIA GROSSA ÚMIDA) PARA CHAPISCO CONVENCIONAL, PREPARO MECÂNICO COM BETONEIRA 400 L. AF_08/2019</t>
  </si>
  <si>
    <t>312,21</t>
  </si>
  <si>
    <t xml:space="preserve"> 00037411 </t>
  </si>
  <si>
    <t>TELA DE ACO SOLDADA GALVANIZADA/ZINCADA PARA ALVENARIA, FIO D = *1,24 MM, MALHA 25 X 25 MM</t>
  </si>
  <si>
    <t xml:space="preserve"> 88310 </t>
  </si>
  <si>
    <t>PINTOR COM ENCARGOS COMPLEMENTARES</t>
  </si>
  <si>
    <t xml:space="preserve"> 00006085 </t>
  </si>
  <si>
    <t>SELADOR ACRILICO OPACO PREMIUM INTERIOR/EXTERIOR</t>
  </si>
  <si>
    <t>483,12</t>
  </si>
  <si>
    <t xml:space="preserve"> 00003767 </t>
  </si>
  <si>
    <t>LIXA EM FOLHA PARA PAREDE OU MADEIRA, NUMERO 120, COR VERMELHA</t>
  </si>
  <si>
    <t xml:space="preserve"> 00043626 </t>
  </si>
  <si>
    <t>MASSA CORRIDA PARA SUPERFICIES DE AMBIENTES INTERNOS</t>
  </si>
  <si>
    <t xml:space="preserve"> 00007356 </t>
  </si>
  <si>
    <t>TINTA LATEX ACRILICA PREMIUM, COR BRANCO FOSCO</t>
  </si>
  <si>
    <t>68,54</t>
  </si>
  <si>
    <t xml:space="preserve"> 00043651 </t>
  </si>
  <si>
    <t>MASSA ACRILICA PARA SUPERFICIES INTERNAS E EXTERNAS</t>
  </si>
  <si>
    <t>49,67</t>
  </si>
  <si>
    <t xml:space="preserve"> 00012815 </t>
  </si>
  <si>
    <t>FITA CREPE ROLO DE *25* MM X 50 M</t>
  </si>
  <si>
    <t xml:space="preserve"> 00000151 </t>
  </si>
  <si>
    <t>IMPERMEABILIZANTE INCOLOR, BASE SILICONE, PARA TRATAMENTO DE FACHADAS, TELHAS, PEDRAS E OUTRAS SUPERFICIES</t>
  </si>
  <si>
    <t>184,34</t>
  </si>
  <si>
    <t xml:space="preserve"> 88256 </t>
  </si>
  <si>
    <t>AZULEJISTA OU LADRILHEIRO COM ENCARGOS COMPLEMENTARES</t>
  </si>
  <si>
    <t xml:space="preserve"> 00034357 </t>
  </si>
  <si>
    <t>REJUNTE CIMENTICIO, QUALQUER COR</t>
  </si>
  <si>
    <t xml:space="preserve"> 00010515 </t>
  </si>
  <si>
    <t>REVESTIMENTO EM CERAMICA ESMALTADA, FORMATO MAIOR A 2025 CM2</t>
  </si>
  <si>
    <t xml:space="preserve"> 00001381 </t>
  </si>
  <si>
    <t>ARGAMASSA COLANTE AC I PARA CERAMICAS</t>
  </si>
  <si>
    <t>135,32</t>
  </si>
  <si>
    <t xml:space="preserve"> 88270 </t>
  </si>
  <si>
    <t>IMPERMEABILIZADOR COM ENCARGOS COMPLEMENTARES</t>
  </si>
  <si>
    <t xml:space="preserve"> 00004015 </t>
  </si>
  <si>
    <t>MANTA ASFALTICA ELASTOMERICA EM POLIESTER 4 MM, TIPO III, CLASSE B, ACABAMENTO PP (NBR 9952)</t>
  </si>
  <si>
    <t xml:space="preserve"> 00004226 </t>
  </si>
  <si>
    <t>GAS DE COZINHA - GLP</t>
  </si>
  <si>
    <t xml:space="preserve"> 00000511 </t>
  </si>
  <si>
    <t>PRIMER PARA MANTA ASFALTICA A BASE DE ASFALTO MODIFICADO DILUIDO EM SOLVENTE, APLICACAO A FRIO</t>
  </si>
  <si>
    <t>814,17</t>
  </si>
  <si>
    <t xml:space="preserve"> 87386 </t>
  </si>
  <si>
    <t>ARGAMASSA PRONTA PARA CONTRAPISO, PREPARO COM MISTURADOR DE EIXO HORIZONTAL DE 300 KG. AF_08/2019</t>
  </si>
  <si>
    <t xml:space="preserve"> 00007334 </t>
  </si>
  <si>
    <t>ADITIVO ADESIVO LIQUIDO PARA ARGAMASSAS DE REVESTIMENTOS CIMENTICIOS</t>
  </si>
  <si>
    <t xml:space="preserve"> 00043147 </t>
  </si>
  <si>
    <t>MEMBRANA IMPERMEABILIZANTE ACRILICA MONOCOMPONENTE</t>
  </si>
  <si>
    <t>125,95</t>
  </si>
  <si>
    <t xml:space="preserve"> 88277 </t>
  </si>
  <si>
    <t>MONTADOR (TUBO AÇO/EQUIPAMENTOS) COM ENCARGOS COMPLEMENTARES</t>
  </si>
  <si>
    <t xml:space="preserve"> COT-13 </t>
  </si>
  <si>
    <t>COT-13</t>
  </si>
  <si>
    <t>134,40</t>
  </si>
  <si>
    <t>16,29</t>
  </si>
  <si>
    <t xml:space="preserve"> COT-FRETE </t>
  </si>
  <si>
    <t>FRETE MADEIRA PLASTICA</t>
  </si>
  <si>
    <t xml:space="preserve"> COT-ECO </t>
  </si>
  <si>
    <t>81,80</t>
  </si>
  <si>
    <t xml:space="preserve"> COT-11 </t>
  </si>
  <si>
    <t>Piso Vinílico em manta Decode Fiber 25104088</t>
  </si>
  <si>
    <t xml:space="preserve"> 00004791 </t>
  </si>
  <si>
    <t>ADESIVO ACRILICO DE BASE AQUOSA / COLA DE CONTATO</t>
  </si>
  <si>
    <t>461,63</t>
  </si>
  <si>
    <t xml:space="preserve"> 00045190 </t>
  </si>
  <si>
    <t>PISO EM PORCELANATO, RETIFICADO, LISO, MONOCOLOR, ACETINADO OU POLIDO, FORMATO MAIOR QUE 2500 ATE 6400 CM2</t>
  </si>
  <si>
    <t>57,16</t>
  </si>
  <si>
    <t xml:space="preserve"> 00039636 </t>
  </si>
  <si>
    <t>CARPETE DE NYLON EM PLACAS 50 X 50 CM PARA TRAFEGO COMERCIAL PESADO, E = 6,5 MM (INSTALADO)</t>
  </si>
  <si>
    <t>88,51</t>
  </si>
  <si>
    <t xml:space="preserve"> 100303 </t>
  </si>
  <si>
    <t>AUXILIAR DE AZULEJISTA COM ENCARGOS COMPLEMENTARES</t>
  </si>
  <si>
    <t xml:space="preserve"> 00040650 </t>
  </si>
  <si>
    <t>PISO FULGET (GRANITO LAVADO) EM PLACAS DE *40 X 40* CM, E = 2,0 CM (SEM COLOCACAO)</t>
  </si>
  <si>
    <t xml:space="preserve"> 00003671 </t>
  </si>
  <si>
    <t>JUNTA PLASTICA DE DILATACAO PARA PISOS, COR CINZA, 17 X 3 MM (ALTURA X ESPESSURA)</t>
  </si>
  <si>
    <t>797,46</t>
  </si>
  <si>
    <t>11,40</t>
  </si>
  <si>
    <t xml:space="preserve"> 00020232 </t>
  </si>
  <si>
    <t>SOLEIRA EM GRANITO, POLIDO, TIPO ANDORINHA/ QUARTZ/ CASTELO/ CORUMBA OU OUTROS EQUIVALENTES DA REGIAO, L= *15* CM, E= *2,0* CM</t>
  </si>
  <si>
    <t>1,73</t>
  </si>
  <si>
    <t xml:space="preserve"> 00036178 </t>
  </si>
  <si>
    <t>PISO TATIL / PODOTATIL, LADRILHO HIDRAULICO/CONCRETO, *40 X 40* CM, E= 2,5* CM, PADRAO TATIL ALERTA OU DIRECIONAL, COR NATURAL</t>
  </si>
  <si>
    <t xml:space="preserve"> 00034353 </t>
  </si>
  <si>
    <t>ARGAMASSA COLANTE AC II</t>
  </si>
  <si>
    <t>15,88</t>
  </si>
  <si>
    <t xml:space="preserve"> 95282 </t>
  </si>
  <si>
    <t>DESEMPENADEIRA DE CONCRETO, PESO DE 78 KG, 4 PÁS, MOTOR A GASOLINA, POTÊNCIA 5,5 HP - CHP DIURNO. AF_05/2023</t>
  </si>
  <si>
    <t xml:space="preserve"> 00043146 </t>
  </si>
  <si>
    <t>ENDURECEDOR MINERAL DE BASE CIMENTICIA PARA PISO DE CONCRETO</t>
  </si>
  <si>
    <t>60,29</t>
  </si>
  <si>
    <t xml:space="preserve"> 94964 </t>
  </si>
  <si>
    <t>CONCRETO FCK = 20MPA, TRAÇO 1:2,7:3 (EM MASSA SECA DE CIMENTO/ AREIA MÉDIA/ BRITA 1) - PREPARO MECÂNICO COM BETONEIRA 400 L. AF_05/2021</t>
  </si>
  <si>
    <t xml:space="preserve"> 00007156 </t>
  </si>
  <si>
    <t>TELA DE ACO SOLDADA NERVURADA, CA-60, Q-196, (3,11 KG/M2), DIAMETRO DO FIO = 5,0 MM, LARGURA = 2,45 M, ESPACAMENTO DA MALHA = 10 X 10 CM</t>
  </si>
  <si>
    <t xml:space="preserve"> 00005068 </t>
  </si>
  <si>
    <t>PREGO DE ACO POLIDO COM CABECA 17 X 21 (2 X 11)</t>
  </si>
  <si>
    <t xml:space="preserve"> MAT063950 </t>
  </si>
  <si>
    <t>Gesso acartonado para forro acustico</t>
  </si>
  <si>
    <t xml:space="preserve"> MOD900800 </t>
  </si>
  <si>
    <t>Carpinteiro - esquadrias de madeira (desonerado)</t>
  </si>
  <si>
    <t>117,51</t>
  </si>
  <si>
    <t xml:space="preserve"> 88269 </t>
  </si>
  <si>
    <t>GESSEIRO COM ENCARGOS COMPLEMENTARES</t>
  </si>
  <si>
    <t xml:space="preserve"> COT-14 </t>
  </si>
  <si>
    <t>LÃ DE PET 50MM DE ESPESSURA</t>
  </si>
  <si>
    <t>416,52</t>
  </si>
  <si>
    <t xml:space="preserve"> 00000345 </t>
  </si>
  <si>
    <t>ARAME GALVANIZADO 18 BWG, D = 1,24MM (0,009 KG/M)</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</si>
  <si>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</si>
  <si>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</si>
  <si>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</si>
  <si>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</si>
  <si>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</si>
  <si>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</si>
  <si>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39,47</t>
  </si>
  <si>
    <t xml:space="preserve"> 100746 </t>
  </si>
  <si>
    <t>PINTURA COM TINTA ALQUÍDICA DE ACABAMENTO (ESMALTE SINTÉTICO BRILHANTE) APLICADA A ROLO OU PINCEL SOBRE SUPERFÍCIES METÁLICAS (EXCETO PERFIL) EXECUTADO EM OBRA (POR DEMÃO). AF_01/2020</t>
  </si>
  <si>
    <t>Pintura em Superfícies Metálicas</t>
  </si>
  <si>
    <t xml:space="preserve"> COT-25 </t>
  </si>
  <si>
    <t>CHAPA GALVANIZADA PERFURADA COM FUROS QUADRADOS DE 5 MM</t>
  </si>
  <si>
    <t>30,43</t>
  </si>
  <si>
    <t xml:space="preserve"> 20133 </t>
  </si>
  <si>
    <t>MAO-DE-OBRA DE SERVENTE PARA SERVICOS DE  CONSERVACAO, INCLUSIVE ENCARGOS SOCIAIS  DESONERADOS</t>
  </si>
  <si>
    <t xml:space="preserve"> 00699 </t>
  </si>
  <si>
    <t>GRAMA EM PLACAS, TIPO ESMERALDA, COM TRA NSPORTE</t>
  </si>
  <si>
    <t>1.968,07</t>
  </si>
  <si>
    <t xml:space="preserve"> 91634 </t>
  </si>
  <si>
    <t>GUINDAUTO HIDRÁULICO, CAPACIDADE MÁXIMA DE CARGA 6500 KG, MOMENTO MÁXIMO DE CARGA 5,8 TM, ALCANCE MÁXIMO HORIZONTAL 7,60 M, INCLUSIVE CAMINHÃO TOCO PBT 9.700 KG, POTÊNCIA DE 160 CV - CHP DIURNO. AF_08/2015</t>
  </si>
  <si>
    <t xml:space="preserve"> 91635 </t>
  </si>
  <si>
    <t>GUINDAUTO HIDRÁULICO, CAPACIDADE MÁXIMA DE CARGA 6500 KG, MOMENTO MÁXIMO DE CARGA 5,8 TM, ALCANCE MÁXIMO HORIZONTAL 7,60 M, INCLUSIVE CAMINHÃO TOCO PBT 9.700 KG, POTÊNCIA DE 160 CV - CHI DIURNO. AF_08/2015</t>
  </si>
  <si>
    <t xml:space="preserve"> 88441 </t>
  </si>
  <si>
    <t>JARDINEIRO COM ENCARGOS COMPLEMENTARES</t>
  </si>
  <si>
    <t xml:space="preserve"> 00038641 </t>
  </si>
  <si>
    <t>MUDA DE PALMEIRA ARECA, H= *1,50* M</t>
  </si>
  <si>
    <t xml:space="preserve"> MAT102300 </t>
  </si>
  <si>
    <t>Planta - Especie vegetal com altura de (0,40 a 2,00)m, tipo Arbusto Philodendron Bipinnatifidum (Banana de Macaco ou Imbe) ou similar</t>
  </si>
  <si>
    <t xml:space="preserve"> N.01.000.038628 </t>
  </si>
  <si>
    <t>ÁRVORE ORNAMENTAL PATA-DE-VACA-BRANCA (PATA-DE-VACA) H=2,00M</t>
  </si>
  <si>
    <t xml:space="preserve"> 00007253 </t>
  </si>
  <si>
    <t>TERRA VEGETAL (GRANEL)</t>
  </si>
  <si>
    <t xml:space="preserve"> 91285 </t>
  </si>
  <si>
    <t>CORTADORA DE PISO COM MOTOR 4 TEMPOS A GASOLINA, POTÊNCIA DE 13 HP, COM DISCO DE CORTE DIAMANTADO SEGMENTADO PARA CONCRETO, DIÂMETRO DE 350 MM, FURO DE 1" (14 X 1") - CHI DIURNO. AF_08/2015</t>
  </si>
  <si>
    <t xml:space="preserve"> 58.002.0315-1 </t>
  </si>
  <si>
    <t>BASE DE BRITA CORRIDA INCLUSIVE FORNECIMENTO DOS MATERIAIS MEDIDA APOS A COMPACTACAO. ) ) GOS SOCIAIS</t>
  </si>
  <si>
    <t>M3.</t>
  </si>
  <si>
    <t xml:space="preserve"> 88260 </t>
  </si>
  <si>
    <t>CALCETEIRO COM ENCARGOS COMPLEMENTARES</t>
  </si>
  <si>
    <t xml:space="preserve"> 91283 </t>
  </si>
  <si>
    <t>CORTADORA DE PISO COM MOTOR 4 TEMPOS A GASOLINA, POTÊNCIA DE 13 HP, COM DISCO DE CORTE DIAMANTADO SEGMENTADO PARA CONCRETO, DIÂMETRO DE 350 MM, FURO DE 1" (14 X 1") - CHP DIURNO. AF_08/2015</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</si>
  <si>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</si>
  <si>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</si>
  <si>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</si>
  <si>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</si>
  <si>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00000370 </t>
  </si>
  <si>
    <t>AREIA MEDIA - POSTO JAZIDA/FORNECEDOR (RETIRADO NA JAZIDA, SEM TRANSPORTE)</t>
  </si>
  <si>
    <t xml:space="preserve"> 00004741 </t>
  </si>
  <si>
    <t>PO DE PEDRA (POSTO PEDREIRA/FORNECEDOR, SEM FRETE)</t>
  </si>
  <si>
    <t xml:space="preserve"> 00036170 </t>
  </si>
  <si>
    <t>BLOQUETE/PISO INTERTRAVADO DE CONCRETO - MODELO ONDA/16 FACES/RETANGULAR/TIJOLINHO/PAVER/HOLANDES/PARALELEPIPEDO, *20 X 10* CM, E = 8 CM, RESISTENCIA DE 35 MPA, COR NATURAL</t>
  </si>
  <si>
    <t>1.113,82</t>
  </si>
  <si>
    <t>796,05</t>
  </si>
  <si>
    <t>28,88</t>
  </si>
  <si>
    <t>17,19</t>
  </si>
  <si>
    <t xml:space="preserve"> 00007348 </t>
  </si>
  <si>
    <t>TINTA ACRILICA PREMIUM PARA PISO</t>
  </si>
  <si>
    <t>314,44</t>
  </si>
  <si>
    <t xml:space="preserve"> 19.004.0080-C </t>
  </si>
  <si>
    <t>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 -4, GRAU SAE 20W-40 SSIS, CAPACIDADE DE 3,5T GOS SOCIAIS DESONERADOS</t>
  </si>
  <si>
    <t xml:space="preserve"> 19.004.0001-C </t>
  </si>
  <si>
    <t>CAMINHAO COM CARROCERIA FIXA,NO TOCO,CAPACICADE DE 3,5T,INCL USIVE MOTORISTA -4, GRAU SAE 20W-40 CIDADE DE 3,5T CARGOS SOCIAIS DESONERADOS</t>
  </si>
  <si>
    <t xml:space="preserve"> 13243 </t>
  </si>
  <si>
    <t>LUMINARIA DECORATIVA/PUBLICA TIPO PETALA  PARA LAMPADA LED DE 50W, BIVOLT</t>
  </si>
  <si>
    <t xml:space="preserve"> 14858 </t>
  </si>
  <si>
    <t>SUPORTE (NUCLEO), DUPLO, EM ACO GALVANIZ ADO, PARA LUMINARIAS DECORATIVA-PUBLICA TIPO PETALA EM TOPO DE POSTE</t>
  </si>
  <si>
    <t xml:space="preserve"> 14857 </t>
  </si>
  <si>
    <t>SUPORTE (NUCLEO), SIMPLES, EM ACO GALVAN IZADO, PARA LUMINARIA DECORATIVA-PUBLICA  TIPO PETALA EM TOPO DE POSTE</t>
  </si>
  <si>
    <t xml:space="preserve"> 11.002.0023-B </t>
  </si>
  <si>
    <t>LANCAMENTO DE CONCRETO EM PECAS ARMADAS,INCLUSIVE TRANSPORTE HORIZONTAL ATE 20,00M EM CARRINHOS,E VERTICAL ATE 10,00M CO M TORRE E GUINCHO,COLOCACAO,ADENSAMENTO E ACABAMENTO,CONSIDE RANDO UMA PRODUCAO APROXIMADA DE 2,00M3/H NCARGOS SOCIAIS DESONERADOS OMPACTADOR LEVE...), INCLUSIVE ENCARGOS SOCIAIS DESONERADOS DOS GOS SOCIAIS DESONERADOS</t>
  </si>
  <si>
    <t xml:space="preserve"> 11.005.0001-B </t>
  </si>
  <si>
    <t>FORMAS DE CHAPAS DE MADEIRA COMPENSADA,EMPREGANDO-SE AS DE 1 4MM,RESINADAS,E TAMBEM AS DE 20MM DE ESPESSURA,PLASTIFICADAS ,SERVINDO 4 VEZES,E A MADEIRA AUXILIAR SERVINDO 3 VEZES,INCL USIVE FORNECIMENTO E DESMOLDAGEM,EXCLUSIVE ESCORAMENTO 20MM QUIVALENTES, Nº12X12 A 18X30 NCARGOS SOCIAIS DESONERADOS GOS SOCIAIS DESONERADOS</t>
  </si>
  <si>
    <t xml:space="preserve"> 11.002.0013-B </t>
  </si>
  <si>
    <t>PREPARO DE CONCRETO,COMPREENDENDO MISTURA E AMASSAMENTO EM U MA BETONEIRA DE 320L,ADMITINDO-SE UMA PRODUCAO APROXIMADA DE 2,00M3/H,EXCLUINDO O FORNECIMENTO DOS MATERIAIS GOS SOCIAIS DESONERADOS</t>
  </si>
  <si>
    <t xml:space="preserve"> 20015 </t>
  </si>
  <si>
    <t>MAO-DE-OBRA DE ARMADOR DE CONCRETO ARMAD O, INCLUSIVE ENCARGOS SOCIAIS DESONERADO S</t>
  </si>
  <si>
    <t>36,70</t>
  </si>
  <si>
    <t xml:space="preserve"> 00004718 </t>
  </si>
  <si>
    <t>PEDRA BRITADA N. 2 (19 A 38 MM) POSTO PEDREIRA/FORNECEDOR, SEM FRETE</t>
  </si>
  <si>
    <t xml:space="preserve"> 00044455 </t>
  </si>
  <si>
    <t>BICICLETARIO MODELO U INVERTIDO, DIMENSOES 82 CM X 78 CM, FABRICADO EM TUBO CIRCULAR DE ACO DE DIAMETRO 2", ACABAMENTO EM PINTURA ELETROSTATICA, FIXACAO PARAFUSADA</t>
  </si>
  <si>
    <t xml:space="preserve"> 94968 </t>
  </si>
  <si>
    <t>CONCRETO MAGRO PARA LASTRO, TRAÇO 1:4,5:4,5 (EM MASSA SECA DE CIMENTO/ AREIA MÉDIA/ BRITA 1) - PREPARO MECÂNICO COM BETONEIRA 600 L. AF_05/2021</t>
  </si>
  <si>
    <t xml:space="preserve"> 00036799 </t>
  </si>
  <si>
    <t>MOURAO DE CONCRETO RETO, TIPO ESTICADOR, *10 X 10* CM, H= 2,50 M</t>
  </si>
  <si>
    <t>55,53</t>
  </si>
  <si>
    <t>10,82</t>
  </si>
  <si>
    <t xml:space="preserve"> 02845 </t>
  </si>
  <si>
    <t>TUBO DE ACO GALVANIZADO, COM COSTURA, PE SADO, NBR 5580, DN=1.1/4"</t>
  </si>
  <si>
    <t>61,92</t>
  </si>
  <si>
    <t xml:space="preserve"> MAT012600 </t>
  </si>
  <si>
    <t>Bebedouro AC-080, de 80 l/h, Elege ou similar</t>
  </si>
  <si>
    <t xml:space="preserve"> COT-24 </t>
  </si>
  <si>
    <t>Suporte Projetor Teto Telescópio Com Bandeja</t>
  </si>
  <si>
    <t xml:space="preserve"> COT-26 </t>
  </si>
  <si>
    <t>POLTRONA ACOLCHOADA PARA AUDITÓRIO</t>
  </si>
  <si>
    <t>48,00</t>
  </si>
  <si>
    <t xml:space="preserve"> 100469 </t>
  </si>
  <si>
    <t>ARGAMASSA TRAÇO 1:3 (EM VOLUME DE CIMENTO E AREIA MÉDIA ÚMIDA), PREPARO MECÂNICO COM MISTURADOR DE EIXO HORIZONTAL DE 300 KG. AF_08/2019</t>
  </si>
  <si>
    <t xml:space="preserve"> MAT126450 </t>
  </si>
  <si>
    <t>Suporte em chapa de aco galvanizado, perfil "U", medindo: (1 3/4"x5/8"), com espessura de 2mm, para fixacao de placas, com comprimento de 700mm, com abracadeira para fixacao em hastes com diametro externo de 4"</t>
  </si>
  <si>
    <t xml:space="preserve"> 00001380 </t>
  </si>
  <si>
    <t>CIMENTO BRANCO NAO ESTRUTURAL (CPB - NAO ESTRUTURAL)</t>
  </si>
  <si>
    <t xml:space="preserve"> 00011795 </t>
  </si>
  <si>
    <t>GRANITO PARA BANCADA, POLIDO, TIPO ANDORINHA/ QUARTZ/ CASTELO/ CORUMBA OU OUTROS EQUIVALENTES DA REGIAO, E= *2,5* CM</t>
  </si>
  <si>
    <t>13,83</t>
  </si>
  <si>
    <t xml:space="preserve"> COT-27 </t>
  </si>
  <si>
    <t>BALCÃO PARA RECEPÇÃO</t>
  </si>
  <si>
    <t xml:space="preserve"> COT-28A </t>
  </si>
  <si>
    <t>PLACA TIPO S1. INSTALADA.</t>
  </si>
  <si>
    <t xml:space="preserve"> COT-28B </t>
  </si>
  <si>
    <t>Placa tipo S2</t>
  </si>
  <si>
    <t xml:space="preserve"> COT-28C </t>
  </si>
  <si>
    <t>Placa tipo S3</t>
  </si>
  <si>
    <t xml:space="preserve"> COT-28D </t>
  </si>
  <si>
    <t>Placa tipo S4</t>
  </si>
  <si>
    <t xml:space="preserve"> COT-28E </t>
  </si>
  <si>
    <t>Placa tipo S5</t>
  </si>
  <si>
    <t xml:space="preserve"> COT-28F </t>
  </si>
  <si>
    <t>Placa tipo S6</t>
  </si>
  <si>
    <t xml:space="preserve"> COT-28G </t>
  </si>
  <si>
    <t>Placa tipo S7</t>
  </si>
  <si>
    <t xml:space="preserve"> COT-28H </t>
  </si>
  <si>
    <t>Placa tipo S8</t>
  </si>
  <si>
    <t xml:space="preserve"> COT-28I </t>
  </si>
  <si>
    <t>Placa tipo S9</t>
  </si>
  <si>
    <t xml:space="preserve"> COT-28J </t>
  </si>
  <si>
    <t>15,25</t>
  </si>
  <si>
    <t xml:space="preserve"> 00020247 </t>
  </si>
  <si>
    <t>PREGO DE ACO POLIDO COM CABECA 15 X 15 (1 1/4 X 13)</t>
  </si>
  <si>
    <t xml:space="preserve"> 00001358 </t>
  </si>
  <si>
    <t>CHAPA/PAINEL DE MADEIRA COMPENSADA RESINADA (MADEIRITE RESINADO ROSA) PARA FORMA DE CONCRETO, DE 2200 X 1100 MM, E = 17 MM</t>
  </si>
  <si>
    <t>12,60</t>
  </si>
  <si>
    <t>152,30</t>
  </si>
  <si>
    <t>108,20</t>
  </si>
  <si>
    <t xml:space="preserve"> 19.007.0013-C </t>
  </si>
  <si>
    <t>VIBRADOR DE IMERSAO,TUBO DE 48X480MM,COM MANGOTE DE 5,00M DE COMPRIMENTO,MOTOR ELETRICO,EXCLUSIVE OPERADOR M DE COMPRIM. COM MOTOR ELETRICO DE 2CV</t>
  </si>
  <si>
    <t xml:space="preserve"> 19.007.0013-E </t>
  </si>
  <si>
    <t xml:space="preserve"> 02523 </t>
  </si>
  <si>
    <t>INSTALACAO AVULSA DE BOMBA DE CONCRETO</t>
  </si>
  <si>
    <t xml:space="preserve"> 13495 </t>
  </si>
  <si>
    <t>CONCRETO BOMBEAVEL, UTILIZANDO BRITA 1, DE 40MPA</t>
  </si>
  <si>
    <t>6,30</t>
  </si>
  <si>
    <t xml:space="preserve"> 91533 </t>
  </si>
  <si>
    <t>COMPACTADOR DE SOLOS DE PERCUSSÃO (SOQUETE) COM MOTOR A GASOLINA 4 TEMPOS, POTÊNCIA 4 CV - CHP DIURNO. AF_08/2015</t>
  </si>
  <si>
    <t xml:space="preserve"> 00006079 </t>
  </si>
  <si>
    <t>ARGILA, ARGILA VERMELHA OU ARGILA ARENOSA (RETIRADA NA JAZIDA, SEM TRANSPORTE)</t>
  </si>
  <si>
    <t>97,10</t>
  </si>
  <si>
    <t>11,60</t>
  </si>
  <si>
    <t>111,20</t>
  </si>
  <si>
    <t>218,30</t>
  </si>
  <si>
    <t>5,40</t>
  </si>
  <si>
    <t>50,20</t>
  </si>
  <si>
    <t>1,10</t>
  </si>
  <si>
    <t>247,40</t>
  </si>
  <si>
    <t>142,50</t>
  </si>
  <si>
    <t>125,60</t>
  </si>
  <si>
    <t>297,90</t>
  </si>
  <si>
    <t>11,30</t>
  </si>
  <si>
    <t xml:space="preserve"> 00406 </t>
  </si>
  <si>
    <t>TELA DE ARAME GALVANIZADO, FIO Nº 12(2,7 7mm), MALHA QUADRANGULAR (ONDULADA), DE (25 X 25)MM</t>
  </si>
  <si>
    <t xml:space="preserve"> 00173 </t>
  </si>
  <si>
    <t>TUBO DE ACO GALVANIZADO, COM COSTURA, PE SADO, NBR 5580, DN=2"</t>
  </si>
  <si>
    <t>0,14</t>
  </si>
  <si>
    <t xml:space="preserve"> 19.004.0004-D </t>
  </si>
  <si>
    <t>CAMINHAO COM CARROCERIA FIXA,NO TOCO,CAPACIDADE DE 7,5T,INCL USIVE MOTORISTA -4, GRAU SAE 20W-40 CIDADE DE 7,5T CARGOS SOCIAIS DESONERADOS</t>
  </si>
  <si>
    <t xml:space="preserve"> 13252 </t>
  </si>
  <si>
    <t>TRANSFORMADOR DISTRIB.A SECO 225/KVA ABR IGADO CLASSE 15KV TENSAO PRIMARIA DE 13, 8KV, TENSAO SECUND.220/127V-60HZ,C/ACESS</t>
  </si>
  <si>
    <t xml:space="preserve"> S.01.000.080351 </t>
  </si>
  <si>
    <t>GUINDAUTO MUNCK M-640/18 COM LANÇA TELESCÓPICA CAPACIDADE 3750 KG</t>
  </si>
  <si>
    <t xml:space="preserve"> S.05.000.090089 </t>
  </si>
  <si>
    <t>CUBÍCULO DE MEDIÇÃO BLINDADO DE MÉDIA TENSÃO, COMPLETO, USO ABRIGADO, CLASSE 15 KV E 300 KVA, COM DISJUNTOR, REF. PICCOLO GIMI, BEGUIN OU EQUIVALENTE</t>
  </si>
  <si>
    <t>cj</t>
  </si>
  <si>
    <t xml:space="preserve"> 00001570 </t>
  </si>
  <si>
    <t>TERMINAL A COMPRESSAO EM COBRE ESTANHADO PARA CABO 2,5 MM2, 1 FURO E 1 COMPRESSAO, PARA PARAFUSO DE FIXACAO M5</t>
  </si>
  <si>
    <t xml:space="preserve"> 00034616 </t>
  </si>
  <si>
    <t>DISJUNTOR TERMOMAGNETICO PARA TRILHO DIN (IEC), BIPOLAR, 6 - 32 A</t>
  </si>
  <si>
    <t xml:space="preserve"> 00034653 </t>
  </si>
  <si>
    <t>DISJUNTOR TERMOMAGNETICO PARA TRILHO DIN (IEC), MONOPOLAR, 6 - 32 A</t>
  </si>
  <si>
    <t>35,00</t>
  </si>
  <si>
    <t xml:space="preserve"> 02441 </t>
  </si>
  <si>
    <t>DISJUNTOR, TRIPOLAR, DE 80 A 100A, 3KA, MODELO DIN, TIPO C</t>
  </si>
  <si>
    <t xml:space="preserve"> 00001578 </t>
  </si>
  <si>
    <t>TERMINAL A COMPRESSAO EM COBRE ESTANHADO PARA CABO 50 MM2, 1 FURO E 1 COMPRESSAO, PARA PARAFUSO DE FIXACAO M8</t>
  </si>
  <si>
    <t xml:space="preserve"> 00002391 </t>
  </si>
  <si>
    <t>DISJUNTOR TERMOMAGNETICO TRIPOLAR 125 A / 425 V / ICC - 25 KA</t>
  </si>
  <si>
    <t xml:space="preserve"> MAT048200 </t>
  </si>
  <si>
    <t>Disjuntor trifasico, de 50A, tipo C, Eletromar ou similar</t>
  </si>
  <si>
    <t xml:space="preserve"> 00001573 </t>
  </si>
  <si>
    <t>TERMINAL A COMPRESSAO EM COBRE ESTANHADO PARA CABO 6 MM2, 1 FURO E 1 COMPRESSAO, PARA PARAFUSO DE FIXACAO M6</t>
  </si>
  <si>
    <t xml:space="preserve"> 00034709 </t>
  </si>
  <si>
    <t>DISJUNTOR TERMOMAGNETICO PARA TRILHO DIN (IEC), TRIPOLAR, 10 - 50 A</t>
  </si>
  <si>
    <t xml:space="preserve"> 00001580 </t>
  </si>
  <si>
    <t>TERMINAL A COMPRESSAO EM COBRE ESTANHADO PARA CABO 95 MM2, 1 FURO E 1 COMPRESSAO, PARA PARAFUSO DE FIXACAO M12</t>
  </si>
  <si>
    <t xml:space="preserve"> 00002377 </t>
  </si>
  <si>
    <t>DISJUNTOR TERMOMAGNETICO TRIPOLAR 200 A / 600 V, TIPO FXD / ICC - 35 KA</t>
  </si>
  <si>
    <t xml:space="preserve"> 00002379 </t>
  </si>
  <si>
    <t>DISJUNTOR TERMOMAGNETICO TRIPOLAR 400 A / 600 V, TIPO JXD / ICC - 40 KA</t>
  </si>
  <si>
    <t xml:space="preserve"> 00001581 </t>
  </si>
  <si>
    <t>TERMINAL A COMPRESSAO EM COBRE ESTANHADO PARA CABO 120 MM2, 1 FURO E 1 COMPRESSAO, PARA PARAFUSO DE FIXACAO M12</t>
  </si>
  <si>
    <t xml:space="preserve"> 14758 </t>
  </si>
  <si>
    <t>DISPOSITIVO DE PROTECAO CONTRA SURTO,CLA SSE II,1 POLO,TENSAO 175V,CORRENTE DESC. NOMINAL 20KA,CORRENTE DESC.MAXIMA 45KA</t>
  </si>
  <si>
    <t xml:space="preserve"> 00013393 </t>
  </si>
  <si>
    <t>QUADRO DE DISTRIBUICAO COM BARRAMENTO TRIFASICO, DE EMBUTIR, EM CHAPA DE ACO GALVANIZADO, PARA 12 DISJUNTORES DIN, 100 A</t>
  </si>
  <si>
    <t xml:space="preserve"> 00012042 </t>
  </si>
  <si>
    <t>QUADRO DE DISTRIBUICAO COM BARRAMENTO TRIFASICO, DE EMBUTIR, EM CHAPA DE ACO GALVANIZADO, PARA 40 DISJUNTORES DIN, 100 A</t>
  </si>
  <si>
    <t xml:space="preserve"> 006994 </t>
  </si>
  <si>
    <t>MEDIDOR ENERGIA TRIFASICO ATIVO 15/120A VECTOR 3 PA 3 BIVOLY 4F</t>
  </si>
  <si>
    <t>1,76</t>
  </si>
  <si>
    <t>6,78</t>
  </si>
  <si>
    <t>77,00</t>
  </si>
  <si>
    <t>7,22</t>
  </si>
  <si>
    <t>0,87</t>
  </si>
  <si>
    <t>34,00</t>
  </si>
  <si>
    <t xml:space="preserve"> 00043355 </t>
  </si>
  <si>
    <t>LAJE PRE-MOLDADA TRELICADA (LAJOTAS + VIGOTAS) COM LAJOTA EM POLIESTIRENO EXPANDIDO (EPS), H16, 33 X 100 X 16 CM (L X C X A) E VIGOTA VTR 12 X 16 CM (L X A), PARA PISO, UNIDIRECIONAL, SOBRECARGA DE 350 KGF/M2, VAO ATE 6,00 M (SEM COLOCACAO)</t>
  </si>
  <si>
    <t>8,55</t>
  </si>
  <si>
    <t>13,43</t>
  </si>
  <si>
    <t>12,27</t>
  </si>
  <si>
    <t>1,91</t>
  </si>
  <si>
    <t>121,00</t>
  </si>
  <si>
    <t>4,90</t>
  </si>
  <si>
    <t>6,10</t>
  </si>
  <si>
    <t>190,40</t>
  </si>
  <si>
    <t>3,39</t>
  </si>
  <si>
    <t>126,10</t>
  </si>
  <si>
    <t>38,90</t>
  </si>
  <si>
    <t>166,10</t>
  </si>
  <si>
    <t>142,00</t>
  </si>
  <si>
    <t>498,20</t>
  </si>
  <si>
    <t>118,80</t>
  </si>
  <si>
    <t>36,10</t>
  </si>
  <si>
    <t>865,40</t>
  </si>
  <si>
    <t xml:space="preserve"> 001500 </t>
  </si>
  <si>
    <t>ESTOPA COMUM EMBALAGEM 200 GRAMAS</t>
  </si>
  <si>
    <t>851,28</t>
  </si>
  <si>
    <t>PLANILHA DE COTAÇÕES DE ORÇAMENTOS</t>
  </si>
  <si>
    <t>EMPRESA 1</t>
  </si>
  <si>
    <t>EMPRESA 2</t>
  </si>
  <si>
    <t>EMPRESA 3</t>
  </si>
  <si>
    <t>EMPRESA 4</t>
  </si>
  <si>
    <t>EMPRESA 5</t>
  </si>
  <si>
    <t>VALOR (Mediana)</t>
  </si>
  <si>
    <t>COT-01</t>
  </si>
  <si>
    <t>Descrição do Item</t>
  </si>
  <si>
    <t>Nome</t>
  </si>
  <si>
    <t>Cotação</t>
  </si>
  <si>
    <t>Link</t>
  </si>
  <si>
    <t>COT-02</t>
  </si>
  <si>
    <t>RIO FROST</t>
  </si>
  <si>
    <t>REFRIGERAÇÃO CATAVENTO</t>
  </si>
  <si>
    <t>LOJA ARTECH</t>
  </si>
  <si>
    <t>ELETROFRIGOR</t>
  </si>
  <si>
    <t>https://www.riofrost.com.br/ar-condicionado/tubos-de-cobre/tubo-cano-de-cobre-flexivel-78-panqueca-15-metros</t>
  </si>
  <si>
    <t>https://www.refrigeracaocatavento.com.br/ferramentas-de-refrigeracao/tubos-de-cobre/tubo-de-cobre-flexivel-78-1-metro?parceiro=6374&amp;gad_source=1&amp;gclid=Cj0KCQjwiOy1BhDCARIsADGvQnDSZeseXTnNHMQEG3-dKYMAOj2dqxuTIVaKNnxJYAb_4nInU-Ge9sQaAo8uEALw_wcB</t>
  </si>
  <si>
    <t>https://www.lojaartech.com.br/tubo-de-cobre-7-8-panqueca?utm_source=google&amp;utm_medium=Shopping&amp;utm_campaign=tubo-de-cobre-7-8-panqueca&amp;inStock&amp;parceiro=8962&amp;gad_source=1&amp;gclid=Cj0KCQjwiOy1BhDCARIsADGvQnDSsyTYpaXItORVtBhUhmGSVWHUpW-ylfZWqc0DUACdG7usbWZIZzkaAgLvEALw_wcB</t>
  </si>
  <si>
    <t>https://www.eletrofrigor.com.br/produto/tubo-de-cobre-7-8-x-1-32-panqueca-15-metros-5608?gad_source=1&amp;gclid=Cj0KCQjwiOy1BhDCARIsADGvQnAMklXLUv1AQzDh0fQ7ZzK7dPWYnT3q66F4oLqnKxSyyVc-iNSHBEYaAt_HEALw_wcB</t>
  </si>
  <si>
    <t>COT-03</t>
  </si>
  <si>
    <t>MERITO COMERCIAL</t>
  </si>
  <si>
    <t>CLIMA THERM</t>
  </si>
  <si>
    <t>BOMBA SHOPPING</t>
  </si>
  <si>
    <t>https://www.meritocomercial.com.br/pressurizador-de-agua-komeco-tp40-ferro-120-w-monofasico-220v-5001001004434-p1082836?tsid=75&amp;gad_source=1&amp;gclid=Cj0KCQjwiOy1BhDCARIsADGvQnA-3Yt108XtxHTHW4MKn01ZQi8OxjPvbDkqIS4iC3GDbg3OzKW2SZUaAhOKEALw_wcB</t>
  </si>
  <si>
    <t>https://www.climatherm.com.br/bomba-pressurizadora-de-agua-inova-gp-120-ppa-120w-220-v</t>
  </si>
  <si>
    <t>https://www.bombashopping.com.br/pressurizador-thebe-tpa-15-9-160-monofasica-120w-127v-0000000006880/p</t>
  </si>
  <si>
    <t>COT-04</t>
  </si>
  <si>
    <t>ELETROLUZ</t>
  </si>
  <si>
    <t>ILUMISUL</t>
  </si>
  <si>
    <t>ELETRO FM</t>
  </si>
  <si>
    <t>https://www.eletroluz.net/barra-chata-aluminio-78-x-18-x-6m?srsltid=AfmBOopF5axlQ7TywOIP7f3GXuNVXZ3Xe0g8IvrBp63Hbju08uEoz-18</t>
  </si>
  <si>
    <t>https://www.ilumisul.com.br/ProdutoId_2752,98/Para-Raio/Barra-Chata-Aluminio-78-X-18-Barra-Com-6-Metros---Alubar.html?srsltid=AfmBOopHGGf_MNOKF9NB3Mex7L-zealfIRYy18KKrXu-xjXcZXsmbAj0</t>
  </si>
  <si>
    <t>https://www.eletrofm.com.br/todos-produtos-do-site/barra-chata-aluminio-7-8-x-1-8-x-6-metros/</t>
  </si>
  <si>
    <t>COT-05</t>
  </si>
  <si>
    <t>MULTISEG</t>
  </si>
  <si>
    <t>A3 ELETRO</t>
  </si>
  <si>
    <t>PLENOBRAS</t>
  </si>
  <si>
    <t>https://www.multiseg.com.br/3906/re-bar-barra-redonda-de-ao-galvanizado-a-fogo-3-8-x-3-metros-?gad_source=1&amp;gclid=Cj0KCQjwiOy1BhDCARIsADGvQnA3ENUA3jwjjZgnGMHAOKGBrvARgkzT_G1g_Ixwp0XSK-xPPyTkEPkaAsCgEALw_wcB</t>
  </si>
  <si>
    <t>https://www.a3eletro.com.br/eletrica/sistemas-de-aterramento-e-para-raio/p-raio-vergalhao-liso-re-bar-38-3-4mt-galv-a-fogo?gad_source=1&amp;gclid=Cj0KCQjwiOy1BhDCARIsADGvQnDxNfNJEfayGT7TUGFUgO1M6N0aCWRpcAvccN1chfjPgEu5nUzl8wwaAtyKEALw_wcB</t>
  </si>
  <si>
    <t>https://www.plenobras.com.br/646a5ae6d496504d21dfd0d8/vergalhao-re-bar-galvanizado-a-fogo-38%22x3m-raycon?gad_source=1&amp;gclid=Cj0KCQjwiOy1BhDCARIsADGvQnB-Kklj2yYVa6vngYBvs3qCxcgBlYaWBWlEtYH-j2Bdq9yLCqyRWlIaAt_QEALw_wcB</t>
  </si>
  <si>
    <t>COT-06</t>
  </si>
  <si>
    <t>ELÉTRICA BICHUETTE</t>
  </si>
  <si>
    <t>CENTRAL ELÉTRICA</t>
  </si>
  <si>
    <t>https://www.multiseg.com.br/718/caixa-de-equalizao-equipotencializao-20-x-20-x-12-sobrepor-9-terminais?srsltid=AfmBOopwk8fjA9ew8Lyb1F6BWt9pf1BQyBer9V9nKEbReyHLg9cs6vFX</t>
  </si>
  <si>
    <t>https://www.eletricabichuette.com.br/caixa-equalizacao-emb-20x20-cbarr-e-9-term/p?srsltid=AfmBOoo85d-tpf52nJWt2lQrIvSOxYaewNIl4VwZrdWyxSNu1kh96FK4</t>
  </si>
  <si>
    <t>https://www.lojacentraleletrica.com.br/produto/caixa-equalizadora-20x20x12cm-para-spda-tel0901-termotecnica?gad_source=1&amp;gclid=Cj0KCQjwiOy1BhDCARIsADGvQnDV6vVLeibGdH3O-Y3AzpQf199KRXCZ6w9-1Anq6soWCF1g1-7TATMaAjM-EALw_wcB</t>
  </si>
  <si>
    <t>COT-07</t>
  </si>
  <si>
    <t>ANDRA</t>
  </si>
  <si>
    <t>ELETROTRAFO</t>
  </si>
  <si>
    <t>https://www.andra.com.br/saida-horizontal-para-eletroduto-3-4-pre-zincado-18-cke553-b-kennedy/p?idsku=13326&amp;gad_source=1&amp;gclid=Cj0KCQjwq_G1BhCSARIsACc7NxoKSYkqzVl-R01oPvMgpx2JF8Q5tlR4fqItT2SZ5x9PakCr9CDUodEaAlU2EALw_wcB</t>
  </si>
  <si>
    <t>https://www.lojacentraleletrica.com.br/produto/saida-horizontal-de-3-4-para-eletrocalha?gad_source=1&amp;gclid=Cj0KCQjwq_G1BhCSARIsACc7Nxpm_IBs48jb9JEE7TOSjXi3LaaAIM7b1a2aJvS4saSLs5NvODcl_OkaAvU1EALw_wcB</t>
  </si>
  <si>
    <t>https://www.eletrotrafo.com.br/eletrocalha-galv-38x38-saida-horizontal-p-eletroduto-1-2--bd-2051-1-19820014/p?idsku=17889&amp;gad_source=1&amp;gclid=Cj0KCQjwq_G1BhCSARIsACc7NxqeMqXW04ct2_DpwXu0iGRozhh3P2wQj_vZP2SZ_IrGrpnxQ1UjD2MaAnoBEALw_wcB</t>
  </si>
  <si>
    <t>COT-08</t>
  </si>
  <si>
    <t>FOURSERV</t>
  </si>
  <si>
    <t>AZTECH</t>
  </si>
  <si>
    <t>TEK DISTRIBUIDOR</t>
  </si>
  <si>
    <t>https://www.fourserv.com.br/produto/switch-hpe-1420-24g-24-portas-gigabit-2x-sfp-layer-2-nao-gerenciavel-52-gbps-mpn-jh017a/368136?gad_source=1&amp;gclid=Cj0KCQjwq_G1BhCSARIsACc7NxqKstl-zK5YiuajU96ZmW8y8VsNmbPS8vm1AoZbtOIMqSOu8aN5cvMaAoYdEALw_wcB</t>
  </si>
  <si>
    <t>https://www.aztech.com.br/switch-24-portas-gigabit-hp-1420-24g-2sfp-jh017a-2p-sfp?utm_source=Site&amp;utm_medium=GoogleMerchant&amp;utm_campaign=GoogleMerchant&amp;gad_source=1&amp;gclid=Cj0KCQjwq_G1BhCSARIsACc7NxqYXc_JIKeKSv2y7jO_0noKPibmb2j-dCys11bFMByclZSUV3EEia8aAtF5EALw_wcB</t>
  </si>
  <si>
    <t>https://www.tekdistribuidor.com.br/switch-24-portas-hpe-aruba-1420-24g-2sfp-24-portas-gigabit-2-portas-sfp-jh017a?parceiro=4158&amp;gad_source=1&amp;gclid=Cj0KCQjwq_G1BhCSARIsACc7NxoitCJxoKQye6n0qRUkiiBf7dTGXk-KzWvQ--0WRzowdY7L0rkb7foaAjUxEALw_wcB</t>
  </si>
  <si>
    <t>COT-09</t>
  </si>
  <si>
    <t>RÉGUA COM 6 TOMADAS PARA RACK</t>
  </si>
  <si>
    <t>UNICASER</t>
  </si>
  <si>
    <t>SOLUÇÃO CABOS</t>
  </si>
  <si>
    <t>https://www.tekdistribuidor.com.br/regua-de-tomada-19-6-tomadas-10a-preta-p/rack-wj-moreira?parceiro=4158&amp;gad_source=1&amp;gclid=Cj0KCQjwq_G1BhCSARIsACc7NxoBBD4leDU0tedUiLkT3esaI6Uln-rwzDHkkHDALd-JJc-04ZdE8A0aAk6kEALw_wcB</t>
  </si>
  <si>
    <t>https://www.unicaserv.com.br/regua-de-tomadas-10-amperes-rack-c-6-saidas-padrao-novo-nbr?parceiro=3738&amp;gad_source=1&amp;gclid=Cj0KCQjwq_G1BhCSARIsACc7NxofnUHwZSFGMxknArg8-jLCljVufivVW93Yxhrv8JCKxWsShXtOr88aAgPbEALw_wcB</t>
  </si>
  <si>
    <t>https://www.solucaocabos.com.br/regua-padrao-19-com-6-tomadas-10a/p?idsku=11846&amp;gad_source=1&amp;gclid=Cj0KCQjwq_G1BhCSARIsACc7NxrOIX66P-fqXustKGqDVNs_GE1E-E3_4thn_ugTXvXWojZSqsXWDlgaAktzEALw_wcB</t>
  </si>
  <si>
    <t>COT-10</t>
  </si>
  <si>
    <t>Piso Vinílico em manta Decode Fiber 25104087</t>
  </si>
  <si>
    <t>COMPRA CAMPEÃ</t>
  </si>
  <si>
    <t>AFREL PISOS E CARPETES</t>
  </si>
  <si>
    <t>PISOTECH REVESTIMENTOS</t>
  </si>
  <si>
    <t>https://www.compracampea.com.br/produto/piso-vinilico-em-manta-tarkett-decode-fiber-2mm-x-2m-25104087-grey-50-m%C2%B2/</t>
  </si>
  <si>
    <t>https://www.afrel.com.br/piso-vinilico-em-manta-decode-fiber-25104087.html?srsltid=AfmBOooptR0KsUmtsXt4woeGS36uwt0E-RYlao4YkQA_pkWQoF6oEEGe</t>
  </si>
  <si>
    <t>https://www.pisotech.com.br/produto/manta-heterogenea-decode-fiber-grey-ref-25104087-26716</t>
  </si>
  <si>
    <t>COT-11</t>
  </si>
  <si>
    <t>https://www.compracampea.com.br/produto/piso-vinilico-em-manta-tarkett-decode-fiber-2mm-x-2m-25104088-grege-50-m%C2%B2/</t>
  </si>
  <si>
    <t>https://www.afrel.com.br/piso-vinilico-em-manta-decode-fiber-25104088.html?srsltid=AfmBOooCbwgc_luHXvMpsyVFouHCPJ-G6gBMtdF4ToDz51xVYOCsP90T</t>
  </si>
  <si>
    <t>https://www.pisotech.com.br/produto/manta-heterogenea-decode-fiber-grege-ref-25104088-26717</t>
  </si>
  <si>
    <t>COT-12</t>
  </si>
  <si>
    <t>PISO DE MADEIRA PLÁSTICA</t>
  </si>
  <si>
    <t>ecowood</t>
  </si>
  <si>
    <t xml:space="preserve">457,52	</t>
  </si>
  <si>
    <t>PAINEL ACÚSTICO CINZA 50MM</t>
  </si>
  <si>
    <t>PORTAL DA ACÚSTICA</t>
  </si>
  <si>
    <t>SONAR</t>
  </si>
  <si>
    <t>ESSENCIA BRASILEIRA</t>
  </si>
  <si>
    <t>https://www.essenciabrasileira.com.br/produto/rw-1-painel-acustico-120x60x05-fundo-mdf-64kgm3/</t>
  </si>
  <si>
    <t>https://www.sonaracusticos.com.br/products/painel-acustico-high-mid-120x60x05-cm?variant=46034428002607</t>
  </si>
  <si>
    <t>https://www.portaldaacustica.com/produto/painel-acustico-absorvedor-de-ruidos-tratamento-acustico-1200-x-600-mm-70584?gad_source=1&amp;gclid=CjwKCAjw8fu1BhBsEiwAwDrsjPdhXnvyFKpY4uz1hT7NG1PGoD4si3q6ERsinIzN-zK5pi6XvX_yzBoCDXgQAvD_BwE</t>
  </si>
  <si>
    <t>COT-14</t>
  </si>
  <si>
    <t>ESPAÇO SMART</t>
  </si>
  <si>
    <t>VIBRA SHOP</t>
  </si>
  <si>
    <t>PORTAL DA ACUSTICA</t>
  </si>
  <si>
    <t>https://www.espacosmart.com.br/v-la-de-pet-50-x-1200-x-12500-mm-15-m2/p</t>
  </si>
  <si>
    <t>https://www.vibrashop.com.br/drywall/la-pet-preta-50mm</t>
  </si>
  <si>
    <t>https://www.portaldaacustica.com/produto/placa-la-de-pet-branco-1200-x-600-x-50-30kg-m3-6-unidades-70502?gad_source=1&amp;gclid=Cj0KCQjw2ou2BhCCARIsANAwM2FcZqdqiTDqZV8VmCyrE0kuAqOBofBaqc2tcoP_b5BSuL3rIHE5eHoaAjXyEALw_wcB</t>
  </si>
  <si>
    <t>COT-15</t>
  </si>
  <si>
    <t xml:space="preserve">Porta Papel Higiênico Rolão Inox </t>
  </si>
  <si>
    <t>SHOPBIOVIS</t>
  </si>
  <si>
    <t>SOLUCENTER</t>
  </si>
  <si>
    <t>ELASTOBOR</t>
  </si>
  <si>
    <t>https://www.shopbiovis.com.br/porta-papel-higienico-rolao-inox-visium-biovis</t>
  </si>
  <si>
    <t>https://www.solucenter.com.br/dispenser-de-papel-higienico-inox-de-ate-400-metros-tamanho-ideal-115-001?gad_source=1&amp;gclid=Cj0KCQjw2ou2BhCCARIsANAwM2FafC2bD-_YoktrAdTl5UWQZC_vqQUEEZg27sR3D038mLkvlLwOzB4aAtvMEALw_wcB</t>
  </si>
  <si>
    <t>https://www.elastobor.com.br/porta-papel-higienico-jsn-com-porta-cadeado-em-aco-inox-800m/p?idsku=161644016&amp;gad_source=4&amp;gclid=Cj0KCQjw2ou2BhCCARIsANAwM2Ehl7WV38673-rr_MFVlmYkYQc8xmHhmmEems9jmdq5Hon7kk-j1CMaAr8jEALw_wcB</t>
  </si>
  <si>
    <t>COT-16</t>
  </si>
  <si>
    <t>ARTMOSFERA</t>
  </si>
  <si>
    <t>FRIOSHOPPING</t>
  </si>
  <si>
    <t>LOJA MULTIVAC</t>
  </si>
  <si>
    <t>https://www.artmosferabrasil.com.br/difusao-de-ar/grelhas/010-grelha-ar-a-225-x-125-trox?srsltid=AfmBOoouhFvlgP47HNzRtbWmdSTKA_fqCCt3mEdnkhq2D30JtfFBYrm5</t>
  </si>
  <si>
    <t>https://www.frioshopping.com/difusao-de-ar/grelhas/grelha-de-retorno/grelha-de-retorno-horizontal-em-aluminio-200x100mm</t>
  </si>
  <si>
    <t>https://loja.multivac.com.br/grelha-horizontal-movel-com-registro-anodizado-at-ag-225x125?utm_source=Site&amp;utm_medium=GoogleShopping&amp;utm_campaign=IntegracaoGoogle</t>
  </si>
  <si>
    <t>COT-17</t>
  </si>
  <si>
    <t xml:space="preserve">Placa M1 - Descritiva dos Sistemas de Proteção Contra Incêndio Existentes na Edificação </t>
  </si>
  <si>
    <t>HIDRANTEX DO BRASIL</t>
  </si>
  <si>
    <t>ENFOQUE</t>
  </si>
  <si>
    <t>CONTRA INCENDIO</t>
  </si>
  <si>
    <t>COT-17 UFF</t>
  </si>
  <si>
    <t>https://www.hidrantex.com.br/placas/placa-m1-modelo-4</t>
  </si>
  <si>
    <t>https://enfoquevisual.com.br/products/m1-sinalizacao-de-emergencia-sistemas-de-seguranca-contra-incendio-fotoluminescente-elx-082?variant=32363701993538</t>
  </si>
  <si>
    <t>https://contraincendio.com.br/produto/sinalizacao-de-emergencia/mensagens-escritas/placa-de-sinalizacao-edificacao-m1/</t>
  </si>
  <si>
    <t>COT-18</t>
  </si>
  <si>
    <t xml:space="preserve">Placa M2- Placa M2 Lotação Máxima </t>
  </si>
  <si>
    <t>BARRAFIRE</t>
  </si>
  <si>
    <t>VISART SINALIZAÇÃO</t>
  </si>
  <si>
    <t>COT-18 UFF</t>
  </si>
  <si>
    <t>https://www.hidrantex.com.br/placas/placa-m2-lotacao-maxima</t>
  </si>
  <si>
    <t>https://www.barrafire.com.br/placa-de-sinalizacao/sinalizacao-de-emergencia/placa-m2-bombeiro-lotacao-maxima-na-edificacao</t>
  </si>
  <si>
    <t>https://visart-sinalizacao.lojaintegrada.com.br/lotacao-maxima-m2-mod-2?utm_source=Site&amp;utm_medium=GoogleShopping&amp;utm_campaign=IntegracaoGoogle</t>
  </si>
  <si>
    <t>COT-19</t>
  </si>
  <si>
    <t>ENFOQUE VISUAL</t>
  </si>
  <si>
    <t>SINAL CENTER</t>
  </si>
  <si>
    <t>ISNALIZA</t>
  </si>
  <si>
    <t>https://enfoquevisual.com.br/products/p1-sinalizacao-de-emergencia-proibicao-proibido-fumar-elx-070?variant=32363680464962</t>
  </si>
  <si>
    <t>https://www.sinalcenter.com.br/placa-proibido-fumar-p1?utm_source=Site&amp;utm_medium=GoogleMerchant&amp;utm_campaign=GoogleMerchant&amp;sku=38L6HKCPA-pvc-expandido-2-mm-com-vinil-20x20-cm&amp;srsltid=AfmBOoriILGdHk-lY1GCwwQFaEs13xbRLRkKHHBsGCv-MVa5MYdH2waStQg</t>
  </si>
  <si>
    <t>https://www.isinaliza.com/placa-proibido-fumar-p1/p?gad_source=1&amp;gclid=Cj0KCQjwrp-3BhDgARIsAEWJ6Sz8_sybh3p7qi4Pn7tJJE3_FyAxKEkXR1o2_bfNPVoCfK7gq-1tsvkaArZREALw_wcB&amp;idsku=66202&amp;skuId=66201&amp;utm_campaign=shopping&amp;utm_medium=shopping&amp;utm_source=google%20ads</t>
  </si>
  <si>
    <t>COT-20</t>
  </si>
  <si>
    <t>EXTINTOR ABC , 4 KG, FOSFATO MONDOAMÔNICO</t>
  </si>
  <si>
    <t>LOJAS BRASIL FIRE</t>
  </si>
  <si>
    <t>PROTEÇÃO EXTINTORES</t>
  </si>
  <si>
    <t>https://www.lojabrasilfire.com.br/extintores/extintor-de-incendio-4kg-de-po-abc-com-validade-de-5-anos</t>
  </si>
  <si>
    <t>https://www.protecaoextintor.com.br/extintor-pqs-4kg-abc-validade-da-carga-3-anos</t>
  </si>
  <si>
    <t>https://contraincendio.com.br/produto/extintores-de-incendio/po-quimico-classe-abc/extintor-de-po-quimico-seco-pqs-abc-4-kg/</t>
  </si>
  <si>
    <t>COT-21</t>
  </si>
  <si>
    <t>RALO LINEAR COM GRELHA REFORÇADA</t>
  </si>
  <si>
    <t>FICONE E REIS</t>
  </si>
  <si>
    <t>ZNUBI GRELHA E CIA</t>
  </si>
  <si>
    <t>LEROY MERLIN</t>
  </si>
  <si>
    <t>PRA CIMA ALTERAR</t>
  </si>
  <si>
    <t>https://www.ficonereis.com.br/MLB-1611714130-ralo-linear-15x150-aluminio-reforcado-com-tela-3-15x50-_JM</t>
  </si>
  <si>
    <t>https://www.znubigrelhas.com.br/grelha-pluvial-15x150-com-suporte-aluminio-escovado-znubi-grelhas-cia</t>
  </si>
  <si>
    <t>https://www.leroymerlin.com.br/ralo-grelha-linear-15x150cm-elite-reforcado-em-aluminio-com-aro-de-fixacao--kit-3-pecas-de-15x50-_1567591644</t>
  </si>
  <si>
    <t>COT-22</t>
  </si>
  <si>
    <t>MONERETTO LUZ</t>
  </si>
  <si>
    <t>POOL ELÉTRICA</t>
  </si>
  <si>
    <t>https://www.monerettoluzhome.com.br/cruzeta-de-fibra-90x112x2300mm-300-dan-indafibras?srsltid=AfmBOooatskuQxW3oFPpJbhSQAPq-EwSG_4InY4urKqG3ryuEF_OYV3gObg</t>
  </si>
  <si>
    <t>https://www.pooleletrica.com.br/eletrica/cruzeta-de-fibra-de-vidro-90-x-112-5-x-2000mm-400-dan-115</t>
  </si>
  <si>
    <t>https://www.plenobras.com.br/646a5ab5d496504d21df8b60/cruzeta-polimerica-reta-oca-pposte-90x90x2000mm-tecfibras</t>
  </si>
  <si>
    <t>COT-23</t>
  </si>
  <si>
    <t>BICICLETÁRIO</t>
  </si>
  <si>
    <t>ABC METAL</t>
  </si>
  <si>
    <t>MAGAZINE LUIZA</t>
  </si>
  <si>
    <t>CASAS BAHIA</t>
  </si>
  <si>
    <t>https://www.abcmetal.com.br/chao-10-bicicletas?variant_id=21383&amp;parceiro=7695&amp;gad_source=1&amp;gclid=CjwKCAiA6t-6BhA3EiwAltRFGBWwazYwVnGppMOrLyj_jKiSLw1vjrT9Li8LdsCRkhYY5D6Voct7MBoCVw0QAvD_BwE</t>
  </si>
  <si>
    <t>https://www.magazineluiza.com.br/bicicletario-chao-a-10-vagas-loja-casa-direto-da-fabrica-geral/p/ca447jh0h2/es/bclo/?&amp;seller_id=olistplus&amp;utm_source=google&amp;utm_medium=cpc&amp;utm_term=77946&amp;utm_campaign=google_eco_per_ven_pla_all_apo_3p_adv-funnel-trafego-csp&amp;utm_content=&amp;partner_id=77946&amp;gclsrc=aw.ds&amp;gad_source=1&amp;gclid=CjwKCAiA6t-6BhA3EiwAltRFGDycWmVxJ_aVlkn_GXrk4ZvXYseVanN5AyWAauj_tpaBri7GJjFTdxoCcwIQAvD_BwE</t>
  </si>
  <si>
    <t>https://www.casasbahia.com.br/bicicletario-chao-a-10-vagas-loja-casa-direto-da-fabrica-1566692713/p/1566692713?utm_medium=Cpc&amp;utm_source=GP_PLA&amp;IdSku=1566692713&amp;idLojista=12231&amp;tipoLojista=3P&amp;gclsrc=aw.ds&amp;&amp;utm_campaign=3p_gg_pmax_tudo&amp;gad_source=1&amp;gclid=CjwKCAiA6t-6BhA3EiwAltRFGPPJZIxluMJ19zZzIvVr7d2UfWbj2h03O_rbPviwZ7hHKI4-Q79RExoC9XMQAvD_BwE</t>
  </si>
  <si>
    <t>COT-24</t>
  </si>
  <si>
    <t>AJ SOM</t>
  </si>
  <si>
    <t>ABC SUPORTES</t>
  </si>
  <si>
    <t>https://www.ajsom.com.br/produtos/extensorsuportepedestal-p-projetor43-65-cmtetobranco/?variant=711457645&amp;pf=mc&amp;gad_source=1&amp;gclid=CjwKCAiAjeW6BhBAEiwAdKltMhgHi-r9Et-gEGFJ-H4eASAbFmQqpciGKNMJTb-YeE7uOAme7atEWxoCAGoQAvD_BwE</t>
  </si>
  <si>
    <t>https://www.abcsuportes.com.br/suporte-projetor-teto-telescopio-com-bandeja-avatron-sbae-5075t-w?utm_source=Site&amp;utm_medium=GoogleMerchant&amp;utm_campaign=GoogleMerchant&amp;utm_source=google&amp;utm_medium=cpc&amp;utm_campaign=x&amp;utm_content=&amp;utm_term=&amp;gad_source=1&amp;gclid=CjwKCAiAjeW6BhBAEiwAdKltMkaQo3h1CKnjj2n0gkB1x_zaSr6RG59IYe3jE1xsqnb4v5C3t2MqqBoC25MQAvD_BwE</t>
  </si>
  <si>
    <t>https://www.magazineluiza.com.br/suporte-projetor-de-teto-com-bandeja-telescopio-15kg-avatron/p/dc01a12h5e/et/sppj/?&amp;seller_id=oliststore&amp;utm_source=google&amp;utm_medium=cpc&amp;utm_term=77946&amp;utm_campaign=google_eco_per_ven_pla_all_apo_3p_adv-funnel-trafego-csp&amp;utm_content=&amp;partner_id=77946&amp;gclsrc=aw.ds&amp;gad_source=1&amp;gclid=CjwKCAiAjeW6BhBAEiwAdKltMqq3GvL94JSLgzwdTvWO1x4OJTkdA8wIdKYo2gx_aC03-33QSQ4TahoCy2MQAvD_BwE</t>
  </si>
  <si>
    <t>COT-25</t>
  </si>
  <si>
    <t>GRAVIA</t>
  </si>
  <si>
    <t>DOMINIK</t>
  </si>
  <si>
    <t>TELÃO CADEG</t>
  </si>
  <si>
    <t>https://www.gravia.com/chapa-perfurada-18-quadrado-6-00mm-ec-9mm-1000-2000mm/p?srsltid=AfmBOoos-0Gf_RvDhC093FH9JMDDyO8PqEbbwqASiaXo5rwh3Dh5cQP8</t>
  </si>
  <si>
    <t>https://acos.dominik.com.br/product/chapa-perfurada-galvanizada-0-80mm-1-20-x-2-furo-quadrado-5mm/</t>
  </si>
  <si>
    <t>https://telaodacadeg.lojavirtualnuvem.com.br/produtos/chapa-ferfurada-fq-5x5mm-ec9mm-esp-09mm-ac-peca-200x100m/</t>
  </si>
  <si>
    <t>COT-26</t>
  </si>
  <si>
    <t>SCHOOL CENTER SHOP</t>
  </si>
  <si>
    <t>IMAGINE MÓVEIS</t>
  </si>
  <si>
    <t>IMPORT MÓVEIS</t>
  </si>
  <si>
    <t>https://www.schoolcentershop.com.br/escritorio/auditorio/sc-270-poltrona-de-auditorio-especial</t>
  </si>
  <si>
    <t>https://www.imaginemoveis.com.br/poltrona-esibire-com-braco-fixo</t>
  </si>
  <si>
    <t>https://www.importmoveis.com.br/auditorios/poltronas-de-auditorio/poltrona-ty-93?parceiro=6145&amp;srsltid=AfmBOooqzHVo9h5_vlUgsGKXWGQenBS0bGI-IzlalVXVlZD3MC3CPPIOq1M</t>
  </si>
  <si>
    <t>COT-27</t>
  </si>
  <si>
    <t>GRUPO MÓVEIS OFFICE</t>
  </si>
  <si>
    <t>GRAPOL</t>
  </si>
  <si>
    <t>MAX MOVEIS BH</t>
  </si>
  <si>
    <t>https://www.grupomoveisoffice.com.br/moveis-para-escritorio/balcao-atendimento-25mm-madrid-direita</t>
  </si>
  <si>
    <t>https://www.grapol.com.br/produto/337015025/balcao-de-atendimento-madri-esquerdo</t>
  </si>
  <si>
    <t>https://www.maxmoveisbh.com.br/moveis-escritorio/balcao-de-atendimento-madrid-maranello-lado-esquerdo-cod-9991</t>
  </si>
  <si>
    <t>COT-28</t>
  </si>
  <si>
    <t>COT-29</t>
  </si>
  <si>
    <t>ABC DA CONSTRUÇÃO</t>
  </si>
  <si>
    <t>AMAZON</t>
  </si>
  <si>
    <t>MADEIRA MADEIRA</t>
  </si>
  <si>
    <t>https://www.abcdaconstrucao.com.br/produto/cuba-de-embutir-retangular-l375-branco-deca-48x36cm-86752?keyword=&amp;creative=&amp;gad_source=1&amp;gclid=Cj0KCQiAsOq6BhDuARIsAGQ4-zhEpQ_kDdFsQRq_gEr8iQ0I309vESTHJzNA8TOH0GruKTXwdV-6pqgaAiJ_EALw_wcB</t>
  </si>
  <si>
    <t>https://www.amazon.com.br/Embutir-Retangular-480x355mm-Branco-Deca/dp/B076JLVJSF/ref=asc_df_B076JLVJSF/?tag=googleshopp00-20&amp;linkCode=df0&amp;hvadid=709968341035&amp;hvpos=&amp;hvnetw=g&amp;hvrand=14752698409843991604&amp;hvpone=&amp;hvptwo=&amp;hvqmt=&amp;hvdev=c&amp;hvdvcmdl=&amp;hvlocint=&amp;hvlocphy=1001575&amp;hvtargid=pla-960009466799&amp;psc=1&amp;mcid=ae9e2f918fd837b59d7b29eced198e02&amp;gad_source=1</t>
  </si>
  <si>
    <t>https://www.madeiramadeira.com.br/cuba-de-embutir-para-banheiro-retangular-l375-deca-1139433.html?origem=pla-1139433&amp;seller=21993&amp;utm_source=google&amp;utm_medium=cpc&amp;utm_content=cubas-2417&amp;utm_term=&amp;utm_id=20531144341&amp;gad_source=1&amp;gclid=Cj0KCQiAsOq6BhDuARIsAGQ4-zhDtYhZ_pX3Nn2y7HVJHm_FMqnSRDdlozdlAg8EmolTO_lxMHD8_34aAhfaEALw_wcB</t>
  </si>
  <si>
    <t>COT-30</t>
  </si>
  <si>
    <t>ABC MAQUINAS</t>
  </si>
  <si>
    <t>LOJAS SOLAR</t>
  </si>
  <si>
    <t>https://www.magazineluiza.com.br/kit-100-abracadeira-suporte-para-lampada-tubular-t8-fluorescente-led-flp/p/fej8022eh5/fs/adra/?&amp;seller_id=epmhomesportsltda&amp;utm_source=google&amp;utm_medium=cpc&amp;utm_term=76920&amp;utm_campaign=google_eco_per_ven_pla_ca_sor_3p_ci-cj-fs-b&amp;utm_content=&amp;partner_id=76920&amp;gclsrc=aw.ds&amp;gclid=Cj0KCQiAsOq6BhDuARIsAGQ4-zg1Fi4KU8w9JInMsI5jaZj6NyR-hVilOzd1kfvozp7SXsDxpO1Of98aAvS3EALw_wcB</t>
  </si>
  <si>
    <t>https://www.abmaquinaseferramentas.com.br/materiais-eletricos/acessorios-para-sistemas-eletricos/kit-100-pecas-suporte-abracadeira-plastica-para-lampada-tubular-t8-led-ou-fluorescente</t>
  </si>
  <si>
    <t>https://www.lojasolar.com.br/abracadeira-de-plastico-para-lampada-fluorescente-branco-190-2-perlex/p?srsltid=AfmBOoq9Z7KzxXFeA5C2mtQs24Ou3lMd_GaWIXPRyFRhncH8pFMnEe33</t>
  </si>
  <si>
    <t>COT-31</t>
  </si>
  <si>
    <t>ELETROSTRATO</t>
  </si>
  <si>
    <t>AMPERIAL</t>
  </si>
  <si>
    <t>https://www.eletrorastro.com.br/produto/plug-de-sobrepor-2p-t-10a-macho-preto-fame-79858?utm_source=google&amp;utm_medium=cpc&amp;gad_source=1&amp;gclid=Cj0KCQiAsOq6BhDuARIsAGQ4-zg7_yoEERa7iml6Mlip3kr0E4sgkBVcOdKeYgHjrN3t1vYW2FgJ7z4aAlkSEALw_wcB</t>
  </si>
  <si>
    <t>https://www.andra.com.br/plug-10a-250v-pb-preto-transmobil/p?idsku=968&amp;gad_source=1&amp;gclid=Cj0KCQiAsOq6BhDuARIsAGQ4-zjRMiXk2lJ2IFMMiwnzGnTeM8npiFHs2EHGbR0UtoPdXT8EKfx2HGYaAi8UEALw_wcB</t>
  </si>
  <si>
    <t>https://www.amperial.com.br/plugue-macho-fame-2p-t-10a-preto?utm_source=google&amp;utm_medium=Shopping&amp;utm_campaign=plugue-macho-fame-2p-t-10a-preto&amp;inStock&amp;utm_source=google&amp;utm_medium=cpc&amp;utm_campaign=x&amp;utm_content=&amp;utm_term=&amp;gad_source=1&amp;gclid=Cj0KCQiAsOq6BhDuARIsAGQ4-zgBYtbFpJB2YZPsfxqQ2rK1bbb1rEHN06hD3HqBOVVp3syX7GDn8OMaAlOdEALw_wcB</t>
  </si>
  <si>
    <t>COT-32</t>
  </si>
  <si>
    <t>DIMENSIONAL</t>
  </si>
  <si>
    <t>ELETROFM</t>
  </si>
  <si>
    <t>https://www.dimensional.com.br/54371-cabo-media-tensao-12-20kv-105g-epr-25mm2-preto-3706010144x-induscabos/p?srsltid=AfmBOooh3GvJdhT8HP5EpedeZHARUi0r8C5SDQb_fehegqj66rjhholp</t>
  </si>
  <si>
    <t>https://www.plenobras.com.br/666149e0753bfc753e8389f4/cabo-cobre-isolado-eprpvc-105g-1220kv-1x-2500-mm2-slim-preto-nbr-7286-classe-2?srsltid=AfmBOopWngOIVFqAKVva-oxqg8ik0eAdX8M7332brKJoKitJ-MWtCYg8FEo</t>
  </si>
  <si>
    <t>https://www.eletrofm.com.br/cabos-eletricos/cabo-pp-flex-4-x-25mm2-cobre-1kv-90o-hepr-vendido-por-metro/</t>
  </si>
  <si>
    <t>COT-33</t>
  </si>
  <si>
    <t>Condutor alumínio protegido de cobre 25mm² 15kV - classe 2 (XLPE)</t>
  </si>
  <si>
    <t>CONDUSCAMP</t>
  </si>
  <si>
    <t>GIGA MAX</t>
  </si>
  <si>
    <t>https://loja.conduscamp.com.br/produto/cabo-aluminio-dupla-isolacao-xlpepvc-061kv-2500-mm2-preto/5470903?idSku=5979169</t>
  </si>
  <si>
    <t>https://gigamaxcondutores.com.br/loja/fios-e-cabos/eletrica/aluminio/singelo-isolado/cabo-de-aluminio-singelo-25mm-isolado/?attribute_pa_cor=cinza&amp;gad_source=1&amp;gclid=Cj0KCQiAsOq6BhDuARIsAGQ4-zgMsuPSIIs_vyidV2Iz1YW6HUPmOTBEGsuBaxj-gE-YbsZMrjJIWwkaAugWEALw_wcB</t>
  </si>
  <si>
    <t>https://www.lojacentraleletrica.com.br/produto/cabo-de-aluminio-duplex-25mm-0-6-1kv-2-fases-isoladas-?gad_source=1&amp;gclid=Cj0KCQiAsOq6BhDuARIsAGQ4-zguWO7w_CUl3Zfs3G_BkWpXTv5M4mmHLFxgM2NQA55SQMUU7YQlLp4aArFJEALw_wcB</t>
  </si>
  <si>
    <t>COT-34</t>
  </si>
  <si>
    <t>OBS.: 1 - Número mínimo de cotações: 3 - caso consigam apenas esse nº, retirar a fórmula da Mediana na coluna "I";</t>
  </si>
  <si>
    <t>OBS.: 2 - Utilizando 3 valores, aplicar o menor deles, caso não haja diferença significativa entre eles;</t>
  </si>
  <si>
    <t>PLANILHA DE MEMÓRIA DE CÁLCULO DE BDI - BÔNUS DE DESPESAS INDIRETAS</t>
  </si>
  <si>
    <t xml:space="preserve">valores </t>
  </si>
  <si>
    <t>AC = Administração Central</t>
  </si>
  <si>
    <t>R = Taxa de risco</t>
  </si>
  <si>
    <t>S + G = Taxa  seguro e garantia do empreendimento</t>
  </si>
  <si>
    <t>DF = Despesas Financeira</t>
  </si>
  <si>
    <t>L = Taxa de Lucro</t>
  </si>
  <si>
    <t>I = Taxa de tributos</t>
  </si>
  <si>
    <t>Tributos</t>
  </si>
  <si>
    <t>Pis = 0,65%</t>
  </si>
  <si>
    <t>Cofins = 3,00%</t>
  </si>
  <si>
    <t>ISS = 3%</t>
  </si>
  <si>
    <t>CPRB = 3,6%</t>
  </si>
  <si>
    <t>Demonstração:</t>
  </si>
  <si>
    <t>AC = taxa de Administração Central</t>
  </si>
  <si>
    <t>S = taxa de Seguros</t>
  </si>
  <si>
    <t>R = taxa de Riscos</t>
  </si>
  <si>
    <t>G = taxa de Garantias</t>
  </si>
  <si>
    <t>DF = taxa de Despesas Financeiras</t>
  </si>
  <si>
    <t>L = taxa de Lucro/ remuneração</t>
  </si>
  <si>
    <t>I = taxa de incidência de Impostos (PIS, COFINS e ISS)</t>
  </si>
  <si>
    <t>Administração Central (AC)</t>
  </si>
  <si>
    <r>
      <rPr>
        <sz val="8"/>
        <color rgb="FF000000"/>
        <rFont val="Arial"/>
        <charset val="134"/>
      </rPr>
      <t xml:space="preserve">Considerado = x % (varia </t>
    </r>
    <r>
      <rPr>
        <b/>
        <sz val="8"/>
        <color rgb="FF000000"/>
        <rFont val="Arial"/>
        <charset val="134"/>
      </rPr>
      <t xml:space="preserve">entre 3 a 5,50% do custo direto da obra) </t>
    </r>
  </si>
  <si>
    <t>Seguro + Garantia (S + G)</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</si>
  <si>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0,8 a 1,0% do custo da obra)</t>
    </r>
  </si>
  <si>
    <t>Risco ( R )</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</si>
  <si>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0,97 a 1,27% do custo da obra)</t>
    </r>
  </si>
  <si>
    <t>Despesas Financeiras (DF)</t>
  </si>
  <si>
    <r>
      <rPr>
        <sz val="8"/>
        <color rgb="FF000000"/>
        <rFont val="Arial"/>
        <charset val="134"/>
      </rPr>
      <t xml:space="preserve">Considerado = x % (varia </t>
    </r>
    <r>
      <rPr>
        <b/>
        <sz val="8"/>
        <color rgb="FF000000"/>
        <rFont val="Arial"/>
        <charset val="134"/>
      </rPr>
      <t>entre 0,59 e 1,39% do custo direto da obra)</t>
    </r>
  </si>
  <si>
    <t>Lucro (L)</t>
  </si>
  <si>
    <r>
      <rPr>
        <sz val="8"/>
        <color rgb="FF000000"/>
        <rFont val="Arial"/>
        <charset val="134"/>
      </rPr>
      <t xml:space="preserve">Considerado = x </t>
    </r>
    <r>
      <rPr>
        <b/>
        <sz val="8"/>
        <color rgb="FF000000"/>
        <rFont val="Arial"/>
        <charset val="134"/>
      </rPr>
      <t>%</t>
    </r>
    <r>
      <rPr>
        <sz val="8"/>
        <color rgb="FF000000"/>
        <rFont val="Arial"/>
        <charset val="134"/>
      </rPr>
      <t xml:space="preserve"> (varia </t>
    </r>
    <r>
      <rPr>
        <b/>
        <sz val="8"/>
        <color rgb="FF000000"/>
        <rFont val="Arial"/>
        <charset val="134"/>
      </rPr>
      <t>entre 6,16 a 8,96% do custo direto da obra)</t>
    </r>
  </si>
  <si>
    <t>Tributos sobre o faturamento (I)</t>
  </si>
  <si>
    <t>TRIBUTO</t>
  </si>
  <si>
    <t>ALIQUOTA</t>
  </si>
  <si>
    <t>COFINS</t>
  </si>
  <si>
    <t>PIS/PASEP</t>
  </si>
  <si>
    <t>ISS (Niterói)</t>
  </si>
  <si>
    <t>TOTAL</t>
  </si>
  <si>
    <t>CPRB (INSS)</t>
  </si>
  <si>
    <t>TABELA DE  ISS  -  UNIDADES UFF</t>
  </si>
  <si>
    <t>ISS (%)</t>
  </si>
  <si>
    <t>UF</t>
  </si>
  <si>
    <t>MUNICÍPIO</t>
  </si>
  <si>
    <t>RJ</t>
  </si>
  <si>
    <t>Niterói</t>
  </si>
  <si>
    <t>Angra dos Reis</t>
  </si>
  <si>
    <t>Cachoeira de Macacú</t>
  </si>
  <si>
    <t>Santo Antônio de Pádua</t>
  </si>
  <si>
    <t>Campos dos Goytacazes</t>
  </si>
  <si>
    <t>Macaé</t>
  </si>
  <si>
    <t>Nova Friburgo</t>
  </si>
  <si>
    <t>Rio das Ostras</t>
  </si>
  <si>
    <t>Volta Redonda</t>
  </si>
  <si>
    <t>Petropolis</t>
  </si>
  <si>
    <t>PA</t>
  </si>
  <si>
    <t>Oriximiná</t>
  </si>
  <si>
    <t>PLANILHA DE ENCARGOS SOCIAIS</t>
  </si>
  <si>
    <t>Responsável Técnico pelo Orçamento:</t>
  </si>
  <si>
    <t>CREA / CAU:</t>
  </si>
  <si>
    <t>Responsável legal pela empresa:</t>
  </si>
  <si>
    <t>PLANILHA DE MEMÓRIA DE CÁLCULOS</t>
  </si>
  <si>
    <t>MEMÓRIA DE CÁLCULO</t>
  </si>
  <si>
    <t>1.1</t>
  </si>
  <si>
    <t>COMP-1001</t>
  </si>
  <si>
    <t>MÊS</t>
  </si>
  <si>
    <t>MESES DE OBRA</t>
  </si>
  <si>
    <t>2.1</t>
  </si>
  <si>
    <t>M2</t>
  </si>
  <si>
    <t>ESTIMATIVA: 2 PLACAS MEDINDO 2,00M X 1,50M</t>
  </si>
  <si>
    <t>2.2</t>
  </si>
  <si>
    <t>01.018.0002-A</t>
  </si>
  <si>
    <t>LOCACAO DE OBRA COM APARELHO TOPOGRAFICO SOBRE CERCA DE MARCACAO,INCLUSIVE CONSTRUCAO DESTA E SUA PRE-LOCACAO E O FORNECIMENTO DO MATERIAL E TENDO POR MEDICAO O PERIMETRO A CONSTRUIR</t>
  </si>
  <si>
    <t>ÁREA DE INTERVENÇÃO</t>
  </si>
  <si>
    <t>CONFORME PROJETO</t>
  </si>
  <si>
    <t>3.1</t>
  </si>
  <si>
    <t>COMP-1002</t>
  </si>
  <si>
    <t xml:space="preserve">CONFORME ORIENTAÇÃO DO DNIT, DISTÂNCIA ATÉ À CAPITAL DO ESTADO. </t>
  </si>
  <si>
    <t>3.2</t>
  </si>
  <si>
    <t>LEVANTAMENTO EM PROJETO</t>
  </si>
  <si>
    <t>3.3</t>
  </si>
  <si>
    <t>02.006.0015-0</t>
  </si>
  <si>
    <t>ALUGUEL CONTAINER (MODULO METALICO ICAVEL),P/ESCRITORIO C/WC,MED.APROX.2,30M LARG.6,00M COMPR.E 2,50M ALT.CHAPAS ACO C/NERVURAS TRAPEZOIDAIS,ISOLAMENTO TERMO-ACUSTICO FORRO,CHASSISREFORCADO E PISO COMPENSADO NAVAL,INCLUINDO INST.ELETR.HIDROSSANITARIAS,SUPRIDO ACESSORIOS,1 BACIA SANITARIA E 1 LAVATORIO,EXCL.TRANSP.(04.005.0300),CARGA E DESCARGA (04.013.0015)</t>
  </si>
  <si>
    <t>UNIDADE POR MESES DE OBRA: 1UND X 13 MESES=</t>
  </si>
  <si>
    <t>3.4</t>
  </si>
  <si>
    <t>02.006.0030-A</t>
  </si>
  <si>
    <t>ALUGUEL CONTAINER(MODULO METALICO ICAVEL),SANITARIO-VESTIARIO,MED.APROX.2,30M LARG.6,00M COMPR.2,50M ALT.CHAPAS ACO NERVURAS TRAPEZOIDAIS,ISOLAMENTO TERMO-ACUSTICO FORRO,CHASSIS REFORCADO PISO COMPENSADO NAVAL,INCL.INST.ELETR.HIDROSSANITARIAS,SUPRIDO ACESS.7 BACIAS SANITARIAS,2 LAVATORIOS E 2 MICTORIOS,EXCL.TRANSP.(04.005.0300),CARGA E DESCARGA(04.013.0015)</t>
  </si>
  <si>
    <t>3.5</t>
  </si>
  <si>
    <t>CONTAINER REFEITORIO 12.12X2,44X2.57 C/5 MESAS/BANCOS/PIA</t>
  </si>
  <si>
    <t>UNXMÊS</t>
  </si>
  <si>
    <t>4.1</t>
  </si>
  <si>
    <t>M3</t>
  </si>
  <si>
    <t>CONFORME PROJETO GEOTÉCNICO</t>
  </si>
  <si>
    <t>4.2</t>
  </si>
  <si>
    <t>4.3</t>
  </si>
  <si>
    <t>EXECUÇÃO E COMPACTAÇÃO DE ATERRO COM SOLO PREDOMINANTEMENTE ARGILOSO - EXCLUSIVE SOLO, ESCAVAÇÃO, CARGA E TRANSPORTE. AF_11/2019</t>
  </si>
  <si>
    <t>4.4</t>
  </si>
  <si>
    <t>COM DESCONTO DE MATERIAL UTILIZADO NO ATERRO</t>
  </si>
  <si>
    <t>5.1</t>
  </si>
  <si>
    <t>5.1.1</t>
  </si>
  <si>
    <t>QUANTITATIVO CONFORME PROJETO ESTRUTURAL E MEMORIAL DE CÁLCULO</t>
  </si>
  <si>
    <t>5.1.2</t>
  </si>
  <si>
    <t>5.1.3</t>
  </si>
  <si>
    <t>5.1.4</t>
  </si>
  <si>
    <t>5.1.5</t>
  </si>
  <si>
    <t>5.1.6</t>
  </si>
  <si>
    <t>5.1.7</t>
  </si>
  <si>
    <t>5.1.8</t>
  </si>
  <si>
    <t>5.1.9</t>
  </si>
  <si>
    <t>5.1.10</t>
  </si>
  <si>
    <t>5.1.11</t>
  </si>
  <si>
    <t>5.2</t>
  </si>
  <si>
    <t>5.2.1</t>
  </si>
  <si>
    <t>5.2.2</t>
  </si>
  <si>
    <t>5.2.3</t>
  </si>
  <si>
    <t>5.2.4</t>
  </si>
  <si>
    <t>5.2.5</t>
  </si>
  <si>
    <t>5.2.6</t>
  </si>
  <si>
    <t>6.1</t>
  </si>
  <si>
    <t>10.003.0080-0</t>
  </si>
  <si>
    <t>ESTACA DE CONCRETO ARMADO,MOLDADA NO TERRENO,TIPO HELICE CONTINUA,DIAMETRO DE 400MM,CAPACIDADE DE CARGA DE 60T A 80T,INCLUSIVE FORNECIMENTO DOS MATERIAIS CONSIDERANDO O TRECHO CRAVADO E CONCRETADO</t>
  </si>
  <si>
    <t>12 ESTACAS X 15 METROS</t>
  </si>
  <si>
    <t>6.2</t>
  </si>
  <si>
    <t>12 ESTACAS, UM ARRASAMENTO PARA CADA</t>
  </si>
  <si>
    <t>7.1</t>
  </si>
  <si>
    <t>7.1.1</t>
  </si>
  <si>
    <t>7.1.2</t>
  </si>
  <si>
    <t>7.1.3</t>
  </si>
  <si>
    <t>7.1.4</t>
  </si>
  <si>
    <t>7.1.5</t>
  </si>
  <si>
    <t>7.1.6</t>
  </si>
  <si>
    <t>7.1.7</t>
  </si>
  <si>
    <t>7.1.8</t>
  </si>
  <si>
    <t>7.2</t>
  </si>
  <si>
    <t>7.2.1</t>
  </si>
  <si>
    <t>7.2.2</t>
  </si>
  <si>
    <t>7.2.3</t>
  </si>
  <si>
    <t>7.2.4</t>
  </si>
  <si>
    <t>7.2.5</t>
  </si>
  <si>
    <t>7.2.6</t>
  </si>
  <si>
    <t>7.2.7</t>
  </si>
  <si>
    <t>7.2.8</t>
  </si>
  <si>
    <t>7.3</t>
  </si>
  <si>
    <t>7.3.1</t>
  </si>
  <si>
    <t>7.3.2</t>
  </si>
  <si>
    <t>7.3.3</t>
  </si>
  <si>
    <t>7.3.4</t>
  </si>
  <si>
    <t>7.3.5</t>
  </si>
  <si>
    <t>7.3.6</t>
  </si>
  <si>
    <t>7.3.7</t>
  </si>
  <si>
    <t>7.3.8</t>
  </si>
  <si>
    <t>ARMAÇÃO DE LAJE DE ESTRUTURA CONVENCIONAL DE CONCRETO ARMADO UTILIZANDO AÇO CA-50 DE 20,0 MM - MONTAGEM. AF_06/2022</t>
  </si>
  <si>
    <t>7.3.9</t>
  </si>
  <si>
    <t>LAJE PRÉ-MOLDADA UNIDIRECIONAL, BIAPOIADA, PARA PISO, ENCHIMENTO EM CERÂMICA, VIGOTA CONVENCIONAL, ALTURA TOTAL DA LAJE (ENCHIMENTO+CAPA) = (8+4). AF_11/2020_PA</t>
  </si>
  <si>
    <t>7.3.10</t>
  </si>
  <si>
    <t>7.3.11</t>
  </si>
  <si>
    <t>7.4</t>
  </si>
  <si>
    <t>7.4.1</t>
  </si>
  <si>
    <t>7.4.2</t>
  </si>
  <si>
    <t>7.4.3</t>
  </si>
  <si>
    <t>7.4.4</t>
  </si>
  <si>
    <t>7.4.5</t>
  </si>
  <si>
    <t>7.4.6</t>
  </si>
  <si>
    <t>7.4.7</t>
  </si>
  <si>
    <t>7.4.8</t>
  </si>
  <si>
    <t>7.4.9</t>
  </si>
  <si>
    <t>7.5</t>
  </si>
  <si>
    <t>7.5.1</t>
  </si>
  <si>
    <t>7.5.2</t>
  </si>
  <si>
    <t>7.5.3</t>
  </si>
  <si>
    <t>7.5.4</t>
  </si>
  <si>
    <t>ARMAÇÃO DE CINTA DE ALVENARIA ESTRUTURAL; DIÂMETRO DE 10,0 MM. AF_09/2021</t>
  </si>
  <si>
    <t>8.1</t>
  </si>
  <si>
    <t>LEVANTAMENTO MÉTRICO EM PROJETO
* com desconto de vãos.</t>
  </si>
  <si>
    <r>
      <rPr>
        <b/>
        <sz val="8"/>
        <color theme="1"/>
        <rFont val="Calibri"/>
        <charset val="134"/>
      </rPr>
      <t>ÁREA DE PAREDE:</t>
    </r>
    <r>
      <rPr>
        <sz val="8"/>
        <color theme="1"/>
        <rFont val="Calibri"/>
        <charset val="134"/>
      </rPr>
      <t xml:space="preserve"> ((12,61+7,6+1,5+3,06+1,5M) X 2,90M)+(8,25MX3,30M)= 76,18M2
</t>
    </r>
    <r>
      <rPr>
        <b/>
        <sz val="8"/>
        <color theme="1"/>
        <rFont val="Calibri"/>
        <charset val="134"/>
      </rPr>
      <t xml:space="preserve">ÁREA DE VÃOS: </t>
    </r>
    <r>
      <rPr>
        <sz val="8"/>
        <color theme="1"/>
        <rFont val="Calibri"/>
        <charset val="134"/>
      </rPr>
      <t>(1,50M X 2,10M +1,20M X 1,20M+0,90M X 2,10M+1,50M X 2,10M)= 9,63M2</t>
    </r>
  </si>
  <si>
    <t>8.2</t>
  </si>
  <si>
    <t xml:space="preserve">LEVANTAMENTO MÉTRICO EM PROJETO
</t>
  </si>
  <si>
    <t>COMRPIMENTO</t>
  </si>
  <si>
    <t>PÉ DIREITO</t>
  </si>
  <si>
    <t>ÁREA</t>
  </si>
  <si>
    <t>Laboratório de prototipagem</t>
  </si>
  <si>
    <t>Sala multiuso empresas</t>
  </si>
  <si>
    <t>Sala multiuso estudio</t>
  </si>
  <si>
    <t>Sanit. Masculino</t>
  </si>
  <si>
    <t>Sanit. Faminino</t>
  </si>
  <si>
    <t>Reunião</t>
  </si>
  <si>
    <t>Propriedade intelectual</t>
  </si>
  <si>
    <t>Sala de quadros</t>
  </si>
  <si>
    <t>Administração</t>
  </si>
  <si>
    <t>Tecnologias sociais</t>
  </si>
  <si>
    <t>Incubadora</t>
  </si>
  <si>
    <t>Lab. Sustentabilidade e aequcimento globa</t>
  </si>
  <si>
    <t>Lab. Inteligencia artificial</t>
  </si>
  <si>
    <t>8.3</t>
  </si>
  <si>
    <t xml:space="preserve">ÁREA </t>
  </si>
  <si>
    <t>VÃO</t>
  </si>
  <si>
    <t>Sala rack</t>
  </si>
  <si>
    <t>8.4</t>
  </si>
  <si>
    <t>ALVENARIA DE VEDAÇÃO COM ELEMENTO VAZADO DE CERÂMICA (COBOGÓ) DE 7X20X20CM E ARGAMASSA DE ASSENTAMENTO COM PREPARO EM BETONEIRA. AF_05/2020</t>
  </si>
  <si>
    <t>LEVANTAMENTO MÉTRICO EM PROJETO</t>
  </si>
  <si>
    <t>5,72M X 3,30M</t>
  </si>
  <si>
    <t>8.5</t>
  </si>
  <si>
    <t>COMP-1004</t>
  </si>
  <si>
    <t>PLACA CIMENTÍCIA 4MM. FORNECIMENTO E INSTALAÇÃO.</t>
  </si>
  <si>
    <t>CONTAGEM EM PROJETO</t>
  </si>
  <si>
    <t>SHAFTS</t>
  </si>
  <si>
    <t>8.6</t>
  </si>
  <si>
    <t>((30,4+30,4+30,4+30,4M) X 5,62M)+((7,2+2,57+7,2+3,6M) X 1,71M)+(30,4+30,4+30,4+30,4M) X 1,17+((2,68+2,68+2,68M) X 3,30M)=</t>
  </si>
  <si>
    <t>9.1</t>
  </si>
  <si>
    <t>9.1.1</t>
  </si>
  <si>
    <t>14.003.0160-A</t>
  </si>
  <si>
    <t>CAIXILHO FIXO DE ALUMINIO ANODIZADO AO NATURAL,SERIE 28, EMVENEZIANA.FORNECIMENTO E COLOCACAO</t>
  </si>
  <si>
    <t>LEVANTAMENTO EM PROJETO, CONFORME PRANCHA ARQ 13-31</t>
  </si>
  <si>
    <t>1 UNI. X (1,20 X 1,20M)</t>
  </si>
  <si>
    <t>9.1.2</t>
  </si>
  <si>
    <t>JANELA DE ALUMÍNIO TIPO MAXIM-AR, COM VIDROS, BATENTE E FERRAGENS. EXCLUSIVE ALIZAR, ACABAMENTO E CONTRAMARCO. FORNECIMENTO E INSTALAÇÃO. AF_12/2019</t>
  </si>
  <si>
    <t>32 UNI. X (0,90 X 1,50M)=
144 UNI. X (0,30 X 1,50)=</t>
  </si>
  <si>
    <t>9.2.3</t>
  </si>
  <si>
    <t>14.003.0225-0</t>
  </si>
  <si>
    <t>PORTA DE ALUMINIO ANODIZADO AO NATURAL,PERFIL SERIE 25,EM VENEZIANA,EXCLUSIVE FECHADURA.FORNECIMENTO E COLOCACAO</t>
  </si>
  <si>
    <t>9.2</t>
  </si>
  <si>
    <t>9.2.1</t>
  </si>
  <si>
    <t>1 UNI. X (2,00 X 2,10)=</t>
  </si>
  <si>
    <t>9.2.2</t>
  </si>
  <si>
    <t>2 UNI. X (1,57 X 2,10)=</t>
  </si>
  <si>
    <t>P07: 2 UNI X (0,80X2,15M)=
P07: 3 UNI X (0,90X2,15M)=</t>
  </si>
  <si>
    <t>10.1</t>
  </si>
  <si>
    <t>10.1.1</t>
  </si>
  <si>
    <t>10.1.1.1</t>
  </si>
  <si>
    <t>TUBO, PVC, SOLDÁVEL, DN 20MM, INSTALADO EM RAMAL OU SUB-RAMAL DE ÁGUA - FORNECIMENTO E INSTALAÇÃO. AF_06/2022</t>
  </si>
  <si>
    <t>QUANTITATIVO CONFORME PROJETO HIDROSSANITÁRIO</t>
  </si>
  <si>
    <t>10.1.1.2</t>
  </si>
  <si>
    <t>TUBO, PVC, SOLDÁVEL, DN 25MM, INSTALADO EM RAMAL OU SUB-RAMAL DE ÁGUA - FORNECIMENTO E INSTALAÇÃO. AF_06/2022</t>
  </si>
  <si>
    <t>10.1.1.3</t>
  </si>
  <si>
    <t>TUBO, PVC, SOLDÁVEL, DN 32MM, INSTALADO EM RAMAL OU SUB-RAMAL DE ÁGUA - FORNECIMENTO E INSTALAÇÃO. AF_06/2022</t>
  </si>
  <si>
    <t>10.1.1.4</t>
  </si>
  <si>
    <t>TUBO, PVC, SOLDÁVEL, DN 40MM, INSTALADO EM RAMAL DE DISTRIBUIÇÃO DE ÁGUA - FORNECIMENTO E INSTALAÇÃO. AF_06/2022</t>
  </si>
  <si>
    <t>10.1.1.5</t>
  </si>
  <si>
    <t>10.1.1.6</t>
  </si>
  <si>
    <t>10.1.1.7</t>
  </si>
  <si>
    <t>10.1.1.8</t>
  </si>
  <si>
    <t>10.1.1.9</t>
  </si>
  <si>
    <t>10.1.1.10</t>
  </si>
  <si>
    <t>10.1.1.11</t>
  </si>
  <si>
    <t>10.1.1.12</t>
  </si>
  <si>
    <t>10.1.1.13</t>
  </si>
  <si>
    <t>BUCHA DE REDUÇÃO, LONGA, PVC, SOLDÁVEL, DN 40 X 25 MM, INSTALADO EM PRUMADA DE ÁGUA - FORNECIMENTO E INSTALAÇÃO. AF_06/2022</t>
  </si>
  <si>
    <t>10.1.1.14</t>
  </si>
  <si>
    <t>10.1.1.15</t>
  </si>
  <si>
    <t>10.1.1.16</t>
  </si>
  <si>
    <t>10.1.1.17</t>
  </si>
  <si>
    <t>10.1.1.18</t>
  </si>
  <si>
    <t>10.1.1.19</t>
  </si>
  <si>
    <t>10.1.1.20</t>
  </si>
  <si>
    <t>10.1.1.21</t>
  </si>
  <si>
    <t>10.1.1.22</t>
  </si>
  <si>
    <t>10.1.1.23</t>
  </si>
  <si>
    <t>TÊ COM BUCHA DE LATÃO NA BOLSA CENTRAL, PVC, SOLDÁVEL, DN 25MM X 1/2 , INSTALADO EM RAMAL OU SUB-RAMAL DE ÁGUA - FORNECIMENTO E INSTALAÇÃO. AF_06/2022</t>
  </si>
  <si>
    <t>10.1.1.24</t>
  </si>
  <si>
    <t>10.1.1.25</t>
  </si>
  <si>
    <t>10.1.1.26</t>
  </si>
  <si>
    <t>10.1.1.27</t>
  </si>
  <si>
    <t>10.1.1.28</t>
  </si>
  <si>
    <t>10.1.1.29</t>
  </si>
  <si>
    <t>10.1.1.30</t>
  </si>
  <si>
    <t>10.1.1.31</t>
  </si>
  <si>
    <t>10.1.1.32</t>
  </si>
  <si>
    <t>10.1.1.33</t>
  </si>
  <si>
    <t>7602/001</t>
  </si>
  <si>
    <t>10.1.2.1</t>
  </si>
  <si>
    <t>AL 04.15.0100 (/)</t>
  </si>
  <si>
    <t>ALVENARIA PARA CAIXAS ENTERRADAS, ATÉ 0,80M DE PROFUNDIDADE, DE TIJOLO MACIÇO (7X10X20)CM, COM ARGAMASSA DE CIMENTO, SAIBRO E AREIA NO TRAÇO 1:2:2 E PAREDE DE 1 VEZ (19CM).(DESONERADO)</t>
  </si>
  <si>
    <t>10.1.2.2</t>
  </si>
  <si>
    <t>06.016.0105-A</t>
  </si>
  <si>
    <t>TAMPAO DE FERRO FUNDIDO NODULAR MISTO (FERRO FUNDIDO E CONCRETO,EXCLUSIVE ESTE),ARTICULADO,TIPO LEVE,DE 0,60M DE DIAMETRO,ASSENTADO COM ARGAMASSA DE CIMENTO E AREIA,NO TRACO 1:4 EMVOLUME.FORNECIMENTO E ASSENTAMENTO</t>
  </si>
  <si>
    <t>10.1.2.3</t>
  </si>
  <si>
    <t>TORNEIRA DE PRESSAO PARA JARDIM, DE 1/2"X10CM APROXIM., EM METAL CROMADO</t>
  </si>
  <si>
    <t>10.1.2.4</t>
  </si>
  <si>
    <t>10.1.2.5</t>
  </si>
  <si>
    <t>ADAPTADOR CURTO COM BOLSA E ROSCA PARA REGISTRO, PVC, SOLDÁVEL, DN 25MM X 3/4 , INSTALADO EM RAMAL DE DISTRIBUIÇÃO DE ÁGUA - FORNECIMENTO E INSTALAÇÃO. AF_06/2022</t>
  </si>
  <si>
    <t>10.1.2.6</t>
  </si>
  <si>
    <t>10.1.2.7</t>
  </si>
  <si>
    <t>COMP-1005</t>
  </si>
  <si>
    <t>10.2</t>
  </si>
  <si>
    <t>10.2.1</t>
  </si>
  <si>
    <t>MT 05.20.0100 (/)</t>
  </si>
  <si>
    <t>ESCAVAÇÃO E REATERRO DE VALA, EM MATERIAL DE 1ª CATEGORIA, PARA LIGAÇÃO PREDIAL DE ESGOTO SANITÁRIO.</t>
  </si>
  <si>
    <t>10.2.2</t>
  </si>
  <si>
    <t>10.2.3</t>
  </si>
  <si>
    <t>10.2.4</t>
  </si>
  <si>
    <t>10.2.5</t>
  </si>
  <si>
    <t>10.2.6</t>
  </si>
  <si>
    <t>10.2.7</t>
  </si>
  <si>
    <t>10.2.8</t>
  </si>
  <si>
    <t>10.2.9</t>
  </si>
  <si>
    <t>10.2.10</t>
  </si>
  <si>
    <t>10.2.11</t>
  </si>
  <si>
    <t>10.2.12</t>
  </si>
  <si>
    <t>10.2.13</t>
  </si>
  <si>
    <t>10.2.14</t>
  </si>
  <si>
    <t>10.2.15</t>
  </si>
  <si>
    <t>10.2.16</t>
  </si>
  <si>
    <t>10.2.17</t>
  </si>
  <si>
    <t>10.2.18</t>
  </si>
  <si>
    <t>10.2.19</t>
  </si>
  <si>
    <t>10.2.20</t>
  </si>
  <si>
    <t>10.2.21</t>
  </si>
  <si>
    <t>10.2.22</t>
  </si>
  <si>
    <t>10.2.23</t>
  </si>
  <si>
    <t>10.2.24</t>
  </si>
  <si>
    <t>10.2.25</t>
  </si>
  <si>
    <t>10.2.26</t>
  </si>
  <si>
    <t>10.2.27</t>
  </si>
  <si>
    <t>10.2.28</t>
  </si>
  <si>
    <t>10.2.29</t>
  </si>
  <si>
    <t>89707/003</t>
  </si>
  <si>
    <t>10.2.30</t>
  </si>
  <si>
    <t>10.2.31</t>
  </si>
  <si>
    <t>89707/002</t>
  </si>
  <si>
    <t>10.2.32</t>
  </si>
  <si>
    <t>10.2.33</t>
  </si>
  <si>
    <t>10.2.34</t>
  </si>
  <si>
    <t>103004/002</t>
  </si>
  <si>
    <t>10.2.35</t>
  </si>
  <si>
    <t>06.014.0054-A</t>
  </si>
  <si>
    <t>CAIXA DE PASSAGEM EM ALVENARIA DE TIJOLO MACICO(7X10X20CM),EM PAREDES DE UMA VEZ(0,20M),DE 0,60X0,60X0,80M,EXCLUSIVE TAMPA,UTILIZANDO ARGAMASSA DE CIMENTO E AREIA,NO TRACO 1:4 EM VOLUME,COM FUNDO EM CONCRETO SIMPLES PROVIDO DE CALHA INTERNA,SENDO AS PAREDES REVESTIDAS INETERNAMENTE COM A MESMA ARGAMASSA</t>
  </si>
  <si>
    <t>10.2.36</t>
  </si>
  <si>
    <t>10.3</t>
  </si>
  <si>
    <t>10.3.1</t>
  </si>
  <si>
    <t>10.3.2</t>
  </si>
  <si>
    <t>10.3.3</t>
  </si>
  <si>
    <t>10.3.4</t>
  </si>
  <si>
    <t>COMP-1033</t>
  </si>
  <si>
    <t>10.3.5</t>
  </si>
  <si>
    <t>10.3.6</t>
  </si>
  <si>
    <t>18.002.0014-0</t>
  </si>
  <si>
    <t>LAVATORIO DE LOUCA BRANCA,COM COLUNA SUSPENSA,CONFORME ABNTNBR 9050 PARA ACESSIBILIDADE,MEDINDO EM TORNO DE (45,5X35,5)CM,INCLUSIVE ACESSORIOS DE FIXACAO.FERRAGENS EM METAL CROMADO:SIFAO 1"X1.1/4",VALVULA DE ESCOAMENTO,RABICHO,TORNEIRA PARA LAVATORIO DE MESA COM ALAVANCA,ACIONAMENTO MANUAL E FECHAMENTO AUTOMATICO.FORNECIMENTO</t>
  </si>
  <si>
    <t>10.3.7</t>
  </si>
  <si>
    <t>18.009.0105-0</t>
  </si>
  <si>
    <t>TORNEIRA PARA LAVATORIO,DE MESA,ACIONAMENTO HIDROMECANICO COM LEVE PRESSAO MANUAL E FECHAMENTO AUTOMATICO,ACABAMENTO CROMADO.FORNECIMENTO</t>
  </si>
  <si>
    <t>10.3.8</t>
  </si>
  <si>
    <t>COMP-1040</t>
  </si>
  <si>
    <t>10.3.9</t>
  </si>
  <si>
    <t>COMP-1041</t>
  </si>
  <si>
    <t>10.3.10</t>
  </si>
  <si>
    <t>18.003.0015-0</t>
  </si>
  <si>
    <t>VALVULA DE FECHAMENTO AUTOMATICO,PARA MICTORIO,ACABAMENTO CROMADO.FORNECIMENTO</t>
  </si>
  <si>
    <t>10.3.11</t>
  </si>
  <si>
    <t>10.3.12</t>
  </si>
  <si>
    <t>10.3.13</t>
  </si>
  <si>
    <t>10.3.14</t>
  </si>
  <si>
    <t>10.3.15</t>
  </si>
  <si>
    <t>102144/001</t>
  </si>
  <si>
    <t>10.3.16</t>
  </si>
  <si>
    <t>10.3.17</t>
  </si>
  <si>
    <t>10.3.18</t>
  </si>
  <si>
    <t>COMP-1044</t>
  </si>
  <si>
    <t>10.3.19</t>
  </si>
  <si>
    <t>COMP-1045</t>
  </si>
  <si>
    <t>11.1</t>
  </si>
  <si>
    <t>QUANTITATIVO CONFORME PROJETO DE ESGOTO PLUVIAL</t>
  </si>
  <si>
    <t>11.2</t>
  </si>
  <si>
    <t>11.3</t>
  </si>
  <si>
    <t>11.4</t>
  </si>
  <si>
    <t>06.272.0004-0</t>
  </si>
  <si>
    <t>TUBO PVC,CONFORME ABNT NBR-7362,PARA ESGOTO SANITARIO,COM DIAMETRO NOMINAL DE 200MM,INCLUSIVE ANEL DE BORRACHA.FORNECIMENTO</t>
  </si>
  <si>
    <t>11.5</t>
  </si>
  <si>
    <t>11.6</t>
  </si>
  <si>
    <t>11.7</t>
  </si>
  <si>
    <t>11.8</t>
  </si>
  <si>
    <t>11.9</t>
  </si>
  <si>
    <t>11.10</t>
  </si>
  <si>
    <t>11.11</t>
  </si>
  <si>
    <t>11.12</t>
  </si>
  <si>
    <t>11.13</t>
  </si>
  <si>
    <t>IT 19.05.0900 (/)</t>
  </si>
  <si>
    <t>RALO DE COBERTURA SEMI-ESFÉRICO DE FERRO FUNDIDO, TIPO ABACAXI, COM 3". FORNECIMENTO E INSTALAÇÃO.(DESONERADO)</t>
  </si>
  <si>
    <t>11.14</t>
  </si>
  <si>
    <t>IT 19.05.0903 (/)</t>
  </si>
  <si>
    <t>RALO DE COBERTURA SEMI-ESFÉRICO DE FERRO FUNDIDO, TIPO ABACAXI, COM 4". FORNECIMENTO E INSTALAÇÃO.(DESONERADO)</t>
  </si>
  <si>
    <t>11.15</t>
  </si>
  <si>
    <t>11.16</t>
  </si>
  <si>
    <t>12.1</t>
  </si>
  <si>
    <t>12.1.1</t>
  </si>
  <si>
    <t>Estimativa: comprimento total de eletrodutos, considerando 4 conjuntos(duas fases, neutro e terra:</t>
  </si>
  <si>
    <t>(60+104,43+234,22) x 4=</t>
  </si>
  <si>
    <t>12.1.2</t>
  </si>
  <si>
    <t>CABO PP CORDPLAST 3 CONDUTORES 450/750V 1,50MM2</t>
  </si>
  <si>
    <t>Estimativa: 1,00m para cada lâmpada</t>
  </si>
  <si>
    <t>240 lâmpadas x 1,00m=</t>
  </si>
  <si>
    <t>12.2</t>
  </si>
  <si>
    <t>12.2.1</t>
  </si>
  <si>
    <t>IT 24.46.0109 (/)</t>
  </si>
  <si>
    <t>CAIXA DE PASSAGEM PARA TELEFONE, CONFORME ESPECIFICAÇÃO DA TELEBRÁS, NAS DIMENSÕES (20X20X12)CM. FORNECIMENTO E INSTALAÇÃO.(DESONERADO)</t>
  </si>
  <si>
    <t>PRANCHA ELE-01</t>
  </si>
  <si>
    <t>12.3</t>
  </si>
  <si>
    <t>ELETRODUTOS E ELETROCALHAS</t>
  </si>
  <si>
    <t>12.3.1</t>
  </si>
  <si>
    <t>15.034.0010-0</t>
  </si>
  <si>
    <t>ELETRODUTO DE FERRO GALVANIZADO,TIPO MEDIO,DIAMETRO DE 3/4",EXCLUSIVE LUVAS,CURVAS,ABERTURA E FECHAMENTO DE RASGO.FORNECIMENTO E ASSENTAMENTO</t>
  </si>
  <si>
    <t>Estimativa: 1,5m para cada ligação de saída de eletrocalha para eletroduto</t>
  </si>
  <si>
    <t>40 ligações x 1,50m=</t>
  </si>
  <si>
    <t>12.3.2</t>
  </si>
  <si>
    <t>15.018.0485-0</t>
  </si>
  <si>
    <t>ELETROCALHA PERFURADA,SEM TAMPA,TIPO "U",200X50MM,TRATAMENTOSUPERFICIAL PRE-ZINCADO A QUENTE,EXCLUSIVE CONEXOES,ACESSORIOS E FIXACAO SUPERIOR.FORNECIMENTO E COLOCACAO</t>
  </si>
  <si>
    <t>Soma linear de eletrocalhas:
64,44+6,29+5,87+7,28+6,08+6,75+7,72m=</t>
  </si>
  <si>
    <t>12.3.3</t>
  </si>
  <si>
    <t>15.018.0175-0</t>
  </si>
  <si>
    <t>CANALETA PERFURADA ALTA(PERFILADOS),MEDINDO(38X38X6000)MM PRE-GALVANIZADA,INCLUSIVE SUPORTE E CONEXOES.FORNECIMENTO E COLOCACAO</t>
  </si>
  <si>
    <t>Soma linear de perfilados:
5,99+7,47+7,47+7,47+7,47+6,73+3,86+3,86+6,73+16,10+11,71+6,96+4,92+6,96+6,96+6,96+6,96+4,50+3,55+3,00+8,00+8,00+6,28+6,28+6,28+6,28+6,28+3,94+4,17+5,22+5,22+2,96+2,96+6,68+6,68+6,68+6,68m</t>
  </si>
  <si>
    <t>12.4</t>
  </si>
  <si>
    <t>LUMINÁRIAS</t>
  </si>
  <si>
    <t>12.4.1</t>
  </si>
  <si>
    <t>18.027.0482-0</t>
  </si>
  <si>
    <t>LUMINARIA DE SOBREPOR, FIXADA EM LAJE OU FORRO, TIPO CALHA,CHANFRADA OU PRISMATICA, COMPLETA, COM LAMPADA LED TUBULARDE 4 X 9W.FORNECIMENTO E COLOCACAO</t>
  </si>
  <si>
    <t>12.4.2</t>
  </si>
  <si>
    <t>18.027.0302-A</t>
  </si>
  <si>
    <t>LUMINARIA DE SOBREPOR,FIXADA EM LAJE OU FORRO,TIPO CALHA,CHANFRADA OU PRISMATICA,COMPLETA,EQUIPADA COM REATOR ELETRONICODE ALTO FATOR DE POTENCIA E LAMPADA FLUORESCENTE DE 1X20W.FORNECIMENTO E COLOCACAO</t>
  </si>
  <si>
    <t>12.4.3</t>
  </si>
  <si>
    <t>LÂMPADA TUBULAR LED DE 18/20 W, BASE G13 - FORNECIMENTO E INSTALAÇÃO. AF_02/2020_PS</t>
  </si>
  <si>
    <t>12.5</t>
  </si>
  <si>
    <t>12.5.1</t>
  </si>
  <si>
    <t>15.019.0057-0</t>
  </si>
  <si>
    <t>TOMADA ELETRICA 2P+T,20A/250V,PADRAO BRASILEIRO,DE SOBREPOR.FORNECIMENTO E COLOCACAO</t>
  </si>
  <si>
    <t>12.5.2</t>
  </si>
  <si>
    <t>15.019.0055-0</t>
  </si>
  <si>
    <t>TOMADA ELETRICA 2P+T,10A/250V,PADRAO BRASILEIRO,DE SOBREPOR.FORNECIMENTO E COLOCACAO</t>
  </si>
  <si>
    <t>12.5.3</t>
  </si>
  <si>
    <t>12.5.4</t>
  </si>
  <si>
    <t>13.1</t>
  </si>
  <si>
    <t>COMP-1006</t>
  </si>
  <si>
    <t>Soma linear de barra chaata (cobertura):
122,19+2,54+2,54+8,65+30,45+30,41</t>
  </si>
  <si>
    <t>13.2</t>
  </si>
  <si>
    <t>COMP-1007</t>
  </si>
  <si>
    <t>Soma linear  das barras dividido pelo comp. Da barra:
202,57/2= arredondar para cima.</t>
  </si>
  <si>
    <t>13.3</t>
  </si>
  <si>
    <t>COMP-1008</t>
  </si>
  <si>
    <t>PRANCHA SPDA-01</t>
  </si>
  <si>
    <t>14.1</t>
  </si>
  <si>
    <t>14.1.1</t>
  </si>
  <si>
    <t>Soma linear de eletrodutos:
1,80+3,50+3,40+3,85+5,44+4,35+4,15+3,60+5,60+1,68+1,70+2+3,40+1,00+6,50+1,00+3,30+4,65+1,50+2,43+4,12+3,50+2,14+2,25+1,00+3,63+2,06+2,50+3,65+2,90+1,70+0,76+1,40+1,40+1,00+0,85+0,97+0,83+0,85+1,00+0,85+1,60+2,45+0,31+1,35+1,60+2,32+0,32+1,00+4,50+5,20+2,00+3,00+0,35+2,40+2,25+1,25+4,80+4,30+4,90=</t>
  </si>
  <si>
    <t>14.1.2</t>
  </si>
  <si>
    <t>15.018.0483-0</t>
  </si>
  <si>
    <t>ELETROCALHA PERFURADA,SEM TAMPA,TIPO "U",100X50MM,TRATAMENTOSUPERFICIAL PRE-ZINCADO A QUENTE,EXCLUSIVE CONEXOES,ACESSORIOS E FIXACAO SUPERIOR.FORNECIMENTO E COLOCACAO</t>
  </si>
  <si>
    <t>Soma linear de eletrocalhas:
1,15+29,28+22,02+15,54+20,88+8,91+31,8=</t>
  </si>
  <si>
    <t>14.1.3</t>
  </si>
  <si>
    <t>COMP-1009</t>
  </si>
  <si>
    <t>PRANCHA CAB-01</t>
  </si>
  <si>
    <t>14.2</t>
  </si>
  <si>
    <t>14.2.1</t>
  </si>
  <si>
    <t>RACK FECHADO PARA SERVIDOR - FORNECIMENTO E INSTALAÇÃO. AF_11/2019</t>
  </si>
  <si>
    <t>14.2.2</t>
  </si>
  <si>
    <t>PATCH PANEL 24 PORTAS, CATEGORIA 5E - FORNECIMENTO E INSTALAÇÃO. AF_11/2019</t>
  </si>
  <si>
    <t>14.2.3</t>
  </si>
  <si>
    <t>COMP-1010</t>
  </si>
  <si>
    <t>14.2.4</t>
  </si>
  <si>
    <t>14.2.5</t>
  </si>
  <si>
    <t>COMP-1011</t>
  </si>
  <si>
    <t>14.3</t>
  </si>
  <si>
    <t>TOMADAS</t>
  </si>
  <si>
    <t>14.3.1</t>
  </si>
  <si>
    <t>15.019.0010-A</t>
  </si>
  <si>
    <t>TOMADA DE PISO,SIMPLES,EM CORPO DE ALUMINIO FUNDIDO E TAMPAEM LATAO POLIDO,10A/250V.FORNECIMENTO E COLOCACAO</t>
  </si>
  <si>
    <t>14.3.2</t>
  </si>
  <si>
    <t>COMP-10555</t>
  </si>
  <si>
    <t xml:space="preserve">TOMADA RJ45, 8 FIOS, CAT 5E, CONJUNTO MONTADO PARA CONDULETE 3/4" DE SOBREPOR, 4" X 2" (PLACA + SUPORTE + MODULO). FORNECIMENTO E INSTALAÇÃO. </t>
  </si>
  <si>
    <t>14.4</t>
  </si>
  <si>
    <t>14.4.1</t>
  </si>
  <si>
    <t>39599/1</t>
  </si>
  <si>
    <t>CABO DE REDE, PAR TRANCADO UTP, 4 PARES, CATEGORIA 6 (CAT 6), ISOLAMENTO PVC (LSZH). FORNECIMENTO E INSTALAÇÃO.</t>
  </si>
  <si>
    <t>Estimativa: comprimento de eletroduto e eletrocalha</t>
  </si>
  <si>
    <t>150,11+129,58m=</t>
  </si>
  <si>
    <t>14.5</t>
  </si>
  <si>
    <t>14.5.1</t>
  </si>
  <si>
    <t>IT 24.46.0109 (/)
SCO</t>
  </si>
  <si>
    <t>*Caixa de passagem para telefone, conforme especificação da Telebrás, nas dimensões (20x20x12)cm. Fornecimento e instalação.(desonerado)</t>
  </si>
  <si>
    <t>15.1</t>
  </si>
  <si>
    <t>LUMINÁRIA DE EMERGÊNCIA, COM 30 LÂMPADAS LED DE 2 W, SEM REATOR - FORNECIMENTO E INSTALAÇÃO. AF_02/2020</t>
  </si>
  <si>
    <t>QUANTITATIVO CONFORME PROJETO DE PREVENÇÃO A INCÊNDIO E PÂNICO</t>
  </si>
  <si>
    <t>15.2</t>
  </si>
  <si>
    <t>COMP-1050</t>
  </si>
  <si>
    <t>LUMINÁRIA DE EMERGÊNCIA, PARA BALIZAMENTO - FORNECIMENTO E INSTALAÇÃO.</t>
  </si>
  <si>
    <t>15.3</t>
  </si>
  <si>
    <t>101908/002</t>
  </si>
  <si>
    <t>EXTINTOR DE INCÊNDIO PORTÁTIL COM CARGA DE PQS DE 4 KG, CLASSE ABC - FORNECIMENTO E INSTALAÇÃO.</t>
  </si>
  <si>
    <t>15.4</t>
  </si>
  <si>
    <t>15.5</t>
  </si>
  <si>
    <t>COMP-1080</t>
  </si>
  <si>
    <t>15.6</t>
  </si>
  <si>
    <t>COMP-1081</t>
  </si>
  <si>
    <t>15.7</t>
  </si>
  <si>
    <t>05.054.0104-0</t>
  </si>
  <si>
    <t>PLACA FOTOLUMINESCENTE DE SINALIZACAO DE SEGURANCA CONTRA INCENDIO,PARA INDICACAO CONTINUADA DE ROTA DE FUGA,EM PVC ANTICHAMA,DIMENSOES APROXIMADAS DE (7X20)CM,CONFORME ABNT NBR 16820.FORNECIMENTO E COLOCACAO</t>
  </si>
  <si>
    <t>05.054.0105-0</t>
  </si>
  <si>
    <t>PLACA FOTOLUMINESCENTE DE SINALIZACAO DE SEGURANCA CONTRA INCENDIO,PARA EQUIPAMENTOS DE COMBATE A INCENDIO E ALARME,EM PVC ANTICHAMA,DIMENSOES APROXIMADAS DE (15X15)CM,CONFORME ABNT NBR 16820.FORNECIMENTO E COLOCACAO</t>
  </si>
  <si>
    <t>COMP-1083</t>
  </si>
  <si>
    <t>16.1</t>
  </si>
  <si>
    <t>16.1.1</t>
  </si>
  <si>
    <t>PRANCHA CFTV-01 E 02</t>
  </si>
  <si>
    <t>16.1.2</t>
  </si>
  <si>
    <t>RACK ABERTO EM COLUNA 44U PARA SERVIDOR - FORNECIMENTO E INSTALAÇÃO. AF_11/2019</t>
  </si>
  <si>
    <t>16.2</t>
  </si>
  <si>
    <t>16.2.1</t>
  </si>
  <si>
    <t>15.034.0010-A</t>
  </si>
  <si>
    <t>Soma linear de eletroduto:
2,7+0,6+0,6+2,15+2,15+4,35+7,84+1,2+2,1M=</t>
  </si>
  <si>
    <t>17.1</t>
  </si>
  <si>
    <t>17.1.1</t>
  </si>
  <si>
    <t>AR CONDICIONADO SPLIT INVERTER, HI-WALL (PAREDE), 9000 BTU/H, CICLO FRIO - FORNECIMENTO E INSTALAÇÃO. AF_11/2021_PE</t>
  </si>
  <si>
    <t>QUANTITATIVO DE PROJETO</t>
  </si>
  <si>
    <t>LISTAGEM DE MATERIAIS DE PROJETO DE CLIMATIZAÇÃO</t>
  </si>
  <si>
    <t>17.1.2</t>
  </si>
  <si>
    <t>AR CONDICIONADO SPLIT INVERTER, HI-WALL (PAREDE), 24000 BTU/H, CICLO FRIO - FORNECIMENTO E INSTALAÇÃO. AF_11/2021_PE</t>
  </si>
  <si>
    <t>17.1.3</t>
  </si>
  <si>
    <t>AR CONDICIONADO SPLIT INVERTER, PISO TETO, 18000 BTU/H, CICLO FRIO - FORNECIMENTO E INSTALAÇÃO. AF_11/2021_PSE</t>
  </si>
  <si>
    <t>17.1.4</t>
  </si>
  <si>
    <t>AR CONDICIONADO SPLIT INVERTER, PISO TETO, 24000 BTU/H, CICLO FRIO - FORNECIMENTO E INSTALAÇÃO. AF_11/2021_PSE</t>
  </si>
  <si>
    <t>17.1.5</t>
  </si>
  <si>
    <t>AR CONDICIONADO SPLIT INVERTER, PISO TETO, 36000 BTU/H, CICLO FRIO - FORNECIMENTO E INSTALAÇÃO. AF_11/2021_PSE</t>
  </si>
  <si>
    <t>17.1.6</t>
  </si>
  <si>
    <t>AR CONDICIONADO SPLIT INVERTER, PISO TETO, 48000 BTU/H, CICLO FRIO - FORNECIMENTO E INSTALAÇÃO. AF_11/2021_PE</t>
  </si>
  <si>
    <t>17.1.7</t>
  </si>
  <si>
    <t>17.1.8</t>
  </si>
  <si>
    <t>AR CONDICIONADO SPLIT INVERTER, PISO TETO, APRESENTANDO ENTRE 54000 E 58000 BTU/H, CICLO FRIO - FORNECIMENTO E INSTALAÇÃO. AF_11/2021_PE</t>
  </si>
  <si>
    <t>17.1.9</t>
  </si>
  <si>
    <t>COMP-10.020</t>
  </si>
  <si>
    <t>COMPOSIÇÃO PARAMÉTRICA. UNIDADE CONDENSADORA ATÉ 32 A 44 HP. FORNECIMENTO E INSTALAÇÃO.</t>
  </si>
  <si>
    <t>17.1.10</t>
  </si>
  <si>
    <t>18.034.0204-A</t>
  </si>
  <si>
    <t>DAMPER CORTA FOGO MEDINDO (200X200)MM,ACIONAMENTO AUTOMATICO,PELA ACAO DE ELEMENTO FUSIVEL,MODELO DCF COM FUSIVEL DE DISPARO (COM ATESTADO UL) COM ROMPIMENTO EM 72°C OU 141°C,COM CHAVE FIM DE CURSO.FORNECIMENTO E COLOCACAO</t>
  </si>
  <si>
    <t>17.2</t>
  </si>
  <si>
    <t>17.2.1</t>
  </si>
  <si>
    <t>103287/002</t>
  </si>
  <si>
    <t>17.2.2</t>
  </si>
  <si>
    <t>103287/003</t>
  </si>
  <si>
    <t>17.2.3</t>
  </si>
  <si>
    <t>103287/004</t>
  </si>
  <si>
    <t>17.3</t>
  </si>
  <si>
    <t>17.3.1</t>
  </si>
  <si>
    <t>17.3.2</t>
  </si>
  <si>
    <t>17.3.3</t>
  </si>
  <si>
    <t>17.3.4</t>
  </si>
  <si>
    <t>17.3.5</t>
  </si>
  <si>
    <t>TUBO FLEXIVEL DE COBRE PARA GAS 19,05MM 3/4""(0,403KG/M)</t>
  </si>
  <si>
    <t>17.3.6</t>
  </si>
  <si>
    <t>97334/001</t>
  </si>
  <si>
    <t>17.3.7</t>
  </si>
  <si>
    <t>DUTO AR COND.CHAPA 24+MANTA LAN/VIDRO-PAP.ALUM.PREPARO 40X20CM</t>
  </si>
  <si>
    <t>17.3.8</t>
  </si>
  <si>
    <t>BOTIJA COM GAS REFRIGERANTE R-22, DE 13,6 KG, EMBALAGEM DESCARTAVEL</t>
  </si>
  <si>
    <t>17.4</t>
  </si>
  <si>
    <t>17.4.1</t>
  </si>
  <si>
    <t>17.4.2</t>
  </si>
  <si>
    <t>17.4.3</t>
  </si>
  <si>
    <t>17.4.4</t>
  </si>
  <si>
    <t>17.4.5</t>
  </si>
  <si>
    <t>17.4.6</t>
  </si>
  <si>
    <t>17.4.7</t>
  </si>
  <si>
    <t>18.1</t>
  </si>
  <si>
    <t>CONFORME PROJETO DE INSTALAÇÕES MECÂNICAS</t>
  </si>
  <si>
    <t>19.1</t>
  </si>
  <si>
    <t>19.1.1</t>
  </si>
  <si>
    <t>LEVANTAMENTO DE ÁREA EM PROJETO</t>
  </si>
  <si>
    <t>COMPRIMENTO</t>
  </si>
  <si>
    <t>ALTURA</t>
  </si>
  <si>
    <t>Poço plataforma elevatória</t>
  </si>
  <si>
    <t>Auditório</t>
  </si>
  <si>
    <t>Sala de som</t>
  </si>
  <si>
    <t>Circulação</t>
  </si>
  <si>
    <t xml:space="preserve">Copa/area de trabalho </t>
  </si>
  <si>
    <t>Reservatório</t>
  </si>
  <si>
    <t>VÃOS</t>
  </si>
  <si>
    <t>19.1.2</t>
  </si>
  <si>
    <t>19.1.3</t>
  </si>
  <si>
    <t>19.1.4</t>
  </si>
  <si>
    <t>FACHADA NOROESTE</t>
  </si>
  <si>
    <t>FACHADA SUDESTE</t>
  </si>
  <si>
    <t>FACHADA SUDOESTE</t>
  </si>
  <si>
    <t>FACHADA NORDESTE</t>
  </si>
  <si>
    <t>19.1.5</t>
  </si>
  <si>
    <t>19.2</t>
  </si>
  <si>
    <t>19.2.1</t>
  </si>
  <si>
    <t>Área</t>
  </si>
  <si>
    <t>Vãos</t>
  </si>
  <si>
    <t>Área total</t>
  </si>
  <si>
    <t>Sala multiuso</t>
  </si>
  <si>
    <t>Circulação sanitários</t>
  </si>
  <si>
    <t>Recepção</t>
  </si>
  <si>
    <t xml:space="preserve">Lab. Sustentabilidade </t>
  </si>
  <si>
    <t>Lab. Inteligência artificial</t>
  </si>
  <si>
    <t>19.2.2</t>
  </si>
  <si>
    <t>19.2.3</t>
  </si>
  <si>
    <t>PINTURA LÁTEX ACRÍLICA PREMIUM, APLICAÇÃO
MANUAL EM PAREDES, DUAS DEMÃOS. AF_04/2023</t>
  </si>
  <si>
    <t>19.2.4</t>
  </si>
  <si>
    <t>19.2.5</t>
  </si>
  <si>
    <t>SINAPI APLICAÇÃO MANUAL DE MASSA ACRÍLICA EM PANOS DE FACHADA SEM PRESENÇA DE VÃOS, DE EDIFÍCIOS DE MÚLTIPLOS PAVIMENTOS, UMA DEMÃO. AF_03/2024</t>
  </si>
  <si>
    <t>19.2.6</t>
  </si>
  <si>
    <t>19.3</t>
  </si>
  <si>
    <t>19.3.1</t>
  </si>
  <si>
    <t>REVESTIMENTO CERÂMICO PARA PAREDES INTERNAS COM PLACAS TIPO ESMALTADA EXTRA DE DIMENSÕES 60X60 CM APLICADAS NA ALTURA INTEIRA DAS PAREDES. AF_02/2023_PE</t>
  </si>
  <si>
    <t>Vão</t>
  </si>
  <si>
    <t>SANIT. MASCULINO</t>
  </si>
  <si>
    <t>SANIT. FEMININO</t>
  </si>
  <si>
    <t>SANIT. MASCULINO PCD</t>
  </si>
  <si>
    <t>SANIT. FEMININO PCD</t>
  </si>
  <si>
    <t>19.4</t>
  </si>
  <si>
    <t>19.4.1</t>
  </si>
  <si>
    <t>COMP-1003</t>
  </si>
  <si>
    <t>PLACA CIMENTÍCIA PRÉ-MOLDADA. FORNECIMENTO E INSTALAÇÃO.</t>
  </si>
  <si>
    <t xml:space="preserve">Área </t>
  </si>
  <si>
    <t>19.4.2</t>
  </si>
  <si>
    <t>BRISE METALICO CHAPA MICROPERFURADAPRE-PINTADA LC100 REFAX</t>
  </si>
  <si>
    <t>Comprimento</t>
  </si>
  <si>
    <t>Largura</t>
  </si>
  <si>
    <t>20.1</t>
  </si>
  <si>
    <t>COBERTURA</t>
  </si>
  <si>
    <t>20.2</t>
  </si>
  <si>
    <t>20.3</t>
  </si>
  <si>
    <t>SANITÁRIOS:
16,32+3,40+3,51+3,84+16,36 X 2,90</t>
  </si>
  <si>
    <t>20.4</t>
  </si>
  <si>
    <t>COMP-1020</t>
  </si>
  <si>
    <t>PAINEL ACÚSTICO CINZA 50MM, CONFORME ESPECIFICAÇÃO DE PROJETO. FORNECIMENTO E INSTALAÇÃO.</t>
  </si>
  <si>
    <t>PERÍMETRO</t>
  </si>
  <si>
    <t>21.1</t>
  </si>
  <si>
    <t>COMP-1012</t>
  </si>
  <si>
    <t>PISO VINÍLICO EM MANTA DECODE FIBER 25104087. FORNECIMENTO E INSTALAÇÃO.</t>
  </si>
  <si>
    <t>Área de trabalho open</t>
  </si>
  <si>
    <t>21.2</t>
  </si>
  <si>
    <t>COMP-1013</t>
  </si>
  <si>
    <t>LEVANTAMENTO DE ÁREA EM PROJETO.
*Área de piso subtraída por área de piso instalado no mesmo local</t>
  </si>
  <si>
    <t>PISO ITEM 20.2</t>
  </si>
  <si>
    <t>21.3</t>
  </si>
  <si>
    <t>COMP-1014</t>
  </si>
  <si>
    <t>LEVANTAMENTO DE ÁREA EM PROJETO.</t>
  </si>
  <si>
    <t>29,34M2+30,65M2</t>
  </si>
  <si>
    <t>21.4</t>
  </si>
  <si>
    <t>SANITÁRIOS:
16,8M2+16,16M2+3,40M2+3,83M2+17,34M2=</t>
  </si>
  <si>
    <t>21.5</t>
  </si>
  <si>
    <t>COMP-1015</t>
  </si>
  <si>
    <t>AUDITÓRIO + SALA DE SOM
83,53M2+4,22M2=</t>
  </si>
  <si>
    <t>21.6</t>
  </si>
  <si>
    <t>COMP-1016</t>
  </si>
  <si>
    <t>21.7</t>
  </si>
  <si>
    <t>RAMPAS:
30,32M2+29,97M2=</t>
  </si>
  <si>
    <t>21.8</t>
  </si>
  <si>
    <t>21.9</t>
  </si>
  <si>
    <t>LEVANTAMENTO DE MÉTRICO EM PROJETO.</t>
  </si>
  <si>
    <t>SANITÁRIOS</t>
  </si>
  <si>
    <t>21.10</t>
  </si>
  <si>
    <t>132 UN X (0,25X0,25M)</t>
  </si>
  <si>
    <t>22.1</t>
  </si>
  <si>
    <t>DIVISORIA PAINEL/VIDRO/PAINEL VERMICULITA E=35MM COLOCADA</t>
  </si>
  <si>
    <t>LARGURA</t>
  </si>
  <si>
    <t>JARDIM</t>
  </si>
  <si>
    <t>23.1</t>
  </si>
  <si>
    <t>RV 24.10.0100 (A)</t>
  </si>
  <si>
    <t>Forro acústico, em gesso cartonado, exclusive materiais de acabamento, despesas com andaimes e transporte. Fornecimento e colocação.(desonerado)</t>
  </si>
  <si>
    <t>23.2</t>
  </si>
  <si>
    <t>COMP-1030</t>
  </si>
  <si>
    <t>CIRCULAÇÃO/RECEPÇÃO/TRABALHO OPEN/FOYER</t>
  </si>
  <si>
    <t>23.3</t>
  </si>
  <si>
    <t>SANIT. PCD MASC.</t>
  </si>
  <si>
    <t>SANIT. PCD FEMIN.</t>
  </si>
  <si>
    <t>24.1</t>
  </si>
  <si>
    <t>24.1.1</t>
  </si>
  <si>
    <t>09.007.0002-A</t>
  </si>
  <si>
    <t>ARRANCAMENTO E REPLANTIO DE ARVORE ADULTA,ENTRE 3,00 E 5,00MDE ALTURA E ATE 20CM DE DIAMETRO,INCLUSIVE ESCAVACAO E REGADURANTE 15 DIAS,EXCLUSIVE TRANSPORTE</t>
  </si>
  <si>
    <t>PRANCHA PG 1-1</t>
  </si>
  <si>
    <t>24.1.2</t>
  </si>
  <si>
    <t>09.007.0003-A</t>
  </si>
  <si>
    <t>ARRANCAMENTO E REPLANTIO DE ARVORE ADULTA,ACIMA DE 5,00M DEALTURA E MAIS DE 20CM DE DIAMETRO,INCLUSIVE ESCAVACAO E REGADURANTE 15 DIAS,EXCLUSIVE TRANSPORTE</t>
  </si>
  <si>
    <t>24.1.3</t>
  </si>
  <si>
    <t>09.001.0020-A</t>
  </si>
  <si>
    <t>PLANTIO DE GRAMA EM PLACAS TIPO ESMERALDA,INCLUSIVE FORNECIMENTO DA GRAMA E TRANSPORTE,EXCLUSIVE PREPARO DO TERRENO E OMATERIAL PARA ESTE</t>
  </si>
  <si>
    <t>24.1.4</t>
  </si>
  <si>
    <t>PLANTIO DE PALMEIRA COM ALTURA DE MUDA MENOR OU IGUAL A 2,00 M. AF_05/2018</t>
  </si>
  <si>
    <t>24.1.5</t>
  </si>
  <si>
    <t>PJ 09.30.0300 (/)</t>
  </si>
  <si>
    <t>ESPÉCIES VEGETAIS COM ALTURA DE (0,40 A 2,00)M, TIPO ARBUSTO PHILODENDRON BIPINNATIFIDUM (BANANA DE MACACO), AGAVE AMERICANA (PITA AZUL), AGAVE AMERICANA MARGINATA (AGAVE), CODIAEUM VARIEGATUM (CRÓTON), COLOCASIA ESCULENTA (INHAME BRANCO), CORDIA LUTEA (CORDIA AMARELA), DRACAENA FRAGANS (COQUEIRO DE VÊNUS, PAU D'ÁGUA), LIGUSTRUM SINENSI (LIGUSTRO CHINES), MUSA COCCINEA (BANANEIRA FLORIDA, BANANEIRA VERMELHA), MYRTHUS COMMUNS (MURTA), NERIUM OLEANDER (ESPIRRADEIRA), PHILODENDRON SELLOUM (GUAIMBÊ), PHILODENDRON SPECIOSUM (FILODENDRO IMPERIAL), PHILODENDRON WILSONII (FILODENDRO), POLYSCIAS FRUTICOSA (ÁRVORE DA FELICIDADE), RHODODENDRON X SIMSII (AZALÉIA BELGA), SENNA ALATA (MARIA PRETA), STENOLOBIUM STANS/TECOMA STANS (IPÊ DE JARDIM) OU SIMILAR. FORNECIMENTO.(DESONERADO)</t>
  </si>
  <si>
    <t>24.2</t>
  </si>
  <si>
    <t>URBANIZAÇÃO</t>
  </si>
  <si>
    <t>24.2.1</t>
  </si>
  <si>
    <t>PRANCHA URB 1-3</t>
  </si>
  <si>
    <t>24.2.2</t>
  </si>
  <si>
    <t>24.2.3</t>
  </si>
  <si>
    <t>24.2.4</t>
  </si>
  <si>
    <t>24.2.5</t>
  </si>
  <si>
    <t>SOMA DOS COMPRIMENTOS DAS FAIXAS DAS VAGAS DE ESTACIONAMENTO.</t>
  </si>
  <si>
    <t>24.2.6</t>
  </si>
  <si>
    <t>COMP-1022</t>
  </si>
  <si>
    <t>CONTAGEM DE QUANTIDADE EM PROJETO</t>
  </si>
  <si>
    <t>24.2.7</t>
  </si>
  <si>
    <t>18.027.0152-A</t>
  </si>
  <si>
    <t>LUMINARIA DECORATIVA,PARA ILUMINACAO PUBLICA E ESTACIONAMENTOS,COM DUAS PETALAS,PARA LAMPADA LED DE 50W,EQUIPADA COM CELULA FOTOELETRICA,INCLUSIVE LAMPADA.FORNECIMENTO E COLOCACAO</t>
  </si>
  <si>
    <t>24.2.8</t>
  </si>
  <si>
    <t>18.027.0150-0</t>
  </si>
  <si>
    <t>LUMINARIA DECORATIVA,PARA ILUMINACAO PUBLICA E ESTACIONAMENTOS,COM UMA PETALA,PARA LAMPADA LED DE 50W,EQUIPADA COM CELULA FOTOELETRICA,INCLUSIVE LAMPADA.FORNECIMENTO E COLOCACAO</t>
  </si>
  <si>
    <t>24.3</t>
  </si>
  <si>
    <t>24.3.1</t>
  </si>
  <si>
    <t>14.002.0215-A</t>
  </si>
  <si>
    <t>CORRIMAO DUPLO EM TUBO DE ACO GALVANIZADO COM DIAMETRO DE 1.1/4",BARRA SUPERIOR COM ALTURA DE 92CM E BARRA INFERIOR COMALTURA DE 70CM,FIXADO NA PAREDE POR CHUMBADORES,CONFORME ABNT NBR 9050 PARA ACESSIBILIDADE.FORNECIMENTO E COLOCACAO</t>
  </si>
  <si>
    <t>4 LANCES DE CORRIMÃO COM 7,74M</t>
  </si>
  <si>
    <t>25.1</t>
  </si>
  <si>
    <t>COMP-5000</t>
  </si>
  <si>
    <t>QUANTITATIVO CONFORME PROJETO DE COMUNIAÇÃO VISUAL</t>
  </si>
  <si>
    <t>25.2</t>
  </si>
  <si>
    <t>COMP-5001</t>
  </si>
  <si>
    <t>25.3</t>
  </si>
  <si>
    <t>COMP-5002</t>
  </si>
  <si>
    <t>25.4</t>
  </si>
  <si>
    <t>COMP-5003</t>
  </si>
  <si>
    <t>25.5</t>
  </si>
  <si>
    <t>COMP-5004</t>
  </si>
  <si>
    <t>25.6</t>
  </si>
  <si>
    <t>COMP-5005</t>
  </si>
  <si>
    <t>25.7</t>
  </si>
  <si>
    <t>COMP-5006</t>
  </si>
  <si>
    <t>25.8</t>
  </si>
  <si>
    <t>COMP-5007</t>
  </si>
  <si>
    <t>25.9</t>
  </si>
  <si>
    <t>COMP-5009</t>
  </si>
  <si>
    <t>25.10</t>
  </si>
  <si>
    <t>26.1</t>
  </si>
  <si>
    <t>26.1.1</t>
  </si>
  <si>
    <t>26.1.1.1</t>
  </si>
  <si>
    <t>96523</t>
  </si>
  <si>
    <t>26.1.1.2</t>
  </si>
  <si>
    <t>104919</t>
  </si>
  <si>
    <t>26.1.1.3</t>
  </si>
  <si>
    <t>96558</t>
  </si>
  <si>
    <t>26.1.1.4</t>
  </si>
  <si>
    <t>94319</t>
  </si>
  <si>
    <t>26.1.2</t>
  </si>
  <si>
    <t>26.1.2.1</t>
  </si>
  <si>
    <t>92413</t>
  </si>
  <si>
    <t>26.1.2.2</t>
  </si>
  <si>
    <t>92455</t>
  </si>
  <si>
    <t>26.1.2.3</t>
  </si>
  <si>
    <t>92759</t>
  </si>
  <si>
    <t>26.1.2.4</t>
  </si>
  <si>
    <t>92760</t>
  </si>
  <si>
    <t>26.1.2.5</t>
  </si>
  <si>
    <t>92762</t>
  </si>
  <si>
    <t>26.1.2.6</t>
  </si>
  <si>
    <t>92763</t>
  </si>
  <si>
    <t>26.1.2.7</t>
  </si>
  <si>
    <t>92764</t>
  </si>
  <si>
    <t>26.1.2.8</t>
  </si>
  <si>
    <t>103672</t>
  </si>
  <si>
    <t>26.1.3</t>
  </si>
  <si>
    <t>26.1.3.1</t>
  </si>
  <si>
    <t>92510</t>
  </si>
  <si>
    <t>26.1.3.2</t>
  </si>
  <si>
    <t>92771</t>
  </si>
  <si>
    <t>26.1.3.3</t>
  </si>
  <si>
    <t>92772</t>
  </si>
  <si>
    <t>26.1.3.4</t>
  </si>
  <si>
    <t>92773</t>
  </si>
  <si>
    <t>26.1.3.5</t>
  </si>
  <si>
    <t>103675</t>
  </si>
  <si>
    <t>26.2</t>
  </si>
  <si>
    <t>INFRAESTRUTURA ELÉTRICA</t>
  </si>
  <si>
    <t>26.2.1</t>
  </si>
  <si>
    <t>IP 04.12.0800 (/)</t>
  </si>
  <si>
    <t>POSTE COMPOSTO DE POLIÉSTER REFORÇADO COM FIBRA DE VIDRO - PRFV, SEÇÃO ÚNICA, ALTURA TOTAL DE 12,00 M, ALTURA ÚTIL DE 10,00 M, CONICIDADE NORMAL, TIPO LEVE, CARGA NOMINAL DE 400 DAN, DIÂMETRO NO TOPO DE 180 MM, ENGASTADO, ESPECIFICAÇÃO EM-RIOLUZ Nº101. FORNECIMENTO E ASSENTAMENTO. (DESONERADO)</t>
  </si>
  <si>
    <t>QUANTITATIVO DE PROJETO (LISTA MATERIAIS E PROJETO SUBESTAÇÃO)</t>
  </si>
  <si>
    <t>26.2.2</t>
  </si>
  <si>
    <t>COMP-768862</t>
  </si>
  <si>
    <t>POSTE METÁLICO, 6M DE ALTURA. FORNECIMENTO E INSTALAÇÃO</t>
  </si>
  <si>
    <t>26.2.3</t>
  </si>
  <si>
    <t>36.20.200</t>
  </si>
  <si>
    <t>MÃO FRANCESA DE 700 MM</t>
  </si>
  <si>
    <t>26.2.4</t>
  </si>
  <si>
    <t>15.007.0345-A</t>
  </si>
  <si>
    <t>ISOLADOR DE PINO, TIPO HI-TOP, CILINDRICO CLASSE 15KV.FORNECIMENTO E COLOCACAO</t>
  </si>
  <si>
    <t>26.2.5</t>
  </si>
  <si>
    <t>36.07.030</t>
  </si>
  <si>
    <t>PARA-RAIOS DE DISTRIBUIÇÃO, CLASSE 12 KV/10 KA, COMPLETO, ENCAPSULADO COM POLÍMERO</t>
  </si>
  <si>
    <t>26.2.6</t>
  </si>
  <si>
    <t>15.007.0357-A</t>
  </si>
  <si>
    <t>CHAVE FUSIVEL, UNIPOLAR, COMANDO POR VARA DE MANOBRA, 15KV-100A.FORNECIMENTO E COLOCACAO</t>
  </si>
  <si>
    <t>26.2.7</t>
  </si>
  <si>
    <t>15.007.0338-A</t>
  </si>
  <si>
    <t>MUFLA TERMINAL, INTERNA OU EXTERNA, PARA CABO SINGELO DE 15KV.FORNECIMENTO E COLOCACAO</t>
  </si>
  <si>
    <t>26.2.8</t>
  </si>
  <si>
    <t>COMP-54472295</t>
  </si>
  <si>
    <t>CINTA CIRCULAR METÁLICA PARA POSTE. FORNECIMENTO E INSTALAÇÃO</t>
  </si>
  <si>
    <t>26.2.9</t>
  </si>
  <si>
    <t>COMP-48134907</t>
  </si>
  <si>
    <t>ISOLADOR DE ANCORAGEM 15KV. FORNECIMENTO E INSTALAÇÃO</t>
  </si>
  <si>
    <t>26.2.10</t>
  </si>
  <si>
    <t>COMP-45880895</t>
  </si>
  <si>
    <t>GANCHO OLHAL. FORNECIMENTO E INSTALAÇÃO</t>
  </si>
  <si>
    <t>26.2.11</t>
  </si>
  <si>
    <t>COMP-64812546</t>
  </si>
  <si>
    <t>GRAMPO METALICO PARA SEÇÃO 10 A 25 MM2. FORNECIMENTO E INSTALAÇÃO</t>
  </si>
  <si>
    <t>26.2.12</t>
  </si>
  <si>
    <t>21.028.0015-A</t>
  </si>
  <si>
    <t>CONECTOR PARAFUSO FENDIDO COM RABICHO, EM BRONZE, PARA ATERRAMENTO, CONDUTORES DE 6 - 35MM2.FORNECIMENTO E INSTALACAO</t>
  </si>
  <si>
    <t>26.2.13</t>
  </si>
  <si>
    <t>IP 54.10.0812 (/)</t>
  </si>
  <si>
    <t>PARAFUSO FRANCÊS DE (5/8"X2 1/2"). FORNECIMENTO.(DESONERADO)</t>
  </si>
  <si>
    <t>26.2.14</t>
  </si>
  <si>
    <t>21.027.0020-A</t>
  </si>
  <si>
    <t>CABO DE ALUMINIO NU COM ALMA DE ACO (CAA),SECAO 1/0 AWG(Ø=9,36MM, 147,6KG/KM),CONFORME ABNT NBR 7270.FORNECIMENTO</t>
  </si>
  <si>
    <t>26.2.15</t>
  </si>
  <si>
    <t>36.01.252</t>
  </si>
  <si>
    <t>CUBÍCULO DE MÉDIA TENSÃO, PARA USO AO TEMPO, CLASSE 17,5 KV</t>
  </si>
  <si>
    <t>26.2.16</t>
  </si>
  <si>
    <t>15.036.0077-A</t>
  </si>
  <si>
    <t>ELETRODUTO DE PVC RIGIDO ROSQUEAVEL DE 4", INCLUSIVE CONEXOESE EMENDAS, EXCLUSIVE ABERTURA E FECHAMENTO DE RASGO.FORNECIMENTO E ASSENTAMENTO</t>
  </si>
  <si>
    <t>26.2.17</t>
  </si>
  <si>
    <t>15.034.0027-A</t>
  </si>
  <si>
    <t>ELETRODUTO DE FERRO GALVANIZADO, TIPO MEDIO, DIAMETRO DE 4", INCLUSIVE CONEXOES E EMENDAS, EXCLUSIVE ABERTURA E FECHAMENTO DE RASGO.FORNECIMENTO E ASSENTAMENTO</t>
  </si>
  <si>
    <t>26.2.18</t>
  </si>
  <si>
    <t>15.034.0021-A</t>
  </si>
  <si>
    <t>ELETRODUTO DE FERRO GALVANIZADO, TIPO MEDIO, DIAMETRO DE 1", INCLUSIVE CONEXOES E EMENDAS, EXCLUSIVE ABERTURA E FECHAMENTO DE RASGO.FORNECIMENTO E ASSENTAMENTO</t>
  </si>
  <si>
    <t>26.2.19</t>
  </si>
  <si>
    <t>15.018.0175-A</t>
  </si>
  <si>
    <t>CANALETA PERFURADA ALTA(PERFILADOS), MEDINDO(38X38X6000)MM PRE-GALVANIZADA, INCLUSIVE SUPORTE E CONEXOES.FORNECIMENTO E COLOCACAO</t>
  </si>
  <si>
    <t>26.2.20</t>
  </si>
  <si>
    <t>15.034.0020-A</t>
  </si>
  <si>
    <t>ELETRODUTO DE FERRO GALVANIZADO, TIPO MEDIO, DIAMETRO DE 3/4", INCLUSIVE CONEXOES E EMENDAS, EXCLUSIVE ABERTURA E FECHAMENTODE RASGO.FORNECIMENTO E ASSENTAMENTO</t>
  </si>
  <si>
    <t>26.2.21</t>
  </si>
  <si>
    <t>91871</t>
  </si>
  <si>
    <t>ELETRODUTO RÍGIDO ROSCÁVEL, PVC, DN 25 MM (3/4"), PARA CIRCUITOS TERMINAIS, INSTALADO EM PAREDE - FORNECIMENTO E INSTALAÇÃO. AF_03/2023</t>
  </si>
  <si>
    <t>26.2.22</t>
  </si>
  <si>
    <t>COMP-7866</t>
  </si>
  <si>
    <t>26.2.23</t>
  </si>
  <si>
    <t>97667</t>
  </si>
  <si>
    <t>26.2.24</t>
  </si>
  <si>
    <t>97668</t>
  </si>
  <si>
    <t>26.2.25</t>
  </si>
  <si>
    <t>97669</t>
  </si>
  <si>
    <t>26.2.26</t>
  </si>
  <si>
    <t>97670</t>
  </si>
  <si>
    <t>26.2.27</t>
  </si>
  <si>
    <t>15.018.0501-A</t>
  </si>
  <si>
    <t>ELETROCALHA PERFURADA, COM TAMPA, TIPO "U", 200X50MM, TRATAMENTOSUPERFICIAL PRE-ZINCADO A QUENTE, INCLUSIVE CONEXOES, ACESSORIOS E FIXACAO SUPERIOR.FORNECIMENTO E COLOCACAO</t>
  </si>
  <si>
    <t>26.2.28</t>
  </si>
  <si>
    <t>26.2.29</t>
  </si>
  <si>
    <t>IT 24.70.0103 (A)</t>
  </si>
  <si>
    <t>HASTE PARA ATERRAMENTO, TIPO COPPERWELD, DE 5/8" (16MM), COM 2,40M DE COMPRIMENTO, REFERÊNCIA PK-065, PARAKLIN OU SIMILAR. FORNECIMENTO E INSTALAÇÃO.(DESONERADO)</t>
  </si>
  <si>
    <t>26.2.30</t>
  </si>
  <si>
    <t>95802</t>
  </si>
  <si>
    <t>CONDULETE DE ALUMÍNIO, TIPO X, PARA ELETRODUTO DE AÇO GALVANIZADO DN 25 MM (1''), APARENTE - FORNECIMENTO E INSTALAÇÃO. AF_10/2022</t>
  </si>
  <si>
    <t>26.2.31</t>
  </si>
  <si>
    <t>15.018.0130-A</t>
  </si>
  <si>
    <t>CAIXA DE EMBUTIR, EM PVC, 4"X4", INCLUSIVE BUCHAS E ARRUELAS.FORNECIMENTO E COLOCACAO</t>
  </si>
  <si>
    <t>26.2.32</t>
  </si>
  <si>
    <t>15.018.0125-A</t>
  </si>
  <si>
    <t>CAIXA DE EMBUTIR, EM PVC, 3" X 3", INCLUSIVE BUCHAS E ARRUELAS.FORNECIMENTO E COLOCACAO</t>
  </si>
  <si>
    <t>26.2.33</t>
  </si>
  <si>
    <t>CAIXA DE PASSAGEM PARA TELEFONE, CONFORME ESPECIFICAÇÃO DA TELEBRÁS, NAS DIMENSÕES (20X20X12)CM.  FORNECIMENTO E INSTALAÇÃO.(DESONERADO)</t>
  </si>
  <si>
    <t>26.2.34</t>
  </si>
  <si>
    <t>26.2.35</t>
  </si>
  <si>
    <t>15.001.0025-A</t>
  </si>
  <si>
    <t>CAIXA DE ALVENARIA EM TIJOLOS MACICOS(7X10X20CM), EM PAREDESDE MEIA VEZ, COM DIMENSOES DE 0, 30X0, 30X0, 30M, ASSENTADA COM ARGAMASSA DE CIMENTO E AREIA, NO TRACO 1:4, REVESTIDA INTERNAMENTE COM A MESMA ARGAMASSA, COM FUNDO DE CONCRETO E TAMPA DE CONCRETO ARMADO</t>
  </si>
  <si>
    <t>26.2.36</t>
  </si>
  <si>
    <t>15.001.0028-A</t>
  </si>
  <si>
    <t>CAIXA DE ALVENARIA EM TIJOLOS MACICOS(7X10X20CM), EM PAREDESDE MEIA VEZ, COM DIMENSOES DE 0, 60X0, 60X0, 40M, ASSENTADA COM ARGAMASSA DE CIMENTO E AREIA, NO TRACO 1:4, REVESTIDA INTERNAMENTE COM A MESMA ARGAMASSA, COM FUNDO DE CONCRETO E TAMPA DE CONCRETO ARMADO</t>
  </si>
  <si>
    <t>26.2.37</t>
  </si>
  <si>
    <t>15.001.0030-A</t>
  </si>
  <si>
    <t>CAIXA DE ALVENARIA EM TIJOLOS MACICOS(7X10X20CM), EM PAREDESDE MEIA VEZ, COM DIMENSOES DE 0, 80X0, 80X1, 00M, ASSENTADA COM ARGAMASSA DE CIMENTO E AREIA, NO TRACO 1:4, REVESTIDA INTERNAMENTE COM A MESMA ARGAMASSA, COM FUNDO DE CONCRETO E TAMPA DE CONCRETO ARMADO</t>
  </si>
  <si>
    <t>26.2.38</t>
  </si>
  <si>
    <t>14.002.0162-A</t>
  </si>
  <si>
    <t>GRADE PARA PROTECAO DE SUBESTACAO ELETRICA OU EQUIVALENTE, EMTELA DE ARAME GALVANIZADO Nº12, MALHA QUADRANGULAR DE (25X25)MM, FORMANDO QUADROS CONTORNADOS POR CANTONEIRAS DE FERRO DE3/4"X3/4"X1/8", FIXADOS EM MONTANTES DE TUBOS GALVANIZADOS COM DIAMETRO DE 2".FORNECIMENTO E COLOCACAO</t>
  </si>
  <si>
    <t>26.2.39</t>
  </si>
  <si>
    <t>50.10.110</t>
  </si>
  <si>
    <t>26.2.40</t>
  </si>
  <si>
    <t>09.005.0115-A</t>
  </si>
  <si>
    <t>PODA DE ARVORES, LIMPEZA DE GALHOS SECOS E RETIRADA DE PARASITAS</t>
  </si>
  <si>
    <t>26.3</t>
  </si>
  <si>
    <t>26.3.1</t>
  </si>
  <si>
    <t>91981</t>
  </si>
  <si>
    <t>26.3.2</t>
  </si>
  <si>
    <t>INTERRUPTOR BIPOLAR (2 MÓDULOS), 10A/250V, INCLUINDO SUPORTE E PLACA - FORNECIMENTO E INSTALAÇÃO.</t>
  </si>
  <si>
    <t>26.3.3</t>
  </si>
  <si>
    <t>91971</t>
  </si>
  <si>
    <t>INTERRUPTOR SIMPLES (3 MÓDULOS) COM INTERRUPTOR PARALELO (1 MÓDULO), 10A/250V, INCLUINDO SUPORTE E PLACA - FORNECIMENTO E INSTALAÇÃO. AF_03/2023</t>
  </si>
  <si>
    <t>26.3.4</t>
  </si>
  <si>
    <t>COMP-108793</t>
  </si>
  <si>
    <t>CONJUNTO INTERRUPTOR BIPOLAR SIMPLES DE UMA TECLA + TOMADA 2P+T PADRÃO BRASILEIRO , 20A - FORNECIMENTO E INSTALAÇÃO.</t>
  </si>
  <si>
    <t>26.3.5</t>
  </si>
  <si>
    <t>101632</t>
  </si>
  <si>
    <t>RELÉ FOTOELÉTRICO PARA COMANDO DE ILUMINAÇÃO EXTERNA 1000 W - FORNECIMENTO E INSTALAÇÃO. AF_02/2025</t>
  </si>
  <si>
    <t>26.3.6</t>
  </si>
  <si>
    <t>92000</t>
  </si>
  <si>
    <t>TOMADA BAIXA DE EMBUTIR (1 MÓDULO), 2P+T 10 A, INCLUINDO SUPORTE E PLACA - FORNECIMENTO E INSTALAÇÃO. AF_03/2023</t>
  </si>
  <si>
    <t>26.3.7</t>
  </si>
  <si>
    <t>92001</t>
  </si>
  <si>
    <t>TOMADA BAIXA DE EMBUTIR (1 MÓDULO), 2P+T 20 A, INCLUINDO SUPORTE E PLACA - FORNECIMENTO E INSTALAÇÃO. AF_03/2023</t>
  </si>
  <si>
    <t>26.3.8</t>
  </si>
  <si>
    <t>92008</t>
  </si>
  <si>
    <t>TOMADA BAIXA DE EMBUTIR (2 MÓDULOS), 2P+T 10 A, INCLUINDO SUPORTE E PLACA - FORNECIMENTO E INSTALAÇÃO. AF_03/2023</t>
  </si>
  <si>
    <t>26.3.9</t>
  </si>
  <si>
    <t>92009</t>
  </si>
  <si>
    <t>TOMADA BAIXA DE EMBUTIR (2 MÓDULOS), 2P+T 20 A, INCLUINDO SUPORTE E PLACA - FORNECIMENTO E INSTALAÇÃO. AF_03/2023</t>
  </si>
  <si>
    <t>26.3.10</t>
  </si>
  <si>
    <t>40.04.230</t>
  </si>
  <si>
    <t>TOMADA DE CANALETA/PERFILADO UNIVERSAL 2P+T, COM CAIXA E TAMPA</t>
  </si>
  <si>
    <t>26.4</t>
  </si>
  <si>
    <t>26.4.1</t>
  </si>
  <si>
    <t>15.009.0135-A</t>
  </si>
  <si>
    <t>CABO SOLIDO DE COBRE ELETROLITICO NU, TEMPERA MOLE, CLASSE 2, SECAO CIRCULAR DE 25MM2.FORNECIMENTO E COLOCACAO</t>
  </si>
  <si>
    <t>26.4.2</t>
  </si>
  <si>
    <t>IP 14.40.0505 (/)</t>
  </si>
  <si>
    <t>CABO DE ALUMÍNIO, SEÇÃO DE 25MM2, FORMADO POR CONDUTORES EM FIOS DE ALUMÍNIO NU, ENCORDOAMENTO CLASSE 2, ISOLAMENTO PARA 1KV, EM POLIETILENO RETICULADO (XLPE) OU ETILENO PROPILENO (EPR), COM CAPA DE COBERTURA EM PVC NA COR PRETA, NBR 7286, NBR 7287 E ESPECIFICAÇÃO RIOLUZ EM-RIOLUZ-74. FORNECIMENTO.(DESONERADO)</t>
  </si>
  <si>
    <t>26.4.3</t>
  </si>
  <si>
    <t>15.009.0130-A</t>
  </si>
  <si>
    <t>CABO SOLIDO DE COBRE ELETROLITICO NU, TEMPERA MOLE, CLASSE 2, SECAO CIRCULAR DE 16MM2.FORNECIMENTO E COLOCACAO</t>
  </si>
  <si>
    <t>26.4.4</t>
  </si>
  <si>
    <t>26.4.5</t>
  </si>
  <si>
    <t>15.009.0140-A</t>
  </si>
  <si>
    <t>CABO SOLIDO DE COBRE ELETROLITICO NU, TEMPERA MOLE, CLASSE 2, SECAO CIRCULAR DE 35MM2.FORNECIMENTO E COLOCACAO</t>
  </si>
  <si>
    <t>26.4.6</t>
  </si>
  <si>
    <t>15.009.0143-A</t>
  </si>
  <si>
    <t>CABO SOLIDO DE COBRE ELETROLITICO NU, TEMPERA MOLE, CLASSE 2, SECAO CIRCULAR DE 50MM2.FORNECIMENTO E COLOCACAO</t>
  </si>
  <si>
    <t>26.4.7</t>
  </si>
  <si>
    <t>42.20.150</t>
  </si>
  <si>
    <t>SOLDA EXOTÉRMICA CONEXÃO CABO-CABO HORIZONTAL EM T, BITOLA DO CABO DE 16-16MM² A 50-35MM², 70-35MM² E 95-35MM²</t>
  </si>
  <si>
    <t>26.4.8</t>
  </si>
  <si>
    <t>39.24.151</t>
  </si>
  <si>
    <t>CABO DE COBRE FLEXÍVEL DE 3 X 1,5 MM², ISOLAMENTO 500 V - ISOLAÇÃO PP 70°C</t>
  </si>
  <si>
    <t>26.4.9</t>
  </si>
  <si>
    <t>91926</t>
  </si>
  <si>
    <t>26.4.10</t>
  </si>
  <si>
    <t>91928</t>
  </si>
  <si>
    <t>26.4.11</t>
  </si>
  <si>
    <t>91927</t>
  </si>
  <si>
    <t>26.4.12</t>
  </si>
  <si>
    <t>93000</t>
  </si>
  <si>
    <t>CABO DE COBRE FLEXÍVEL ISOLADO, 240 MM², ANTI-CHAMA 0,6/1,0 KV, PARA REDE ENTERRADA DE DISTRIBUIÇÃO DE ENERGIA ELÉTRICA - FORNECIMENTO E INSTALAÇÃO. AF_12/2021</t>
  </si>
  <si>
    <t>26.4.13</t>
  </si>
  <si>
    <t>92982</t>
  </si>
  <si>
    <t>CABO DE COBRE FLEXÍVEL ISOLADO, 16 MM², ANTI-CHAMA 0,6/1,0 KV, PARA DISTRIBUIÇÃO - FORNECIMENTO E INSTALAÇÃO. AF_10/2020</t>
  </si>
  <si>
    <t>26.4.14</t>
  </si>
  <si>
    <t>26.4.15</t>
  </si>
  <si>
    <t>92984</t>
  </si>
  <si>
    <t>26.4.16</t>
  </si>
  <si>
    <t>92988</t>
  </si>
  <si>
    <t>26.4.17</t>
  </si>
  <si>
    <t>92990</t>
  </si>
  <si>
    <t>26.4.18</t>
  </si>
  <si>
    <t>92992</t>
  </si>
  <si>
    <t>26.4.19</t>
  </si>
  <si>
    <t>92994</t>
  </si>
  <si>
    <t>26.4.20</t>
  </si>
  <si>
    <t>92998</t>
  </si>
  <si>
    <t>26.5</t>
  </si>
  <si>
    <t>26.5.1</t>
  </si>
  <si>
    <t>18.027.0482-A</t>
  </si>
  <si>
    <t>LUMINARIA DE SOBREPOR, FIXADA EM LAJE OU FORRO, TIPO CALHA, CHANFRADA OU PRISMATICA, COMPLETA, COM LAMPADA LED TUBULARDE 4 X 9W.FORNECIMENTO E COLOCACAO</t>
  </si>
  <si>
    <t>26.5.2</t>
  </si>
  <si>
    <t>18.027.0474-A</t>
  </si>
  <si>
    <t>LUMINARIA DE SOBREPOR, FIXADA EM LAJE OU FORRO, TIPO CALHA, CHANFRADA OU PRISMATICA, COMPLETA, COM LAMPADA LED TUBULARDE 2 X 9W. FORNECIMENTO E COLOCACAO</t>
  </si>
  <si>
    <t>26.5.3</t>
  </si>
  <si>
    <t>41.31.087</t>
  </si>
  <si>
    <t>LUMINÁRIA LED REDONDA DE SOBREPOR COM DIFUSOR TRANSLUCIDO, 4000 K, FLUXO LUMINOSO DE 1900 A 2000 LM, POTÊNCIA DE 17 W A 19 W</t>
  </si>
  <si>
    <t>26.5.4</t>
  </si>
  <si>
    <t>IT 29.50.0310 (/)</t>
  </si>
  <si>
    <t>LÂMPADA LED, TUBULAR, 1200MM, T8, 18W, FLUXO LUMINOSO EM TORNO DE 1850LM. FORNECIMENTO E INSTALAÇÃO. (DESONERADO)</t>
  </si>
  <si>
    <t>26.5.5</t>
  </si>
  <si>
    <t>41.14.670</t>
  </si>
  <si>
    <t>LUMINÁRIA TRIANGULAR DE SOBREPOR TIPO ARANDELA PARA FLUORESCENTE COMPACTA DE 15 W/20 W/23 W</t>
  </si>
  <si>
    <t>26.5.6</t>
  </si>
  <si>
    <t>18.027.0150-A</t>
  </si>
  <si>
    <t>LUMINARIA DECORATIVA, PARA ILUMINACAO PUBLICA E ESTACIONAMENTOS, COM UMA PETALA, PARA LAMPADA LED DE 50W, EQUIPADA COM CELULA FOTOELETRICA, INCLUSIVE LAMPADA.FORNECIMENTO E COLOCACAO</t>
  </si>
  <si>
    <t>26.5.7</t>
  </si>
  <si>
    <t>LUMINARIA DECORATIVA, PARA ILUMINACAO PUBLICA E ESTACIONAMENTOS, COM DUAS PETALAS, PARA LAMPADA LED DE 50W, EQUIPADA COM CELULA FOTOELETRICA, INCLUSIVE LAMPADA.FORNECIMENTO E COLOCACAO</t>
  </si>
  <si>
    <t>26.5.8</t>
  </si>
  <si>
    <t xml:space="preserve">COMP-1090 </t>
  </si>
  <si>
    <t>26.6</t>
  </si>
  <si>
    <t>26.6.1</t>
  </si>
  <si>
    <t>102107</t>
  </si>
  <si>
    <t>TRANSFORMADOR DE DISTRIBUIÇÃO, 225 KVA, TRIFÁSICO, 60 HZ, CLASSE 15 KV, IMERSO EM ÓLEO MINERAL, INSTALAÇÃO EM POSTE (NÃO INCLUSO SUPORTE) - FORNECIMENTO E INSTALAÇÃO. AF_12/2020</t>
  </si>
  <si>
    <t>26.7</t>
  </si>
  <si>
    <t>26.7.1</t>
  </si>
  <si>
    <t>93660</t>
  </si>
  <si>
    <t>DISJUNTOR BIPOLAR TIPO DIN, CORRENTE NOMINAL DE 10A - FORNECIMENTO E INSTALAÇÃO. AF_10/2020</t>
  </si>
  <si>
    <t>26.7.2</t>
  </si>
  <si>
    <t>93653</t>
  </si>
  <si>
    <t>DISJUNTOR MONOPOLAR TIPO DIN, CORRENTE NOMINAL DE 10A - FORNECIMENTO E INSTALAÇÃO. AF_10/2020</t>
  </si>
  <si>
    <t>26.7.3</t>
  </si>
  <si>
    <t>93654</t>
  </si>
  <si>
    <t>DISJUNTOR MONOPOLAR TIPO DIN, CORRENTE NOMINAL DE 16A - FORNECIMENTO E INSTALAÇÃO. AF_10/2020</t>
  </si>
  <si>
    <t>26.7.4</t>
  </si>
  <si>
    <t>93661</t>
  </si>
  <si>
    <t>DISJUNTOR BIPOLAR TIPO DIN, CORRENTE NOMINAL DE 16A - FORNECIMENTO E INSTALAÇÃO. AF_10/2020</t>
  </si>
  <si>
    <t>26.7.5</t>
  </si>
  <si>
    <t>15.007.0605-A</t>
  </si>
  <si>
    <t>DISJUNTOR TERMOMAGNETICO, TRIPOLAR, DE 80 A 100A, 3KA, MODELO DIN, TIPO C.FORNECIMENTO E COLOCACAO</t>
  </si>
  <si>
    <t>26.7.6</t>
  </si>
  <si>
    <t>101895</t>
  </si>
  <si>
    <t>DISJUNTOR TERMOMAGNÉTICO TRIPOLAR, CORRENTE NOMINAL DE 125A - FORNECIMENTO E INSTALAÇÃO. AF_10/2020</t>
  </si>
  <si>
    <t>26.7.7</t>
  </si>
  <si>
    <t>IT 24.50.0206 (/)</t>
  </si>
  <si>
    <t>DISJUNTOR, TRIPOLAR DE 50A. FORNECIMENTO E INSTALAÇÃO.(DESONERADO)</t>
  </si>
  <si>
    <t>26.7.8</t>
  </si>
  <si>
    <t>93671</t>
  </si>
  <si>
    <t>DISJUNTOR TRIPOLAR TIPO DIN, CORRENTE NOMINAL DE 32A - FORNECIMENTO E INSTALAÇÃO. AF_10/2020</t>
  </si>
  <si>
    <t>26.7.9</t>
  </si>
  <si>
    <t>101896</t>
  </si>
  <si>
    <t>DISJUNTOR TERMOMAGNÉTICO TRIPOLAR, CORRENTE NOMINAL DE 200A - FORNECIMENTO E INSTALAÇÃO. AF_10/2020</t>
  </si>
  <si>
    <t>26.7.10</t>
  </si>
  <si>
    <t>101898</t>
  </si>
  <si>
    <t>DISJUNTOR TERMOMAGNÉTICO TRIPOLAR, CORRENTE NOMINAL DE 400A - FORNECIMENTO E INSTALAÇÃO. AF_10/2020</t>
  </si>
  <si>
    <t>26.7.11</t>
  </si>
  <si>
    <t>15.007.0642-A</t>
  </si>
  <si>
    <t>DISPOSITIVO DE PROTECAO CONTRA SURTO (DPS), CLASSE II, 1 POLO, TENSAO 175V, CORRENTES APROXIMADAS DE DESCARGA NOMINAL E MAXIMA DE 20KA E 45KA.FORNECIMENTO E COLOCACAO</t>
  </si>
  <si>
    <t>26.7.12</t>
  </si>
  <si>
    <t>101875</t>
  </si>
  <si>
    <t>QUADRO DE DISTRIBUIÇÃO DE ENERGIA EM CHAPA DE AÇO GALVANIZADO, DE EMBUTIR, COM BARRAMENTO TRIFÁSICO, PARA 12 DISJUNTORES DIN 100A - FORNECIMENTO E INSTALAÇÃO. AF_10/2020</t>
  </si>
  <si>
    <t>26.7.13</t>
  </si>
  <si>
    <t>101881</t>
  </si>
  <si>
    <t>QUADRO DE DISTRIBUIÇÃO DE ENERGIA EM CHAPA DE AÇO GALVANIZADO, DE EMBUTIR, COM BARRAMENTO TRIFÁSICO, PARA 40 DISJUNTORES DIN 100A - FORNECIMENTO E INSTALAÇÃO. AF_10/2020</t>
  </si>
  <si>
    <t>Estimativa: 30% da área total de projeção.</t>
  </si>
  <si>
    <t>923,32/100x91,30=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</si>
</sst>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R$]#,##0.00"/>
    <numFmt numFmtId="181" formatCode="d/m/yyyy"/>
    <numFmt numFmtId="182" formatCode="_-* #,##0.00_-;\-* #,##0.00_-;_-* \-??_-;_-@"/>
    <numFmt numFmtId="183" formatCode="0.0000"/>
    <numFmt numFmtId="184" formatCode="&quot;R$ &quot;#,##0.00"/>
    <numFmt numFmtId="185" formatCode="#,##0.000"/>
    <numFmt numFmtId="186" formatCode="dd/mm/yy"/>
    <numFmt numFmtId="187" formatCode="#,##0.0000000"/>
    <numFmt numFmtId="188" formatCode="#,##0.0000"/>
    <numFmt numFmtId="189" formatCode="#,##0.00%"/>
    <numFmt numFmtId="190" formatCode="&quot;R$&quot;\ #,##0.00_);[Red]\(&quot;R$&quot;\ #,###.00\)"/>
  </numFmts>
  <fonts count="59">
    <font>
      <sz val="11"/>
      <color rgb="FF000000"/>
      <name val="Calibri"/>
      <charset val="134"/>
      <scheme val="minor"/>
    </font>
    <font>
      <sz val="8"/>
      <color rgb="FF000000"/>
      <name val="Arial"/>
      <charset val="134"/>
    </font>
    <font>
      <sz val="11"/>
      <name val="Calibri"/>
      <charset val="134"/>
    </font>
    <font>
      <b/>
      <sz val="8"/>
      <color rgb="FF000000"/>
      <name val="Arial"/>
      <charset val="134"/>
    </font>
    <font>
      <sz val="8"/>
      <color theme="1"/>
      <name val="Arial"/>
      <charset val="134"/>
    </font>
    <font>
      <sz val="8"/>
      <color theme="1"/>
      <name val="Calibri"/>
      <charset val="134"/>
    </font>
    <font>
      <b/>
      <sz val="8"/>
      <color theme="1"/>
      <name val="Calibri"/>
      <charset val="134"/>
    </font>
    <font>
      <sz val="8"/>
      <color rgb="FF000000"/>
      <name val="Calibri"/>
      <charset val="134"/>
    </font>
    <font>
      <b/>
      <sz val="10"/>
      <color rgb="FF000000"/>
      <name val="Arial"/>
      <charset val="134"/>
    </font>
    <font>
      <b/>
      <sz val="8"/>
      <color rgb="FFFF0000"/>
      <name val="Arial"/>
      <charset val="134"/>
    </font>
    <font>
      <sz val="8"/>
      <color rgb="FFFF0000"/>
      <name val="Arial"/>
      <charset val="134"/>
    </font>
    <font>
      <b/>
      <sz val="8"/>
      <color theme="1"/>
      <name val="Arial"/>
      <charset val="134"/>
    </font>
    <font>
      <i/>
      <sz val="8"/>
      <color theme="1"/>
      <name val="Arial"/>
      <charset val="134"/>
    </font>
    <font>
      <i/>
      <sz val="8"/>
      <color rgb="FF000000"/>
      <name val="Arial"/>
      <charset val="134"/>
    </font>
    <font>
      <b/>
      <sz val="10"/>
      <color theme="1"/>
      <name val="Calibri"/>
      <charset val="134"/>
    </font>
    <font>
      <b/>
      <sz val="10"/>
      <color theme="1"/>
      <name val="Calibri"/>
      <charset val="134"/>
    </font>
    <font>
      <sz val="11"/>
      <color theme="1"/>
      <name val="Calibri"/>
      <charset val="134"/>
    </font>
    <font>
      <sz val="11"/>
      <color rgb="FF000000"/>
      <name val="Calibri"/>
      <charset val="134"/>
    </font>
    <font>
      <b/>
      <sz val="12"/>
      <color theme="1"/>
      <name val="Calibri"/>
      <charset val="134"/>
    </font>
    <font>
      <u/>
      <sz val="11"/>
      <color theme="10"/>
      <name val="Calibri"/>
      <charset val="134"/>
    </font>
    <font>
      <b/>
      <sz val="8"/>
      <color rgb="FF000000"/>
      <name val="Arial"/>
      <charset val="134"/>
    </font>
    <font>
      <sz val="8"/>
      <color rgb="FF000000"/>
      <name val="Arial"/>
      <charset val="134"/>
    </font>
    <font>
      <b/>
      <sz val="11"/>
      <name val="Arial"/>
      <charset val="134"/>
    </font>
    <font>
      <sz val="10"/>
      <color rgb="FF000000"/>
      <name val="Arial"/>
      <charset val="134"/>
    </font>
    <font>
      <sz val="10"/>
      <name val="Arial"/>
      <charset val="134"/>
    </font>
    <font>
      <b/>
      <sz val="10"/>
      <name val="Arial"/>
      <charset val="134"/>
    </font>
    <font>
      <sz val="6"/>
      <color rgb="FF000000"/>
      <name val="Arial"/>
      <charset val="134"/>
    </font>
    <font>
      <sz val="11"/>
      <color rgb="FFFF0000"/>
      <name val="Calibri"/>
      <charset val="134"/>
    </font>
    <font>
      <sz val="7"/>
      <color rgb="FF000000"/>
      <name val="Arial"/>
      <charset val="134"/>
    </font>
    <font>
      <sz val="9"/>
      <color rgb="FF000000"/>
      <name val="Arial"/>
      <charset val="134"/>
    </font>
    <font>
      <b/>
      <sz val="9"/>
      <color rgb="FF000000"/>
      <name val="Arial"/>
      <charset val="134"/>
    </font>
    <font>
      <b/>
      <sz val="11"/>
      <color rgb="FF000000"/>
      <name val="Calibri"/>
      <charset val="134"/>
    </font>
    <font>
      <sz val="11"/>
      <color rgb="FF000000"/>
      <name val="Arial"/>
      <charset val="134"/>
    </font>
    <font>
      <sz val="11"/>
      <color theme="1"/>
      <name val="Arial"/>
      <charset val="134"/>
    </font>
    <font>
      <b/>
      <sz val="11"/>
      <color rgb="FF000000"/>
      <name val="Arial"/>
      <charset val="134"/>
    </font>
    <font>
      <b/>
      <sz val="8"/>
      <color rgb="FF000000"/>
      <name val="Calibri"/>
      <charset val="134"/>
    </font>
    <font>
      <b/>
      <sz val="11"/>
      <color rgb="FF000000"/>
      <name val="Calibri"/>
      <charset val="134"/>
      <scheme val="minor"/>
    </font>
    <font>
      <b/>
      <sz val="10"/>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name val="Arial"/>
      <charset val="134"/>
    </font>
  </fonts>
  <fills count="48">
    <fill>
      <patternFill patternType="none"/>
    </fill>
    <fill>
      <patternFill patternType="gray125"/>
    </fill>
    <fill>
      <patternFill patternType="solid">
        <fgColor rgb="FF969696"/>
        <bgColor rgb="FF969696"/>
      </patternFill>
    </fill>
    <fill>
      <patternFill patternType="solid">
        <fgColor rgb="FFA5A5A5"/>
        <bgColor rgb="FFA5A5A5"/>
      </patternFill>
    </fill>
    <fill>
      <patternFill patternType="solid">
        <fgColor rgb="FFBFBFBF"/>
        <bgColor rgb="FFBFBFBF"/>
      </patternFill>
    </fill>
    <fill>
      <patternFill patternType="solid">
        <fgColor rgb="FFFFFFFF"/>
        <bgColor rgb="FFFFFFFF"/>
      </patternFill>
    </fill>
    <fill>
      <patternFill patternType="solid">
        <fgColor theme="0" tint="-0.499984740745262"/>
        <bgColor rgb="FFD8ECF6"/>
      </patternFill>
    </fill>
    <fill>
      <patternFill patternType="solid">
        <fgColor rgb="FFFFFF00"/>
        <bgColor rgb="FFFFFF00"/>
      </patternFill>
    </fill>
    <fill>
      <patternFill patternType="solid">
        <fgColor rgb="FFD8ECF6"/>
        <bgColor rgb="FFD8ECF6"/>
      </patternFill>
    </fill>
    <fill>
      <patternFill patternType="solid">
        <fgColor rgb="FFDFF0D8"/>
        <bgColor rgb="FFDFF0D8"/>
      </patternFill>
    </fill>
    <fill>
      <patternFill patternType="solid">
        <fgColor rgb="FFD6D6D6"/>
        <bgColor rgb="FFD6D6D6"/>
      </patternFill>
    </fill>
    <fill>
      <patternFill patternType="solid">
        <fgColor rgb="FFEFEFEF"/>
        <bgColor rgb="FFEFEFEF"/>
      </patternFill>
    </fill>
    <fill>
      <patternFill patternType="solid">
        <fgColor rgb="FFF7F3DF"/>
        <bgColor rgb="FFF7F3DF"/>
      </patternFill>
    </fill>
    <fill>
      <patternFill patternType="solid">
        <fgColor rgb="FFDAFEDB"/>
        <bgColor rgb="FFDAFEDB"/>
      </patternFill>
    </fill>
    <fill>
      <patternFill patternType="solid">
        <fgColor rgb="FFDFDFDF"/>
        <bgColor rgb="FFDFDFDF"/>
      </patternFill>
    </fill>
    <fill>
      <patternFill patternType="solid">
        <fgColor rgb="FFA5A5A5"/>
        <bgColor rgb="FF999999"/>
      </patternFill>
    </fill>
    <fill>
      <patternFill patternType="solid">
        <fgColor rgb="FFFFFFFF"/>
        <bgColor rgb="FFF7F3D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1">
    <border>
      <left/>
      <right/>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CCCCCC"/>
      </left>
      <right style="thin">
        <color rgb="FFCCCCCC"/>
      </right>
      <top style="thin">
        <color rgb="FFCCCCCC"/>
      </top>
      <bottom style="thin">
        <color rgb="FFCCCCCC"/>
      </bottom>
      <diagonal/>
    </border>
    <border>
      <left style="thin">
        <color auto="1"/>
      </left>
      <right style="thin">
        <color auto="1"/>
      </right>
      <top style="thin">
        <color auto="1"/>
      </top>
      <bottom style="thin">
        <color auto="1"/>
      </bottom>
      <diagonal/>
    </border>
    <border>
      <left style="medium">
        <color rgb="FF000000"/>
      </left>
      <right style="thin">
        <color rgb="FF000000"/>
      </right>
      <top/>
      <bottom/>
      <diagonal/>
    </border>
    <border>
      <left/>
      <right style="medium">
        <color rgb="FF000000"/>
      </right>
      <top/>
      <bottom style="thin">
        <color rgb="FF000000"/>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right style="medium">
        <color rgb="FF000000"/>
      </right>
      <top style="thin">
        <color rgb="FF000000"/>
      </top>
      <bottom style="thin">
        <color rgb="FF000000"/>
      </bottom>
      <diagonal/>
    </border>
    <border>
      <left style="thin">
        <color rgb="FF000000"/>
      </left>
      <right/>
      <top style="medium">
        <color rgb="FF000000"/>
      </top>
      <bottom style="thin">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thin">
        <color rgb="FF000000"/>
      </top>
      <bottom style="thick">
        <color rgb="FF000000"/>
      </bottom>
      <diagonal/>
    </border>
    <border>
      <left/>
      <right/>
      <top style="thin">
        <color rgb="FF000000"/>
      </top>
      <bottom style="thick">
        <color rgb="FF000000"/>
      </bottom>
      <diagonal/>
    </border>
    <border>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medium">
        <color rgb="FF000000"/>
      </right>
      <top style="medium">
        <color rgb="FF000000"/>
      </top>
      <bottom/>
      <diagonal/>
    </border>
    <border>
      <left/>
      <right style="medium">
        <color rgb="FF000000"/>
      </right>
      <top style="thin">
        <color rgb="FF000000"/>
      </top>
      <bottom style="medium">
        <color rgb="FF000000"/>
      </bottom>
      <diagonal/>
    </border>
    <border>
      <left/>
      <right style="thin">
        <color rgb="FF000000"/>
      </right>
      <top/>
      <bottom style="medium">
        <color rgb="FF000000"/>
      </bottom>
      <diagonal/>
    </border>
    <border>
      <left/>
      <right/>
      <top style="thick">
        <color rgb="FF000000"/>
      </top>
      <bottom/>
      <diagonal/>
    </border>
    <border>
      <left style="thin">
        <color rgb="FF000000"/>
      </left>
      <right/>
      <top/>
      <bottom style="medium">
        <color rgb="FF000000"/>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top style="thin">
        <color auto="1"/>
      </top>
      <bottom/>
      <diagonal/>
    </border>
    <border>
      <left style="thin">
        <color auto="1"/>
      </left>
      <right style="thin">
        <color rgb="FF000000"/>
      </right>
      <top/>
      <bottom style="thin">
        <color auto="1"/>
      </bottom>
      <diagonal/>
    </border>
    <border>
      <left style="thin">
        <color rgb="FF000000"/>
      </left>
      <right style="thin">
        <color rgb="FF000000"/>
      </right>
      <top/>
      <bottom style="thin">
        <color auto="1"/>
      </bottom>
      <diagonal/>
    </border>
    <border>
      <left style="thin">
        <color rgb="FF000000"/>
      </left>
      <right style="thin">
        <color rgb="FF000000"/>
      </right>
      <top style="thin">
        <color rgb="FF000000"/>
      </top>
      <bottom style="thin">
        <color auto="1"/>
      </bottom>
      <diagonal/>
    </border>
    <border>
      <left style="thin">
        <color rgb="FF000000"/>
      </left>
      <right/>
      <top style="thin">
        <color rgb="FF000000"/>
      </top>
      <bottom style="thin">
        <color auto="1"/>
      </bottom>
      <diagonal/>
    </border>
    <border>
      <left/>
      <right style="thin">
        <color rgb="FF000000"/>
      </right>
      <top style="thin">
        <color auto="1"/>
      </top>
      <bottom/>
      <diagonal/>
    </border>
    <border>
      <left/>
      <right style="thin">
        <color rgb="FF000000"/>
      </right>
      <top style="thin">
        <color rgb="FF000000"/>
      </top>
      <bottom style="thin">
        <color auto="1"/>
      </bottom>
      <diagonal/>
    </border>
    <border>
      <left style="thin">
        <color rgb="FF000000"/>
      </left>
      <right style="thin">
        <color auto="1"/>
      </right>
      <top style="thin">
        <color auto="1"/>
      </top>
      <bottom/>
      <diagonal/>
    </border>
    <border>
      <left style="thin">
        <color rgb="FF000000"/>
      </left>
      <right style="thin">
        <color auto="1"/>
      </right>
      <top/>
      <bottom style="thin">
        <color auto="1"/>
      </bottom>
      <diagonal/>
    </border>
    <border>
      <left style="thin">
        <color rgb="FFCCCCCC"/>
      </left>
      <right/>
      <top style="thin">
        <color rgb="FFCCCCCC"/>
      </top>
      <bottom style="thin">
        <color rgb="FFCCCCCC"/>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double">
        <color auto="1"/>
      </bottom>
      <diagonal/>
    </border>
    <border>
      <left/>
      <right style="double">
        <color auto="1"/>
      </right>
      <top style="double">
        <color auto="1"/>
      </top>
      <bottom style="thin">
        <color auto="1"/>
      </bottom>
      <diagonal/>
    </border>
    <border>
      <left/>
      <right style="double">
        <color auto="1"/>
      </right>
      <top style="thin">
        <color auto="1"/>
      </top>
      <bottom style="double">
        <color auto="1"/>
      </bottom>
      <diagonal/>
    </border>
    <border>
      <left/>
      <right style="thin">
        <color rgb="FF000000"/>
      </right>
      <top style="medium">
        <color rgb="FF000000"/>
      </top>
      <bottom style="medium">
        <color rgb="FF000000"/>
      </bottom>
      <diagonal/>
    </border>
    <border>
      <left/>
      <right style="thin">
        <color rgb="FF000000"/>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8" fillId="0" borderId="0" applyFont="0" applyFill="0" applyBorder="0" applyAlignment="0" applyProtection="0">
      <alignment vertical="center"/>
    </xf>
    <xf numFmtId="179" fontId="38"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17" borderId="83"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84" applyNumberFormat="0" applyFill="0" applyAlignment="0" applyProtection="0">
      <alignment vertical="center"/>
    </xf>
    <xf numFmtId="0" fontId="45" fillId="0" borderId="84" applyNumberFormat="0" applyFill="0" applyAlignment="0" applyProtection="0">
      <alignment vertical="center"/>
    </xf>
    <xf numFmtId="0" fontId="46" fillId="0" borderId="85" applyNumberFormat="0" applyFill="0" applyAlignment="0" applyProtection="0">
      <alignment vertical="center"/>
    </xf>
    <xf numFmtId="0" fontId="46" fillId="0" borderId="0" applyNumberFormat="0" applyFill="0" applyBorder="0" applyAlignment="0" applyProtection="0">
      <alignment vertical="center"/>
    </xf>
    <xf numFmtId="0" fontId="47" fillId="18" borderId="86" applyNumberFormat="0" applyAlignment="0" applyProtection="0">
      <alignment vertical="center"/>
    </xf>
    <xf numFmtId="0" fontId="48" fillId="19" borderId="87" applyNumberFormat="0" applyAlignment="0" applyProtection="0">
      <alignment vertical="center"/>
    </xf>
    <xf numFmtId="0" fontId="49" fillId="19" borderId="86" applyNumberFormat="0" applyAlignment="0" applyProtection="0">
      <alignment vertical="center"/>
    </xf>
    <xf numFmtId="0" fontId="50" fillId="20" borderId="88" applyNumberFormat="0" applyAlignment="0" applyProtection="0">
      <alignment vertical="center"/>
    </xf>
    <xf numFmtId="0" fontId="51" fillId="0" borderId="89" applyNumberFormat="0" applyFill="0" applyAlignment="0" applyProtection="0">
      <alignment vertical="center"/>
    </xf>
    <xf numFmtId="0" fontId="52" fillId="0" borderId="90" applyNumberFormat="0" applyFill="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6" fillId="27" borderId="0" applyNumberFormat="0" applyBorder="0" applyAlignment="0" applyProtection="0">
      <alignment vertical="center"/>
    </xf>
    <xf numFmtId="0" fontId="56"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6" fillId="35" borderId="0" applyNumberFormat="0" applyBorder="0" applyAlignment="0" applyProtection="0">
      <alignment vertical="center"/>
    </xf>
    <xf numFmtId="0" fontId="56" fillId="36" borderId="0" applyNumberFormat="0" applyBorder="0" applyAlignment="0" applyProtection="0">
      <alignment vertical="center"/>
    </xf>
    <xf numFmtId="0" fontId="57" fillId="37" borderId="0" applyNumberFormat="0" applyBorder="0" applyAlignment="0" applyProtection="0">
      <alignment vertical="center"/>
    </xf>
    <xf numFmtId="0" fontId="57" fillId="38" borderId="0" applyNumberFormat="0" applyBorder="0" applyAlignment="0" applyProtection="0">
      <alignment vertical="center"/>
    </xf>
    <xf numFmtId="0" fontId="56" fillId="39" borderId="0" applyNumberFormat="0" applyBorder="0" applyAlignment="0" applyProtection="0">
      <alignment vertical="center"/>
    </xf>
    <xf numFmtId="0" fontId="56" fillId="40" borderId="0" applyNumberFormat="0" applyBorder="0" applyAlignment="0" applyProtection="0">
      <alignment vertical="center"/>
    </xf>
    <xf numFmtId="0" fontId="57" fillId="41" borderId="0" applyNumberFormat="0" applyBorder="0" applyAlignment="0" applyProtection="0">
      <alignment vertical="center"/>
    </xf>
    <xf numFmtId="0" fontId="57" fillId="42" borderId="0" applyNumberFormat="0" applyBorder="0" applyAlignment="0" applyProtection="0">
      <alignment vertical="center"/>
    </xf>
    <xf numFmtId="0" fontId="56" fillId="43" borderId="0" applyNumberFormat="0" applyBorder="0" applyAlignment="0" applyProtection="0">
      <alignment vertical="center"/>
    </xf>
    <xf numFmtId="0" fontId="56" fillId="44" borderId="0" applyNumberFormat="0" applyBorder="0" applyAlignment="0" applyProtection="0">
      <alignment vertical="center"/>
    </xf>
    <xf numFmtId="0" fontId="57" fillId="45" borderId="0" applyNumberFormat="0" applyBorder="0" applyAlignment="0" applyProtection="0">
      <alignment vertical="center"/>
    </xf>
    <xf numFmtId="0" fontId="57" fillId="46" borderId="0" applyNumberFormat="0" applyBorder="0" applyAlignment="0" applyProtection="0">
      <alignment vertical="center"/>
    </xf>
    <xf numFmtId="0" fontId="56" fillId="47" borderId="0" applyNumberFormat="0" applyBorder="0" applyAlignment="0" applyProtection="0">
      <alignment vertical="center"/>
    </xf>
    <xf numFmtId="0" fontId="58" fillId="0" borderId="0"/>
    <xf numFmtId="0" fontId="0" fillId="0" borderId="0"/>
  </cellStyleXfs>
  <cellXfs count="610">
    <xf numFmtId="0" fontId="0" fillId="0" borderId="0" xfId="0"/>
    <xf numFmtId="0" fontId="0" fillId="0" borderId="0" xfId="50"/>
    <xf numFmtId="0" fontId="0" fillId="0" borderId="0" xfId="50" applyAlignment="1">
      <alignment wrapText="1"/>
    </xf>
    <xf numFmtId="0" fontId="1" fillId="0" borderId="1" xfId="50" applyFont="1" applyBorder="1" applyAlignment="1">
      <alignment horizontal="center" vertical="center"/>
    </xf>
    <xf numFmtId="0" fontId="2" fillId="0" borderId="2" xfId="50" applyFont="1" applyBorder="1"/>
    <xf numFmtId="0" fontId="2" fillId="0" borderId="3" xfId="50" applyFont="1" applyBorder="1"/>
    <xf numFmtId="0" fontId="2" fillId="0" borderId="4" xfId="50" applyFont="1" applyBorder="1"/>
    <xf numFmtId="0" fontId="2" fillId="0" borderId="5" xfId="50" applyFont="1" applyBorder="1"/>
    <xf numFmtId="180" fontId="3" fillId="2" borderId="6" xfId="50" applyNumberFormat="1" applyFont="1" applyFill="1" applyBorder="1" applyAlignment="1">
      <alignment horizontal="center" vertical="center"/>
    </xf>
    <xf numFmtId="0" fontId="2" fillId="0" borderId="7" xfId="50" applyFont="1" applyBorder="1"/>
    <xf numFmtId="180" fontId="3" fillId="0" borderId="8" xfId="50" applyNumberFormat="1" applyFont="1" applyBorder="1" applyAlignment="1">
      <alignment horizontal="left" vertical="center"/>
    </xf>
    <xf numFmtId="0" fontId="2" fillId="0" borderId="9" xfId="50" applyFont="1" applyBorder="1"/>
    <xf numFmtId="180" fontId="3" fillId="0" borderId="10" xfId="50" applyNumberFormat="1" applyFont="1" applyBorder="1" applyAlignment="1">
      <alignment horizontal="left" vertical="center"/>
    </xf>
    <xf numFmtId="0" fontId="2" fillId="0" borderId="11" xfId="50" applyFont="1" applyBorder="1"/>
    <xf numFmtId="0" fontId="2" fillId="0" borderId="12" xfId="50" applyFont="1" applyBorder="1"/>
    <xf numFmtId="180" fontId="3" fillId="0" borderId="11" xfId="50" applyNumberFormat="1" applyFont="1" applyBorder="1" applyAlignment="1">
      <alignment horizontal="left" vertical="center"/>
    </xf>
    <xf numFmtId="180" fontId="3" fillId="0" borderId="13" xfId="50" applyNumberFormat="1" applyFont="1" applyBorder="1" applyAlignment="1">
      <alignment horizontal="left" vertical="center"/>
    </xf>
    <xf numFmtId="0" fontId="2" fillId="0" borderId="14" xfId="50" applyFont="1" applyBorder="1"/>
    <xf numFmtId="180" fontId="3" fillId="0" borderId="15" xfId="50" applyNumberFormat="1" applyFont="1" applyBorder="1" applyAlignment="1">
      <alignment horizontal="left" vertical="center"/>
    </xf>
    <xf numFmtId="0" fontId="2" fillId="0" borderId="16" xfId="50" applyFont="1" applyBorder="1"/>
    <xf numFmtId="0" fontId="2" fillId="0" borderId="17" xfId="50" applyFont="1" applyBorder="1"/>
    <xf numFmtId="180" fontId="3" fillId="0" borderId="16" xfId="50" applyNumberFormat="1" applyFont="1" applyBorder="1" applyAlignment="1">
      <alignment horizontal="left" vertical="center"/>
    </xf>
    <xf numFmtId="180" fontId="3" fillId="3" borderId="18" xfId="50" applyNumberFormat="1" applyFont="1" applyFill="1" applyBorder="1" applyAlignment="1">
      <alignment horizontal="center" vertical="center"/>
    </xf>
    <xf numFmtId="180" fontId="3" fillId="0" borderId="19" xfId="50" applyNumberFormat="1" applyFont="1" applyBorder="1" applyAlignment="1">
      <alignment horizontal="left" vertical="center"/>
    </xf>
    <xf numFmtId="0" fontId="2" fillId="0" borderId="20" xfId="50" applyFont="1" applyBorder="1"/>
    <xf numFmtId="10" fontId="1" fillId="0" borderId="21" xfId="50" applyNumberFormat="1" applyFont="1" applyBorder="1" applyAlignment="1">
      <alignment horizontal="center" vertical="center"/>
    </xf>
    <xf numFmtId="10" fontId="4" fillId="0" borderId="22" xfId="50" applyNumberFormat="1" applyFont="1" applyBorder="1" applyAlignment="1">
      <alignment horizontal="center" vertical="center"/>
    </xf>
    <xf numFmtId="49" fontId="1" fillId="0" borderId="22" xfId="50" applyNumberFormat="1" applyFont="1" applyBorder="1" applyAlignment="1">
      <alignment horizontal="center" vertical="center"/>
    </xf>
    <xf numFmtId="181" fontId="1" fillId="0" borderId="22" xfId="50" applyNumberFormat="1" applyFont="1" applyBorder="1" applyAlignment="1">
      <alignment horizontal="center" vertical="center"/>
    </xf>
    <xf numFmtId="0" fontId="3" fillId="0" borderId="23" xfId="50" applyFont="1" applyBorder="1" applyAlignment="1">
      <alignment horizontal="center" vertical="center"/>
    </xf>
    <xf numFmtId="180" fontId="3" fillId="0" borderId="24" xfId="50" applyNumberFormat="1" applyFont="1" applyBorder="1" applyAlignment="1">
      <alignment horizontal="center" vertical="center"/>
    </xf>
    <xf numFmtId="180" fontId="3" fillId="0" borderId="24" xfId="50" applyNumberFormat="1" applyFont="1" applyBorder="1" applyAlignment="1">
      <alignment horizontal="center" vertical="center" wrapText="1"/>
    </xf>
    <xf numFmtId="180" fontId="3" fillId="0" borderId="25" xfId="50" applyNumberFormat="1" applyFont="1" applyBorder="1" applyAlignment="1">
      <alignment horizontal="center" vertical="center"/>
    </xf>
    <xf numFmtId="0" fontId="1" fillId="0" borderId="26" xfId="50" applyFont="1" applyBorder="1" applyAlignment="1">
      <alignment horizontal="center" vertical="center"/>
    </xf>
    <xf numFmtId="49" fontId="1" fillId="0" borderId="26" xfId="50" applyNumberFormat="1" applyFont="1" applyBorder="1" applyAlignment="1">
      <alignment horizontal="center" vertical="center"/>
    </xf>
    <xf numFmtId="180" fontId="4" fillId="0" borderId="0" xfId="50" applyNumberFormat="1" applyFont="1" applyAlignment="1">
      <alignment vertical="center" wrapText="1"/>
    </xf>
    <xf numFmtId="180" fontId="1" fillId="0" borderId="26" xfId="50" applyNumberFormat="1" applyFont="1" applyBorder="1" applyAlignment="1">
      <alignment horizontal="center" vertical="center"/>
    </xf>
    <xf numFmtId="2" fontId="1" fillId="0" borderId="26" xfId="50" applyNumberFormat="1" applyFont="1" applyBorder="1" applyAlignment="1">
      <alignment horizontal="center" vertical="center"/>
    </xf>
    <xf numFmtId="180" fontId="1" fillId="0" borderId="27" xfId="50" applyNumberFormat="1" applyFont="1" applyBorder="1" applyAlignment="1">
      <alignment horizontal="center" vertical="center" wrapText="1"/>
    </xf>
    <xf numFmtId="0" fontId="3" fillId="2" borderId="26" xfId="50" applyFont="1" applyFill="1" applyBorder="1" applyAlignment="1">
      <alignment horizontal="left" vertical="center"/>
    </xf>
    <xf numFmtId="49" fontId="1" fillId="2" borderId="26" xfId="50" applyNumberFormat="1" applyFont="1" applyFill="1" applyBorder="1" applyAlignment="1">
      <alignment horizontal="center" vertical="center"/>
    </xf>
    <xf numFmtId="180" fontId="3" fillId="2" borderId="26" xfId="50" applyNumberFormat="1" applyFont="1" applyFill="1" applyBorder="1" applyAlignment="1">
      <alignment horizontal="left" vertical="center" wrapText="1"/>
    </xf>
    <xf numFmtId="180" fontId="1" fillId="2" borderId="26" xfId="50" applyNumberFormat="1" applyFont="1" applyFill="1" applyBorder="1" applyAlignment="1">
      <alignment horizontal="center" vertical="center"/>
    </xf>
    <xf numFmtId="2" fontId="1" fillId="2" borderId="26" xfId="50" applyNumberFormat="1" applyFont="1" applyFill="1" applyBorder="1" applyAlignment="1">
      <alignment horizontal="center" vertical="center"/>
    </xf>
    <xf numFmtId="180" fontId="1" fillId="2" borderId="28" xfId="50" applyNumberFormat="1" applyFont="1" applyFill="1" applyBorder="1" applyAlignment="1">
      <alignment vertical="center"/>
    </xf>
    <xf numFmtId="180" fontId="1" fillId="2" borderId="14" xfId="50" applyNumberFormat="1" applyFont="1" applyFill="1" applyBorder="1" applyAlignment="1">
      <alignment vertical="center"/>
    </xf>
    <xf numFmtId="180" fontId="1" fillId="0" borderId="26" xfId="50" applyNumberFormat="1" applyFont="1" applyBorder="1" applyAlignment="1">
      <alignment horizontal="left" vertical="center" wrapText="1"/>
    </xf>
    <xf numFmtId="180" fontId="1" fillId="0" borderId="27" xfId="50" applyNumberFormat="1" applyFont="1" applyBorder="1" applyAlignment="1">
      <alignment vertical="center" wrapText="1"/>
    </xf>
    <xf numFmtId="0" fontId="5" fillId="0" borderId="9" xfId="50" applyFont="1" applyBorder="1"/>
    <xf numFmtId="180" fontId="1" fillId="0" borderId="29" xfId="50" applyNumberFormat="1" applyFont="1" applyBorder="1" applyAlignment="1">
      <alignment horizontal="left" vertical="center" wrapText="1"/>
    </xf>
    <xf numFmtId="0" fontId="5" fillId="0" borderId="16" xfId="50" applyFont="1" applyBorder="1" applyAlignment="1">
      <alignment horizontal="center"/>
    </xf>
    <xf numFmtId="0" fontId="1" fillId="0" borderId="26" xfId="50" applyFont="1" applyFill="1" applyBorder="1" applyAlignment="1">
      <alignment horizontal="center" vertical="center"/>
    </xf>
    <xf numFmtId="2" fontId="1" fillId="0" borderId="28" xfId="50" applyNumberFormat="1" applyFont="1" applyBorder="1" applyAlignment="1">
      <alignment horizontal="center" vertical="center"/>
    </xf>
    <xf numFmtId="2" fontId="1" fillId="0" borderId="30" xfId="50" applyNumberFormat="1" applyFont="1" applyBorder="1" applyAlignment="1">
      <alignment horizontal="center" vertical="center"/>
    </xf>
    <xf numFmtId="2" fontId="1" fillId="0" borderId="31" xfId="50" applyNumberFormat="1" applyFont="1" applyBorder="1" applyAlignment="1">
      <alignment horizontal="center" vertical="center"/>
    </xf>
    <xf numFmtId="0" fontId="0" fillId="0" borderId="31" xfId="50" applyBorder="1"/>
    <xf numFmtId="180" fontId="1" fillId="2" borderId="27" xfId="50" applyNumberFormat="1" applyFont="1" applyFill="1" applyBorder="1" applyAlignment="1">
      <alignment vertical="center" wrapText="1"/>
    </xf>
    <xf numFmtId="180" fontId="1" fillId="2" borderId="9" xfId="50" applyNumberFormat="1" applyFont="1" applyFill="1" applyBorder="1" applyAlignment="1">
      <alignment vertical="center" wrapText="1"/>
    </xf>
    <xf numFmtId="0" fontId="1" fillId="0" borderId="26" xfId="50" applyFont="1" applyBorder="1" applyAlignment="1">
      <alignment horizontal="left" vertical="center" wrapText="1"/>
    </xf>
    <xf numFmtId="180" fontId="1" fillId="0" borderId="28" xfId="50" applyNumberFormat="1" applyFont="1" applyBorder="1" applyAlignment="1">
      <alignment vertical="center"/>
    </xf>
    <xf numFmtId="180" fontId="1" fillId="0" borderId="14" xfId="50" applyNumberFormat="1" applyFont="1" applyBorder="1" applyAlignment="1">
      <alignment vertical="center"/>
    </xf>
    <xf numFmtId="180" fontId="1" fillId="0" borderId="27" xfId="50" applyNumberFormat="1" applyFont="1" applyBorder="1" applyAlignment="1">
      <alignment horizontal="left" vertical="center" wrapText="1"/>
    </xf>
    <xf numFmtId="0" fontId="5" fillId="0" borderId="9" xfId="50" applyFont="1" applyBorder="1" applyAlignment="1">
      <alignment horizontal="center"/>
    </xf>
    <xf numFmtId="180" fontId="1" fillId="0" borderId="28" xfId="50" applyNumberFormat="1" applyFont="1" applyBorder="1" applyAlignment="1">
      <alignment horizontal="left" vertical="center"/>
    </xf>
    <xf numFmtId="180" fontId="1" fillId="0" borderId="14" xfId="50" applyNumberFormat="1" applyFont="1" applyBorder="1" applyAlignment="1">
      <alignment horizontal="left" vertical="center"/>
    </xf>
    <xf numFmtId="0" fontId="1" fillId="0" borderId="26" xfId="50" applyFont="1" applyFill="1" applyBorder="1" applyAlignment="1">
      <alignment horizontal="center" vertical="center" wrapText="1"/>
    </xf>
    <xf numFmtId="180" fontId="1" fillId="2" borderId="28" xfId="50" applyNumberFormat="1" applyFont="1" applyFill="1" applyBorder="1" applyAlignment="1">
      <alignment vertical="center" wrapText="1"/>
    </xf>
    <xf numFmtId="180" fontId="1" fillId="2" borderId="14" xfId="50" applyNumberFormat="1" applyFont="1" applyFill="1" applyBorder="1" applyAlignment="1">
      <alignment vertical="center" wrapText="1"/>
    </xf>
    <xf numFmtId="0" fontId="5" fillId="0" borderId="9" xfId="50" applyFont="1" applyBorder="1" applyAlignment="1">
      <alignment horizontal="center" vertical="center"/>
    </xf>
    <xf numFmtId="180" fontId="1" fillId="0" borderId="26" xfId="50" applyNumberFormat="1" applyFont="1" applyFill="1" applyBorder="1" applyAlignment="1">
      <alignment horizontal="center" vertical="center" wrapText="1"/>
    </xf>
    <xf numFmtId="0" fontId="3" fillId="4" borderId="26" xfId="50" applyFont="1" applyFill="1" applyBorder="1" applyAlignment="1">
      <alignment horizontal="left" vertical="center" wrapText="1"/>
    </xf>
    <xf numFmtId="2" fontId="1" fillId="4" borderId="26" xfId="50" applyNumberFormat="1" applyFont="1" applyFill="1" applyBorder="1" applyAlignment="1">
      <alignment horizontal="center" vertical="center"/>
    </xf>
    <xf numFmtId="180" fontId="1" fillId="4" borderId="27" xfId="50" applyNumberFormat="1" applyFont="1" applyFill="1" applyBorder="1" applyAlignment="1">
      <alignment vertical="center" wrapText="1"/>
    </xf>
    <xf numFmtId="0" fontId="5" fillId="4" borderId="9" xfId="50" applyFont="1" applyFill="1" applyBorder="1" applyAlignment="1">
      <alignment horizontal="center" vertical="center"/>
    </xf>
    <xf numFmtId="0" fontId="5" fillId="4" borderId="9" xfId="50" applyFont="1" applyFill="1" applyBorder="1"/>
    <xf numFmtId="180" fontId="1" fillId="0" borderId="27" xfId="50" applyNumberFormat="1" applyFont="1" applyBorder="1" applyAlignment="1">
      <alignment vertical="center"/>
    </xf>
    <xf numFmtId="49" fontId="1" fillId="0" borderId="26" xfId="50" applyNumberFormat="1" applyFont="1" applyFill="1" applyBorder="1" applyAlignment="1">
      <alignment horizontal="center" vertical="center"/>
    </xf>
    <xf numFmtId="0" fontId="1" fillId="0" borderId="26" xfId="50" applyFont="1" applyFill="1" applyBorder="1" applyAlignment="1">
      <alignment horizontal="left" vertical="center" wrapText="1"/>
    </xf>
    <xf numFmtId="0" fontId="2" fillId="0" borderId="32" xfId="50" applyFont="1" applyBorder="1"/>
    <xf numFmtId="0" fontId="1" fillId="0" borderId="0" xfId="50" applyFont="1" applyAlignment="1">
      <alignment vertical="center"/>
    </xf>
    <xf numFmtId="0" fontId="2" fillId="0" borderId="33" xfId="50" applyFont="1" applyBorder="1"/>
    <xf numFmtId="0" fontId="2" fillId="0" borderId="34" xfId="50" applyFont="1" applyBorder="1"/>
    <xf numFmtId="0" fontId="2" fillId="0" borderId="35" xfId="50" applyFont="1" applyBorder="1"/>
    <xf numFmtId="0" fontId="2" fillId="0" borderId="36" xfId="50" applyFont="1" applyBorder="1"/>
    <xf numFmtId="0" fontId="2" fillId="0" borderId="37" xfId="50" applyFont="1" applyBorder="1"/>
    <xf numFmtId="180" fontId="4" fillId="0" borderId="34" xfId="0" applyNumberFormat="1" applyFont="1" applyBorder="1" applyAlignment="1">
      <alignment horizontal="center" vertical="center"/>
    </xf>
    <xf numFmtId="0" fontId="2" fillId="0" borderId="38" xfId="50" applyFont="1" applyBorder="1"/>
    <xf numFmtId="180" fontId="1" fillId="2" borderId="39" xfId="50" applyNumberFormat="1" applyFont="1" applyFill="1" applyBorder="1" applyAlignment="1">
      <alignment vertical="center"/>
    </xf>
    <xf numFmtId="0" fontId="6" fillId="0" borderId="38" xfId="50" applyFont="1" applyBorder="1" applyAlignment="1">
      <alignment horizontal="center" vertical="center"/>
    </xf>
    <xf numFmtId="0" fontId="6" fillId="0" borderId="40" xfId="50" applyFont="1" applyBorder="1" applyAlignment="1">
      <alignment horizontal="center" vertical="center"/>
    </xf>
    <xf numFmtId="0" fontId="6" fillId="0" borderId="41" xfId="50" applyFont="1" applyBorder="1" applyAlignment="1">
      <alignment horizontal="center" vertical="center"/>
    </xf>
    <xf numFmtId="0" fontId="6" fillId="0" borderId="9" xfId="50" applyFont="1" applyBorder="1" applyAlignment="1">
      <alignment horizontal="center" vertical="center"/>
    </xf>
    <xf numFmtId="0" fontId="5" fillId="0" borderId="38" xfId="50" applyFont="1" applyBorder="1"/>
    <xf numFmtId="0" fontId="5" fillId="4" borderId="39" xfId="50" applyFont="1" applyFill="1" applyBorder="1"/>
    <xf numFmtId="0" fontId="5" fillId="4" borderId="38" xfId="50" applyFont="1" applyFill="1" applyBorder="1"/>
    <xf numFmtId="180" fontId="1" fillId="2" borderId="39" xfId="50" applyNumberFormat="1" applyFont="1" applyFill="1" applyBorder="1" applyAlignment="1">
      <alignment vertical="center" wrapText="1"/>
    </xf>
    <xf numFmtId="0" fontId="5" fillId="0" borderId="0" xfId="50" applyFont="1" applyAlignment="1">
      <alignment vertical="center"/>
    </xf>
    <xf numFmtId="0" fontId="7" fillId="0" borderId="0" xfId="50" applyFont="1" applyAlignment="1">
      <alignment vertical="center"/>
    </xf>
    <xf numFmtId="180" fontId="1" fillId="0" borderId="27" xfId="50" applyNumberFormat="1" applyFont="1" applyBorder="1" applyAlignment="1">
      <alignment horizontal="left" vertical="top" wrapText="1"/>
    </xf>
    <xf numFmtId="0" fontId="6" fillId="0" borderId="14" xfId="50" applyFont="1" applyBorder="1" applyAlignment="1">
      <alignment horizontal="left" vertical="center" wrapText="1"/>
    </xf>
    <xf numFmtId="0" fontId="1" fillId="0" borderId="42" xfId="50" applyFont="1" applyBorder="1" applyAlignment="1">
      <alignment horizontal="center" vertical="center"/>
    </xf>
    <xf numFmtId="49" fontId="1" fillId="0" borderId="42" xfId="50" applyNumberFormat="1" applyFont="1" applyBorder="1" applyAlignment="1">
      <alignment horizontal="center" vertical="center"/>
    </xf>
    <xf numFmtId="180" fontId="1" fillId="0" borderId="42" xfId="50" applyNumberFormat="1" applyFont="1" applyBorder="1" applyAlignment="1">
      <alignment horizontal="left" vertical="center" wrapText="1"/>
    </xf>
    <xf numFmtId="180" fontId="1" fillId="0" borderId="42" xfId="50" applyNumberFormat="1" applyFont="1" applyBorder="1" applyAlignment="1">
      <alignment horizontal="center" vertical="center"/>
    </xf>
    <xf numFmtId="2" fontId="1" fillId="0" borderId="42" xfId="50" applyNumberFormat="1" applyFont="1" applyBorder="1" applyAlignment="1">
      <alignment horizontal="center" vertical="center"/>
    </xf>
    <xf numFmtId="0" fontId="2" fillId="0" borderId="43" xfId="50" applyFont="1" applyBorder="1"/>
    <xf numFmtId="0" fontId="2" fillId="0" borderId="43" xfId="50" applyFont="1" applyBorder="1" applyAlignment="1">
      <alignment wrapText="1"/>
    </xf>
    <xf numFmtId="2" fontId="1" fillId="0" borderId="27" xfId="50" applyNumberFormat="1" applyFont="1" applyBorder="1" applyAlignment="1">
      <alignment wrapText="1"/>
    </xf>
    <xf numFmtId="2" fontId="5" fillId="0" borderId="9" xfId="50" applyNumberFormat="1" applyFont="1" applyBorder="1" applyAlignment="1">
      <alignment horizontal="center"/>
    </xf>
    <xf numFmtId="2" fontId="5" fillId="0" borderId="38" xfId="50" applyNumberFormat="1" applyFont="1" applyBorder="1" applyAlignment="1">
      <alignment horizontal="center" vertical="center"/>
    </xf>
    <xf numFmtId="0" fontId="5" fillId="0" borderId="38" xfId="50" applyFont="1" applyBorder="1" applyAlignment="1">
      <alignment horizontal="center"/>
    </xf>
    <xf numFmtId="0" fontId="5" fillId="0" borderId="9" xfId="50" applyFont="1" applyBorder="1" applyAlignment="1">
      <alignment horizontal="left"/>
    </xf>
    <xf numFmtId="0" fontId="6" fillId="0" borderId="9" xfId="50" applyFont="1" applyBorder="1"/>
    <xf numFmtId="2" fontId="5" fillId="0" borderId="9" xfId="50" applyNumberFormat="1" applyFont="1" applyBorder="1"/>
    <xf numFmtId="0" fontId="2" fillId="0" borderId="44" xfId="50" applyFont="1" applyBorder="1"/>
    <xf numFmtId="2" fontId="1" fillId="0" borderId="27" xfId="50" applyNumberFormat="1" applyFont="1" applyBorder="1" applyAlignment="1">
      <alignment horizontal="center" vertical="center" wrapText="1"/>
    </xf>
    <xf numFmtId="2" fontId="6" fillId="0" borderId="9" xfId="50" applyNumberFormat="1" applyFont="1" applyBorder="1"/>
    <xf numFmtId="0" fontId="5" fillId="0" borderId="14" xfId="50" applyFont="1" applyBorder="1" applyAlignment="1">
      <alignment horizontal="center" vertical="center"/>
    </xf>
    <xf numFmtId="0" fontId="5" fillId="0" borderId="14" xfId="50" applyFont="1" applyBorder="1" applyAlignment="1">
      <alignment horizontal="left" vertical="center" wrapText="1"/>
    </xf>
    <xf numFmtId="0" fontId="5" fillId="0" borderId="14" xfId="50" applyFont="1" applyBorder="1" applyAlignment="1">
      <alignment horizontal="center" vertical="center" wrapText="1"/>
    </xf>
    <xf numFmtId="0" fontId="5" fillId="0" borderId="9" xfId="50" applyFont="1" applyBorder="1" applyAlignment="1">
      <alignment horizontal="center" vertical="center" wrapText="1"/>
    </xf>
    <xf numFmtId="180" fontId="1" fillId="0" borderId="27" xfId="50" applyNumberFormat="1" applyFont="1" applyBorder="1" applyAlignment="1">
      <alignment horizontal="left" vertical="center"/>
    </xf>
    <xf numFmtId="1" fontId="1" fillId="0" borderId="26" xfId="50" applyNumberFormat="1" applyFont="1" applyBorder="1" applyAlignment="1">
      <alignment horizontal="center" vertical="center"/>
    </xf>
    <xf numFmtId="2" fontId="6" fillId="0" borderId="38" xfId="50" applyNumberFormat="1" applyFont="1" applyBorder="1" applyAlignment="1">
      <alignment horizontal="center"/>
    </xf>
    <xf numFmtId="0" fontId="6" fillId="0" borderId="38" xfId="50" applyFont="1" applyBorder="1" applyAlignment="1">
      <alignment horizontal="center"/>
    </xf>
    <xf numFmtId="2" fontId="6" fillId="0" borderId="38" xfId="50" applyNumberFormat="1" applyFont="1" applyBorder="1" applyAlignment="1">
      <alignment horizontal="center" vertical="center"/>
    </xf>
    <xf numFmtId="2" fontId="1" fillId="0" borderId="0" xfId="50" applyNumberFormat="1" applyFont="1" applyAlignment="1">
      <alignment vertical="center"/>
    </xf>
    <xf numFmtId="0" fontId="6" fillId="0" borderId="39" xfId="50" applyFont="1" applyBorder="1" applyAlignment="1">
      <alignment horizontal="center" vertical="center"/>
    </xf>
    <xf numFmtId="1" fontId="1" fillId="0" borderId="27" xfId="50" applyNumberFormat="1" applyFont="1" applyBorder="1" applyAlignment="1">
      <alignment horizontal="center" vertical="center" wrapText="1"/>
    </xf>
    <xf numFmtId="2" fontId="1" fillId="0" borderId="27" xfId="50" applyNumberFormat="1" applyFont="1" applyBorder="1" applyAlignment="1">
      <alignment horizontal="left" vertical="center"/>
    </xf>
    <xf numFmtId="0" fontId="5" fillId="0" borderId="14" xfId="50" applyFont="1" applyBorder="1" applyAlignment="1">
      <alignment horizontal="left" wrapText="1"/>
    </xf>
    <xf numFmtId="0" fontId="5" fillId="0" borderId="14" xfId="50" applyFont="1" applyBorder="1" applyAlignment="1">
      <alignment horizontal="center" wrapText="1"/>
    </xf>
    <xf numFmtId="49" fontId="1" fillId="0" borderId="26" xfId="50" applyNumberFormat="1" applyFont="1" applyBorder="1" applyAlignment="1">
      <alignment horizontal="center" vertical="center" wrapText="1"/>
    </xf>
    <xf numFmtId="0" fontId="1" fillId="5" borderId="26" xfId="50" applyFont="1" applyFill="1" applyBorder="1" applyAlignment="1">
      <alignment horizontal="center" vertical="center" wrapText="1"/>
    </xf>
    <xf numFmtId="0" fontId="1" fillId="5" borderId="26" xfId="50" applyFont="1" applyFill="1" applyBorder="1" applyAlignment="1">
      <alignment horizontal="left" vertical="center" wrapText="1"/>
    </xf>
    <xf numFmtId="4" fontId="1" fillId="5" borderId="26" xfId="50" applyNumberFormat="1" applyFont="1" applyFill="1" applyBorder="1" applyAlignment="1">
      <alignment horizontal="right" vertical="center" wrapText="1"/>
    </xf>
    <xf numFmtId="0" fontId="5" fillId="0" borderId="14" xfId="50" applyFont="1" applyBorder="1" applyAlignment="1">
      <alignment horizontal="center"/>
    </xf>
    <xf numFmtId="2" fontId="5" fillId="0" borderId="9" xfId="50" applyNumberFormat="1" applyFont="1" applyBorder="1" applyAlignment="1">
      <alignment horizontal="center" vertical="center"/>
    </xf>
    <xf numFmtId="0" fontId="5" fillId="0" borderId="38" xfId="50" applyFont="1" applyBorder="1" applyAlignment="1">
      <alignment horizontal="center" vertical="center"/>
    </xf>
    <xf numFmtId="2" fontId="1" fillId="0" borderId="42" xfId="50" applyNumberFormat="1" applyFont="1" applyBorder="1" applyAlignment="1">
      <alignment horizontal="center"/>
    </xf>
    <xf numFmtId="2" fontId="1" fillId="0" borderId="43" xfId="50" applyNumberFormat="1" applyFont="1" applyBorder="1" applyAlignment="1">
      <alignment vertical="center"/>
    </xf>
    <xf numFmtId="0" fontId="2" fillId="0" borderId="44" xfId="50" applyFont="1" applyBorder="1" applyAlignment="1">
      <alignment wrapText="1"/>
    </xf>
    <xf numFmtId="2" fontId="1" fillId="0" borderId="44" xfId="50" applyNumberFormat="1" applyFont="1" applyBorder="1" applyAlignment="1">
      <alignment vertical="center"/>
    </xf>
    <xf numFmtId="2" fontId="6" fillId="0" borderId="9" xfId="50" applyNumberFormat="1" applyFont="1" applyBorder="1" applyAlignment="1">
      <alignment horizontal="center"/>
    </xf>
    <xf numFmtId="2" fontId="1" fillId="0" borderId="43" xfId="50" applyNumberFormat="1" applyFont="1" applyBorder="1" applyAlignment="1">
      <alignment horizontal="center"/>
    </xf>
    <xf numFmtId="2" fontId="1" fillId="0" borderId="44" xfId="50" applyNumberFormat="1" applyFont="1" applyBorder="1" applyAlignment="1">
      <alignment horizontal="center"/>
    </xf>
    <xf numFmtId="2" fontId="1" fillId="0" borderId="42" xfId="50" applyNumberFormat="1" applyFont="1" applyBorder="1" applyAlignment="1">
      <alignment vertical="center"/>
    </xf>
    <xf numFmtId="180" fontId="1" fillId="0" borderId="27" xfId="50" applyNumberFormat="1" applyFont="1" applyBorder="1" applyAlignment="1">
      <alignment horizontal="left" wrapText="1"/>
    </xf>
    <xf numFmtId="2" fontId="5" fillId="0" borderId="38" xfId="50" applyNumberFormat="1" applyFont="1" applyBorder="1" applyAlignment="1">
      <alignment horizontal="center"/>
    </xf>
    <xf numFmtId="180" fontId="1" fillId="0" borderId="27" xfId="50" applyNumberFormat="1" applyFont="1" applyBorder="1" applyAlignment="1">
      <alignment horizontal="center" wrapText="1"/>
    </xf>
    <xf numFmtId="0" fontId="5" fillId="0" borderId="14" xfId="50" applyFont="1" applyBorder="1" applyAlignment="1">
      <alignment vertical="center"/>
    </xf>
    <xf numFmtId="2" fontId="6" fillId="0" borderId="14" xfId="50" applyNumberFormat="1" applyFont="1" applyBorder="1" applyAlignment="1">
      <alignment horizontal="center"/>
    </xf>
    <xf numFmtId="0" fontId="5" fillId="0" borderId="14" xfId="50" applyFont="1" applyBorder="1"/>
    <xf numFmtId="2" fontId="5" fillId="0" borderId="14" xfId="50" applyNumberFormat="1" applyFont="1" applyBorder="1" applyAlignment="1">
      <alignment horizontal="center" vertical="center"/>
    </xf>
    <xf numFmtId="2" fontId="5" fillId="0" borderId="14" xfId="50" applyNumberFormat="1" applyFont="1" applyBorder="1" applyAlignment="1">
      <alignment horizontal="center"/>
    </xf>
    <xf numFmtId="2" fontId="5" fillId="0" borderId="14" xfId="50" applyNumberFormat="1" applyFont="1" applyBorder="1"/>
    <xf numFmtId="2" fontId="5" fillId="0" borderId="39" xfId="50" applyNumberFormat="1" applyFont="1" applyBorder="1" applyAlignment="1">
      <alignment horizontal="center" vertical="center"/>
    </xf>
    <xf numFmtId="2" fontId="6" fillId="0" borderId="39" xfId="50" applyNumberFormat="1" applyFont="1" applyBorder="1" applyAlignment="1">
      <alignment horizontal="center" vertical="center"/>
    </xf>
    <xf numFmtId="180" fontId="1" fillId="0" borderId="42" xfId="50" applyNumberFormat="1" applyFont="1" applyBorder="1" applyAlignment="1">
      <alignment horizontal="center" vertical="center" wrapText="1"/>
    </xf>
    <xf numFmtId="49" fontId="1" fillId="0" borderId="43" xfId="50" applyNumberFormat="1" applyFont="1" applyBorder="1" applyAlignment="1">
      <alignment horizontal="center" vertical="center"/>
    </xf>
    <xf numFmtId="2" fontId="3" fillId="0" borderId="27" xfId="50" applyNumberFormat="1" applyFont="1" applyBorder="1" applyAlignment="1">
      <alignment wrapText="1"/>
    </xf>
    <xf numFmtId="0" fontId="1" fillId="0" borderId="26" xfId="50" applyFont="1" applyBorder="1" applyAlignment="1">
      <alignment horizontal="left" vertical="center"/>
    </xf>
    <xf numFmtId="0" fontId="5" fillId="0" borderId="9" xfId="50" applyFont="1" applyBorder="1" applyAlignment="1">
      <alignment vertical="center"/>
    </xf>
    <xf numFmtId="0" fontId="3" fillId="2" borderId="44" xfId="50" applyFont="1" applyFill="1" applyBorder="1" applyAlignment="1">
      <alignment horizontal="left" vertical="center"/>
    </xf>
    <xf numFmtId="49" fontId="1" fillId="2" borderId="44" xfId="50" applyNumberFormat="1" applyFont="1" applyFill="1" applyBorder="1" applyAlignment="1">
      <alignment horizontal="center" vertical="center"/>
    </xf>
    <xf numFmtId="180" fontId="3" fillId="2" borderId="44" xfId="50" applyNumberFormat="1" applyFont="1" applyFill="1" applyBorder="1" applyAlignment="1">
      <alignment horizontal="left" vertical="center" wrapText="1"/>
    </xf>
    <xf numFmtId="180" fontId="1" fillId="2" borderId="44" xfId="50" applyNumberFormat="1" applyFont="1" applyFill="1" applyBorder="1" applyAlignment="1">
      <alignment horizontal="center" vertical="center"/>
    </xf>
    <xf numFmtId="2" fontId="1" fillId="2" borderId="44" xfId="50" applyNumberFormat="1" applyFont="1" applyFill="1" applyBorder="1" applyAlignment="1">
      <alignment horizontal="center" vertical="center"/>
    </xf>
    <xf numFmtId="180" fontId="1" fillId="0" borderId="28" xfId="50" applyNumberFormat="1" applyFont="1" applyBorder="1" applyAlignment="1">
      <alignment vertical="center" wrapText="1"/>
    </xf>
    <xf numFmtId="180" fontId="1" fillId="0" borderId="28" xfId="50" applyNumberFormat="1" applyFont="1" applyBorder="1" applyAlignment="1">
      <alignment horizontal="center" vertical="center" wrapText="1"/>
    </xf>
    <xf numFmtId="0" fontId="6" fillId="0" borderId="14" xfId="50" applyFont="1" applyBorder="1" applyAlignment="1">
      <alignment horizontal="center" vertical="center"/>
    </xf>
    <xf numFmtId="180" fontId="1" fillId="0" borderId="42" xfId="50" applyNumberFormat="1" applyFont="1" applyBorder="1" applyAlignment="1">
      <alignment vertical="center" wrapText="1"/>
    </xf>
    <xf numFmtId="0" fontId="5" fillId="0" borderId="39" xfId="50" applyFont="1" applyBorder="1"/>
    <xf numFmtId="180" fontId="1" fillId="0" borderId="28" xfId="50" applyNumberFormat="1" applyFont="1" applyBorder="1" applyAlignment="1">
      <alignment horizontal="left" vertical="center" wrapText="1"/>
    </xf>
    <xf numFmtId="2" fontId="1" fillId="2" borderId="28" xfId="50" applyNumberFormat="1" applyFont="1" applyFill="1" applyBorder="1" applyAlignment="1">
      <alignment horizontal="center" vertical="center"/>
    </xf>
    <xf numFmtId="180" fontId="1" fillId="2" borderId="28" xfId="50" applyNumberFormat="1" applyFont="1" applyFill="1" applyBorder="1" applyAlignment="1">
      <alignment horizontal="center" vertical="center" wrapText="1"/>
    </xf>
    <xf numFmtId="180" fontId="1" fillId="2" borderId="14" xfId="50" applyNumberFormat="1" applyFont="1" applyFill="1" applyBorder="1" applyAlignment="1">
      <alignment horizontal="center" vertical="center" wrapText="1"/>
    </xf>
    <xf numFmtId="180" fontId="1" fillId="0" borderId="28" xfId="50" applyNumberFormat="1" applyFont="1" applyBorder="1" applyAlignment="1">
      <alignment horizontal="center" vertical="center"/>
    </xf>
    <xf numFmtId="2" fontId="1" fillId="2" borderId="27" xfId="50" applyNumberFormat="1" applyFont="1" applyFill="1" applyBorder="1" applyAlignment="1">
      <alignment horizontal="center" vertical="center"/>
    </xf>
    <xf numFmtId="180" fontId="1" fillId="2" borderId="27" xfId="50" applyNumberFormat="1" applyFont="1" applyFill="1" applyBorder="1" applyAlignment="1">
      <alignment horizontal="center" vertical="center" wrapText="1"/>
    </xf>
    <xf numFmtId="180" fontId="1" fillId="2" borderId="9" xfId="50" applyNumberFormat="1" applyFont="1" applyFill="1" applyBorder="1" applyAlignment="1">
      <alignment horizontal="center" vertical="center" wrapText="1"/>
    </xf>
    <xf numFmtId="180" fontId="1" fillId="0" borderId="45" xfId="50" applyNumberFormat="1" applyFont="1" applyBorder="1" applyAlignment="1">
      <alignment horizontal="left" vertical="center"/>
    </xf>
    <xf numFmtId="0" fontId="1" fillId="0" borderId="28" xfId="50" applyFont="1" applyBorder="1" applyAlignment="1">
      <alignment horizontal="left" vertical="center"/>
    </xf>
    <xf numFmtId="180" fontId="1" fillId="2" borderId="39" xfId="50" applyNumberFormat="1" applyFont="1" applyFill="1" applyBorder="1" applyAlignment="1">
      <alignment horizontal="center" vertical="center" wrapText="1"/>
    </xf>
    <xf numFmtId="180" fontId="1" fillId="2" borderId="38" xfId="50" applyNumberFormat="1" applyFont="1" applyFill="1" applyBorder="1" applyAlignment="1">
      <alignment horizontal="center" vertical="center" wrapText="1"/>
    </xf>
    <xf numFmtId="0" fontId="2" fillId="0" borderId="39" xfId="50" applyFont="1" applyBorder="1"/>
    <xf numFmtId="180" fontId="1" fillId="2" borderId="27" xfId="50" applyNumberFormat="1" applyFont="1" applyFill="1" applyBorder="1" applyAlignment="1">
      <alignment horizontal="left" vertical="center" wrapText="1"/>
    </xf>
    <xf numFmtId="180" fontId="1" fillId="2" borderId="9" xfId="50" applyNumberFormat="1" applyFont="1" applyFill="1" applyBorder="1" applyAlignment="1">
      <alignment horizontal="left" vertical="center" wrapText="1"/>
    </xf>
    <xf numFmtId="180" fontId="1" fillId="2" borderId="38" xfId="50" applyNumberFormat="1" applyFont="1" applyFill="1" applyBorder="1" applyAlignment="1">
      <alignment horizontal="left" vertical="center" wrapText="1"/>
    </xf>
    <xf numFmtId="4" fontId="1" fillId="5" borderId="28" xfId="50" applyNumberFormat="1" applyFont="1" applyFill="1" applyBorder="1" applyAlignment="1">
      <alignment horizontal="right" vertical="center" wrapText="1"/>
    </xf>
    <xf numFmtId="176" fontId="3" fillId="2" borderId="26" xfId="1" applyFont="1" applyFill="1" applyBorder="1" applyAlignment="1">
      <alignment horizontal="left" vertical="center" wrapText="1"/>
    </xf>
    <xf numFmtId="0" fontId="8" fillId="6" borderId="46" xfId="49" applyFont="1" applyFill="1" applyBorder="1" applyAlignment="1">
      <alignment horizontal="center" vertical="top" wrapText="1"/>
    </xf>
    <xf numFmtId="0" fontId="8" fillId="6" borderId="46" xfId="49" applyFont="1" applyFill="1" applyBorder="1" applyAlignment="1">
      <alignment horizontal="right" vertical="top" wrapText="1"/>
    </xf>
    <xf numFmtId="0" fontId="5" fillId="0" borderId="16" xfId="50" applyFont="1" applyBorder="1" applyAlignment="1">
      <alignment horizontal="left" vertical="center"/>
    </xf>
    <xf numFmtId="0" fontId="1" fillId="5" borderId="28" xfId="50" applyFont="1" applyFill="1" applyBorder="1" applyAlignment="1">
      <alignment horizontal="center" vertical="center" wrapText="1"/>
    </xf>
    <xf numFmtId="2" fontId="1" fillId="0" borderId="47" xfId="50" applyNumberFormat="1" applyFont="1" applyBorder="1" applyAlignment="1">
      <alignment horizontal="center" vertical="center"/>
    </xf>
    <xf numFmtId="0" fontId="1" fillId="0" borderId="47" xfId="50" applyFont="1" applyBorder="1" applyAlignment="1">
      <alignment vertical="center"/>
    </xf>
    <xf numFmtId="0" fontId="1" fillId="0" borderId="0" xfId="50" applyFont="1" applyAlignment="1">
      <alignment vertical="center" wrapText="1"/>
    </xf>
    <xf numFmtId="2" fontId="1" fillId="0" borderId="44" xfId="50" applyNumberFormat="1" applyFont="1" applyBorder="1" applyAlignment="1">
      <alignment horizontal="center" vertical="center"/>
    </xf>
    <xf numFmtId="0" fontId="5" fillId="0" borderId="0" xfId="50" applyFont="1" applyAlignment="1">
      <alignment vertical="center" wrapText="1"/>
    </xf>
    <xf numFmtId="2" fontId="6" fillId="0" borderId="40" xfId="50" applyNumberFormat="1" applyFont="1" applyBorder="1" applyAlignment="1">
      <alignment horizontal="left" vertical="center"/>
    </xf>
    <xf numFmtId="0" fontId="1" fillId="0" borderId="1" xfId="0" applyFont="1" applyBorder="1" applyAlignment="1">
      <alignment horizontal="left" vertical="center"/>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180" fontId="3" fillId="3" borderId="6" xfId="0" applyNumberFormat="1" applyFont="1" applyFill="1" applyBorder="1" applyAlignment="1">
      <alignment horizontal="center" vertical="center"/>
    </xf>
    <xf numFmtId="0" fontId="2" fillId="0" borderId="7" xfId="0" applyFont="1" applyBorder="1"/>
    <xf numFmtId="180" fontId="3" fillId="0" borderId="8" xfId="0" applyNumberFormat="1" applyFont="1" applyBorder="1" applyAlignment="1">
      <alignment horizontal="left" vertical="center"/>
    </xf>
    <xf numFmtId="0" fontId="2" fillId="0" borderId="9" xfId="0" applyFont="1" applyBorder="1"/>
    <xf numFmtId="0" fontId="2" fillId="0" borderId="38" xfId="0" applyFont="1" applyBorder="1"/>
    <xf numFmtId="180" fontId="3" fillId="0" borderId="27" xfId="0" applyNumberFormat="1" applyFont="1" applyBorder="1" applyAlignment="1">
      <alignment horizontal="left" vertical="center"/>
    </xf>
    <xf numFmtId="180" fontId="3" fillId="0" borderId="13" xfId="0" applyNumberFormat="1" applyFont="1" applyBorder="1" applyAlignment="1">
      <alignment horizontal="left" vertical="center"/>
    </xf>
    <xf numFmtId="0" fontId="2" fillId="0" borderId="14" xfId="0" applyFont="1" applyBorder="1"/>
    <xf numFmtId="180" fontId="3" fillId="0" borderId="15" xfId="0" applyNumberFormat="1" applyFont="1" applyBorder="1" applyAlignment="1">
      <alignment horizontal="left" vertical="center"/>
    </xf>
    <xf numFmtId="0" fontId="2" fillId="0" borderId="16" xfId="0" applyFont="1" applyBorder="1"/>
    <xf numFmtId="0" fontId="2" fillId="0" borderId="17" xfId="0" applyFont="1" applyBorder="1"/>
    <xf numFmtId="180" fontId="3" fillId="0" borderId="45" xfId="0" applyNumberFormat="1" applyFont="1" applyBorder="1" applyAlignment="1">
      <alignment horizontal="left" vertical="center"/>
    </xf>
    <xf numFmtId="180" fontId="3" fillId="3" borderId="18" xfId="0" applyNumberFormat="1" applyFont="1" applyFill="1" applyBorder="1" applyAlignment="1">
      <alignment horizontal="center" vertical="center"/>
    </xf>
    <xf numFmtId="180" fontId="3" fillId="3" borderId="18" xfId="0" applyNumberFormat="1" applyFont="1" applyFill="1" applyBorder="1" applyAlignment="1">
      <alignment horizontal="center" vertical="center" wrapText="1"/>
    </xf>
    <xf numFmtId="180" fontId="3" fillId="0" borderId="15" xfId="0" applyNumberFormat="1" applyFont="1" applyBorder="1" applyAlignment="1">
      <alignment horizontal="left" vertical="center" wrapText="1"/>
    </xf>
    <xf numFmtId="10" fontId="1" fillId="0" borderId="48" xfId="0" applyNumberFormat="1" applyFont="1" applyBorder="1" applyAlignment="1">
      <alignment horizontal="center" vertical="center"/>
    </xf>
    <xf numFmtId="10" fontId="1" fillId="0" borderId="43" xfId="0" applyNumberFormat="1" applyFont="1" applyBorder="1" applyAlignment="1">
      <alignment horizontal="center" vertical="center"/>
    </xf>
    <xf numFmtId="182" fontId="1" fillId="0" borderId="43" xfId="0" applyNumberFormat="1" applyFont="1" applyBorder="1" applyAlignment="1">
      <alignment horizontal="center" vertical="center" wrapText="1"/>
    </xf>
    <xf numFmtId="181" fontId="1" fillId="0" borderId="43" xfId="0" applyNumberFormat="1" applyFont="1" applyBorder="1" applyAlignment="1">
      <alignment horizontal="center" vertical="center" wrapText="1"/>
    </xf>
    <xf numFmtId="0" fontId="1" fillId="0" borderId="45" xfId="0" applyFont="1" applyBorder="1" applyAlignment="1">
      <alignment vertical="center"/>
    </xf>
    <xf numFmtId="0" fontId="1" fillId="0" borderId="16" xfId="0" applyFont="1" applyBorder="1" applyAlignment="1">
      <alignment vertical="center" wrapText="1"/>
    </xf>
    <xf numFmtId="0" fontId="1" fillId="0" borderId="16" xfId="0" applyFont="1" applyBorder="1" applyAlignment="1">
      <alignment vertical="center"/>
    </xf>
    <xf numFmtId="0" fontId="9" fillId="0" borderId="29" xfId="0" applyFont="1" applyBorder="1" applyAlignment="1">
      <alignment horizontal="center" vertical="center" wrapText="1"/>
    </xf>
    <xf numFmtId="0" fontId="9" fillId="0" borderId="0" xfId="0" applyFont="1" applyAlignment="1">
      <alignment horizontal="center" vertical="center" wrapText="1"/>
    </xf>
    <xf numFmtId="0" fontId="1" fillId="0" borderId="0" xfId="0" applyFont="1" applyAlignment="1">
      <alignment vertical="center"/>
    </xf>
    <xf numFmtId="0" fontId="10" fillId="0" borderId="29" xfId="0" applyFont="1" applyBorder="1" applyAlignment="1">
      <alignment horizontal="center" vertical="center"/>
    </xf>
    <xf numFmtId="0" fontId="10" fillId="0" borderId="0" xfId="0" applyFont="1" applyAlignment="1">
      <alignment horizontal="center" vertical="center"/>
    </xf>
    <xf numFmtId="0" fontId="4" fillId="0" borderId="29" xfId="0" applyFont="1" applyBorder="1" applyAlignment="1">
      <alignment vertical="center"/>
    </xf>
    <xf numFmtId="0" fontId="4" fillId="0" borderId="0" xfId="0" applyFont="1" applyAlignment="1">
      <alignment vertical="center" wrapText="1"/>
    </xf>
    <xf numFmtId="0" fontId="4" fillId="0" borderId="0" xfId="0" applyFont="1" applyAlignment="1">
      <alignment vertical="center"/>
    </xf>
    <xf numFmtId="0" fontId="11" fillId="5" borderId="29" xfId="0" applyFont="1" applyFill="1" applyBorder="1" applyAlignment="1">
      <alignment horizontal="center" vertical="center" wrapText="1"/>
    </xf>
    <xf numFmtId="0" fontId="11" fillId="5" borderId="0" xfId="0" applyFont="1" applyFill="1" applyBorder="1" applyAlignment="1">
      <alignment horizontal="center" vertical="center" wrapText="1"/>
    </xf>
    <xf numFmtId="0" fontId="4" fillId="5" borderId="29"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4" fillId="0" borderId="29" xfId="0" applyFont="1" applyBorder="1" applyAlignment="1">
      <alignment horizontal="center" vertical="center" wrapText="1"/>
    </xf>
    <xf numFmtId="0" fontId="4" fillId="0" borderId="0" xfId="0" applyFont="1" applyAlignment="1">
      <alignment horizontal="center" vertical="center" wrapText="1"/>
    </xf>
    <xf numFmtId="0" fontId="4" fillId="0" borderId="29" xfId="0" applyFont="1" applyBorder="1" applyAlignment="1">
      <alignment horizontal="center" vertical="center"/>
    </xf>
    <xf numFmtId="0" fontId="4" fillId="0" borderId="0" xfId="0" applyFont="1" applyAlignment="1">
      <alignment horizontal="center" vertical="center"/>
    </xf>
    <xf numFmtId="0" fontId="11" fillId="0" borderId="29" xfId="0" applyFont="1" applyBorder="1" applyAlignment="1">
      <alignment horizontal="center" vertical="center" wrapText="1"/>
    </xf>
    <xf numFmtId="0" fontId="11" fillId="0" borderId="0" xfId="0" applyFont="1" applyAlignment="1">
      <alignment horizontal="center" vertical="center" wrapText="1"/>
    </xf>
    <xf numFmtId="49" fontId="11" fillId="0" borderId="29" xfId="0" applyNumberFormat="1" applyFont="1" applyBorder="1" applyAlignment="1">
      <alignment horizontal="center" vertical="center"/>
    </xf>
    <xf numFmtId="10" fontId="4" fillId="0" borderId="0" xfId="0" applyNumberFormat="1" applyFont="1" applyAlignment="1">
      <alignment horizontal="center" vertical="center" wrapText="1"/>
    </xf>
    <xf numFmtId="49" fontId="11" fillId="0" borderId="0" xfId="0" applyNumberFormat="1" applyFont="1" applyAlignment="1">
      <alignment horizontal="center" vertical="center"/>
    </xf>
    <xf numFmtId="0" fontId="1" fillId="5" borderId="0" xfId="0" applyFont="1" applyFill="1" applyBorder="1" applyAlignment="1">
      <alignment vertical="center" wrapText="1"/>
    </xf>
    <xf numFmtId="49" fontId="4" fillId="0" borderId="29" xfId="0" applyNumberFormat="1" applyFont="1" applyBorder="1" applyAlignment="1">
      <alignment vertical="center"/>
    </xf>
    <xf numFmtId="0" fontId="11" fillId="0" borderId="0" xfId="0" applyFont="1" applyAlignment="1">
      <alignment vertical="center" wrapText="1"/>
    </xf>
    <xf numFmtId="10" fontId="11" fillId="0" borderId="0" xfId="0" applyNumberFormat="1" applyFont="1" applyAlignment="1">
      <alignment horizontal="center" vertical="center" wrapText="1"/>
    </xf>
    <xf numFmtId="49" fontId="4" fillId="0" borderId="0" xfId="0" applyNumberFormat="1" applyFont="1" applyAlignment="1">
      <alignment vertical="center"/>
    </xf>
    <xf numFmtId="10" fontId="4" fillId="0" borderId="0" xfId="0" applyNumberFormat="1" applyFont="1" applyAlignment="1">
      <alignment vertical="center"/>
    </xf>
    <xf numFmtId="10" fontId="4" fillId="0" borderId="0" xfId="0" applyNumberFormat="1" applyFont="1" applyAlignment="1">
      <alignment vertical="center" wrapText="1"/>
    </xf>
    <xf numFmtId="0" fontId="2" fillId="0" borderId="32" xfId="0" applyFont="1" applyBorder="1"/>
    <xf numFmtId="0" fontId="2" fillId="0" borderId="33" xfId="0" applyFont="1" applyBorder="1"/>
    <xf numFmtId="0" fontId="2" fillId="0" borderId="34" xfId="0" applyFont="1" applyBorder="1"/>
    <xf numFmtId="0" fontId="2" fillId="0" borderId="35" xfId="0" applyFont="1" applyBorder="1"/>
    <xf numFmtId="0" fontId="2" fillId="0" borderId="49" xfId="0" applyFont="1" applyBorder="1"/>
    <xf numFmtId="0" fontId="2" fillId="0" borderId="37" xfId="0" applyFont="1" applyBorder="1"/>
    <xf numFmtId="180" fontId="1" fillId="0" borderId="50" xfId="0" applyNumberFormat="1" applyFont="1" applyBorder="1" applyAlignment="1">
      <alignment horizontal="center" vertical="center"/>
    </xf>
    <xf numFmtId="0" fontId="1" fillId="0" borderId="17" xfId="0" applyFont="1" applyBorder="1" applyAlignment="1">
      <alignment vertical="center"/>
    </xf>
    <xf numFmtId="0" fontId="9" fillId="0" borderId="40" xfId="0" applyFont="1" applyBorder="1" applyAlignment="1">
      <alignment horizontal="center" vertical="center" wrapText="1"/>
    </xf>
    <xf numFmtId="0" fontId="10" fillId="0" borderId="40" xfId="0" applyFont="1" applyBorder="1" applyAlignment="1">
      <alignment horizontal="center" vertical="center"/>
    </xf>
    <xf numFmtId="0" fontId="4" fillId="0" borderId="40" xfId="0" applyFont="1" applyBorder="1" applyAlignment="1">
      <alignment vertical="center"/>
    </xf>
    <xf numFmtId="0" fontId="11" fillId="5" borderId="40" xfId="0" applyFont="1" applyFill="1" applyBorder="1" applyAlignment="1">
      <alignment horizontal="center" vertical="center" wrapText="1"/>
    </xf>
    <xf numFmtId="0" fontId="4" fillId="5" borderId="40" xfId="0" applyFont="1" applyFill="1" applyBorder="1" applyAlignment="1">
      <alignment horizontal="center" vertical="center" wrapText="1"/>
    </xf>
    <xf numFmtId="0" fontId="4" fillId="0" borderId="40" xfId="0" applyFont="1" applyBorder="1" applyAlignment="1">
      <alignment horizontal="center" vertical="center" wrapText="1"/>
    </xf>
    <xf numFmtId="0" fontId="4" fillId="0" borderId="40" xfId="0" applyFont="1" applyBorder="1" applyAlignment="1">
      <alignment horizontal="center" vertical="center"/>
    </xf>
    <xf numFmtId="0" fontId="11" fillId="0" borderId="40" xfId="0" applyFont="1" applyBorder="1" applyAlignment="1">
      <alignment horizontal="center" vertical="center" wrapText="1"/>
    </xf>
    <xf numFmtId="10" fontId="4" fillId="0" borderId="40" xfId="0" applyNumberFormat="1" applyFont="1" applyBorder="1" applyAlignment="1">
      <alignment horizontal="center" vertical="center" wrapText="1"/>
    </xf>
    <xf numFmtId="10" fontId="11" fillId="0" borderId="40" xfId="0" applyNumberFormat="1" applyFont="1" applyBorder="1" applyAlignment="1">
      <alignment horizontal="center" vertical="center" wrapText="1"/>
    </xf>
    <xf numFmtId="10" fontId="4" fillId="0" borderId="40" xfId="0" applyNumberFormat="1" applyFont="1" applyBorder="1" applyAlignment="1">
      <alignment vertical="center"/>
    </xf>
    <xf numFmtId="10" fontId="11" fillId="0" borderId="0" xfId="0" applyNumberFormat="1" applyFont="1" applyAlignment="1">
      <alignment horizontal="center" vertical="center"/>
    </xf>
    <xf numFmtId="0" fontId="12" fillId="0" borderId="29" xfId="0" applyFont="1" applyBorder="1" applyAlignment="1">
      <alignment horizontal="left" vertical="center" wrapText="1"/>
    </xf>
    <xf numFmtId="0" fontId="12" fillId="0" borderId="0" xfId="0" applyFont="1" applyAlignment="1">
      <alignment horizontal="left" vertical="center" wrapText="1"/>
    </xf>
    <xf numFmtId="0" fontId="13" fillId="0" borderId="28" xfId="0" applyFont="1" applyBorder="1" applyAlignment="1">
      <alignment horizontal="left" vertical="center" wrapText="1"/>
    </xf>
    <xf numFmtId="0" fontId="2" fillId="0" borderId="39" xfId="0" applyFont="1" applyBorder="1"/>
    <xf numFmtId="0" fontId="13" fillId="0" borderId="28"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0" xfId="0" applyFont="1" applyAlignment="1">
      <alignment horizontal="center" vertical="center" wrapText="1"/>
    </xf>
    <xf numFmtId="0" fontId="13" fillId="0" borderId="29" xfId="0" applyFont="1" applyBorder="1" applyAlignment="1">
      <alignment horizontal="center" vertical="center" wrapText="1"/>
    </xf>
    <xf numFmtId="0" fontId="1" fillId="0" borderId="27" xfId="0" applyFont="1" applyBorder="1" applyAlignment="1">
      <alignment vertical="center"/>
    </xf>
    <xf numFmtId="0" fontId="1" fillId="0" borderId="9" xfId="0" applyFont="1" applyBorder="1" applyAlignment="1">
      <alignment vertical="center"/>
    </xf>
    <xf numFmtId="0" fontId="1" fillId="0" borderId="9" xfId="0" applyFont="1" applyBorder="1" applyAlignment="1">
      <alignment vertical="center" wrapText="1"/>
    </xf>
    <xf numFmtId="0" fontId="1" fillId="0" borderId="0" xfId="0" applyFont="1" applyAlignment="1">
      <alignment vertical="center" wrapText="1"/>
    </xf>
    <xf numFmtId="10" fontId="11" fillId="0" borderId="40" xfId="0" applyNumberFormat="1" applyFont="1" applyBorder="1" applyAlignment="1">
      <alignment horizontal="center" vertical="center"/>
    </xf>
    <xf numFmtId="0" fontId="12" fillId="0" borderId="40" xfId="0" applyFont="1" applyBorder="1" applyAlignment="1">
      <alignment horizontal="left" vertical="center" wrapText="1"/>
    </xf>
    <xf numFmtId="0" fontId="13" fillId="0" borderId="40" xfId="0" applyFont="1" applyBorder="1" applyAlignment="1">
      <alignment horizontal="center" vertical="center" wrapText="1"/>
    </xf>
    <xf numFmtId="0" fontId="1" fillId="0" borderId="38" xfId="0" applyFont="1" applyBorder="1" applyAlignment="1">
      <alignment vertical="center"/>
    </xf>
    <xf numFmtId="0" fontId="1" fillId="0" borderId="1" xfId="0" applyFont="1" applyBorder="1" applyAlignment="1">
      <alignment horizontal="center" vertical="center"/>
    </xf>
    <xf numFmtId="180" fontId="3" fillId="0" borderId="10" xfId="0" applyNumberFormat="1" applyFont="1" applyBorder="1" applyAlignment="1">
      <alignment horizontal="left" vertical="center"/>
    </xf>
    <xf numFmtId="0" fontId="2" fillId="0" borderId="11" xfId="0" applyFont="1" applyBorder="1"/>
    <xf numFmtId="0" fontId="2" fillId="0" borderId="12" xfId="0" applyFont="1" applyBorder="1"/>
    <xf numFmtId="180" fontId="3" fillId="0" borderId="11" xfId="0" applyNumberFormat="1" applyFont="1" applyBorder="1" applyAlignment="1">
      <alignment horizontal="left" vertical="center"/>
    </xf>
    <xf numFmtId="180" fontId="3" fillId="0" borderId="16" xfId="0" applyNumberFormat="1" applyFont="1" applyBorder="1" applyAlignment="1">
      <alignment horizontal="left" vertical="center"/>
    </xf>
    <xf numFmtId="10" fontId="1" fillId="0" borderId="21" xfId="0" applyNumberFormat="1" applyFont="1" applyBorder="1" applyAlignment="1">
      <alignment horizontal="center" vertical="center"/>
    </xf>
    <xf numFmtId="10" fontId="4" fillId="0" borderId="22" xfId="0" applyNumberFormat="1" applyFont="1" applyBorder="1" applyAlignment="1">
      <alignment horizontal="center" vertical="center"/>
    </xf>
    <xf numFmtId="49" fontId="1" fillId="0" borderId="22" xfId="0" applyNumberFormat="1" applyFont="1" applyBorder="1" applyAlignment="1">
      <alignment horizontal="center" vertical="center"/>
    </xf>
    <xf numFmtId="181" fontId="1" fillId="0" borderId="22" xfId="0" applyNumberFormat="1" applyFont="1" applyBorder="1" applyAlignment="1">
      <alignment horizontal="center" vertical="center"/>
    </xf>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4" fillId="0" borderId="0" xfId="0" applyFont="1" applyAlignment="1">
      <alignment horizontal="center"/>
    </xf>
    <xf numFmtId="0" fontId="14" fillId="0" borderId="0" xfId="0" applyFont="1" applyAlignment="1">
      <alignment horizontal="left"/>
    </xf>
    <xf numFmtId="10" fontId="14" fillId="0" borderId="0" xfId="0" applyNumberFormat="1" applyFont="1" applyAlignment="1">
      <alignment horizontal="center"/>
    </xf>
    <xf numFmtId="10" fontId="14" fillId="0" borderId="0" xfId="0" applyNumberFormat="1" applyFont="1"/>
    <xf numFmtId="0" fontId="10" fillId="0" borderId="3" xfId="0" applyFont="1" applyBorder="1" applyAlignment="1">
      <alignment vertical="center"/>
    </xf>
    <xf numFmtId="0" fontId="14" fillId="0" borderId="0" xfId="0" applyFont="1"/>
    <xf numFmtId="10" fontId="14" fillId="0" borderId="0" xfId="0" applyNumberFormat="1" applyFont="1" applyAlignment="1">
      <alignment horizontal="left"/>
    </xf>
    <xf numFmtId="0" fontId="15" fillId="0" borderId="0" xfId="0" applyFont="1"/>
    <xf numFmtId="0" fontId="16" fillId="0" borderId="0" xfId="0" applyFont="1"/>
    <xf numFmtId="0" fontId="17" fillId="0" borderId="0" xfId="0" applyFont="1"/>
    <xf numFmtId="0" fontId="10" fillId="0" borderId="0" xfId="0" applyFont="1" applyAlignment="1">
      <alignment vertical="center"/>
    </xf>
    <xf numFmtId="0" fontId="14" fillId="0" borderId="3" xfId="0" applyFont="1" applyBorder="1" applyAlignment="1">
      <alignment horizontal="left"/>
    </xf>
    <xf numFmtId="0" fontId="14" fillId="0" borderId="3" xfId="0" applyFont="1" applyBorder="1"/>
    <xf numFmtId="10" fontId="18" fillId="0" borderId="0" xfId="0" applyNumberFormat="1" applyFont="1" applyAlignment="1">
      <alignment horizontal="center" vertical="center"/>
    </xf>
    <xf numFmtId="0" fontId="14" fillId="0" borderId="4" xfId="0" applyFont="1" applyBorder="1"/>
    <xf numFmtId="0" fontId="14" fillId="0" borderId="5" xfId="0" applyFont="1" applyBorder="1"/>
    <xf numFmtId="0" fontId="11" fillId="0" borderId="0" xfId="0" applyFont="1" applyAlignment="1">
      <alignment vertical="center"/>
    </xf>
    <xf numFmtId="0" fontId="10" fillId="0" borderId="0" xfId="0" applyFont="1" applyAlignment="1">
      <alignment horizontal="right" vertical="center"/>
    </xf>
    <xf numFmtId="0" fontId="10" fillId="0" borderId="0" xfId="0" applyFont="1" applyAlignment="1">
      <alignment horizontal="left" vertical="center"/>
    </xf>
    <xf numFmtId="0" fontId="2" fillId="0" borderId="36" xfId="0" applyFont="1" applyBorder="1"/>
    <xf numFmtId="183" fontId="16" fillId="0" borderId="0" xfId="0" applyNumberFormat="1" applyFont="1"/>
    <xf numFmtId="49" fontId="1" fillId="0" borderId="51" xfId="0" applyNumberFormat="1" applyFont="1" applyBorder="1" applyAlignment="1">
      <alignment horizontal="center" vertical="center"/>
    </xf>
    <xf numFmtId="0" fontId="1" fillId="0" borderId="32" xfId="0" applyFont="1" applyBorder="1" applyAlignment="1">
      <alignment vertical="center"/>
    </xf>
    <xf numFmtId="0" fontId="14" fillId="0" borderId="33" xfId="0" applyFont="1" applyBorder="1" applyAlignment="1">
      <alignment horizontal="center"/>
    </xf>
    <xf numFmtId="10" fontId="14" fillId="0" borderId="33" xfId="0" applyNumberFormat="1" applyFont="1" applyBorder="1" applyAlignment="1">
      <alignment horizontal="center"/>
    </xf>
    <xf numFmtId="0" fontId="14" fillId="0" borderId="33" xfId="0" applyFont="1" applyBorder="1"/>
    <xf numFmtId="0" fontId="10" fillId="0" borderId="33" xfId="0" applyFont="1" applyBorder="1" applyAlignment="1">
      <alignment vertical="center"/>
    </xf>
    <xf numFmtId="0" fontId="16" fillId="0" borderId="33" xfId="0" applyFont="1" applyBorder="1"/>
    <xf numFmtId="0" fontId="14" fillId="0" borderId="34" xfId="0" applyFont="1" applyBorder="1"/>
    <xf numFmtId="0" fontId="4" fillId="0" borderId="33" xfId="0" applyFont="1" applyBorder="1" applyAlignment="1">
      <alignment vertical="center"/>
    </xf>
    <xf numFmtId="0" fontId="5" fillId="0" borderId="0" xfId="0" applyFont="1" applyAlignment="1">
      <alignment vertical="center"/>
    </xf>
    <xf numFmtId="0" fontId="7" fillId="0" borderId="0" xfId="0" applyFont="1" applyAlignment="1">
      <alignment vertical="center"/>
    </xf>
    <xf numFmtId="0" fontId="1" fillId="0" borderId="0" xfId="0" applyFont="1" applyAlignment="1">
      <alignment horizontal="center" vertical="center" wrapText="1"/>
    </xf>
    <xf numFmtId="0" fontId="11" fillId="0" borderId="18" xfId="0" applyFont="1" applyBorder="1" applyAlignment="1">
      <alignment vertical="center"/>
    </xf>
    <xf numFmtId="0" fontId="11" fillId="0" borderId="18" xfId="0" applyFont="1" applyBorder="1" applyAlignment="1">
      <alignment horizontal="center" vertical="center"/>
    </xf>
    <xf numFmtId="0" fontId="3" fillId="5" borderId="6" xfId="0" applyFont="1" applyFill="1" applyBorder="1" applyAlignment="1">
      <alignment vertical="center"/>
    </xf>
    <xf numFmtId="0" fontId="1" fillId="0" borderId="44" xfId="0" applyFont="1" applyBorder="1" applyAlignment="1">
      <alignment horizontal="center" vertical="center"/>
    </xf>
    <xf numFmtId="0" fontId="4" fillId="0" borderId="44" xfId="0" applyFont="1" applyBorder="1" applyAlignment="1">
      <alignment horizontal="center" vertical="center"/>
    </xf>
    <xf numFmtId="0" fontId="4" fillId="0" borderId="27" xfId="0" applyFont="1" applyBorder="1" applyAlignment="1">
      <alignment vertical="center"/>
    </xf>
    <xf numFmtId="0" fontId="1" fillId="0" borderId="26" xfId="0" applyFont="1" applyBorder="1" applyAlignment="1">
      <alignment horizontal="center" vertical="center"/>
    </xf>
    <xf numFmtId="0" fontId="4" fillId="0" borderId="26" xfId="0" applyFont="1" applyBorder="1" applyAlignment="1">
      <alignment horizontal="center" vertical="center"/>
    </xf>
    <xf numFmtId="0" fontId="4" fillId="0" borderId="28" xfId="0" applyFont="1" applyBorder="1" applyAlignment="1">
      <alignment vertical="center"/>
    </xf>
    <xf numFmtId="0" fontId="1" fillId="0" borderId="33" xfId="0" applyFont="1" applyBorder="1" applyAlignment="1">
      <alignment vertical="center"/>
    </xf>
    <xf numFmtId="0" fontId="11" fillId="0" borderId="0" xfId="0" applyFont="1" applyAlignment="1">
      <alignment horizontal="center" vertical="center"/>
    </xf>
    <xf numFmtId="0" fontId="3" fillId="5" borderId="0" xfId="0" applyFont="1" applyFill="1" applyBorder="1" applyAlignment="1">
      <alignment vertical="center"/>
    </xf>
    <xf numFmtId="0" fontId="1" fillId="0" borderId="0" xfId="0" applyFont="1" applyAlignment="1">
      <alignment horizontal="center" vertical="center"/>
    </xf>
    <xf numFmtId="0" fontId="2" fillId="0" borderId="52" xfId="0" applyFont="1" applyBorder="1"/>
    <xf numFmtId="0" fontId="1" fillId="0" borderId="4" xfId="0" applyFont="1" applyBorder="1" applyAlignment="1">
      <alignment vertical="center"/>
    </xf>
    <xf numFmtId="0" fontId="1" fillId="0" borderId="5" xfId="0" applyFont="1" applyBorder="1" applyAlignment="1">
      <alignment vertical="center"/>
    </xf>
    <xf numFmtId="0" fontId="1" fillId="0" borderId="34" xfId="0" applyFont="1" applyBorder="1" applyAlignment="1">
      <alignment vertical="center"/>
    </xf>
    <xf numFmtId="180" fontId="3" fillId="0" borderId="53" xfId="0" applyNumberFormat="1" applyFont="1" applyBorder="1" applyAlignment="1">
      <alignment horizontal="left" vertical="center"/>
    </xf>
    <xf numFmtId="180" fontId="3" fillId="0" borderId="19" xfId="0" applyNumberFormat="1" applyFont="1" applyBorder="1" applyAlignment="1">
      <alignment horizontal="left" vertical="center"/>
    </xf>
    <xf numFmtId="0" fontId="2" fillId="0" borderId="20" xfId="0" applyFont="1" applyBorder="1"/>
    <xf numFmtId="10" fontId="1" fillId="0" borderId="22" xfId="0" applyNumberFormat="1" applyFont="1" applyBorder="1" applyAlignment="1">
      <alignment horizontal="center" vertical="center"/>
    </xf>
    <xf numFmtId="0" fontId="3" fillId="3" borderId="54" xfId="0" applyFont="1" applyFill="1" applyBorder="1" applyAlignment="1">
      <alignment horizontal="center" vertical="center" wrapText="1"/>
    </xf>
    <xf numFmtId="0" fontId="3" fillId="3" borderId="55" xfId="0" applyFont="1" applyFill="1" applyBorder="1" applyAlignment="1">
      <alignment horizontal="center" vertical="center" wrapText="1"/>
    </xf>
    <xf numFmtId="0" fontId="3" fillId="4" borderId="26" xfId="0" applyFont="1" applyFill="1" applyBorder="1" applyAlignment="1">
      <alignment horizontal="center" vertical="center" wrapText="1"/>
    </xf>
    <xf numFmtId="49" fontId="3" fillId="4" borderId="26" xfId="0" applyNumberFormat="1" applyFont="1" applyFill="1" applyBorder="1" applyAlignment="1">
      <alignment horizontal="center" vertical="center" wrapText="1"/>
    </xf>
    <xf numFmtId="49" fontId="3" fillId="4" borderId="26" xfId="0" applyNumberFormat="1" applyFont="1" applyFill="1" applyBorder="1" applyAlignment="1">
      <alignment horizontal="left" vertical="center" wrapText="1"/>
    </xf>
    <xf numFmtId="180" fontId="3" fillId="4" borderId="26" xfId="0" applyNumberFormat="1" applyFont="1" applyFill="1" applyBorder="1" applyAlignment="1">
      <alignment horizontal="center" vertical="center" wrapText="1"/>
    </xf>
    <xf numFmtId="49" fontId="3" fillId="0" borderId="28" xfId="0" applyNumberFormat="1" applyFont="1" applyBorder="1" applyAlignment="1">
      <alignment horizontal="right" vertical="center" wrapText="1"/>
    </xf>
    <xf numFmtId="184" fontId="1" fillId="0" borderId="26" xfId="0" applyNumberFormat="1" applyFont="1" applyBorder="1" applyAlignment="1">
      <alignment horizontal="center" vertical="center" wrapText="1"/>
    </xf>
    <xf numFmtId="49" fontId="3" fillId="0" borderId="56" xfId="0" applyNumberFormat="1" applyFont="1" applyBorder="1" applyAlignment="1">
      <alignment horizontal="right" vertical="center" wrapText="1"/>
    </xf>
    <xf numFmtId="0" fontId="2" fillId="0" borderId="57" xfId="0" applyFont="1" applyBorder="1"/>
    <xf numFmtId="0" fontId="2" fillId="0" borderId="58" xfId="0" applyFont="1" applyBorder="1"/>
    <xf numFmtId="180" fontId="3" fillId="0" borderId="59" xfId="0" applyNumberFormat="1" applyFont="1" applyBorder="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horizontal="left" vertical="center" wrapText="1"/>
    </xf>
    <xf numFmtId="184" fontId="1" fillId="0" borderId="0" xfId="0" applyNumberFormat="1" applyFont="1" applyAlignment="1">
      <alignment horizontal="center" vertical="center" wrapText="1"/>
    </xf>
    <xf numFmtId="180" fontId="19" fillId="0" borderId="59" xfId="0" applyNumberFormat="1" applyFont="1" applyBorder="1" applyAlignment="1">
      <alignment horizontal="center" vertical="center" wrapText="1"/>
    </xf>
    <xf numFmtId="180" fontId="20" fillId="4" borderId="26" xfId="0" applyNumberFormat="1" applyFont="1" applyFill="1" applyBorder="1" applyAlignment="1">
      <alignment horizontal="center" vertical="center" wrapText="1"/>
    </xf>
    <xf numFmtId="184" fontId="21" fillId="0" borderId="26" xfId="0" applyNumberFormat="1" applyFont="1" applyBorder="1" applyAlignment="1">
      <alignment horizontal="center" vertical="center" wrapText="1"/>
    </xf>
    <xf numFmtId="49" fontId="20" fillId="0" borderId="56" xfId="0" applyNumberFormat="1" applyFont="1" applyBorder="1" applyAlignment="1">
      <alignment horizontal="right" vertical="center" wrapText="1"/>
    </xf>
    <xf numFmtId="180" fontId="3" fillId="0" borderId="0" xfId="0" applyNumberFormat="1" applyFont="1" applyAlignment="1">
      <alignment horizontal="left" vertical="center"/>
    </xf>
    <xf numFmtId="180" fontId="1" fillId="0" borderId="0" xfId="0" applyNumberFormat="1" applyFont="1" applyAlignment="1">
      <alignment horizontal="left" vertical="center"/>
    </xf>
    <xf numFmtId="180" fontId="1" fillId="0" borderId="0" xfId="0" applyNumberFormat="1" applyFont="1" applyAlignment="1">
      <alignment horizontal="left" vertical="center" wrapText="1"/>
    </xf>
    <xf numFmtId="180" fontId="1" fillId="0" borderId="51" xfId="0" applyNumberFormat="1" applyFont="1" applyBorder="1" applyAlignment="1">
      <alignment horizontal="center" vertical="center"/>
    </xf>
    <xf numFmtId="0" fontId="3" fillId="3" borderId="60" xfId="0" applyFont="1" applyFill="1" applyBorder="1" applyAlignment="1">
      <alignment horizontal="center" vertical="center" wrapText="1"/>
    </xf>
    <xf numFmtId="184" fontId="3" fillId="4" borderId="26" xfId="0" applyNumberFormat="1" applyFont="1" applyFill="1" applyBorder="1" applyAlignment="1">
      <alignment horizontal="center" vertical="center" wrapText="1"/>
    </xf>
    <xf numFmtId="3" fontId="3" fillId="0" borderId="0" xfId="0" applyNumberFormat="1" applyFont="1" applyAlignment="1">
      <alignment horizontal="center" vertical="center" wrapText="1"/>
    </xf>
    <xf numFmtId="180" fontId="3" fillId="0" borderId="0" xfId="0" applyNumberFormat="1" applyFont="1" applyAlignment="1">
      <alignment vertical="center" wrapText="1"/>
    </xf>
    <xf numFmtId="180" fontId="3" fillId="0" borderId="0" xfId="0" applyNumberFormat="1" applyFont="1" applyAlignment="1">
      <alignment horizontal="center" vertical="center" wrapText="1"/>
    </xf>
    <xf numFmtId="184" fontId="3" fillId="0" borderId="26" xfId="0" applyNumberFormat="1" applyFont="1" applyBorder="1" applyAlignment="1">
      <alignment horizontal="center" vertical="center" wrapText="1"/>
    </xf>
    <xf numFmtId="184" fontId="3" fillId="0" borderId="59" xfId="0" applyNumberFormat="1" applyFont="1" applyBorder="1" applyAlignment="1">
      <alignment horizontal="center" vertical="center" wrapText="1"/>
    </xf>
    <xf numFmtId="184" fontId="3" fillId="0" borderId="0" xfId="0" applyNumberFormat="1" applyFont="1" applyAlignment="1">
      <alignment horizontal="center" vertical="center" wrapText="1"/>
    </xf>
    <xf numFmtId="184" fontId="1" fillId="0" borderId="0" xfId="0" applyNumberFormat="1" applyFont="1" applyAlignment="1">
      <alignment vertical="center"/>
    </xf>
    <xf numFmtId="185" fontId="3" fillId="0" borderId="0" xfId="0" applyNumberFormat="1" applyFont="1" applyAlignment="1">
      <alignment horizontal="center" vertical="center" wrapText="1"/>
    </xf>
    <xf numFmtId="4" fontId="3" fillId="0" borderId="0" xfId="0" applyNumberFormat="1" applyFont="1" applyAlignment="1">
      <alignment horizontal="center" vertical="center" wrapText="1"/>
    </xf>
    <xf numFmtId="4" fontId="3" fillId="0" borderId="0" xfId="0" applyNumberFormat="1" applyFont="1" applyAlignment="1">
      <alignment vertical="center" wrapText="1"/>
    </xf>
    <xf numFmtId="180" fontId="3" fillId="0" borderId="0" xfId="0" applyNumberFormat="1" applyFont="1" applyAlignment="1">
      <alignment vertical="center"/>
    </xf>
    <xf numFmtId="49" fontId="1" fillId="0" borderId="0" xfId="0" applyNumberFormat="1" applyFont="1" applyAlignment="1">
      <alignment horizontal="center" vertical="center"/>
    </xf>
    <xf numFmtId="186" fontId="1" fillId="0" borderId="0" xfId="0" applyNumberFormat="1" applyFont="1" applyAlignment="1">
      <alignment horizontal="center" vertical="center"/>
    </xf>
    <xf numFmtId="0" fontId="3" fillId="0" borderId="0" xfId="0" applyFont="1" applyAlignment="1">
      <alignment vertical="center" wrapText="1"/>
    </xf>
    <xf numFmtId="180" fontId="1" fillId="0" borderId="59" xfId="0" applyNumberFormat="1" applyFont="1" applyBorder="1" applyAlignment="1">
      <alignment horizontal="center" vertical="center" wrapText="1"/>
    </xf>
    <xf numFmtId="49" fontId="3" fillId="0" borderId="0" xfId="0" applyNumberFormat="1" applyFont="1" applyAlignment="1">
      <alignment horizontal="right" vertical="center" wrapText="1"/>
    </xf>
    <xf numFmtId="49" fontId="3" fillId="0" borderId="45" xfId="0" applyNumberFormat="1" applyFont="1" applyBorder="1" applyAlignment="1">
      <alignment horizontal="right" vertical="center" wrapText="1"/>
    </xf>
    <xf numFmtId="0" fontId="16" fillId="0" borderId="16" xfId="0" applyFont="1" applyBorder="1"/>
    <xf numFmtId="0" fontId="16" fillId="0" borderId="17" xfId="0" applyFont="1" applyBorder="1"/>
    <xf numFmtId="180" fontId="3" fillId="0" borderId="42" xfId="0" applyNumberFormat="1" applyFont="1" applyBorder="1" applyAlignment="1">
      <alignment horizontal="center" vertical="center" wrapText="1"/>
    </xf>
    <xf numFmtId="49" fontId="3" fillId="7" borderId="26" xfId="0" applyNumberFormat="1" applyFont="1" applyFill="1" applyBorder="1" applyAlignment="1">
      <alignment horizontal="left" vertical="center" wrapText="1"/>
    </xf>
    <xf numFmtId="184" fontId="3" fillId="0" borderId="42" xfId="0" applyNumberFormat="1" applyFont="1" applyBorder="1" applyAlignment="1">
      <alignment horizontal="center" vertical="center" wrapText="1"/>
    </xf>
    <xf numFmtId="49" fontId="1" fillId="0" borderId="0" xfId="0" applyNumberFormat="1" applyFont="1" applyAlignment="1">
      <alignment vertical="center" wrapText="1"/>
    </xf>
    <xf numFmtId="0" fontId="11" fillId="0" borderId="10" xfId="0" applyFont="1" applyBorder="1" applyAlignment="1">
      <alignment horizontal="left" vertical="center"/>
    </xf>
    <xf numFmtId="0" fontId="11" fillId="0" borderId="19" xfId="0" applyFont="1" applyBorder="1" applyAlignment="1">
      <alignment horizontal="left" vertical="center"/>
    </xf>
    <xf numFmtId="0" fontId="4" fillId="0" borderId="0" xfId="0" applyFont="1" applyAlignment="1">
      <alignment horizontal="left" vertical="center"/>
    </xf>
    <xf numFmtId="0" fontId="2" fillId="0" borderId="61" xfId="0" applyFont="1" applyBorder="1"/>
    <xf numFmtId="0" fontId="1" fillId="0" borderId="3" xfId="0" applyFont="1" applyBorder="1" applyAlignment="1">
      <alignment horizontal="center" vertical="center"/>
    </xf>
    <xf numFmtId="0" fontId="1" fillId="0" borderId="0" xfId="0" applyFont="1" applyBorder="1" applyAlignment="1">
      <alignment horizontal="center" vertical="center"/>
    </xf>
    <xf numFmtId="180" fontId="3" fillId="3" borderId="3" xfId="0" applyNumberFormat="1" applyFont="1" applyFill="1" applyBorder="1" applyAlignment="1">
      <alignment horizontal="center" vertical="center"/>
    </xf>
    <xf numFmtId="180" fontId="3" fillId="3" borderId="0" xfId="0" applyNumberFormat="1" applyFont="1" applyFill="1" applyBorder="1" applyAlignment="1">
      <alignment horizontal="center" vertical="center"/>
    </xf>
    <xf numFmtId="180" fontId="3" fillId="0" borderId="47" xfId="0" applyNumberFormat="1" applyFont="1" applyBorder="1" applyAlignment="1">
      <alignment horizontal="center" vertical="center"/>
    </xf>
    <xf numFmtId="180" fontId="3" fillId="0" borderId="9" xfId="0" applyNumberFormat="1" applyFont="1" applyBorder="1" applyAlignment="1">
      <alignment horizontal="left" vertical="center"/>
    </xf>
    <xf numFmtId="180" fontId="3" fillId="0" borderId="30" xfId="0" applyNumberFormat="1" applyFont="1" applyBorder="1" applyAlignment="1">
      <alignment horizontal="center" vertical="center"/>
    </xf>
    <xf numFmtId="180" fontId="3" fillId="0" borderId="31" xfId="0" applyNumberFormat="1" applyFont="1" applyBorder="1" applyAlignment="1">
      <alignment horizontal="center" vertical="center"/>
    </xf>
    <xf numFmtId="180" fontId="3" fillId="0" borderId="41" xfId="0" applyNumberFormat="1" applyFont="1" applyBorder="1" applyAlignment="1">
      <alignment horizontal="center" vertical="center"/>
    </xf>
    <xf numFmtId="180" fontId="3" fillId="3" borderId="35" xfId="0" applyNumberFormat="1" applyFont="1" applyFill="1" applyBorder="1" applyAlignment="1">
      <alignment horizontal="center" vertical="center"/>
    </xf>
    <xf numFmtId="10" fontId="1" fillId="0" borderId="62" xfId="0" applyNumberFormat="1" applyFont="1" applyBorder="1" applyAlignment="1">
      <alignment horizontal="center" vertical="center"/>
    </xf>
    <xf numFmtId="0" fontId="8" fillId="8" borderId="46" xfId="0" applyFont="1" applyFill="1" applyBorder="1" applyAlignment="1">
      <alignment horizontal="left" vertical="top" wrapText="1"/>
    </xf>
    <xf numFmtId="0" fontId="22" fillId="5" borderId="46" xfId="0" applyFont="1" applyFill="1" applyBorder="1" applyAlignment="1">
      <alignment horizontal="left" vertical="top" wrapText="1"/>
    </xf>
    <xf numFmtId="0" fontId="22" fillId="5" borderId="46" xfId="0" applyFont="1" applyFill="1" applyBorder="1" applyAlignment="1">
      <alignment horizontal="right" vertical="top" wrapText="1"/>
    </xf>
    <xf numFmtId="0" fontId="22" fillId="5" borderId="46" xfId="0" applyFont="1" applyFill="1" applyBorder="1" applyAlignment="1">
      <alignment horizontal="center" vertical="top" wrapText="1"/>
    </xf>
    <xf numFmtId="0" fontId="23" fillId="9" borderId="46" xfId="0" applyFont="1" applyFill="1" applyBorder="1" applyAlignment="1">
      <alignment horizontal="left" vertical="top" wrapText="1"/>
    </xf>
    <xf numFmtId="0" fontId="23" fillId="9" borderId="46" xfId="0" applyFont="1" applyFill="1" applyBorder="1" applyAlignment="1">
      <alignment horizontal="right" vertical="top" wrapText="1"/>
    </xf>
    <xf numFmtId="0" fontId="23" fillId="9" borderId="46" xfId="0" applyFont="1" applyFill="1" applyBorder="1" applyAlignment="1">
      <alignment horizontal="center" vertical="top" wrapText="1"/>
    </xf>
    <xf numFmtId="187" fontId="23" fillId="9" borderId="46" xfId="0" applyNumberFormat="1" applyFont="1" applyFill="1" applyBorder="1" applyAlignment="1">
      <alignment horizontal="right" vertical="top" wrapText="1"/>
    </xf>
    <xf numFmtId="0" fontId="24" fillId="10" borderId="46" xfId="0" applyFont="1" applyFill="1" applyBorder="1" applyAlignment="1">
      <alignment horizontal="left" vertical="top" wrapText="1"/>
    </xf>
    <xf numFmtId="0" fontId="24" fillId="10" borderId="46" xfId="0" applyFont="1" applyFill="1" applyBorder="1" applyAlignment="1">
      <alignment horizontal="right" vertical="top" wrapText="1"/>
    </xf>
    <xf numFmtId="0" fontId="24" fillId="10" borderId="46" xfId="0" applyFont="1" applyFill="1" applyBorder="1" applyAlignment="1">
      <alignment horizontal="center" vertical="top" wrapText="1"/>
    </xf>
    <xf numFmtId="187" fontId="24" fillId="10" borderId="46" xfId="0" applyNumberFormat="1" applyFont="1" applyFill="1" applyBorder="1" applyAlignment="1">
      <alignment horizontal="right" vertical="top" wrapText="1"/>
    </xf>
    <xf numFmtId="0" fontId="24" fillId="5" borderId="0" xfId="0" applyFont="1" applyFill="1" applyAlignment="1">
      <alignment horizontal="right" vertical="top" wrapText="1"/>
    </xf>
    <xf numFmtId="4" fontId="24" fillId="5" borderId="0" xfId="0" applyNumberFormat="1" applyFont="1" applyFill="1" applyAlignment="1">
      <alignment horizontal="right" vertical="top" wrapText="1"/>
    </xf>
    <xf numFmtId="0" fontId="25" fillId="5" borderId="0" xfId="0" applyFont="1" applyFill="1" applyAlignment="1">
      <alignment horizontal="right" vertical="top" wrapText="1"/>
    </xf>
    <xf numFmtId="0" fontId="23" fillId="9" borderId="63" xfId="0" applyFont="1" applyFill="1" applyBorder="1" applyAlignment="1">
      <alignment horizontal="left" vertical="top" wrapText="1"/>
    </xf>
    <xf numFmtId="0" fontId="24" fillId="11" borderId="46" xfId="0" applyFont="1" applyFill="1" applyBorder="1" applyAlignment="1">
      <alignment horizontal="left" vertical="top" wrapText="1"/>
    </xf>
    <xf numFmtId="0" fontId="24" fillId="11" borderId="46" xfId="0" applyFont="1" applyFill="1" applyBorder="1" applyAlignment="1">
      <alignment horizontal="right" vertical="top" wrapText="1"/>
    </xf>
    <xf numFmtId="0" fontId="24" fillId="11" borderId="46" xfId="0" applyFont="1" applyFill="1" applyBorder="1" applyAlignment="1">
      <alignment horizontal="center" vertical="top" wrapText="1"/>
    </xf>
    <xf numFmtId="187" fontId="24" fillId="11" borderId="46" xfId="0" applyNumberFormat="1" applyFont="1" applyFill="1" applyBorder="1" applyAlignment="1">
      <alignment horizontal="right" vertical="top" wrapText="1"/>
    </xf>
    <xf numFmtId="181" fontId="1" fillId="0" borderId="62" xfId="0" applyNumberFormat="1" applyFont="1" applyBorder="1" applyAlignment="1">
      <alignment horizontal="center" vertical="center"/>
    </xf>
    <xf numFmtId="0" fontId="8" fillId="8" borderId="46" xfId="0" applyFont="1" applyFill="1" applyBorder="1" applyAlignment="1">
      <alignment horizontal="right" vertical="top" wrapText="1"/>
    </xf>
    <xf numFmtId="4" fontId="8" fillId="8" borderId="46" xfId="0" applyNumberFormat="1" applyFont="1" applyFill="1" applyBorder="1" applyAlignment="1">
      <alignment horizontal="right" vertical="top" wrapText="1"/>
    </xf>
    <xf numFmtId="4" fontId="23" fillId="9" borderId="46" xfId="0" applyNumberFormat="1" applyFont="1" applyFill="1" applyBorder="1" applyAlignment="1">
      <alignment horizontal="right" vertical="top" wrapText="1"/>
    </xf>
    <xf numFmtId="4" fontId="24" fillId="10" borderId="46" xfId="0" applyNumberFormat="1" applyFont="1" applyFill="1" applyBorder="1" applyAlignment="1">
      <alignment horizontal="right" vertical="top" wrapText="1"/>
    </xf>
    <xf numFmtId="187" fontId="25" fillId="5" borderId="0" xfId="0" applyNumberFormat="1" applyFont="1" applyFill="1" applyAlignment="1">
      <alignment horizontal="right" vertical="top" wrapText="1"/>
    </xf>
    <xf numFmtId="4" fontId="25" fillId="5" borderId="0" xfId="0" applyNumberFormat="1" applyFont="1" applyFill="1" applyAlignment="1">
      <alignment horizontal="right" vertical="top" wrapText="1"/>
    </xf>
    <xf numFmtId="4" fontId="24" fillId="11" borderId="46" xfId="0" applyNumberFormat="1" applyFont="1" applyFill="1" applyBorder="1" applyAlignment="1">
      <alignment horizontal="right" vertical="top" wrapText="1"/>
    </xf>
    <xf numFmtId="0" fontId="23" fillId="12" borderId="46" xfId="0" applyFont="1" applyFill="1" applyBorder="1" applyAlignment="1">
      <alignment horizontal="left" vertical="top" wrapText="1"/>
    </xf>
    <xf numFmtId="0" fontId="23" fillId="12" borderId="46" xfId="0" applyFont="1" applyFill="1" applyBorder="1" applyAlignment="1">
      <alignment horizontal="right" vertical="top" wrapText="1"/>
    </xf>
    <xf numFmtId="0" fontId="23" fillId="12" borderId="46" xfId="0" applyFont="1" applyFill="1" applyBorder="1" applyAlignment="1">
      <alignment horizontal="center" vertical="top" wrapText="1"/>
    </xf>
    <xf numFmtId="187" fontId="23" fillId="12" borderId="46" xfId="0" applyNumberFormat="1" applyFont="1" applyFill="1" applyBorder="1" applyAlignment="1">
      <alignment horizontal="right" vertical="top" wrapText="1"/>
    </xf>
    <xf numFmtId="4" fontId="23" fillId="12" borderId="46" xfId="0" applyNumberFormat="1" applyFont="1" applyFill="1" applyBorder="1" applyAlignment="1">
      <alignment horizontal="right" vertical="top" wrapText="1"/>
    </xf>
    <xf numFmtId="0" fontId="24" fillId="5" borderId="0" xfId="0" applyFont="1" applyFill="1" applyAlignment="1">
      <alignment horizontal="center" vertical="top" wrapText="1"/>
    </xf>
    <xf numFmtId="0" fontId="24" fillId="5" borderId="0" xfId="0" applyFont="1" applyFill="1" applyAlignment="1">
      <alignment horizontal="left" vertical="top" wrapText="1"/>
    </xf>
    <xf numFmtId="0" fontId="25" fillId="5" borderId="0" xfId="0" applyFont="1" applyFill="1" applyAlignment="1">
      <alignment horizontal="left" vertical="top" wrapText="1"/>
    </xf>
    <xf numFmtId="180" fontId="3" fillId="3" borderId="5" xfId="0" applyNumberFormat="1" applyFont="1" applyFill="1" applyBorder="1" applyAlignment="1">
      <alignment horizontal="center" vertical="center"/>
    </xf>
    <xf numFmtId="180" fontId="3" fillId="0" borderId="1" xfId="0" applyNumberFormat="1" applyFont="1" applyBorder="1" applyAlignment="1">
      <alignment horizontal="left" vertical="center"/>
    </xf>
    <xf numFmtId="180" fontId="3" fillId="0" borderId="3" xfId="0" applyNumberFormat="1" applyFont="1" applyBorder="1" applyAlignment="1">
      <alignment horizontal="left" vertical="center"/>
    </xf>
    <xf numFmtId="180" fontId="3" fillId="3" borderId="26" xfId="0" applyNumberFormat="1" applyFont="1" applyFill="1" applyBorder="1" applyAlignment="1">
      <alignment horizontal="center" vertical="center"/>
    </xf>
    <xf numFmtId="4" fontId="26" fillId="13" borderId="0" xfId="0" applyNumberFormat="1" applyFont="1" applyFill="1" applyBorder="1" applyAlignment="1">
      <alignment horizontal="center" vertical="top" wrapText="1"/>
    </xf>
    <xf numFmtId="0" fontId="26" fillId="13" borderId="0" xfId="0" applyFont="1" applyFill="1" applyBorder="1" applyAlignment="1">
      <alignment horizontal="center" vertical="top" wrapText="1"/>
    </xf>
    <xf numFmtId="188" fontId="3" fillId="3" borderId="18" xfId="0" applyNumberFormat="1" applyFont="1" applyFill="1" applyBorder="1" applyAlignment="1">
      <alignment horizontal="center" vertical="center"/>
    </xf>
    <xf numFmtId="185" fontId="3" fillId="3" borderId="18" xfId="0" applyNumberFormat="1" applyFont="1" applyFill="1" applyBorder="1" applyAlignment="1">
      <alignment horizontal="center" vertical="center"/>
    </xf>
    <xf numFmtId="188" fontId="1" fillId="0" borderId="22" xfId="0" applyNumberFormat="1" applyFont="1" applyBorder="1" applyAlignment="1">
      <alignment horizontal="center" vertical="center"/>
    </xf>
    <xf numFmtId="185" fontId="1" fillId="0" borderId="62" xfId="0" applyNumberFormat="1" applyFont="1" applyBorder="1" applyAlignment="1">
      <alignment horizontal="center" vertical="center"/>
    </xf>
    <xf numFmtId="188" fontId="3" fillId="3" borderId="26" xfId="0" applyNumberFormat="1" applyFont="1" applyFill="1" applyBorder="1" applyAlignment="1">
      <alignment horizontal="center" vertical="center"/>
    </xf>
    <xf numFmtId="185" fontId="3" fillId="3" borderId="26" xfId="0" applyNumberFormat="1" applyFont="1" applyFill="1" applyBorder="1" applyAlignment="1">
      <alignment horizontal="center" vertical="center"/>
    </xf>
    <xf numFmtId="10" fontId="26" fillId="13" borderId="0" xfId="3" applyNumberFormat="1" applyFont="1" applyFill="1" applyBorder="1" applyAlignment="1">
      <alignment horizontal="center" vertical="top" wrapText="1"/>
    </xf>
    <xf numFmtId="9" fontId="26" fillId="13" borderId="0" xfId="3" applyFont="1" applyFill="1" applyBorder="1" applyAlignment="1">
      <alignment horizontal="center" vertical="top" wrapText="1"/>
    </xf>
    <xf numFmtId="0" fontId="27" fillId="0" borderId="0" xfId="0" applyFont="1"/>
    <xf numFmtId="188" fontId="17" fillId="0" borderId="0" xfId="0" applyNumberFormat="1" applyFont="1"/>
    <xf numFmtId="184" fontId="28" fillId="0" borderId="0" xfId="0" applyNumberFormat="1" applyFont="1" applyAlignment="1">
      <alignment horizontal="right" vertical="center" wrapText="1"/>
    </xf>
    <xf numFmtId="0" fontId="29" fillId="0" borderId="1" xfId="0" applyFont="1" applyBorder="1" applyAlignment="1">
      <alignment horizontal="left"/>
    </xf>
    <xf numFmtId="180" fontId="30" fillId="3" borderId="6" xfId="0" applyNumberFormat="1" applyFont="1" applyFill="1" applyBorder="1" applyAlignment="1">
      <alignment horizontal="center" vertical="center"/>
    </xf>
    <xf numFmtId="180" fontId="30" fillId="0" borderId="10" xfId="0" applyNumberFormat="1" applyFont="1" applyBorder="1" applyAlignment="1">
      <alignment horizontal="left" vertical="center"/>
    </xf>
    <xf numFmtId="180" fontId="30" fillId="0" borderId="11" xfId="0" applyNumberFormat="1" applyFont="1" applyBorder="1" applyAlignment="1">
      <alignment horizontal="left" vertical="center"/>
    </xf>
    <xf numFmtId="180" fontId="30" fillId="0" borderId="36" xfId="0" applyNumberFormat="1" applyFont="1" applyBorder="1" applyAlignment="1">
      <alignment horizontal="left" vertical="center"/>
    </xf>
    <xf numFmtId="180" fontId="30" fillId="0" borderId="53" xfId="0" applyNumberFormat="1" applyFont="1" applyBorder="1" applyAlignment="1">
      <alignment horizontal="left" vertical="top"/>
    </xf>
    <xf numFmtId="180" fontId="30" fillId="0" borderId="13" xfId="0" applyNumberFormat="1" applyFont="1" applyBorder="1" applyAlignment="1">
      <alignment horizontal="left" vertical="center"/>
    </xf>
    <xf numFmtId="180" fontId="30" fillId="0" borderId="14" xfId="0" applyNumberFormat="1" applyFont="1" applyBorder="1" applyAlignment="1">
      <alignment horizontal="left" vertical="center"/>
    </xf>
    <xf numFmtId="180" fontId="30" fillId="0" borderId="52" xfId="0" applyNumberFormat="1" applyFont="1" applyBorder="1" applyAlignment="1">
      <alignment horizontal="left" vertical="center"/>
    </xf>
    <xf numFmtId="180" fontId="30" fillId="0" borderId="15" xfId="0" applyNumberFormat="1" applyFont="1" applyBorder="1" applyAlignment="1">
      <alignment horizontal="left" vertical="center"/>
    </xf>
    <xf numFmtId="180" fontId="30" fillId="0" borderId="45" xfId="0" applyNumberFormat="1" applyFont="1" applyBorder="1" applyAlignment="1">
      <alignment horizontal="left" vertical="top"/>
    </xf>
    <xf numFmtId="180" fontId="30" fillId="3" borderId="18" xfId="0" applyNumberFormat="1" applyFont="1" applyFill="1" applyBorder="1" applyAlignment="1">
      <alignment horizontal="center" vertical="center"/>
    </xf>
    <xf numFmtId="180" fontId="30" fillId="0" borderId="19" xfId="0" applyNumberFormat="1" applyFont="1" applyBorder="1" applyAlignment="1">
      <alignment horizontal="left" vertical="center" wrapText="1"/>
    </xf>
    <xf numFmtId="180" fontId="30" fillId="0" borderId="20" xfId="0" applyNumberFormat="1" applyFont="1" applyBorder="1" applyAlignment="1">
      <alignment horizontal="left" vertical="center" wrapText="1"/>
    </xf>
    <xf numFmtId="180" fontId="30" fillId="0" borderId="61" xfId="0" applyNumberFormat="1" applyFont="1" applyBorder="1" applyAlignment="1">
      <alignment horizontal="left" vertical="center" wrapText="1"/>
    </xf>
    <xf numFmtId="10" fontId="29" fillId="0" borderId="21" xfId="0" applyNumberFormat="1" applyFont="1" applyBorder="1" applyAlignment="1">
      <alignment horizontal="center" vertical="center"/>
    </xf>
    <xf numFmtId="10" fontId="29" fillId="0" borderId="22" xfId="0" applyNumberFormat="1" applyFont="1" applyBorder="1" applyAlignment="1">
      <alignment horizontal="center" vertical="center"/>
    </xf>
    <xf numFmtId="49" fontId="29" fillId="0" borderId="22" xfId="0" applyNumberFormat="1" applyFont="1" applyBorder="1" applyAlignment="1">
      <alignment horizontal="center" vertical="center"/>
    </xf>
    <xf numFmtId="181" fontId="29" fillId="0" borderId="22" xfId="0" applyNumberFormat="1" applyFont="1" applyBorder="1" applyAlignment="1">
      <alignment horizontal="center" vertical="center"/>
    </xf>
    <xf numFmtId="0" fontId="31" fillId="3" borderId="8" xfId="0" applyFont="1" applyFill="1" applyBorder="1" applyAlignment="1">
      <alignment horizontal="center" wrapText="1"/>
    </xf>
    <xf numFmtId="0" fontId="32" fillId="14" borderId="26" xfId="0" applyFont="1" applyFill="1" applyBorder="1" applyAlignment="1">
      <alignment horizontal="center" vertical="center" wrapText="1"/>
    </xf>
    <xf numFmtId="0" fontId="32" fillId="14" borderId="28" xfId="0" applyFont="1" applyFill="1" applyBorder="1" applyAlignment="1">
      <alignment horizontal="center" vertical="center" wrapText="1"/>
    </xf>
    <xf numFmtId="0" fontId="32" fillId="0" borderId="42" xfId="0" applyFont="1" applyBorder="1" applyAlignment="1">
      <alignment horizontal="left" vertical="center" wrapText="1"/>
    </xf>
    <xf numFmtId="184" fontId="32" fillId="0" borderId="42" xfId="0" applyNumberFormat="1" applyFont="1" applyBorder="1" applyAlignment="1">
      <alignment horizontal="right" vertical="center" wrapText="1"/>
    </xf>
    <xf numFmtId="189" fontId="32" fillId="0" borderId="42" xfId="0" applyNumberFormat="1" applyFont="1" applyBorder="1" applyAlignment="1">
      <alignment horizontal="right" vertical="center" wrapText="1"/>
    </xf>
    <xf numFmtId="189" fontId="32" fillId="0" borderId="45" xfId="0" applyNumberFormat="1" applyFont="1" applyBorder="1" applyAlignment="1">
      <alignment horizontal="right" vertical="center" wrapText="1"/>
    </xf>
    <xf numFmtId="0" fontId="2" fillId="0" borderId="44" xfId="0" applyFont="1" applyBorder="1"/>
    <xf numFmtId="184" fontId="32" fillId="14" borderId="26" xfId="0" applyNumberFormat="1" applyFont="1" applyFill="1" applyBorder="1" applyAlignment="1">
      <alignment horizontal="right" vertical="center" wrapText="1"/>
    </xf>
    <xf numFmtId="184" fontId="32" fillId="14" borderId="28" xfId="0" applyNumberFormat="1" applyFont="1" applyFill="1" applyBorder="1" applyAlignment="1">
      <alignment horizontal="right" vertical="center" wrapText="1"/>
    </xf>
    <xf numFmtId="0" fontId="33" fillId="0" borderId="42" xfId="0" applyFont="1" applyBorder="1" applyAlignment="1">
      <alignment wrapText="1"/>
    </xf>
    <xf numFmtId="0" fontId="33" fillId="0" borderId="45" xfId="0" applyFont="1" applyBorder="1" applyAlignment="1">
      <alignment wrapText="1"/>
    </xf>
    <xf numFmtId="0" fontId="33" fillId="0" borderId="44" xfId="0" applyFont="1" applyBorder="1" applyAlignment="1">
      <alignment wrapText="1"/>
    </xf>
    <xf numFmtId="0" fontId="33" fillId="0" borderId="27" xfId="0" applyFont="1" applyBorder="1" applyAlignment="1">
      <alignment wrapText="1"/>
    </xf>
    <xf numFmtId="0" fontId="29" fillId="0" borderId="0" xfId="0" applyFont="1"/>
    <xf numFmtId="180" fontId="29" fillId="0" borderId="64" xfId="0" applyNumberFormat="1" applyFont="1" applyBorder="1" applyAlignment="1">
      <alignment horizontal="center" vertical="center"/>
    </xf>
    <xf numFmtId="0" fontId="33" fillId="0" borderId="17" xfId="0" applyFont="1" applyBorder="1" applyAlignment="1">
      <alignment wrapText="1"/>
    </xf>
    <xf numFmtId="0" fontId="33" fillId="0" borderId="38" xfId="0" applyFont="1" applyBorder="1" applyAlignment="1">
      <alignment wrapText="1"/>
    </xf>
    <xf numFmtId="189" fontId="34" fillId="0" borderId="42" xfId="0" applyNumberFormat="1" applyFont="1" applyBorder="1" applyAlignment="1">
      <alignment horizontal="right" vertical="center" wrapText="1"/>
    </xf>
    <xf numFmtId="4" fontId="29" fillId="0" borderId="0" xfId="0" applyNumberFormat="1" applyFont="1"/>
    <xf numFmtId="184" fontId="34" fillId="0" borderId="26" xfId="0" applyNumberFormat="1" applyFont="1" applyBorder="1" applyAlignment="1">
      <alignment horizontal="right" vertical="center" wrapText="1"/>
    </xf>
    <xf numFmtId="184" fontId="32" fillId="14" borderId="42" xfId="0" applyNumberFormat="1" applyFont="1" applyFill="1" applyBorder="1" applyAlignment="1">
      <alignment horizontal="right" vertical="center" wrapText="1"/>
    </xf>
    <xf numFmtId="184" fontId="32" fillId="14" borderId="45" xfId="0" applyNumberFormat="1" applyFont="1" applyFill="1" applyBorder="1" applyAlignment="1">
      <alignment horizontal="right" vertical="center" wrapText="1"/>
    </xf>
    <xf numFmtId="0" fontId="33" fillId="0" borderId="43" xfId="0" applyFont="1" applyBorder="1" applyAlignment="1">
      <alignment wrapText="1"/>
    </xf>
    <xf numFmtId="0" fontId="2" fillId="0" borderId="42" xfId="0" applyFont="1" applyBorder="1" applyAlignment="1">
      <alignment horizontal="left"/>
    </xf>
    <xf numFmtId="177" fontId="2" fillId="0" borderId="45" xfId="2" applyFont="1" applyBorder="1" applyAlignment="1">
      <alignment horizontal="center"/>
    </xf>
    <xf numFmtId="0" fontId="33" fillId="0" borderId="65" xfId="0" applyFont="1" applyBorder="1" applyAlignment="1">
      <alignment wrapText="1"/>
    </xf>
    <xf numFmtId="0" fontId="33" fillId="0" borderId="66" xfId="0" applyFont="1" applyBorder="1" applyAlignment="1">
      <alignment wrapText="1"/>
    </xf>
    <xf numFmtId="189" fontId="32" fillId="0" borderId="66" xfId="0" applyNumberFormat="1" applyFont="1" applyBorder="1" applyAlignment="1">
      <alignment horizontal="right" vertical="center" wrapText="1"/>
    </xf>
    <xf numFmtId="189" fontId="32" fillId="0" borderId="67" xfId="0" applyNumberFormat="1" applyFont="1" applyBorder="1" applyAlignment="1">
      <alignment horizontal="right" vertical="center" wrapText="1"/>
    </xf>
    <xf numFmtId="0" fontId="2" fillId="0" borderId="44" xfId="0" applyFont="1" applyBorder="1" applyAlignment="1">
      <alignment horizontal="left"/>
    </xf>
    <xf numFmtId="177" fontId="2" fillId="0" borderId="27" xfId="2" applyFont="1" applyBorder="1" applyAlignment="1">
      <alignment horizontal="center"/>
    </xf>
    <xf numFmtId="0" fontId="33" fillId="0" borderId="68" xfId="0" applyFont="1" applyBorder="1" applyAlignment="1">
      <alignment wrapText="1"/>
    </xf>
    <xf numFmtId="0" fontId="33" fillId="0" borderId="69" xfId="0" applyFont="1" applyBorder="1" applyAlignment="1">
      <alignment wrapText="1"/>
    </xf>
    <xf numFmtId="184" fontId="32" fillId="14" borderId="70" xfId="0" applyNumberFormat="1" applyFont="1" applyFill="1" applyBorder="1" applyAlignment="1">
      <alignment horizontal="right" vertical="center" wrapText="1"/>
    </xf>
    <xf numFmtId="184" fontId="32" fillId="14" borderId="71" xfId="0" applyNumberFormat="1" applyFont="1" applyFill="1" applyBorder="1" applyAlignment="1">
      <alignment horizontal="right" vertical="center" wrapText="1"/>
    </xf>
    <xf numFmtId="0" fontId="33" fillId="0" borderId="29" xfId="0" applyFont="1" applyBorder="1" applyAlignment="1">
      <alignment wrapText="1"/>
    </xf>
    <xf numFmtId="0" fontId="33" fillId="14" borderId="45" xfId="0" applyFont="1" applyFill="1" applyBorder="1" applyAlignment="1">
      <alignment wrapText="1"/>
    </xf>
    <xf numFmtId="0" fontId="33" fillId="14" borderId="16" xfId="0" applyFont="1" applyFill="1" applyBorder="1" applyAlignment="1">
      <alignment wrapText="1"/>
    </xf>
    <xf numFmtId="184" fontId="32" fillId="14" borderId="17" xfId="0" applyNumberFormat="1" applyFont="1" applyFill="1" applyBorder="1" applyAlignment="1">
      <alignment horizontal="right" vertical="center" wrapText="1"/>
    </xf>
    <xf numFmtId="0" fontId="33" fillId="14" borderId="27" xfId="0" applyFont="1" applyFill="1" applyBorder="1" applyAlignment="1">
      <alignment wrapText="1"/>
    </xf>
    <xf numFmtId="0" fontId="33" fillId="14" borderId="9" xfId="0" applyFont="1" applyFill="1" applyBorder="1" applyAlignment="1">
      <alignment wrapText="1"/>
    </xf>
    <xf numFmtId="0" fontId="32" fillId="0" borderId="0" xfId="0" applyFont="1"/>
    <xf numFmtId="0" fontId="2" fillId="0" borderId="72" xfId="0" applyFont="1" applyBorder="1"/>
    <xf numFmtId="0" fontId="2" fillId="0" borderId="73" xfId="0" applyFont="1" applyBorder="1"/>
    <xf numFmtId="0" fontId="33" fillId="0" borderId="40" xfId="0" applyFont="1" applyBorder="1" applyAlignment="1">
      <alignment wrapText="1"/>
    </xf>
    <xf numFmtId="184" fontId="32" fillId="14" borderId="39" xfId="0" applyNumberFormat="1" applyFont="1" applyFill="1" applyBorder="1" applyAlignment="1">
      <alignment horizontal="right" vertical="center" wrapText="1"/>
    </xf>
    <xf numFmtId="0" fontId="33" fillId="0" borderId="74" xfId="0" applyFont="1" applyBorder="1" applyAlignment="1">
      <alignment wrapText="1"/>
    </xf>
    <xf numFmtId="189" fontId="34" fillId="0" borderId="17" xfId="0" applyNumberFormat="1" applyFont="1" applyBorder="1" applyAlignment="1">
      <alignment horizontal="right" vertical="center" wrapText="1"/>
    </xf>
    <xf numFmtId="0" fontId="33" fillId="0" borderId="75" xfId="0" applyFont="1" applyBorder="1" applyAlignment="1">
      <alignment wrapText="1"/>
    </xf>
    <xf numFmtId="184" fontId="34" fillId="0" borderId="39" xfId="0" applyNumberFormat="1" applyFont="1" applyBorder="1" applyAlignment="1">
      <alignment horizontal="right" vertical="center" wrapText="1"/>
    </xf>
    <xf numFmtId="189" fontId="32" fillId="0" borderId="43" xfId="0" applyNumberFormat="1" applyFont="1" applyBorder="1" applyAlignment="1">
      <alignment horizontal="right" vertical="center" wrapText="1"/>
    </xf>
    <xf numFmtId="0" fontId="0" fillId="0" borderId="0" xfId="0" applyAlignment="1">
      <alignment wrapText="1"/>
    </xf>
    <xf numFmtId="190" fontId="0" fillId="0" borderId="0" xfId="0" applyNumberFormat="1"/>
    <xf numFmtId="0" fontId="1" fillId="5" borderId="1" xfId="0" applyFont="1" applyFill="1" applyBorder="1" applyAlignment="1">
      <alignment horizontal="center" vertical="center"/>
    </xf>
    <xf numFmtId="180" fontId="11" fillId="0" borderId="10" xfId="0" applyNumberFormat="1" applyFont="1" applyBorder="1" applyAlignment="1">
      <alignment vertical="center"/>
    </xf>
    <xf numFmtId="180" fontId="11" fillId="0" borderId="8" xfId="0" applyNumberFormat="1" applyFont="1" applyBorder="1" applyAlignment="1">
      <alignment vertical="center"/>
    </xf>
    <xf numFmtId="0" fontId="35" fillId="0" borderId="4" xfId="0" applyFont="1" applyBorder="1" applyAlignment="1">
      <alignment vertical="center" wrapText="1"/>
    </xf>
    <xf numFmtId="49" fontId="3" fillId="3" borderId="23" xfId="0" applyNumberFormat="1" applyFont="1" applyFill="1" applyBorder="1" applyAlignment="1">
      <alignment horizontal="center" vertical="center"/>
    </xf>
    <xf numFmtId="180" fontId="3" fillId="3" borderId="24" xfId="0" applyNumberFormat="1" applyFont="1" applyFill="1" applyBorder="1" applyAlignment="1">
      <alignment horizontal="center" vertical="center"/>
    </xf>
    <xf numFmtId="180" fontId="3" fillId="3" borderId="24" xfId="0" applyNumberFormat="1" applyFont="1" applyFill="1" applyBorder="1" applyAlignment="1">
      <alignment horizontal="center" vertical="center" wrapText="1"/>
    </xf>
    <xf numFmtId="0" fontId="8" fillId="8" borderId="46" xfId="49" applyFont="1" applyFill="1" applyBorder="1" applyAlignment="1">
      <alignment horizontal="left" vertical="top" wrapText="1"/>
    </xf>
    <xf numFmtId="0" fontId="8" fillId="8" borderId="46" xfId="49" applyFont="1" applyFill="1" applyBorder="1" applyAlignment="1">
      <alignment horizontal="center" vertical="top" wrapText="1"/>
    </xf>
    <xf numFmtId="0" fontId="8" fillId="8" borderId="46" xfId="49" applyFont="1" applyFill="1" applyBorder="1" applyAlignment="1">
      <alignment horizontal="right" vertical="top" wrapText="1"/>
    </xf>
    <xf numFmtId="4" fontId="8" fillId="8" borderId="46" xfId="49" applyNumberFormat="1" applyFont="1" applyFill="1" applyBorder="1" applyAlignment="1">
      <alignment horizontal="right" vertical="top" wrapText="1"/>
    </xf>
    <xf numFmtId="0" fontId="23" fillId="9" borderId="46" xfId="49" applyFont="1" applyFill="1" applyBorder="1" applyAlignment="1">
      <alignment horizontal="left" vertical="top" wrapText="1"/>
    </xf>
    <xf numFmtId="0" fontId="23" fillId="9" borderId="46" xfId="49" applyFont="1" applyFill="1" applyBorder="1" applyAlignment="1">
      <alignment horizontal="center" vertical="top" wrapText="1"/>
    </xf>
    <xf numFmtId="0" fontId="23" fillId="9" borderId="46" xfId="49" applyFont="1" applyFill="1" applyBorder="1" applyAlignment="1">
      <alignment horizontal="right" vertical="top" wrapText="1"/>
    </xf>
    <xf numFmtId="4" fontId="23" fillId="9" borderId="46" xfId="49" applyNumberFormat="1" applyFont="1" applyFill="1" applyBorder="1" applyAlignment="1">
      <alignment horizontal="right" vertical="top" wrapText="1"/>
    </xf>
    <xf numFmtId="180" fontId="3" fillId="3" borderId="25" xfId="0" applyNumberFormat="1" applyFont="1" applyFill="1" applyBorder="1" applyAlignment="1">
      <alignment horizontal="center" vertical="center" wrapText="1"/>
    </xf>
    <xf numFmtId="180" fontId="3" fillId="15" borderId="47" xfId="0" applyNumberFormat="1" applyFont="1" applyFill="1" applyBorder="1" applyAlignment="1" applyProtection="1">
      <alignment horizontal="center" vertical="center" wrapText="1"/>
    </xf>
    <xf numFmtId="190" fontId="3" fillId="15" borderId="47" xfId="0" applyNumberFormat="1" applyFont="1" applyFill="1" applyBorder="1" applyAlignment="1" applyProtection="1">
      <alignment horizontal="center" vertical="center" wrapText="1"/>
    </xf>
    <xf numFmtId="4" fontId="8" fillId="8" borderId="76" xfId="49" applyNumberFormat="1" applyFont="1" applyFill="1" applyBorder="1" applyAlignment="1">
      <alignment horizontal="right" vertical="top" wrapText="1"/>
    </xf>
    <xf numFmtId="10" fontId="0" fillId="0" borderId="47" xfId="3" applyNumberFormat="1" applyBorder="1"/>
    <xf numFmtId="190" fontId="36" fillId="0" borderId="47" xfId="0" applyNumberFormat="1" applyFont="1" applyBorder="1"/>
    <xf numFmtId="4" fontId="23" fillId="9" borderId="76" xfId="49" applyNumberFormat="1" applyFont="1" applyFill="1" applyBorder="1" applyAlignment="1">
      <alignment horizontal="right" vertical="top" wrapText="1"/>
    </xf>
    <xf numFmtId="190" fontId="0" fillId="0" borderId="47" xfId="0" applyNumberFormat="1" applyBorder="1"/>
    <xf numFmtId="0" fontId="23" fillId="12" borderId="46" xfId="49" applyFont="1" applyFill="1" applyBorder="1" applyAlignment="1">
      <alignment horizontal="left" vertical="top" wrapText="1"/>
    </xf>
    <xf numFmtId="0" fontId="23" fillId="12" borderId="46" xfId="49" applyFont="1" applyFill="1" applyBorder="1" applyAlignment="1">
      <alignment horizontal="center" vertical="top" wrapText="1"/>
    </xf>
    <xf numFmtId="0" fontId="23" fillId="12" borderId="46" xfId="49" applyFont="1" applyFill="1" applyBorder="1" applyAlignment="1">
      <alignment horizontal="right" vertical="top" wrapText="1"/>
    </xf>
    <xf numFmtId="4" fontId="23" fillId="12" borderId="46" xfId="49" applyNumberFormat="1" applyFont="1" applyFill="1" applyBorder="1" applyAlignment="1">
      <alignment horizontal="right" vertical="top" wrapText="1"/>
    </xf>
    <xf numFmtId="10" fontId="36" fillId="0" borderId="47" xfId="3" applyNumberFormat="1" applyFont="1" applyBorder="1"/>
    <xf numFmtId="4" fontId="23" fillId="12" borderId="76" xfId="49" applyNumberFormat="1" applyFont="1" applyFill="1" applyBorder="1" applyAlignment="1">
      <alignment horizontal="right" vertical="top" wrapText="1"/>
    </xf>
    <xf numFmtId="0" fontId="25" fillId="5" borderId="0" xfId="49" applyFont="1" applyFill="1" applyAlignment="1">
      <alignment horizontal="left" vertical="top" wrapText="1"/>
    </xf>
    <xf numFmtId="0" fontId="25" fillId="5" borderId="0" xfId="49" applyFont="1" applyFill="1" applyAlignment="1">
      <alignment horizontal="right" vertical="top" wrapText="1"/>
    </xf>
    <xf numFmtId="4" fontId="25" fillId="5" borderId="0" xfId="49" applyNumberFormat="1" applyFont="1" applyFill="1" applyAlignment="1">
      <alignment horizontal="right" vertical="top" wrapText="1"/>
    </xf>
    <xf numFmtId="0" fontId="37" fillId="16" borderId="77" xfId="0" applyFont="1" applyFill="1" applyBorder="1" applyAlignment="1" applyProtection="1">
      <alignment horizontal="center" vertical="top" wrapText="1"/>
    </xf>
    <xf numFmtId="0" fontId="37" fillId="16" borderId="78" xfId="0" applyFont="1" applyFill="1" applyBorder="1" applyAlignment="1" applyProtection="1">
      <alignment horizontal="center" vertical="top" wrapText="1"/>
    </xf>
    <xf numFmtId="10" fontId="37" fillId="16" borderId="79" xfId="3" applyNumberFormat="1" applyFont="1" applyFill="1" applyBorder="1" applyAlignment="1" applyProtection="1">
      <alignment horizontal="center" vertical="top" wrapText="1"/>
    </xf>
    <xf numFmtId="184" fontId="37" fillId="16" borderId="80" xfId="0" applyNumberFormat="1" applyFont="1" applyFill="1" applyBorder="1" applyAlignment="1" applyProtection="1">
      <alignment horizontal="center" vertical="top" wrapText="1"/>
    </xf>
    <xf numFmtId="190" fontId="36" fillId="0" borderId="0" xfId="0" applyNumberFormat="1" applyFont="1"/>
    <xf numFmtId="180" fontId="3" fillId="2" borderId="6" xfId="0" applyNumberFormat="1" applyFont="1" applyFill="1" applyBorder="1" applyAlignment="1">
      <alignment horizontal="center" vertical="center"/>
    </xf>
    <xf numFmtId="180" fontId="11" fillId="0" borderId="11" xfId="0" applyNumberFormat="1" applyFont="1" applyBorder="1" applyAlignment="1">
      <alignment vertical="center"/>
    </xf>
    <xf numFmtId="180" fontId="11" fillId="0" borderId="5" xfId="0" applyNumberFormat="1" applyFont="1" applyBorder="1" applyAlignment="1">
      <alignment vertical="center"/>
    </xf>
    <xf numFmtId="180" fontId="11" fillId="3" borderId="34" xfId="0" applyNumberFormat="1" applyFont="1" applyFill="1" applyBorder="1" applyAlignment="1">
      <alignment horizontal="center" vertical="center"/>
    </xf>
    <xf numFmtId="10" fontId="4" fillId="0" borderId="62" xfId="0" applyNumberFormat="1" applyFont="1" applyBorder="1" applyAlignment="1">
      <alignment horizontal="center" vertical="center"/>
    </xf>
    <xf numFmtId="49" fontId="4" fillId="0" borderId="62" xfId="0" applyNumberFormat="1" applyFont="1" applyBorder="1" applyAlignment="1">
      <alignment horizontal="center" vertical="center"/>
    </xf>
    <xf numFmtId="181" fontId="4" fillId="0" borderId="62" xfId="0" applyNumberFormat="1" applyFont="1" applyBorder="1" applyAlignment="1">
      <alignment horizontal="center" vertical="center"/>
    </xf>
    <xf numFmtId="49" fontId="3" fillId="2" borderId="6" xfId="0" applyNumberFormat="1" applyFont="1" applyFill="1" applyBorder="1" applyAlignment="1">
      <alignment horizontal="center" vertical="center"/>
    </xf>
    <xf numFmtId="0" fontId="3" fillId="2" borderId="54" xfId="0" applyFont="1" applyFill="1" applyBorder="1" applyAlignment="1">
      <alignment horizontal="center" vertical="center"/>
    </xf>
    <xf numFmtId="0" fontId="3" fillId="2" borderId="25" xfId="0" applyFont="1" applyFill="1" applyBorder="1" applyAlignment="1">
      <alignment horizontal="center" vertical="center"/>
    </xf>
    <xf numFmtId="0" fontId="2" fillId="0" borderId="81" xfId="0" applyFont="1" applyBorder="1"/>
    <xf numFmtId="3" fontId="3" fillId="0" borderId="26" xfId="0" applyNumberFormat="1" applyFont="1" applyBorder="1" applyAlignment="1">
      <alignment horizontal="center" vertical="center"/>
    </xf>
    <xf numFmtId="180" fontId="3" fillId="0" borderId="25" xfId="0" applyNumberFormat="1" applyFont="1" applyBorder="1" applyAlignment="1">
      <alignment vertical="center" wrapText="1"/>
    </xf>
    <xf numFmtId="180" fontId="3" fillId="0" borderId="7" xfId="0" applyNumberFormat="1" applyFont="1" applyBorder="1" applyAlignment="1">
      <alignment vertical="center" wrapText="1"/>
    </xf>
    <xf numFmtId="180" fontId="3" fillId="0" borderId="81" xfId="0" applyNumberFormat="1" applyFont="1" applyBorder="1" applyAlignment="1">
      <alignment vertical="center" wrapText="1"/>
    </xf>
    <xf numFmtId="184" fontId="3" fillId="0" borderId="53" xfId="0" applyNumberFormat="1" applyFont="1" applyBorder="1" applyAlignment="1">
      <alignment horizontal="right" vertical="center"/>
    </xf>
    <xf numFmtId="184" fontId="3" fillId="0" borderId="25" xfId="0" applyNumberFormat="1" applyFont="1" applyBorder="1" applyAlignment="1">
      <alignment horizontal="right" vertical="center"/>
    </xf>
    <xf numFmtId="0" fontId="2" fillId="0" borderId="11" xfId="0" applyFont="1" applyBorder="1" applyAlignment="1">
      <alignment wrapText="1"/>
    </xf>
    <xf numFmtId="0" fontId="2" fillId="0" borderId="12" xfId="0" applyFont="1" applyBorder="1" applyAlignment="1">
      <alignment wrapText="1"/>
    </xf>
    <xf numFmtId="0" fontId="2" fillId="0" borderId="2" xfId="0" applyFont="1" applyBorder="1" applyAlignment="1">
      <alignment wrapText="1"/>
    </xf>
    <xf numFmtId="0" fontId="2" fillId="0" borderId="82" xfId="0" applyFont="1" applyBorder="1" applyAlignment="1">
      <alignment wrapText="1"/>
    </xf>
    <xf numFmtId="1" fontId="3" fillId="2" borderId="6" xfId="0" applyNumberFormat="1" applyFont="1" applyFill="1" applyBorder="1" applyAlignment="1">
      <alignment horizontal="center" vertical="center"/>
    </xf>
    <xf numFmtId="184" fontId="3" fillId="2" borderId="25" xfId="0" applyNumberFormat="1" applyFont="1" applyFill="1" applyBorder="1" applyAlignment="1">
      <alignment horizontal="right" vertical="center"/>
    </xf>
    <xf numFmtId="184" fontId="5" fillId="0" borderId="0" xfId="0" applyNumberFormat="1" applyFont="1" applyAlignment="1">
      <alignment vertical="center"/>
    </xf>
    <xf numFmtId="184" fontId="3" fillId="0" borderId="35" xfId="0" applyNumberFormat="1" applyFont="1" applyBorder="1" applyAlignment="1">
      <alignment horizontal="right" vertical="center"/>
    </xf>
  </cellXfs>
  <cellStyles count="51">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Normal 2" xfId="49"/>
    <cellStyle name="Normal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1.jpe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381000</xdr:colOff>
      <xdr:row>0</xdr:row>
      <xdr:rowOff>38100</xdr:rowOff>
    </xdr:from>
    <xdr:ext cx="5705475" cy="1792605"/>
    <xdr:pic>
      <xdr:nvPicPr>
        <xdr:cNvPr id="2" name="image1.jpg"/>
        <xdr:cNvPicPr preferRelativeResize="0"/>
      </xdr:nvPicPr>
      <xdr:blipFill>
        <a:blip r:embed="rId1" cstate="print"/>
        <a:stretch>
          <a:fillRect/>
        </a:stretch>
      </xdr:blipFill>
      <xdr:spPr>
        <a:xfrm>
          <a:off x="2003425" y="38100"/>
          <a:ext cx="5705475" cy="1792605"/>
        </a:xfrm>
        <a:prstGeom prst="rect">
          <a:avLst/>
        </a:prstGeom>
        <a:noFill/>
      </xdr:spPr>
    </xdr:pic>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446809</xdr:colOff>
      <xdr:row>0</xdr:row>
      <xdr:rowOff>36368</xdr:rowOff>
    </xdr:from>
    <xdr:ext cx="4762500" cy="1474470"/>
    <xdr:pic>
      <xdr:nvPicPr>
        <xdr:cNvPr id="2" name="image1.jpg"/>
        <xdr:cNvPicPr preferRelativeResize="0"/>
      </xdr:nvPicPr>
      <xdr:blipFill>
        <a:blip r:embed="rId1" cstate="print"/>
        <a:stretch>
          <a:fillRect/>
        </a:stretch>
      </xdr:blipFill>
      <xdr:spPr>
        <a:xfrm>
          <a:off x="3135630" y="36195"/>
          <a:ext cx="4762500" cy="147447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xdr:col>
      <xdr:colOff>685800</xdr:colOff>
      <xdr:row>0</xdr:row>
      <xdr:rowOff>57150</xdr:rowOff>
    </xdr:from>
    <xdr:ext cx="6210300" cy="1933575"/>
    <xdr:pic>
      <xdr:nvPicPr>
        <xdr:cNvPr id="2" name="image1.jpg"/>
        <xdr:cNvPicPr preferRelativeResize="0"/>
      </xdr:nvPicPr>
      <xdr:blipFill>
        <a:blip r:embed="rId1" cstate="print"/>
        <a:stretch>
          <a:fillRect/>
        </a:stretch>
      </xdr:blipFill>
      <xdr:spPr>
        <a:xfrm>
          <a:off x="1397000" y="57150"/>
          <a:ext cx="6210300" cy="1933575"/>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2</xdr:col>
      <xdr:colOff>1009650</xdr:colOff>
      <xdr:row>0</xdr:row>
      <xdr:rowOff>0</xdr:rowOff>
    </xdr:from>
    <xdr:ext cx="6162675" cy="1855470"/>
    <xdr:pic>
      <xdr:nvPicPr>
        <xdr:cNvPr id="2" name="image1.jpg"/>
        <xdr:cNvPicPr preferRelativeResize="0"/>
      </xdr:nvPicPr>
      <xdr:blipFill>
        <a:blip r:embed="rId1" cstate="print"/>
        <a:stretch>
          <a:fillRect/>
        </a:stretch>
      </xdr:blipFill>
      <xdr:spPr>
        <a:xfrm>
          <a:off x="2386965" y="0"/>
          <a:ext cx="6162675" cy="1855470"/>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1</xdr:col>
      <xdr:colOff>571500</xdr:colOff>
      <xdr:row>0</xdr:row>
      <xdr:rowOff>76200</xdr:rowOff>
    </xdr:from>
    <xdr:ext cx="6115050" cy="1818005"/>
    <xdr:pic>
      <xdr:nvPicPr>
        <xdr:cNvPr id="2" name="image1.jpg"/>
        <xdr:cNvPicPr preferRelativeResize="0"/>
      </xdr:nvPicPr>
      <xdr:blipFill>
        <a:blip r:embed="rId1" cstate="print"/>
        <a:stretch>
          <a:fillRect/>
        </a:stretch>
      </xdr:blipFill>
      <xdr:spPr>
        <a:xfrm>
          <a:off x="1527175" y="76200"/>
          <a:ext cx="6115050" cy="1818005"/>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2</xdr:col>
      <xdr:colOff>304800</xdr:colOff>
      <xdr:row>0</xdr:row>
      <xdr:rowOff>57150</xdr:rowOff>
    </xdr:from>
    <xdr:ext cx="6162675" cy="1811655"/>
    <xdr:pic>
      <xdr:nvPicPr>
        <xdr:cNvPr id="2" name="image1.jpg"/>
        <xdr:cNvPicPr preferRelativeResize="0"/>
      </xdr:nvPicPr>
      <xdr:blipFill>
        <a:blip r:embed="rId1" cstate="print"/>
        <a:stretch>
          <a:fillRect/>
        </a:stretch>
      </xdr:blipFill>
      <xdr:spPr>
        <a:xfrm>
          <a:off x="2423160" y="57150"/>
          <a:ext cx="6162675" cy="1811655"/>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0</xdr:col>
      <xdr:colOff>1009650</xdr:colOff>
      <xdr:row>81</xdr:row>
      <xdr:rowOff>57150</xdr:rowOff>
    </xdr:from>
    <xdr:ext cx="5410200" cy="2800350"/>
    <xdr:pic>
      <xdr:nvPicPr>
        <xdr:cNvPr id="2" name="image5.png"/>
        <xdr:cNvPicPr preferRelativeResize="0"/>
      </xdr:nvPicPr>
      <xdr:blipFill>
        <a:blip r:embed="rId1" cstate="print"/>
        <a:stretch>
          <a:fillRect/>
        </a:stretch>
      </xdr:blipFill>
      <xdr:spPr>
        <a:xfrm>
          <a:off x="1009650" y="16116300"/>
          <a:ext cx="5410200" cy="2800350"/>
        </a:xfrm>
        <a:prstGeom prst="rect">
          <a:avLst/>
        </a:prstGeom>
        <a:noFill/>
      </xdr:spPr>
    </xdr:pic>
    <xdr:clientData fLocksWithSheet="0"/>
  </xdr:oneCellAnchor>
  <xdr:oneCellAnchor>
    <xdr:from>
      <xdr:col>0</xdr:col>
      <xdr:colOff>1009650</xdr:colOff>
      <xdr:row>96</xdr:row>
      <xdr:rowOff>9525</xdr:rowOff>
    </xdr:from>
    <xdr:ext cx="5981700" cy="3838575"/>
    <xdr:pic>
      <xdr:nvPicPr>
        <xdr:cNvPr id="3" name="image3.png"/>
        <xdr:cNvPicPr preferRelativeResize="0"/>
      </xdr:nvPicPr>
      <xdr:blipFill>
        <a:blip r:embed="rId2" cstate="print"/>
        <a:stretch>
          <a:fillRect/>
        </a:stretch>
      </xdr:blipFill>
      <xdr:spPr>
        <a:xfrm>
          <a:off x="1009650" y="19069050"/>
          <a:ext cx="5981700" cy="3838575"/>
        </a:xfrm>
        <a:prstGeom prst="rect">
          <a:avLst/>
        </a:prstGeom>
        <a:noFill/>
      </xdr:spPr>
    </xdr:pic>
    <xdr:clientData fLocksWithSheet="0"/>
  </xdr:oneCellAnchor>
  <xdr:oneCellAnchor>
    <xdr:from>
      <xdr:col>0</xdr:col>
      <xdr:colOff>1038225</xdr:colOff>
      <xdr:row>116</xdr:row>
      <xdr:rowOff>47625</xdr:rowOff>
    </xdr:from>
    <xdr:ext cx="5019675" cy="2486025"/>
    <xdr:pic>
      <xdr:nvPicPr>
        <xdr:cNvPr id="4" name="image6.png"/>
        <xdr:cNvPicPr preferRelativeResize="0"/>
      </xdr:nvPicPr>
      <xdr:blipFill>
        <a:blip r:embed="rId3" cstate="print"/>
        <a:stretch>
          <a:fillRect/>
        </a:stretch>
      </xdr:blipFill>
      <xdr:spPr>
        <a:xfrm>
          <a:off x="1038225" y="23107650"/>
          <a:ext cx="5019675" cy="2486025"/>
        </a:xfrm>
        <a:prstGeom prst="rect">
          <a:avLst/>
        </a:prstGeom>
        <a:noFill/>
      </xdr:spPr>
    </xdr:pic>
    <xdr:clientData fLocksWithSheet="0"/>
  </xdr:oneCellAnchor>
  <xdr:oneCellAnchor>
    <xdr:from>
      <xdr:col>4</xdr:col>
      <xdr:colOff>114300</xdr:colOff>
      <xdr:row>116</xdr:row>
      <xdr:rowOff>66675</xdr:rowOff>
    </xdr:from>
    <xdr:ext cx="3981450" cy="1628775"/>
    <xdr:pic>
      <xdr:nvPicPr>
        <xdr:cNvPr id="5" name="image4.png"/>
        <xdr:cNvPicPr preferRelativeResize="0"/>
      </xdr:nvPicPr>
      <xdr:blipFill>
        <a:blip r:embed="rId4" cstate="print"/>
        <a:stretch>
          <a:fillRect/>
        </a:stretch>
      </xdr:blipFill>
      <xdr:spPr>
        <a:xfrm>
          <a:off x="6403975" y="23126700"/>
          <a:ext cx="3981450" cy="1628775"/>
        </a:xfrm>
        <a:prstGeom prst="rect">
          <a:avLst/>
        </a:prstGeom>
        <a:noFill/>
      </xdr:spPr>
    </xdr:pic>
    <xdr:clientData fLocksWithSheet="0"/>
  </xdr:oneCellAnchor>
  <xdr:oneCellAnchor>
    <xdr:from>
      <xdr:col>1</xdr:col>
      <xdr:colOff>762000</xdr:colOff>
      <xdr:row>0</xdr:row>
      <xdr:rowOff>76200</xdr:rowOff>
    </xdr:from>
    <xdr:ext cx="6124575" cy="1914525"/>
    <xdr:pic>
      <xdr:nvPicPr>
        <xdr:cNvPr id="6" name="image1.jpg"/>
        <xdr:cNvPicPr preferRelativeResize="0"/>
      </xdr:nvPicPr>
      <xdr:blipFill>
        <a:blip r:embed="rId5" cstate="print"/>
        <a:stretch>
          <a:fillRect/>
        </a:stretch>
      </xdr:blipFill>
      <xdr:spPr>
        <a:xfrm>
          <a:off x="1806575" y="76200"/>
          <a:ext cx="6124575" cy="1914525"/>
        </a:xfrm>
        <a:prstGeom prst="rect">
          <a:avLst/>
        </a:prstGeom>
        <a:noFill/>
      </xdr:spPr>
    </xdr:pic>
    <xdr:clientData fLocksWithSheet="0"/>
  </xdr:oneCellAnchor>
  <xdr:oneCellAnchor>
    <xdr:from>
      <xdr:col>1</xdr:col>
      <xdr:colOff>723900</xdr:colOff>
      <xdr:row>30</xdr:row>
      <xdr:rowOff>123825</xdr:rowOff>
    </xdr:from>
    <xdr:ext cx="4114800" cy="942975"/>
    <xdr:pic>
      <xdr:nvPicPr>
        <xdr:cNvPr id="7" name="image2.png"/>
        <xdr:cNvPicPr preferRelativeResize="0"/>
      </xdr:nvPicPr>
      <xdr:blipFill>
        <a:blip r:embed="rId6" cstate="print"/>
        <a:stretch>
          <a:fillRect/>
        </a:stretch>
      </xdr:blipFill>
      <xdr:spPr>
        <a:xfrm>
          <a:off x="1768475" y="5981700"/>
          <a:ext cx="4114800" cy="94297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1</xdr:col>
      <xdr:colOff>476250</xdr:colOff>
      <xdr:row>0</xdr:row>
      <xdr:rowOff>38100</xdr:rowOff>
    </xdr:from>
    <xdr:ext cx="6143625" cy="1924050"/>
    <xdr:pic>
      <xdr:nvPicPr>
        <xdr:cNvPr id="2" name="image1.jpg"/>
        <xdr:cNvPicPr preferRelativeResize="0"/>
      </xdr:nvPicPr>
      <xdr:blipFill>
        <a:blip r:embed="rId1" cstate="print"/>
        <a:stretch>
          <a:fillRect/>
        </a:stretch>
      </xdr:blipFill>
      <xdr:spPr>
        <a:xfrm>
          <a:off x="1535430" y="38100"/>
          <a:ext cx="6143625" cy="1924050"/>
        </a:xfrm>
        <a:prstGeom prst="rect">
          <a:avLst/>
        </a:prstGeom>
        <a:noFill/>
      </xdr:spPr>
    </xdr:pic>
    <xdr:clientData fLocksWithSheet="0"/>
  </xdr:oneCellAnchor>
  <xdr:twoCellAnchor editAs="oneCell">
    <xdr:from>
      <xdr:col>1</xdr:col>
      <xdr:colOff>136526</xdr:colOff>
      <xdr:row>16</xdr:row>
      <xdr:rowOff>113242</xdr:rowOff>
    </xdr:from>
    <xdr:to>
      <xdr:col>7</xdr:col>
      <xdr:colOff>688976</xdr:colOff>
      <xdr:row>64</xdr:row>
      <xdr:rowOff>51699</xdr:rowOff>
    </xdr:to>
    <xdr:pic>
      <xdr:nvPicPr>
        <xdr:cNvPr id="6" name="Imagem 5"/>
        <xdr:cNvPicPr>
          <a:picLocks noChangeAspect="1"/>
        </xdr:cNvPicPr>
      </xdr:nvPicPr>
      <xdr:blipFill>
        <a:blip r:embed="rId2"/>
        <a:stretch>
          <a:fillRect/>
        </a:stretch>
      </xdr:blipFill>
      <xdr:spPr>
        <a:xfrm>
          <a:off x="1195705" y="3199130"/>
          <a:ext cx="6907530" cy="9501505"/>
        </a:xfrm>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2</xdr:col>
      <xdr:colOff>76200</xdr:colOff>
      <xdr:row>0</xdr:row>
      <xdr:rowOff>57150</xdr:rowOff>
    </xdr:from>
    <xdr:ext cx="6238875" cy="1916430"/>
    <xdr:pic>
      <xdr:nvPicPr>
        <xdr:cNvPr id="2" name="image1.jpg"/>
        <xdr:cNvPicPr preferRelativeResize="0"/>
      </xdr:nvPicPr>
      <xdr:blipFill>
        <a:blip r:embed="rId1" cstate="print"/>
        <a:stretch>
          <a:fillRect/>
        </a:stretch>
      </xdr:blipFill>
      <xdr:spPr>
        <a:xfrm>
          <a:off x="2098040" y="57150"/>
          <a:ext cx="6238875" cy="191643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LANILHA%20OR&#199;AMENT&#193;RIA%20%20-%20AGIR%20UFF%20EXECUTIVO%2024_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sumo"/>
      <sheetName val="Planilha"/>
      <sheetName val="FisicoFinanceiro"/>
      <sheetName val="CURVA ABC"/>
      <sheetName val="Composição"/>
      <sheetName val="Cotação"/>
      <sheetName val="Mem. Cálculo"/>
      <sheetName val="BDI"/>
      <sheetName val="Enc. Sociais"/>
    </sheetNames>
    <sheetDataSet>
      <sheetData sheetId="0"/>
      <sheetData sheetId="1">
        <row r="12">
          <cell r="A12" t="str">
            <v>UFF- CAMPUS NITERÓI</v>
          </cell>
        </row>
        <row r="12">
          <cell r="E12" t="str">
            <v>AUTOR:</v>
          </cell>
        </row>
        <row r="12">
          <cell r="H12" t="str">
            <v>FUNÇÃO:</v>
          </cell>
        </row>
        <row r="13">
          <cell r="A13" t="str">
            <v>LOCAL: RUA VERA CRISPINO DE FREITAS, 190-2 - BOA VIAGEM, NITERÓI-RJ</v>
          </cell>
        </row>
        <row r="13">
          <cell r="E13" t="str">
            <v>PROCESSO: </v>
          </cell>
        </row>
        <row r="13">
          <cell r="H13" t="str">
            <v>ART/RRT:</v>
          </cell>
        </row>
        <row r="14">
          <cell r="A14" t="str">
            <v>NOME DA OBRA: AGÊNCIA DE INOVAÇÃO DA UFF</v>
          </cell>
        </row>
        <row r="14">
          <cell r="E14" t="str">
            <v>BDI</v>
          </cell>
          <cell r="F14" t="str">
            <v>BDI EQUIP.</v>
          </cell>
          <cell r="G14" t="str">
            <v>SIAPE</v>
          </cell>
          <cell r="H14" t="str">
            <v>DATA</v>
          </cell>
          <cell r="I14" t="str">
            <v>REVISÃO</v>
          </cell>
        </row>
        <row r="15">
          <cell r="A15" t="str">
            <v>BASE DE DADOS: SINAPI/2025.7 - EMOP/2025.7 - SCO/2025.7 - SBC/2025.7</v>
          </cell>
        </row>
        <row r="15">
          <cell r="E15">
            <v>0.24657</v>
          </cell>
          <cell r="F15">
            <v>0</v>
          </cell>
          <cell r="G15" t="str">
            <v>0000000</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9" Type="http://schemas.openxmlformats.org/officeDocument/2006/relationships/hyperlink" Target="https://www.eletrofm.com.br/todos-produtos-do-site/barra-chata-aluminio-7-8-x-1-8-x-6-metros/" TargetMode="External"/><Relationship Id="rId8" Type="http://schemas.openxmlformats.org/officeDocument/2006/relationships/hyperlink" Target="https://www.ilumisul.com.br/ProdutoId_2752,98/Para-Raio/Barra-Chata-Aluminio-78-X-18-Barra-Com-6-Metros---Alubar.html?srsltid=AfmBOopHGGf_MNOKF9NB3Mex7L-zealfIRYy18KKrXu-xjXcZXsmbAj0" TargetMode="External"/><Relationship Id="rId79" Type="http://schemas.openxmlformats.org/officeDocument/2006/relationships/hyperlink" Target="https://www.lojacentraleletrica.com.br/produto/cabo-de-aluminio-duplex-25mm-0-6-1kv-2-fases-isoladas-?gad_source=1&amp;gclid=Cj0KCQiAsOq6BhDuARIsAGQ4-zguWO7w_CUl3Zfs3G_BkWpXTv5M4mmHLFxgM2NQA55SQMUU7YQlLp4aArFJEALw_wcB" TargetMode="External"/><Relationship Id="rId78" Type="http://schemas.openxmlformats.org/officeDocument/2006/relationships/hyperlink" Target="https://loja.conduscamp.com.br/produto/cabo-aluminio-dupla-isolacao-xlpepvc-061kv-2500-mm2-preto/5470903?idSku=5979169" TargetMode="External"/><Relationship Id="rId77" Type="http://schemas.openxmlformats.org/officeDocument/2006/relationships/hyperlink" Target="https://www.eletrofm.com.br/cabos-eletricos/cabo-pp-flex-4-x-25mm2-cobre-1kv-90o-hepr-vendido-por-metro/" TargetMode="External"/><Relationship Id="rId76" Type="http://schemas.openxmlformats.org/officeDocument/2006/relationships/hyperlink" Target="https://www.plenobras.com.br/666149e0753bfc753e8389f4/cabo-cobre-isolado-eprpvc-105g-1220kv-1x-2500-mm2-slim-preto-nbr-7286-classe-2?srsltid=AfmBOopWngOIVFqAKVva-oxqg8ik0eAdX8M7332brKJoKitJ-MWtCYg8FEo" TargetMode="External"/><Relationship Id="rId75" Type="http://schemas.openxmlformats.org/officeDocument/2006/relationships/hyperlink" Target="https://www.dimensional.com.br/54371-cabo-media-tensao-12-20kv-105g-epr-25mm2-preto-3706010144x-induscabos/p?srsltid=AfmBOooh3GvJdhT8HP5EpedeZHARUi0r8C5SDQb_fehegqj66rjhholp" TargetMode="External"/><Relationship Id="rId74" Type="http://schemas.openxmlformats.org/officeDocument/2006/relationships/hyperlink" Target="https://www.andra.com.br/plug-10a-250v-pb-preto-transmobil/p?idsku=968&amp;gad_source=1&amp;gclid=Cj0KCQiAsOq6BhDuARIsAGQ4-zjRMiXk2lJ2IFMMiwnzGnTeM8npiFHs2EHGbR0UtoPdXT8EKfx2HGYaAi8UEALw_wcB" TargetMode="External"/><Relationship Id="rId73" Type="http://schemas.openxmlformats.org/officeDocument/2006/relationships/hyperlink" Target="https://www.eletrorastro.com.br/produto/plug-de-sobrepor-2p-t-10a-macho-preto-fame-79858?utm_source=google&amp;utm_medium=cpc&amp;gad_source=1&amp;gclid=Cj0KCQiAsOq6BhDuARIsAGQ4-zg7_yoEERa7iml6Mlip3kr0E4sgkBVcOdKeYgHjrN3t1vYW2FgJ7z4aAlkSEALw_wcB" TargetMode="External"/><Relationship Id="rId72" Type="http://schemas.openxmlformats.org/officeDocument/2006/relationships/hyperlink" Target="https://www.lojasolar.com.br/abracadeira-de-plastico-para-lampada-fluorescente-branco-190-2-perlex/p?srsltid=AfmBOoq9Z7KzxXFeA5C2mtQs24Ou3lMd_GaWIXPRyFRhncH8pFMnEe33" TargetMode="External"/><Relationship Id="rId71" Type="http://schemas.openxmlformats.org/officeDocument/2006/relationships/hyperlink" Target="https://www.abmaquinaseferramentas.com.br/materiais-eletricos/acessorios-para-sistemas-eletricos/kit-100-pecas-suporte-abracadeira-plastica-para-lampada-tubular-t8-led-ou-fluorescente" TargetMode="External"/><Relationship Id="rId70" Type="http://schemas.openxmlformats.org/officeDocument/2006/relationships/hyperlink" Target="https://www.abcdaconstrucao.com.br/produto/cuba-de-embutir-retangular-l375-branco-deca-48x36cm-86752?keyword=&amp;creative=&amp;gad_source=1&amp;gclid=Cj0KCQiAsOq6BhDuARIsAGQ4-zhEpQ_kDdFsQRq_gEr8iQ0I309vESTHJzNA8TOH0GruKTXwdV-6pqgaAiJ_EALw_wcB" TargetMode="External"/><Relationship Id="rId7" Type="http://schemas.openxmlformats.org/officeDocument/2006/relationships/hyperlink" Target="https://www.eletroluz.net/barra-chata-aluminio-78-x-18-x-6m?srsltid=AfmBOopF5axlQ7TywOIP7f3GXuNVXZ3Xe0g8IvrBp63Hbju08uEoz-18" TargetMode="External"/><Relationship Id="rId69" Type="http://schemas.openxmlformats.org/officeDocument/2006/relationships/hyperlink" Target="https://www.maxmoveisbh.com.br/moveis-escritorio/balcao-de-atendimento-madrid-maranello-lado-esquerdo-cod-9991" TargetMode="External"/><Relationship Id="rId68" Type="http://schemas.openxmlformats.org/officeDocument/2006/relationships/hyperlink" Target="https://www.grapol.com.br/produto/337015025/balcao-de-atendimento-madri-esquerdo" TargetMode="External"/><Relationship Id="rId67" Type="http://schemas.openxmlformats.org/officeDocument/2006/relationships/hyperlink" Target="https://www.grupomoveisoffice.com.br/moveis-para-escritorio/balcao-atendimento-25mm-madrid-direita" TargetMode="External"/><Relationship Id="rId66" Type="http://schemas.openxmlformats.org/officeDocument/2006/relationships/hyperlink" Target="https://www.importmoveis.com.br/auditorios/poltronas-de-auditorio/poltrona-ty-93?parceiro=6145&amp;srsltid=AfmBOooqzHVo9h5_vlUgsGKXWGQenBS0bGI-IzlalVXVlZD3MC3CPPIOq1M" TargetMode="External"/><Relationship Id="rId65" Type="http://schemas.openxmlformats.org/officeDocument/2006/relationships/hyperlink" Target="https://www.imaginemoveis.com.br/poltrona-esibire-com-braco-fixo" TargetMode="External"/><Relationship Id="rId64" Type="http://schemas.openxmlformats.org/officeDocument/2006/relationships/hyperlink" Target="https://www.schoolcentershop.com.br/escritorio/auditorio/sc-270-poltrona-de-auditorio-especial" TargetMode="External"/><Relationship Id="rId63" Type="http://schemas.openxmlformats.org/officeDocument/2006/relationships/hyperlink" Target="https://telaodacadeg.lojavirtualnuvem.com.br/produtos/chapa-ferfurada-fq-5x5mm-ec9mm-esp-09mm-ac-peca-200x100m/" TargetMode="External"/><Relationship Id="rId62" Type="http://schemas.openxmlformats.org/officeDocument/2006/relationships/hyperlink" Target="https://acos.dominik.com.br/product/chapa-perfurada-galvanizada-0-80mm-1-20-x-2-furo-quadrado-5mm/" TargetMode="External"/><Relationship Id="rId61" Type="http://schemas.openxmlformats.org/officeDocument/2006/relationships/hyperlink" Target="https://www.gravia.com/chapa-perfurada-18-quadrado-6-00mm-ec-9mm-1000-2000mm/p?srsltid=AfmBOoos-0Gf_RvDhC093FH9JMDDyO8PqEbbwqASiaXo5rwh3Dh5cQP8" TargetMode="External"/><Relationship Id="rId60" Type="http://schemas.openxmlformats.org/officeDocument/2006/relationships/hyperlink" Target="https://www.ajsom.com.br/produtos/extensorsuportepedestal-p-projetor43-65-cmtetobranco/?variant=711457645&amp;pf=mc&amp;gad_source=1&amp;gclid=CjwKCAiAjeW6BhBAEiwAdKltMhgHi-r9Et-gEGFJ-H4eASAbFmQqpciGKNMJTb-YeE7uOAme7atEWxoCAGoQAvD_BwE" TargetMode="External"/><Relationship Id="rId6" Type="http://schemas.openxmlformats.org/officeDocument/2006/relationships/hyperlink" Target="https://www.bombashopping.com.br/pressurizador-thebe-tpa-15-9-160-monofasica-120w-127v-0000000006880/p" TargetMode="External"/><Relationship Id="rId59" Type="http://schemas.openxmlformats.org/officeDocument/2006/relationships/hyperlink" Target="https://www.abcmetal.com.br/chao-10-bicicletas?variant_id=21383&amp;parceiro=7695&amp;gad_source=1&amp;gclid=CjwKCAiA6t-6BhA3EiwAltRFGBWwazYwVnGppMOrLyj_jKiSLw1vjrT9Li8LdsCRkhYY5D6Voct7MBoCVw0QAvD_BwE" TargetMode="External"/><Relationship Id="rId58" Type="http://schemas.openxmlformats.org/officeDocument/2006/relationships/hyperlink" Target="https://www.plenobras.com.br/646a5ab5d496504d21df8b60/cruzeta-polimerica-reta-oca-pposte-90x90x2000mm-tecfibras" TargetMode="External"/><Relationship Id="rId57" Type="http://schemas.openxmlformats.org/officeDocument/2006/relationships/hyperlink" Target="https://www.pooleletrica.com.br/eletrica/cruzeta-de-fibra-de-vidro-90-x-112-5-x-2000mm-400-dan-115" TargetMode="External"/><Relationship Id="rId56" Type="http://schemas.openxmlformats.org/officeDocument/2006/relationships/hyperlink" Target="https://www.monerettoluzhome.com.br/cruzeta-de-fibra-90x112x2300mm-300-dan-indafibras?srsltid=AfmBOooatskuQxW3oFPpJbhSQAPq-EwSG_4InY4urKqG3ryuEF_OYV3gObg" TargetMode="External"/><Relationship Id="rId55" Type="http://schemas.openxmlformats.org/officeDocument/2006/relationships/hyperlink" Target="https://www.leroymerlin.com.br/ralo-grelha-linear-15x150cm-elite-reforcado-em-aluminio-com-aro-de-fixacao--kit-3-pecas-de-15x50-_1567591644" TargetMode="External"/><Relationship Id="rId54" Type="http://schemas.openxmlformats.org/officeDocument/2006/relationships/hyperlink" Target="https://www.znubigrelhas.com.br/grelha-pluvial-15x150-com-suporte-aluminio-escovado-znubi-grelhas-cia" TargetMode="External"/><Relationship Id="rId53" Type="http://schemas.openxmlformats.org/officeDocument/2006/relationships/hyperlink" Target="https://www.ficonereis.com.br/MLB-1611714130-ralo-linear-15x150-aluminio-reforcado-com-tela-3-15x50-_JM" TargetMode="External"/><Relationship Id="rId52" Type="http://schemas.openxmlformats.org/officeDocument/2006/relationships/hyperlink" Target="https://contraincendio.com.br/produto/extintores-de-incendio/po-quimico-classe-abc/extintor-de-po-quimico-seco-pqs-abc-4-kg/" TargetMode="External"/><Relationship Id="rId51" Type="http://schemas.openxmlformats.org/officeDocument/2006/relationships/hyperlink" Target="https://www.protecaoextintor.com.br/extintor-pqs-4kg-abc-validade-da-carga-3-anos" TargetMode="External"/><Relationship Id="rId50" Type="http://schemas.openxmlformats.org/officeDocument/2006/relationships/hyperlink" Target="https://www.lojabrasilfire.com.br/extintores/extintor-de-incendio-4kg-de-po-abc-com-validade-de-5-anos" TargetMode="External"/><Relationship Id="rId5" Type="http://schemas.openxmlformats.org/officeDocument/2006/relationships/hyperlink" Target="https://www.climatherm.com.br/bomba-pressurizadora-de-agua-inova-gp-120-ppa-120w-220-v" TargetMode="External"/><Relationship Id="rId49" Type="http://schemas.openxmlformats.org/officeDocument/2006/relationships/hyperlink" Target="https://www.isinaliza.com/placa-proibido-fumar-p1/p?gad_source=1&amp;gclid=Cj0KCQjwrp-3BhDgARIsAEWJ6Sz8_sybh3p7qi4Pn7tJJE3_FyAxKEkXR1o2_bfNPVoCfK7gq-1tsvkaArZREALw_wcB&amp;idsku=66202&amp;skuId=66201&amp;utm_campaign=shopping&amp;utm_medium=shopping&amp;utm_source=google%20ads" TargetMode="External"/><Relationship Id="rId48" Type="http://schemas.openxmlformats.org/officeDocument/2006/relationships/hyperlink" Target="https://www.sinalcenter.com.br/placa-proibido-fumar-p1?utm_source=Site&amp;utm_medium=GoogleMerchant&amp;utm_campaign=GoogleMerchant&amp;sku=38L6HKCPA-pvc-expandido-2-mm-com-vinil-20x20-cm&amp;srsltid=AfmBOoriILGdHk-lY1GCwwQFaEs13xbRLRkKHHBsGCv-MVa5MYdH2waStQg" TargetMode="External"/><Relationship Id="rId47" Type="http://schemas.openxmlformats.org/officeDocument/2006/relationships/hyperlink" Target="https://enfoquevisual.com.br/products/p1-sinalizacao-de-emergencia-proibicao-proibido-fumar-elx-070?variant=32363680464962" TargetMode="External"/><Relationship Id="rId46" Type="http://schemas.openxmlformats.org/officeDocument/2006/relationships/hyperlink" Target="https://visart-sinalizacao.lojaintegrada.com.br/lotacao-maxima-m2-mod-2?utm_source=Site&amp;utm_medium=GoogleShopping&amp;utm_campaign=IntegracaoGoogle" TargetMode="External"/><Relationship Id="rId45" Type="http://schemas.openxmlformats.org/officeDocument/2006/relationships/hyperlink" Target="https://www.hidrantex.com.br/placas/placa-m2-lotacao-maxima" TargetMode="External"/><Relationship Id="rId44" Type="http://schemas.openxmlformats.org/officeDocument/2006/relationships/hyperlink" Target="https://contraincendio.com.br/produto/sinalizacao-de-emergencia/mensagens-escritas/placa-de-sinalizacao-edificacao-m1/" TargetMode="External"/><Relationship Id="rId43" Type="http://schemas.openxmlformats.org/officeDocument/2006/relationships/hyperlink" Target="https://enfoquevisual.com.br/products/m1-sinalizacao-de-emergencia-sistemas-de-seguranca-contra-incendio-fotoluminescente-elx-082?variant=32363701993538" TargetMode="External"/><Relationship Id="rId42" Type="http://schemas.openxmlformats.org/officeDocument/2006/relationships/hyperlink" Target="https://www.hidrantex.com.br/placas/placa-m1-modelo-4" TargetMode="External"/><Relationship Id="rId41" Type="http://schemas.openxmlformats.org/officeDocument/2006/relationships/hyperlink" Target="https://loja.multivac.com.br/grelha-horizontal-movel-com-registro-anodizado-at-ag-225x125?utm_source=Site&amp;utm_medium=GoogleShopping&amp;utm_campaign=IntegracaoGoogle" TargetMode="External"/><Relationship Id="rId40" Type="http://schemas.openxmlformats.org/officeDocument/2006/relationships/hyperlink" Target="https://www.frioshopping.com/difusao-de-ar/grelhas/grelha-de-retorno/grelha-de-retorno-horizontal-em-aluminio-200x100mm" TargetMode="External"/><Relationship Id="rId4" Type="http://schemas.openxmlformats.org/officeDocument/2006/relationships/hyperlink" Target="https://www.meritocomercial.com.br/pressurizador-de-agua-komeco-tp40-ferro-120-w-monofasico-220v-5001001004434-p1082836?tsid=75&amp;gad_source=1&amp;gclid=Cj0KCQjwiOy1BhDCARIsADGvQnA-3Yt108XtxHTHW4MKn01ZQi8OxjPvbDkqIS4iC3GDbg3OzKW2SZUaAhOKEALw_wcB" TargetMode="External"/><Relationship Id="rId39" Type="http://schemas.openxmlformats.org/officeDocument/2006/relationships/hyperlink" Target="https://www.artmosferabrasil.com.br/difusao-de-ar/grelhas/010-grelha-ar-a-225-x-125-trox?srsltid=AfmBOoouhFvlgP47HNzRtbWmdSTKA_fqCCt3mEdnkhq2D30JtfFBYrm5" TargetMode="External"/><Relationship Id="rId38" Type="http://schemas.openxmlformats.org/officeDocument/2006/relationships/hyperlink" Target="https://www.elastobor.com.br/porta-papel-higienico-jsn-com-porta-cadeado-em-aco-inox-800m/p?idsku=161644016&amp;gad_source=4&amp;gclid=Cj0KCQjw2ou2BhCCARIsANAwM2Ehl7WV38673-rr_MFVlmYkYQc8xmHhmmEems9jmdq5Hon7kk-j1CMaAr8jEALw_wcB" TargetMode="External"/><Relationship Id="rId37" Type="http://schemas.openxmlformats.org/officeDocument/2006/relationships/hyperlink" Target="https://www.solucenter.com.br/dispenser-de-papel-higienico-inox-de-ate-400-metros-tamanho-ideal-115-001?gad_source=1&amp;gclid=Cj0KCQjw2ou2BhCCARIsANAwM2FafC2bD-_YoktrAdTl5UWQZC_vqQUEEZg27sR3D038mLkvlLwOzB4aAtvMEALw_wcB" TargetMode="External"/><Relationship Id="rId36" Type="http://schemas.openxmlformats.org/officeDocument/2006/relationships/hyperlink" Target="https://www.shopbiovis.com.br/porta-papel-higienico-rolao-inox-visium-biovis" TargetMode="External"/><Relationship Id="rId35" Type="http://schemas.openxmlformats.org/officeDocument/2006/relationships/hyperlink" Target="https://www.portaldaacustica.com/produto/placa-la-de-pet-branco-1200-x-600-x-50-30kg-m3-6-unidades-70502?gad_source=1&amp;gclid=Cj0KCQjw2ou2BhCCARIsANAwM2FcZqdqiTDqZV8VmCyrE0kuAqOBofBaqc2tcoP_b5BSuL3rIHE5eHoaAjXyEALw_wcB" TargetMode="External"/><Relationship Id="rId34" Type="http://schemas.openxmlformats.org/officeDocument/2006/relationships/hyperlink" Target="https://www.vibrashop.com.br/drywall/la-pet-preta-50mm" TargetMode="External"/><Relationship Id="rId33" Type="http://schemas.openxmlformats.org/officeDocument/2006/relationships/hyperlink" Target="https://www.espacosmart.com.br/v-la-de-pet-50-x-1200-x-12500-mm-15-m2/p" TargetMode="External"/><Relationship Id="rId32" Type="http://schemas.openxmlformats.org/officeDocument/2006/relationships/hyperlink" Target="https://www.portaldaacustica.com/produto/painel-acustico-absorvedor-de-ruidos-tratamento-acustico-1200-x-600-mm-70584?gad_source=1&amp;gclid=CjwKCAjw8fu1BhBsEiwAwDrsjPdhXnvyFKpY4uz1hT7NG1PGoD4si3q6ERsinIzN-zK5pi6XvX_yzBoCDXgQAvD_BwE" TargetMode="External"/><Relationship Id="rId31" Type="http://schemas.openxmlformats.org/officeDocument/2006/relationships/hyperlink" Target="https://www.sonaracusticos.com.br/products/painel-acustico-high-mid-120x60x05-cm?variant=46034428002607" TargetMode="External"/><Relationship Id="rId30" Type="http://schemas.openxmlformats.org/officeDocument/2006/relationships/hyperlink" Target="https://www.essenciabrasileira.com.br/produto/rw-1-painel-acustico-120x60x05-fundo-mdf-64kgm3/" TargetMode="External"/><Relationship Id="rId3" Type="http://schemas.openxmlformats.org/officeDocument/2006/relationships/hyperlink" Target="https://www.eletrofrigor.com.br/produto/tubo-de-cobre-7-8-x-1-32-panqueca-15-metros-5608?gad_source=1&amp;gclid=Cj0KCQjwiOy1BhDCARIsADGvQnAMklXLUv1AQzDh0fQ7ZzK7dPWYnT3q66F4oLqnKxSyyVc-iNSHBEYaAt_HEALw_wcB" TargetMode="External"/><Relationship Id="rId29" Type="http://schemas.openxmlformats.org/officeDocument/2006/relationships/hyperlink" Target="https://www.pisotech.com.br/produto/manta-heterogenea-decode-fiber-grege-ref-25104088-26717" TargetMode="External"/><Relationship Id="rId28" Type="http://schemas.openxmlformats.org/officeDocument/2006/relationships/hyperlink" Target="https://www.afrel.com.br/piso-vinilico-em-manta-decode-fiber-25104088.html?srsltid=AfmBOooCbwgc_luHXvMpsyVFouHCPJ-G6gBMtdF4ToDz51xVYOCsP90T" TargetMode="External"/><Relationship Id="rId27" Type="http://schemas.openxmlformats.org/officeDocument/2006/relationships/hyperlink" Target="https://www.compracampea.com.br/produto/piso-vinilico-em-manta-tarkett-decode-fiber-2mm-x-2m-25104088-grege-50-m%C2%B2/" TargetMode="External"/><Relationship Id="rId26" Type="http://schemas.openxmlformats.org/officeDocument/2006/relationships/hyperlink" Target="https://www.pisotech.com.br/produto/manta-heterogenea-decode-fiber-grey-ref-25104087-26716" TargetMode="External"/><Relationship Id="rId25" Type="http://schemas.openxmlformats.org/officeDocument/2006/relationships/hyperlink" Target="https://www.afrel.com.br/piso-vinilico-em-manta-decode-fiber-25104087.html?srsltid=AfmBOooptR0KsUmtsXt4woeGS36uwt0E-RYlao4YkQA_pkWQoF6oEEGe" TargetMode="External"/><Relationship Id="rId24" Type="http://schemas.openxmlformats.org/officeDocument/2006/relationships/hyperlink" Target="https://www.compracampea.com.br/produto/piso-vinilico-em-manta-tarkett-decode-fiber-2mm-x-2m-25104087-grey-50-m%C2%B2/" TargetMode="External"/><Relationship Id="rId23" Type="http://schemas.openxmlformats.org/officeDocument/2006/relationships/hyperlink" Target="https://www.solucaocabos.com.br/regua-padrao-19-com-6-tomadas-10a/p?idsku=11846&amp;gad_source=1&amp;gclid=Cj0KCQjwq_G1BhCSARIsACc7NxrOIX66P-fqXustKGqDVNs_GE1E-E3_4thn_ugTXvXWojZSqsXWDlgaAktzEALw_wcB" TargetMode="External"/><Relationship Id="rId22" Type="http://schemas.openxmlformats.org/officeDocument/2006/relationships/hyperlink" Target="https://www.unicaserv.com.br/regua-de-tomadas-10-amperes-rack-c-6-saidas-padrao-novo-nbr?parceiro=3738&amp;gad_source=1&amp;gclid=Cj0KCQjwq_G1BhCSARIsACc7NxofnUHwZSFGMxknArg8-jLCljVufivVW93Yxhrv8JCKxWsShXtOr88aAgPbEALw_wcB" TargetMode="External"/><Relationship Id="rId21" Type="http://schemas.openxmlformats.org/officeDocument/2006/relationships/hyperlink" Target="https://www.tekdistribuidor.com.br/regua-de-tomada-19-6-tomadas-10a-preta-p/rack-wj-moreira?parceiro=4158&amp;gad_source=1&amp;gclid=Cj0KCQjwq_G1BhCSARIsACc7NxoBBD4leDU0tedUiLkT3esaI6Uln-rwzDHkkHDALd-JJc-04ZdE8A0aAk6kEALw_wcB" TargetMode="External"/><Relationship Id="rId20" Type="http://schemas.openxmlformats.org/officeDocument/2006/relationships/hyperlink" Target="https://www.tekdistribuidor.com.br/switch-24-portas-hpe-aruba-1420-24g-2sfp-24-portas-gigabit-2-portas-sfp-jh017a?parceiro=4158&amp;gad_source=1&amp;gclid=Cj0KCQjwq_G1BhCSARIsACc7NxoitCJxoKQye6n0qRUkiiBf7dTGXk-KzWvQ--0WRzowdY7L0rkb7foaAjUxEALw_wcB" TargetMode="External"/><Relationship Id="rId2" Type="http://schemas.openxmlformats.org/officeDocument/2006/relationships/hyperlink" Target="https://www.riofrost.com.br/ar-condicionado/tubos-de-cobre/tubo-cano-de-cobre-flexivel-78-panqueca-15-metros" TargetMode="External"/><Relationship Id="rId19" Type="http://schemas.openxmlformats.org/officeDocument/2006/relationships/hyperlink" Target="https://www.fourserv.com.br/produto/switch-hpe-1420-24g-24-portas-gigabit-2x-sfp-layer-2-nao-gerenciavel-52-gbps-mpn-jh017a/368136?gad_source=1&amp;gclid=Cj0KCQjwq_G1BhCSARIsACc7NxqKstl-zK5YiuajU96ZmW8y8VsNmbPS8vm1AoZbtOIMqSOu8aN5cvMaAoYdEALw_wcB" TargetMode="External"/><Relationship Id="rId18" Type="http://schemas.openxmlformats.org/officeDocument/2006/relationships/hyperlink" Target="https://www.eletrotrafo.com.br/eletrocalha-galv-38x38-saida-horizontal-p-eletroduto-1-2--bd-2051-1-19820014/p?idsku=17889&amp;gad_source=1&amp;gclid=Cj0KCQjwq_G1BhCSARIsACc7NxqeMqXW04ct2_DpwXu0iGRozhh3P2wQj_vZP2SZ_IrGrpnxQ1UjD2MaAnoBEALw_wcB" TargetMode="External"/><Relationship Id="rId17" Type="http://schemas.openxmlformats.org/officeDocument/2006/relationships/hyperlink" Target="https://www.lojacentraleletrica.com.br/produto/saida-horizontal-de-3-4-para-eletrocalha?gad_source=1&amp;gclid=Cj0KCQjwq_G1BhCSARIsACc7Nxpm_IBs48jb9JEE7TOSjXi3LaaAIM7b1a2aJvS4saSLs5NvODcl_OkaAvU1EALw_wcB" TargetMode="External"/><Relationship Id="rId16" Type="http://schemas.openxmlformats.org/officeDocument/2006/relationships/hyperlink" Target="https://www.andra.com.br/saida-horizontal-para-eletroduto-3-4-pre-zincado-18-cke553-b-kennedy/p?idsku=13326&amp;gad_source=1&amp;gclid=Cj0KCQjwq_G1BhCSARIsACc7NxoKSYkqzVl-R01oPvMgpx2JF8Q5tlR4fqItT2SZ5x9PakCr9CDUodEaAlU2EALw_wcB" TargetMode="External"/><Relationship Id="rId15" Type="http://schemas.openxmlformats.org/officeDocument/2006/relationships/hyperlink" Target="https://www.lojacentraleletrica.com.br/produto/caixa-equalizadora-20x20x12cm-para-spda-tel0901-termotecnica?gad_source=1&amp;gclid=Cj0KCQjwiOy1BhDCARIsADGvQnDV6vVLeibGdH3O-Y3AzpQf199KRXCZ6w9-1Anq6soWCF1g1-7TATMaAjM-EALw_wcB" TargetMode="External"/><Relationship Id="rId14" Type="http://schemas.openxmlformats.org/officeDocument/2006/relationships/hyperlink" Target="https://www.eletricabichuette.com.br/caixa-equalizacao-emb-20x20-cbarr-e-9-term/p?srsltid=AfmBOoo85d-tpf52nJWt2lQrIvSOxYaewNIl4VwZrdWyxSNu1kh96FK4" TargetMode="External"/><Relationship Id="rId13" Type="http://schemas.openxmlformats.org/officeDocument/2006/relationships/hyperlink" Target="https://www.multiseg.com.br/718/caixa-de-equalizao-equipotencializao-20-x-20-x-12-sobrepor-9-terminais?srsltid=AfmBOopwk8fjA9ew8Lyb1F6BWt9pf1BQyBer9V9nKEbReyHLg9cs6vFX" TargetMode="External"/><Relationship Id="rId12" Type="http://schemas.openxmlformats.org/officeDocument/2006/relationships/hyperlink" Target="https://www.plenobras.com.br/646a5ae6d496504d21dfd0d8/vergalhao-re-bar-galvanizado-a-fogo-38%22x3m-raycon?gad_source=1&amp;gclid=Cj0KCQjwiOy1BhDCARIsADGvQnB-Kklj2yYVa6vngYBvs3qCxcgBlYaWBWlEtYH-j2Bdq9yLCqyRWlIaAt_QEALw_wcB" TargetMode="External"/><Relationship Id="rId11" Type="http://schemas.openxmlformats.org/officeDocument/2006/relationships/hyperlink" Target="https://www.a3eletro.com.br/eletrica/sistemas-de-aterramento-e-para-raio/p-raio-vergalhao-liso-re-bar-38-3-4mt-galv-a-fogo?gad_source=1&amp;gclid=Cj0KCQjwiOy1BhDCARIsADGvQnDxNfNJEfayGT7TUGFUgO1M6N0aCWRpcAvccN1chfjPgEu5nUzl8wwaAtyKEALw_wcB" TargetMode="External"/><Relationship Id="rId10" Type="http://schemas.openxmlformats.org/officeDocument/2006/relationships/hyperlink" Target="https://www.multiseg.com.br/3906/re-bar-barra-redonda-de-ao-galvanizado-a-fogo-3-8-x-3-metros-?gad_source=1&amp;gclid=Cj0KCQjwiOy1BhDCARIsADGvQnA3ENUA3jwjjZgnGMHAOKGBrvARgkzT_G1g_Ixwp0XSK-xPPyTkEPkaAsCgEALw_wcB" TargetMode="Externa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02"/>
  <sheetViews>
    <sheetView showGridLines="0" zoomScale="70" zoomScaleNormal="70" workbookViewId="0">
      <selection activeCell="I15" sqref="I15"/>
    </sheetView>
  </sheetViews>
  <sheetFormatPr defaultColWidth="14.4380952380952" defaultRowHeight="15" customHeight="1"/>
  <cols>
    <col min="1" max="1" width="8.66666666666667" customWidth="1"/>
    <col min="2" max="3" width="15.6666666666667" customWidth="1"/>
    <col min="4" max="4" width="45.6666666666667" customWidth="1"/>
    <col min="5" max="8" width="11.6666666666667" customWidth="1"/>
    <col min="9" max="9" width="12.6666666666667" customWidth="1"/>
    <col min="10" max="10" width="8" customWidth="1"/>
    <col min="11" max="11" width="10.552380952381" customWidth="1"/>
    <col min="12" max="25" width="8" customWidth="1"/>
  </cols>
  <sheetData>
    <row r="1" spans="1:25">
      <c r="A1" s="548"/>
      <c r="B1" s="202"/>
      <c r="C1" s="202"/>
      <c r="D1" s="202"/>
      <c r="E1" s="202"/>
      <c r="F1" s="202"/>
      <c r="G1" s="202"/>
      <c r="H1" s="202"/>
      <c r="I1" s="256"/>
      <c r="J1" s="335"/>
      <c r="K1" s="335"/>
      <c r="L1" s="335"/>
      <c r="M1" s="335"/>
      <c r="N1" s="335"/>
      <c r="O1" s="335"/>
      <c r="P1" s="335"/>
      <c r="Q1" s="335"/>
      <c r="R1" s="335"/>
      <c r="S1" s="335"/>
      <c r="T1" s="335"/>
      <c r="U1" s="335"/>
      <c r="V1" s="335"/>
      <c r="W1" s="335"/>
      <c r="X1" s="335"/>
      <c r="Y1" s="335"/>
    </row>
    <row r="2" spans="1:25">
      <c r="A2" s="203"/>
      <c r="I2" s="257"/>
      <c r="J2" s="335"/>
      <c r="K2" s="335"/>
      <c r="L2" s="335"/>
      <c r="M2" s="335"/>
      <c r="N2" s="335"/>
      <c r="O2" s="335"/>
      <c r="P2" s="335"/>
      <c r="Q2" s="335"/>
      <c r="R2" s="335"/>
      <c r="S2" s="335"/>
      <c r="T2" s="335"/>
      <c r="U2" s="335"/>
      <c r="V2" s="335"/>
      <c r="W2" s="335"/>
      <c r="X2" s="335"/>
      <c r="Y2" s="335"/>
    </row>
    <row r="3" spans="1:25">
      <c r="A3" s="203"/>
      <c r="I3" s="257"/>
      <c r="J3" s="335"/>
      <c r="K3" s="335"/>
      <c r="L3" s="335"/>
      <c r="M3" s="335"/>
      <c r="N3" s="335"/>
      <c r="O3" s="335"/>
      <c r="P3" s="335"/>
      <c r="Q3" s="335"/>
      <c r="R3" s="335"/>
      <c r="S3" s="335"/>
      <c r="T3" s="335"/>
      <c r="U3" s="335"/>
      <c r="V3" s="335"/>
      <c r="W3" s="335"/>
      <c r="X3" s="335"/>
      <c r="Y3" s="335"/>
    </row>
    <row r="4" spans="1:25">
      <c r="A4" s="203"/>
      <c r="I4" s="257"/>
      <c r="J4" s="335"/>
      <c r="K4" s="335"/>
      <c r="L4" s="335"/>
      <c r="M4" s="335"/>
      <c r="N4" s="335"/>
      <c r="O4" s="335"/>
      <c r="P4" s="335"/>
      <c r="Q4" s="335"/>
      <c r="R4" s="335"/>
      <c r="S4" s="335"/>
      <c r="T4" s="335"/>
      <c r="U4" s="335"/>
      <c r="V4" s="335"/>
      <c r="W4" s="335"/>
      <c r="X4" s="335"/>
      <c r="Y4" s="335"/>
    </row>
    <row r="5" spans="1:25">
      <c r="A5" s="203"/>
      <c r="I5" s="257"/>
      <c r="J5" s="335"/>
      <c r="K5" s="335"/>
      <c r="L5" s="335"/>
      <c r="M5" s="335"/>
      <c r="N5" s="335"/>
      <c r="O5" s="335"/>
      <c r="P5" s="335"/>
      <c r="Q5" s="335"/>
      <c r="R5" s="335"/>
      <c r="S5" s="335"/>
      <c r="T5" s="335"/>
      <c r="U5" s="335"/>
      <c r="V5" s="335"/>
      <c r="W5" s="335"/>
      <c r="X5" s="335"/>
      <c r="Y5" s="335"/>
    </row>
    <row r="6" spans="1:25">
      <c r="A6" s="203"/>
      <c r="I6" s="257"/>
      <c r="J6" s="335"/>
      <c r="K6" s="335"/>
      <c r="L6" s="335"/>
      <c r="M6" s="335"/>
      <c r="N6" s="335"/>
      <c r="O6" s="335"/>
      <c r="P6" s="335"/>
      <c r="Q6" s="335"/>
      <c r="R6" s="335"/>
      <c r="S6" s="335"/>
      <c r="T6" s="335"/>
      <c r="U6" s="335"/>
      <c r="V6" s="335"/>
      <c r="W6" s="335"/>
      <c r="X6" s="335"/>
      <c r="Y6" s="335"/>
    </row>
    <row r="7" spans="1:25">
      <c r="A7" s="203"/>
      <c r="I7" s="257"/>
      <c r="J7" s="335"/>
      <c r="K7" s="335"/>
      <c r="L7" s="335"/>
      <c r="M7" s="335"/>
      <c r="N7" s="335"/>
      <c r="O7" s="335"/>
      <c r="P7" s="335"/>
      <c r="Q7" s="335"/>
      <c r="R7" s="335"/>
      <c r="S7" s="335"/>
      <c r="T7" s="335"/>
      <c r="U7" s="335"/>
      <c r="V7" s="335"/>
      <c r="W7" s="335"/>
      <c r="X7" s="335"/>
      <c r="Y7" s="335"/>
    </row>
    <row r="8" spans="1:25">
      <c r="A8" s="203"/>
      <c r="I8" s="257"/>
      <c r="J8" s="335"/>
      <c r="K8" s="335"/>
      <c r="L8" s="335"/>
      <c r="M8" s="335"/>
      <c r="N8" s="335"/>
      <c r="O8" s="335"/>
      <c r="P8" s="335"/>
      <c r="Q8" s="335"/>
      <c r="R8" s="335"/>
      <c r="S8" s="335"/>
      <c r="T8" s="335"/>
      <c r="U8" s="335"/>
      <c r="V8" s="335"/>
      <c r="W8" s="335"/>
      <c r="X8" s="335"/>
      <c r="Y8" s="335"/>
    </row>
    <row r="9" spans="1:25">
      <c r="A9" s="203"/>
      <c r="I9" s="257"/>
      <c r="J9" s="335"/>
      <c r="K9" s="335"/>
      <c r="L9" s="335"/>
      <c r="M9" s="335"/>
      <c r="N9" s="335"/>
      <c r="O9" s="335"/>
      <c r="P9" s="335"/>
      <c r="Q9" s="335"/>
      <c r="R9" s="335"/>
      <c r="S9" s="335"/>
      <c r="T9" s="335"/>
      <c r="U9" s="335"/>
      <c r="V9" s="335"/>
      <c r="W9" s="335"/>
      <c r="X9" s="335"/>
      <c r="Y9" s="335"/>
    </row>
    <row r="10" ht="15.75" customHeight="1" spans="1:25">
      <c r="A10" s="204"/>
      <c r="B10" s="205"/>
      <c r="C10" s="205"/>
      <c r="D10" s="205"/>
      <c r="E10" s="205"/>
      <c r="F10" s="205"/>
      <c r="G10" s="205"/>
      <c r="H10" s="205"/>
      <c r="I10" s="258"/>
      <c r="J10" s="335"/>
      <c r="K10" s="335"/>
      <c r="L10" s="335"/>
      <c r="M10" s="335"/>
      <c r="N10" s="335"/>
      <c r="O10" s="335"/>
      <c r="P10" s="335"/>
      <c r="Q10" s="335"/>
      <c r="R10" s="335"/>
      <c r="S10" s="335"/>
      <c r="T10" s="335"/>
      <c r="U10" s="335"/>
      <c r="V10" s="335"/>
      <c r="W10" s="335"/>
      <c r="X10" s="335"/>
      <c r="Y10" s="335"/>
    </row>
    <row r="11" ht="15.75" customHeight="1" spans="1:25">
      <c r="A11" s="585" t="s">
        <v>0</v>
      </c>
      <c r="B11" s="207"/>
      <c r="C11" s="207"/>
      <c r="D11" s="207"/>
      <c r="E11" s="207"/>
      <c r="F11" s="207"/>
      <c r="G11" s="207"/>
      <c r="H11" s="207"/>
      <c r="I11" s="259"/>
      <c r="J11" s="335"/>
      <c r="K11" s="335"/>
      <c r="L11" s="335"/>
      <c r="M11" s="335"/>
      <c r="N11" s="335"/>
      <c r="O11" s="335"/>
      <c r="P11" s="335"/>
      <c r="Q11" s="335"/>
      <c r="R11" s="335"/>
      <c r="S11" s="335"/>
      <c r="T11" s="335"/>
      <c r="U11" s="335"/>
      <c r="V11" s="335"/>
      <c r="W11" s="335"/>
      <c r="X11" s="335"/>
      <c r="Y11" s="335"/>
    </row>
    <row r="12" spans="1:25">
      <c r="A12" s="549" t="s">
        <v>1</v>
      </c>
      <c r="B12" s="294"/>
      <c r="C12" s="294"/>
      <c r="D12" s="324"/>
      <c r="E12" s="586" t="s">
        <v>2</v>
      </c>
      <c r="F12" s="294"/>
      <c r="G12" s="324"/>
      <c r="H12" s="586" t="s">
        <v>3</v>
      </c>
      <c r="I12" s="324"/>
      <c r="J12" s="335"/>
      <c r="K12" s="335"/>
      <c r="L12" s="335"/>
      <c r="M12" s="335"/>
      <c r="N12" s="335"/>
      <c r="O12" s="335"/>
      <c r="P12" s="335"/>
      <c r="Q12" s="335"/>
      <c r="R12" s="335"/>
      <c r="S12" s="335"/>
      <c r="T12" s="335"/>
      <c r="U12" s="335"/>
      <c r="V12" s="335"/>
      <c r="W12" s="335"/>
      <c r="X12" s="335"/>
      <c r="Y12" s="335"/>
    </row>
    <row r="13" ht="15.75" customHeight="1" spans="1:25">
      <c r="A13" s="550" t="s">
        <v>4</v>
      </c>
      <c r="B13" s="209"/>
      <c r="C13" s="209"/>
      <c r="D13" s="260"/>
      <c r="E13" s="587" t="s">
        <v>5</v>
      </c>
      <c r="F13" s="205"/>
      <c r="G13" s="258"/>
      <c r="H13" s="587" t="s">
        <v>6</v>
      </c>
      <c r="I13" s="258"/>
      <c r="J13" s="335"/>
      <c r="K13" s="335"/>
      <c r="L13" s="335"/>
      <c r="M13" s="335"/>
      <c r="N13" s="335"/>
      <c r="O13" s="335"/>
      <c r="P13" s="335"/>
      <c r="Q13" s="335"/>
      <c r="R13" s="335"/>
      <c r="S13" s="335"/>
      <c r="T13" s="335"/>
      <c r="U13" s="335"/>
      <c r="V13" s="335"/>
      <c r="W13" s="335"/>
      <c r="X13" s="335"/>
      <c r="Y13" s="335"/>
    </row>
    <row r="14" ht="15.75" customHeight="1" spans="1:25">
      <c r="A14" s="550" t="s">
        <v>7</v>
      </c>
      <c r="B14" s="209"/>
      <c r="C14" s="209"/>
      <c r="D14" s="260"/>
      <c r="E14" s="588" t="s">
        <v>8</v>
      </c>
      <c r="F14" s="588" t="s">
        <v>9</v>
      </c>
      <c r="G14" s="588" t="s">
        <v>10</v>
      </c>
      <c r="H14" s="588" t="s">
        <v>11</v>
      </c>
      <c r="I14" s="588" t="s">
        <v>12</v>
      </c>
      <c r="J14" s="335"/>
      <c r="K14" s="335"/>
      <c r="L14" s="335"/>
      <c r="M14" s="335"/>
      <c r="N14" s="335"/>
      <c r="O14" s="335"/>
      <c r="P14" s="335"/>
      <c r="Q14" s="335"/>
      <c r="R14" s="335"/>
      <c r="S14" s="335"/>
      <c r="T14" s="335"/>
      <c r="U14" s="335"/>
      <c r="V14" s="335"/>
      <c r="W14" s="335"/>
      <c r="X14" s="335"/>
      <c r="Y14" s="335"/>
    </row>
    <row r="15" ht="15.75" customHeight="1" spans="1:25">
      <c r="A15" s="551" t="s">
        <v>13</v>
      </c>
      <c r="B15" s="205"/>
      <c r="C15" s="205"/>
      <c r="D15" s="258"/>
      <c r="E15" s="589">
        <f>BDI!F32</f>
        <v>0.24657</v>
      </c>
      <c r="F15" s="589">
        <v>0</v>
      </c>
      <c r="G15" s="590" t="s">
        <v>14</v>
      </c>
      <c r="H15" s="591">
        <v>45957</v>
      </c>
      <c r="I15" s="85" t="s">
        <v>15</v>
      </c>
      <c r="J15" s="335"/>
      <c r="K15" s="335"/>
      <c r="L15" s="335"/>
      <c r="M15" s="335"/>
      <c r="N15" s="335"/>
      <c r="O15" s="335"/>
      <c r="P15" s="335"/>
      <c r="Q15" s="335"/>
      <c r="R15" s="335"/>
      <c r="S15" s="335"/>
      <c r="T15" s="335"/>
      <c r="U15" s="335"/>
      <c r="V15" s="335"/>
      <c r="W15" s="335"/>
      <c r="X15" s="335"/>
      <c r="Y15" s="335"/>
    </row>
    <row r="16" ht="15.75" customHeight="1" spans="1:25">
      <c r="A16" s="592" t="s">
        <v>16</v>
      </c>
      <c r="B16" s="207"/>
      <c r="C16" s="207"/>
      <c r="D16" s="207"/>
      <c r="E16" s="207"/>
      <c r="F16" s="207"/>
      <c r="G16" s="207"/>
      <c r="H16" s="207"/>
      <c r="I16" s="259"/>
      <c r="J16" s="335"/>
      <c r="K16" s="335"/>
      <c r="L16" s="335"/>
      <c r="M16" s="335"/>
      <c r="N16" s="335"/>
      <c r="O16" s="335"/>
      <c r="P16" s="335"/>
      <c r="Q16" s="335"/>
      <c r="R16" s="335"/>
      <c r="S16" s="335"/>
      <c r="T16" s="335"/>
      <c r="U16" s="335"/>
      <c r="V16" s="335"/>
      <c r="W16" s="335"/>
      <c r="X16" s="335"/>
      <c r="Y16" s="335"/>
    </row>
    <row r="17" ht="15.75" customHeight="1" spans="1:25">
      <c r="A17" s="593" t="s">
        <v>17</v>
      </c>
      <c r="B17" s="594" t="s">
        <v>18</v>
      </c>
      <c r="C17" s="207"/>
      <c r="D17" s="207"/>
      <c r="E17" s="207"/>
      <c r="F17" s="207"/>
      <c r="G17" s="595"/>
      <c r="H17" s="594" t="s">
        <v>19</v>
      </c>
      <c r="I17" s="259"/>
      <c r="J17" s="335"/>
      <c r="K17" s="335"/>
      <c r="L17" s="335"/>
      <c r="M17" s="335"/>
      <c r="N17" s="335"/>
      <c r="O17" s="335"/>
      <c r="P17" s="335"/>
      <c r="Q17" s="335"/>
      <c r="R17" s="335"/>
      <c r="S17" s="335"/>
      <c r="T17" s="335"/>
      <c r="U17" s="335"/>
      <c r="V17" s="335"/>
      <c r="W17" s="335"/>
      <c r="X17" s="335"/>
      <c r="Y17" s="335"/>
    </row>
    <row r="18" customHeight="1" spans="1:25">
      <c r="A18" s="596">
        <v>1</v>
      </c>
      <c r="B18" s="597" t="s">
        <v>20</v>
      </c>
      <c r="C18" s="598"/>
      <c r="D18" s="598"/>
      <c r="E18" s="598"/>
      <c r="F18" s="598"/>
      <c r="G18" s="599"/>
      <c r="H18" s="600">
        <f>Planilha!H17</f>
        <v>496956.26</v>
      </c>
      <c r="I18" s="324"/>
      <c r="J18" s="335"/>
      <c r="K18" s="608"/>
      <c r="L18" s="335"/>
      <c r="M18" s="335"/>
      <c r="N18" s="335"/>
      <c r="O18" s="335"/>
      <c r="P18" s="335"/>
      <c r="Q18" s="335"/>
      <c r="R18" s="335"/>
      <c r="S18" s="335"/>
      <c r="T18" s="335"/>
      <c r="U18" s="335"/>
      <c r="V18" s="335"/>
      <c r="W18" s="335"/>
      <c r="X18" s="335"/>
      <c r="Y18" s="335"/>
    </row>
    <row r="19" customHeight="1" spans="1:25">
      <c r="A19" s="596">
        <v>2</v>
      </c>
      <c r="B19" s="597" t="s">
        <v>21</v>
      </c>
      <c r="C19" s="598"/>
      <c r="D19" s="598"/>
      <c r="E19" s="598"/>
      <c r="F19" s="598"/>
      <c r="G19" s="599"/>
      <c r="H19" s="600">
        <v>34553.01</v>
      </c>
      <c r="I19" s="324"/>
      <c r="J19" s="335"/>
      <c r="K19" s="608"/>
      <c r="L19" s="335"/>
      <c r="M19" s="335"/>
      <c r="N19" s="335"/>
      <c r="O19" s="335"/>
      <c r="P19" s="335"/>
      <c r="Q19" s="335"/>
      <c r="R19" s="335"/>
      <c r="S19" s="335"/>
      <c r="T19" s="335"/>
      <c r="U19" s="335"/>
      <c r="V19" s="335"/>
      <c r="W19" s="335"/>
      <c r="X19" s="335"/>
      <c r="Y19" s="335"/>
    </row>
    <row r="20" customHeight="1" spans="1:25">
      <c r="A20" s="596">
        <v>3</v>
      </c>
      <c r="B20" s="597" t="s">
        <v>22</v>
      </c>
      <c r="C20" s="598"/>
      <c r="D20" s="598"/>
      <c r="E20" s="598"/>
      <c r="F20" s="598"/>
      <c r="G20" s="599"/>
      <c r="H20" s="600">
        <f>Planilha!I23</f>
        <v>339265.3</v>
      </c>
      <c r="I20" s="324"/>
      <c r="J20" s="335"/>
      <c r="K20" s="608"/>
      <c r="L20" s="335"/>
      <c r="M20" s="335"/>
      <c r="N20" s="335"/>
      <c r="O20" s="335"/>
      <c r="P20" s="335"/>
      <c r="Q20" s="335"/>
      <c r="R20" s="335"/>
      <c r="S20" s="335"/>
      <c r="T20" s="335"/>
      <c r="U20" s="335"/>
      <c r="V20" s="335"/>
      <c r="W20" s="335"/>
      <c r="X20" s="335"/>
      <c r="Y20" s="335"/>
    </row>
    <row r="21" customHeight="1" spans="1:25">
      <c r="A21" s="596">
        <v>4</v>
      </c>
      <c r="B21" s="597" t="s">
        <v>23</v>
      </c>
      <c r="C21" s="598"/>
      <c r="D21" s="598"/>
      <c r="E21" s="598"/>
      <c r="F21" s="598"/>
      <c r="G21" s="599"/>
      <c r="H21" s="600">
        <f>Planilha!I36</f>
        <v>47272.53</v>
      </c>
      <c r="I21" s="324"/>
      <c r="J21" s="336"/>
      <c r="K21" s="608"/>
      <c r="L21" s="336"/>
      <c r="M21" s="336"/>
      <c r="N21" s="336"/>
      <c r="O21" s="336"/>
      <c r="P21" s="336"/>
      <c r="Q21" s="336"/>
      <c r="R21" s="336"/>
      <c r="S21" s="336"/>
      <c r="T21" s="336"/>
      <c r="U21" s="336"/>
      <c r="V21" s="336"/>
      <c r="W21" s="336"/>
      <c r="X21" s="336"/>
      <c r="Y21" s="336"/>
    </row>
    <row r="22" ht="23.25" customHeight="1" spans="1:25">
      <c r="A22" s="596">
        <v>5</v>
      </c>
      <c r="B22" s="597" t="s">
        <v>24</v>
      </c>
      <c r="C22" s="598"/>
      <c r="D22" s="598"/>
      <c r="E22" s="598"/>
      <c r="F22" s="598"/>
      <c r="G22" s="599"/>
      <c r="H22" s="600">
        <v>287021.81</v>
      </c>
      <c r="I22" s="324"/>
      <c r="J22" s="336"/>
      <c r="K22" s="608"/>
      <c r="L22" s="336"/>
      <c r="M22" s="336"/>
      <c r="N22" s="336"/>
      <c r="O22" s="336"/>
      <c r="P22" s="336"/>
      <c r="Q22" s="336"/>
      <c r="R22" s="336"/>
      <c r="S22" s="336"/>
      <c r="T22" s="336"/>
      <c r="U22" s="336"/>
      <c r="V22" s="336"/>
      <c r="W22" s="336"/>
      <c r="X22" s="336"/>
      <c r="Y22" s="336"/>
    </row>
    <row r="23" ht="32.25" customHeight="1" spans="1:25">
      <c r="A23" s="596">
        <v>6</v>
      </c>
      <c r="B23" s="597" t="s">
        <v>25</v>
      </c>
      <c r="C23" s="598"/>
      <c r="D23" s="598"/>
      <c r="E23" s="598"/>
      <c r="F23" s="598"/>
      <c r="G23" s="599"/>
      <c r="H23" s="601">
        <v>105691.68</v>
      </c>
      <c r="I23" s="609"/>
      <c r="J23" s="336"/>
      <c r="K23" s="608"/>
      <c r="L23" s="336"/>
      <c r="M23" s="336"/>
      <c r="N23" s="336"/>
      <c r="O23" s="336"/>
      <c r="P23" s="336"/>
      <c r="Q23" s="336"/>
      <c r="R23" s="336"/>
      <c r="S23" s="336"/>
      <c r="T23" s="336"/>
      <c r="U23" s="336"/>
      <c r="V23" s="336"/>
      <c r="W23" s="336"/>
      <c r="X23" s="336"/>
      <c r="Y23" s="336"/>
    </row>
    <row r="24" ht="15.75" spans="1:25">
      <c r="A24" s="596">
        <v>7</v>
      </c>
      <c r="B24" s="597" t="s">
        <v>26</v>
      </c>
      <c r="C24" s="598"/>
      <c r="D24" s="598"/>
      <c r="E24" s="598"/>
      <c r="F24" s="598"/>
      <c r="G24" s="599"/>
      <c r="H24" s="601">
        <v>1104984.13</v>
      </c>
      <c r="I24" s="609"/>
      <c r="J24" s="336"/>
      <c r="K24" s="608"/>
      <c r="L24" s="336"/>
      <c r="M24" s="336"/>
      <c r="N24" s="336"/>
      <c r="O24" s="336"/>
      <c r="P24" s="336"/>
      <c r="Q24" s="336"/>
      <c r="R24" s="336"/>
      <c r="S24" s="336"/>
      <c r="T24" s="336"/>
      <c r="U24" s="336"/>
      <c r="V24" s="336"/>
      <c r="W24" s="336"/>
      <c r="X24" s="336"/>
      <c r="Y24" s="336"/>
    </row>
    <row r="25" ht="15.75" spans="1:25">
      <c r="A25" s="596">
        <v>8</v>
      </c>
      <c r="B25" s="597" t="s">
        <v>27</v>
      </c>
      <c r="C25" s="598"/>
      <c r="D25" s="598"/>
      <c r="E25" s="598"/>
      <c r="F25" s="598"/>
      <c r="G25" s="599"/>
      <c r="H25" s="601">
        <v>718574.07</v>
      </c>
      <c r="I25" s="609"/>
      <c r="J25" s="336"/>
      <c r="K25" s="608"/>
      <c r="L25" s="336"/>
      <c r="M25" s="336"/>
      <c r="N25" s="336"/>
      <c r="O25" s="336"/>
      <c r="P25" s="336"/>
      <c r="Q25" s="336"/>
      <c r="R25" s="336"/>
      <c r="S25" s="336"/>
      <c r="T25" s="336"/>
      <c r="U25" s="336"/>
      <c r="V25" s="336"/>
      <c r="W25" s="336"/>
      <c r="X25" s="336"/>
      <c r="Y25" s="336"/>
    </row>
    <row r="26" ht="15.75" spans="1:25">
      <c r="A26" s="596">
        <v>9</v>
      </c>
      <c r="B26" s="597" t="s">
        <v>28</v>
      </c>
      <c r="C26" s="598"/>
      <c r="D26" s="598"/>
      <c r="E26" s="598"/>
      <c r="F26" s="598"/>
      <c r="G26" s="599"/>
      <c r="H26" s="601">
        <v>428331.73</v>
      </c>
      <c r="I26" s="609"/>
      <c r="J26" s="336"/>
      <c r="K26" s="608"/>
      <c r="L26" s="336"/>
      <c r="M26" s="336"/>
      <c r="N26" s="336"/>
      <c r="O26" s="336"/>
      <c r="P26" s="336"/>
      <c r="Q26" s="336"/>
      <c r="R26" s="336"/>
      <c r="S26" s="336"/>
      <c r="T26" s="336"/>
      <c r="U26" s="336"/>
      <c r="V26" s="336"/>
      <c r="W26" s="336"/>
      <c r="X26" s="336"/>
      <c r="Y26" s="336"/>
    </row>
    <row r="27" ht="27" customHeight="1" spans="1:25">
      <c r="A27" s="596">
        <v>10</v>
      </c>
      <c r="B27" s="597" t="s">
        <v>29</v>
      </c>
      <c r="C27" s="598"/>
      <c r="D27" s="598"/>
      <c r="E27" s="598"/>
      <c r="F27" s="598"/>
      <c r="G27" s="599"/>
      <c r="H27" s="601">
        <v>113067.58</v>
      </c>
      <c r="I27" s="609"/>
      <c r="J27" s="336"/>
      <c r="K27" s="608"/>
      <c r="L27" s="336"/>
      <c r="M27" s="336"/>
      <c r="N27" s="336"/>
      <c r="O27" s="336"/>
      <c r="P27" s="336"/>
      <c r="Q27" s="336"/>
      <c r="R27" s="336"/>
      <c r="S27" s="336"/>
      <c r="T27" s="336"/>
      <c r="U27" s="336"/>
      <c r="V27" s="336"/>
      <c r="W27" s="336"/>
      <c r="X27" s="336"/>
      <c r="Y27" s="336"/>
    </row>
    <row r="28" ht="15.75" spans="1:25">
      <c r="A28" s="596">
        <v>11</v>
      </c>
      <c r="B28" s="597" t="s">
        <v>30</v>
      </c>
      <c r="C28" s="598"/>
      <c r="D28" s="598"/>
      <c r="E28" s="598"/>
      <c r="F28" s="598"/>
      <c r="G28" s="599"/>
      <c r="H28" s="601">
        <v>112249.78</v>
      </c>
      <c r="I28" s="609"/>
      <c r="J28" s="336"/>
      <c r="K28" s="608"/>
      <c r="L28" s="336"/>
      <c r="M28" s="336"/>
      <c r="N28" s="336"/>
      <c r="O28" s="336"/>
      <c r="P28" s="336"/>
      <c r="Q28" s="336"/>
      <c r="R28" s="336"/>
      <c r="S28" s="336"/>
      <c r="T28" s="336"/>
      <c r="U28" s="336"/>
      <c r="V28" s="336"/>
      <c r="W28" s="336"/>
      <c r="X28" s="336"/>
      <c r="Y28" s="336"/>
    </row>
    <row r="29" ht="15.75" spans="1:25">
      <c r="A29" s="596">
        <v>12</v>
      </c>
      <c r="B29" s="597" t="s">
        <v>31</v>
      </c>
      <c r="C29" s="598"/>
      <c r="D29" s="598"/>
      <c r="E29" s="598"/>
      <c r="F29" s="598"/>
      <c r="G29" s="599"/>
      <c r="H29" s="601">
        <v>540535.09</v>
      </c>
      <c r="I29" s="609"/>
      <c r="J29" s="336"/>
      <c r="K29" s="608"/>
      <c r="L29" s="336"/>
      <c r="M29" s="336"/>
      <c r="N29" s="336"/>
      <c r="O29" s="336"/>
      <c r="P29" s="336"/>
      <c r="Q29" s="336"/>
      <c r="R29" s="336"/>
      <c r="S29" s="336"/>
      <c r="T29" s="336"/>
      <c r="U29" s="336"/>
      <c r="V29" s="336"/>
      <c r="W29" s="336"/>
      <c r="X29" s="336"/>
      <c r="Y29" s="336"/>
    </row>
    <row r="30" ht="36" customHeight="1" spans="1:25">
      <c r="A30" s="596">
        <v>13</v>
      </c>
      <c r="B30" s="597" t="s">
        <v>32</v>
      </c>
      <c r="C30" s="598"/>
      <c r="D30" s="598"/>
      <c r="E30" s="598"/>
      <c r="F30" s="598"/>
      <c r="G30" s="599"/>
      <c r="H30" s="601">
        <v>52484.08</v>
      </c>
      <c r="I30" s="609"/>
      <c r="J30" s="336"/>
      <c r="K30" s="608"/>
      <c r="L30" s="336"/>
      <c r="M30" s="336"/>
      <c r="N30" s="336"/>
      <c r="O30" s="336"/>
      <c r="P30" s="336"/>
      <c r="Q30" s="336"/>
      <c r="R30" s="336"/>
      <c r="S30" s="336"/>
      <c r="T30" s="336"/>
      <c r="U30" s="336"/>
      <c r="V30" s="336"/>
      <c r="W30" s="336"/>
      <c r="X30" s="336"/>
      <c r="Y30" s="336"/>
    </row>
    <row r="31" ht="15.75" spans="1:25">
      <c r="A31" s="596">
        <v>14</v>
      </c>
      <c r="B31" s="597" t="s">
        <v>33</v>
      </c>
      <c r="C31" s="598"/>
      <c r="D31" s="598"/>
      <c r="E31" s="598"/>
      <c r="F31" s="598"/>
      <c r="G31" s="599"/>
      <c r="H31" s="601">
        <v>164933.41</v>
      </c>
      <c r="I31" s="609"/>
      <c r="J31" s="335"/>
      <c r="K31" s="608"/>
      <c r="L31" s="335"/>
      <c r="M31" s="335"/>
      <c r="N31" s="335"/>
      <c r="O31" s="335"/>
      <c r="P31" s="335"/>
      <c r="Q31" s="335"/>
      <c r="R31" s="335"/>
      <c r="S31" s="335"/>
      <c r="T31" s="335"/>
      <c r="U31" s="335"/>
      <c r="V31" s="335"/>
      <c r="W31" s="335"/>
      <c r="X31" s="335"/>
      <c r="Y31" s="335"/>
    </row>
    <row r="32" ht="25.5" customHeight="1" spans="1:25">
      <c r="A32" s="596">
        <v>15</v>
      </c>
      <c r="B32" s="597" t="s">
        <v>34</v>
      </c>
      <c r="C32" s="598"/>
      <c r="D32" s="598"/>
      <c r="E32" s="598"/>
      <c r="F32" s="598"/>
      <c r="G32" s="599"/>
      <c r="H32" s="601">
        <v>13854.74</v>
      </c>
      <c r="I32" s="609"/>
      <c r="J32" s="335"/>
      <c r="K32" s="608"/>
      <c r="L32" s="335"/>
      <c r="M32" s="335"/>
      <c r="N32" s="335"/>
      <c r="O32" s="335"/>
      <c r="P32" s="335"/>
      <c r="Q32" s="335"/>
      <c r="R32" s="335"/>
      <c r="S32" s="335"/>
      <c r="T32" s="335"/>
      <c r="U32" s="335"/>
      <c r="V32" s="335"/>
      <c r="W32" s="335"/>
      <c r="X32" s="335"/>
      <c r="Y32" s="335"/>
    </row>
    <row r="33" ht="15.75" spans="1:25">
      <c r="A33" s="596">
        <v>16</v>
      </c>
      <c r="B33" s="597" t="s">
        <v>35</v>
      </c>
      <c r="C33" s="598"/>
      <c r="D33" s="598"/>
      <c r="E33" s="598"/>
      <c r="F33" s="598"/>
      <c r="G33" s="599"/>
      <c r="H33" s="601">
        <v>52263.88</v>
      </c>
      <c r="I33" s="609"/>
      <c r="J33" s="336"/>
      <c r="K33" s="608"/>
      <c r="L33" s="336"/>
      <c r="M33" s="336"/>
      <c r="N33" s="336"/>
      <c r="O33" s="336"/>
      <c r="P33" s="336"/>
      <c r="Q33" s="336"/>
      <c r="R33" s="336"/>
      <c r="S33" s="336"/>
      <c r="T33" s="336"/>
      <c r="U33" s="336"/>
      <c r="V33" s="336"/>
      <c r="W33" s="336"/>
      <c r="X33" s="336"/>
      <c r="Y33" s="336"/>
    </row>
    <row r="34" ht="15.75" spans="1:25">
      <c r="A34" s="596">
        <v>17</v>
      </c>
      <c r="B34" s="597" t="s">
        <v>36</v>
      </c>
      <c r="C34" s="598"/>
      <c r="D34" s="598"/>
      <c r="E34" s="598"/>
      <c r="F34" s="598"/>
      <c r="G34" s="599"/>
      <c r="H34" s="601">
        <v>460513.61</v>
      </c>
      <c r="I34" s="609"/>
      <c r="J34" s="336"/>
      <c r="K34" s="608"/>
      <c r="L34" s="336"/>
      <c r="M34" s="336"/>
      <c r="N34" s="336"/>
      <c r="O34" s="336"/>
      <c r="P34" s="336"/>
      <c r="Q34" s="336"/>
      <c r="R34" s="336"/>
      <c r="S34" s="336"/>
      <c r="T34" s="336"/>
      <c r="U34" s="336"/>
      <c r="V34" s="336"/>
      <c r="W34" s="336"/>
      <c r="X34" s="336"/>
      <c r="Y34" s="336"/>
    </row>
    <row r="35" ht="15.75" spans="1:25">
      <c r="A35" s="596">
        <v>18</v>
      </c>
      <c r="B35" s="597" t="s">
        <v>37</v>
      </c>
      <c r="C35" s="598"/>
      <c r="D35" s="598"/>
      <c r="E35" s="598"/>
      <c r="F35" s="598"/>
      <c r="G35" s="599"/>
      <c r="H35" s="601">
        <v>47648.79</v>
      </c>
      <c r="I35" s="609"/>
      <c r="J35" s="336"/>
      <c r="K35" s="608"/>
      <c r="L35" s="336"/>
      <c r="M35" s="336"/>
      <c r="N35" s="336"/>
      <c r="O35" s="336"/>
      <c r="P35" s="336"/>
      <c r="Q35" s="336"/>
      <c r="R35" s="336"/>
      <c r="S35" s="336"/>
      <c r="T35" s="336"/>
      <c r="U35" s="336"/>
      <c r="V35" s="336"/>
      <c r="W35" s="336"/>
      <c r="X35" s="336"/>
      <c r="Y35" s="336"/>
    </row>
    <row r="36" ht="15.75" spans="1:25">
      <c r="A36" s="596">
        <v>19</v>
      </c>
      <c r="B36" s="597" t="s">
        <v>38</v>
      </c>
      <c r="C36" s="598"/>
      <c r="D36" s="598"/>
      <c r="E36" s="598"/>
      <c r="F36" s="598"/>
      <c r="G36" s="599"/>
      <c r="H36" s="601">
        <v>110181.61</v>
      </c>
      <c r="I36" s="609"/>
      <c r="J36" s="336"/>
      <c r="K36" s="608"/>
      <c r="L36" s="336"/>
      <c r="M36" s="336"/>
      <c r="N36" s="336"/>
      <c r="O36" s="336"/>
      <c r="P36" s="336"/>
      <c r="Q36" s="336"/>
      <c r="R36" s="336"/>
      <c r="S36" s="336"/>
      <c r="T36" s="336"/>
      <c r="U36" s="336"/>
      <c r="V36" s="336"/>
      <c r="W36" s="336"/>
      <c r="X36" s="336"/>
      <c r="Y36" s="336"/>
    </row>
    <row r="37" ht="33" customHeight="1" spans="1:25">
      <c r="A37" s="596">
        <v>20</v>
      </c>
      <c r="B37" s="597" t="s">
        <v>39</v>
      </c>
      <c r="C37" s="598"/>
      <c r="D37" s="598"/>
      <c r="E37" s="598"/>
      <c r="F37" s="598"/>
      <c r="G37" s="599"/>
      <c r="H37" s="601">
        <v>301019.98</v>
      </c>
      <c r="I37" s="609"/>
      <c r="J37" s="336"/>
      <c r="K37" s="608"/>
      <c r="L37" s="336"/>
      <c r="M37" s="336"/>
      <c r="N37" s="336"/>
      <c r="O37" s="336"/>
      <c r="P37" s="336"/>
      <c r="Q37" s="336"/>
      <c r="R37" s="336"/>
      <c r="S37" s="336"/>
      <c r="T37" s="336"/>
      <c r="U37" s="336"/>
      <c r="V37" s="336"/>
      <c r="W37" s="336"/>
      <c r="X37" s="336"/>
      <c r="Y37" s="336"/>
    </row>
    <row r="38" ht="15.75" spans="1:25">
      <c r="A38" s="596">
        <v>21</v>
      </c>
      <c r="B38" s="597" t="s">
        <v>40</v>
      </c>
      <c r="C38" s="598"/>
      <c r="D38" s="598"/>
      <c r="E38" s="598"/>
      <c r="F38" s="598"/>
      <c r="G38" s="599"/>
      <c r="H38" s="601">
        <v>403233.6</v>
      </c>
      <c r="I38" s="609"/>
      <c r="J38" s="336"/>
      <c r="K38" s="608"/>
      <c r="L38" s="336"/>
      <c r="M38" s="336"/>
      <c r="N38" s="336"/>
      <c r="O38" s="336"/>
      <c r="P38" s="336"/>
      <c r="Q38" s="336"/>
      <c r="R38" s="336"/>
      <c r="S38" s="336"/>
      <c r="T38" s="336"/>
      <c r="U38" s="336"/>
      <c r="V38" s="336"/>
      <c r="W38" s="336"/>
      <c r="X38" s="336"/>
      <c r="Y38" s="336"/>
    </row>
    <row r="39" ht="15.75" spans="1:25">
      <c r="A39" s="596">
        <v>22</v>
      </c>
      <c r="B39" s="597" t="s">
        <v>41</v>
      </c>
      <c r="C39" s="598"/>
      <c r="D39" s="598"/>
      <c r="E39" s="598"/>
      <c r="F39" s="598"/>
      <c r="G39" s="599"/>
      <c r="H39" s="601">
        <v>82712.58</v>
      </c>
      <c r="I39" s="609"/>
      <c r="J39" s="336"/>
      <c r="K39" s="608"/>
      <c r="L39" s="336"/>
      <c r="M39" s="336"/>
      <c r="N39" s="336"/>
      <c r="O39" s="336"/>
      <c r="P39" s="336"/>
      <c r="Q39" s="336"/>
      <c r="R39" s="336"/>
      <c r="S39" s="336"/>
      <c r="T39" s="336"/>
      <c r="U39" s="336"/>
      <c r="V39" s="336"/>
      <c r="W39" s="336"/>
      <c r="X39" s="336"/>
      <c r="Y39" s="336"/>
    </row>
    <row r="40" ht="31.5" customHeight="1" spans="1:25">
      <c r="A40" s="596">
        <v>23</v>
      </c>
      <c r="B40" s="597" t="s">
        <v>42</v>
      </c>
      <c r="C40" s="598"/>
      <c r="D40" s="598"/>
      <c r="E40" s="598"/>
      <c r="F40" s="598"/>
      <c r="G40" s="599"/>
      <c r="H40" s="601">
        <v>784405.43</v>
      </c>
      <c r="I40" s="609"/>
      <c r="J40" s="336"/>
      <c r="K40" s="608"/>
      <c r="L40" s="336"/>
      <c r="M40" s="336"/>
      <c r="N40" s="336"/>
      <c r="O40" s="336"/>
      <c r="P40" s="336"/>
      <c r="Q40" s="336"/>
      <c r="R40" s="336"/>
      <c r="S40" s="336"/>
      <c r="T40" s="336"/>
      <c r="U40" s="336"/>
      <c r="V40" s="336"/>
      <c r="W40" s="336"/>
      <c r="X40" s="336"/>
      <c r="Y40" s="336"/>
    </row>
    <row r="41" ht="15.75" spans="1:25">
      <c r="A41" s="596">
        <v>24</v>
      </c>
      <c r="B41" s="597" t="s">
        <v>43</v>
      </c>
      <c r="C41" s="598"/>
      <c r="D41" s="598"/>
      <c r="E41" s="598"/>
      <c r="F41" s="598"/>
      <c r="G41" s="599"/>
      <c r="H41" s="601">
        <v>193118</v>
      </c>
      <c r="I41" s="609"/>
      <c r="J41" s="336"/>
      <c r="K41" s="608"/>
      <c r="L41" s="336"/>
      <c r="M41" s="336"/>
      <c r="N41" s="336"/>
      <c r="O41" s="336"/>
      <c r="P41" s="336"/>
      <c r="Q41" s="336"/>
      <c r="R41" s="336"/>
      <c r="S41" s="336"/>
      <c r="T41" s="336"/>
      <c r="U41" s="336"/>
      <c r="V41" s="336"/>
      <c r="W41" s="336"/>
      <c r="X41" s="336"/>
      <c r="Y41" s="336"/>
    </row>
    <row r="42" ht="15.75" spans="1:25">
      <c r="A42" s="596">
        <v>25</v>
      </c>
      <c r="B42" s="597" t="s">
        <v>44</v>
      </c>
      <c r="C42" s="598"/>
      <c r="D42" s="598"/>
      <c r="E42" s="598"/>
      <c r="F42" s="598"/>
      <c r="G42" s="599"/>
      <c r="H42" s="601">
        <v>19177.99</v>
      </c>
      <c r="I42" s="609"/>
      <c r="J42" s="336"/>
      <c r="K42" s="608"/>
      <c r="L42" s="336"/>
      <c r="M42" s="336"/>
      <c r="N42" s="336"/>
      <c r="O42" s="336"/>
      <c r="P42" s="336"/>
      <c r="Q42" s="336"/>
      <c r="R42" s="336"/>
      <c r="S42" s="336"/>
      <c r="T42" s="336"/>
      <c r="U42" s="336"/>
      <c r="V42" s="336"/>
      <c r="W42" s="336"/>
      <c r="X42" s="336"/>
      <c r="Y42" s="336"/>
    </row>
    <row r="43" ht="15.75" spans="1:25">
      <c r="A43" s="596">
        <v>26</v>
      </c>
      <c r="B43" s="597" t="s">
        <v>45</v>
      </c>
      <c r="C43" s="598"/>
      <c r="D43" s="598"/>
      <c r="E43" s="598"/>
      <c r="F43" s="598"/>
      <c r="G43" s="599"/>
      <c r="H43" s="601">
        <v>291787</v>
      </c>
      <c r="I43" s="609"/>
      <c r="J43" s="336"/>
      <c r="K43" s="608"/>
      <c r="L43" s="336"/>
      <c r="M43" s="336"/>
      <c r="N43" s="336"/>
      <c r="O43" s="336"/>
      <c r="P43" s="336"/>
      <c r="Q43" s="336"/>
      <c r="R43" s="336"/>
      <c r="S43" s="336"/>
      <c r="T43" s="336"/>
      <c r="U43" s="336"/>
      <c r="V43" s="336"/>
      <c r="W43" s="336"/>
      <c r="X43" s="336"/>
      <c r="Y43" s="336"/>
    </row>
    <row r="44" ht="15.75" spans="1:25">
      <c r="A44" s="596">
        <v>27</v>
      </c>
      <c r="B44" s="597" t="s">
        <v>46</v>
      </c>
      <c r="C44" s="598"/>
      <c r="D44" s="602"/>
      <c r="E44" s="602"/>
      <c r="F44" s="602"/>
      <c r="G44" s="603"/>
      <c r="H44" s="601">
        <v>21393.63</v>
      </c>
      <c r="I44" s="609"/>
      <c r="J44" s="336"/>
      <c r="K44" s="608"/>
      <c r="L44" s="336"/>
      <c r="M44" s="336"/>
      <c r="N44" s="336"/>
      <c r="O44" s="336"/>
      <c r="P44" s="336"/>
      <c r="Q44" s="336"/>
      <c r="R44" s="336"/>
      <c r="S44" s="336"/>
      <c r="T44" s="336"/>
      <c r="U44" s="336"/>
      <c r="V44" s="336"/>
      <c r="W44" s="336"/>
      <c r="X44" s="336"/>
      <c r="Y44" s="336"/>
    </row>
    <row r="45" ht="15.75" spans="1:25">
      <c r="A45" s="596">
        <v>28</v>
      </c>
      <c r="B45" s="597" t="s">
        <v>47</v>
      </c>
      <c r="C45" s="598"/>
      <c r="D45" s="602"/>
      <c r="E45" s="602"/>
      <c r="F45" s="602"/>
      <c r="G45" s="603"/>
      <c r="H45" s="601">
        <v>112892.63</v>
      </c>
      <c r="I45" s="609"/>
      <c r="J45" s="336"/>
      <c r="K45" s="608"/>
      <c r="L45" s="336"/>
      <c r="M45" s="336"/>
      <c r="N45" s="336"/>
      <c r="O45" s="336"/>
      <c r="P45" s="336"/>
      <c r="Q45" s="336"/>
      <c r="R45" s="336"/>
      <c r="S45" s="336"/>
      <c r="T45" s="336"/>
      <c r="U45" s="336"/>
      <c r="V45" s="336"/>
      <c r="W45" s="336"/>
      <c r="X45" s="336"/>
      <c r="Y45" s="336"/>
    </row>
    <row r="46" ht="15.75" spans="1:25">
      <c r="A46" s="596">
        <v>29</v>
      </c>
      <c r="B46" s="597" t="s">
        <v>48</v>
      </c>
      <c r="C46" s="598"/>
      <c r="D46" s="604"/>
      <c r="E46" s="604"/>
      <c r="F46" s="604"/>
      <c r="G46" s="605"/>
      <c r="H46" s="601">
        <v>64442.98</v>
      </c>
      <c r="I46" s="609"/>
      <c r="J46" s="336"/>
      <c r="K46" s="608"/>
      <c r="L46" s="336"/>
      <c r="M46" s="336"/>
      <c r="N46" s="336"/>
      <c r="O46" s="336"/>
      <c r="P46" s="336"/>
      <c r="Q46" s="336"/>
      <c r="R46" s="336"/>
      <c r="S46" s="336"/>
      <c r="T46" s="336"/>
      <c r="U46" s="336"/>
      <c r="V46" s="336"/>
      <c r="W46" s="336"/>
      <c r="X46" s="336"/>
      <c r="Y46" s="336"/>
    </row>
    <row r="47" ht="15.75" customHeight="1" spans="1:25">
      <c r="A47" s="606" t="s">
        <v>49</v>
      </c>
      <c r="B47" s="207"/>
      <c r="C47" s="207"/>
      <c r="D47" s="207"/>
      <c r="E47" s="207"/>
      <c r="F47" s="207"/>
      <c r="G47" s="595"/>
      <c r="H47" s="607">
        <f>SUM(H18:I46)</f>
        <v>7504566.91</v>
      </c>
      <c r="I47" s="259"/>
      <c r="J47" s="335"/>
      <c r="K47" s="335"/>
      <c r="L47" s="335"/>
      <c r="M47" s="335"/>
      <c r="N47" s="335"/>
      <c r="O47" s="335"/>
      <c r="P47" s="335"/>
      <c r="Q47" s="335"/>
      <c r="R47" s="335"/>
      <c r="S47" s="335"/>
      <c r="T47" s="335"/>
      <c r="U47" s="335"/>
      <c r="V47" s="335"/>
      <c r="W47" s="335"/>
      <c r="X47" s="335"/>
      <c r="Y47" s="335"/>
    </row>
    <row r="48" ht="15.75" customHeight="1" spans="1:25">
      <c r="A48" s="335"/>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row>
    <row r="49" ht="15.75" customHeight="1" spans="1:25">
      <c r="A49" s="335"/>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row>
    <row r="50" ht="15.75" customHeight="1" spans="1:25">
      <c r="A50" s="335"/>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row>
    <row r="51" ht="15.75" customHeight="1" spans="1:25">
      <c r="A51" s="335"/>
      <c r="B51" s="335"/>
      <c r="C51" s="335"/>
      <c r="D51" s="335"/>
      <c r="E51" s="335"/>
      <c r="F51" s="335"/>
      <c r="G51" s="335"/>
      <c r="H51" s="335"/>
      <c r="I51" s="335"/>
      <c r="J51" s="335"/>
      <c r="K51" s="335"/>
      <c r="L51" s="335"/>
      <c r="M51" s="335"/>
      <c r="N51" s="335"/>
      <c r="O51" s="335"/>
      <c r="P51" s="335"/>
      <c r="Q51" s="335"/>
      <c r="R51" s="335"/>
      <c r="S51" s="335"/>
      <c r="T51" s="335"/>
      <c r="U51" s="335"/>
      <c r="V51" s="335"/>
      <c r="W51" s="335"/>
      <c r="X51" s="335"/>
      <c r="Y51" s="335"/>
    </row>
    <row r="52" ht="15.75" customHeight="1" spans="1:25">
      <c r="A52" s="335"/>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row>
    <row r="53" ht="15.75" customHeight="1" spans="1:25">
      <c r="A53" s="335"/>
      <c r="B53" s="335"/>
      <c r="C53" s="335"/>
      <c r="D53" s="335"/>
      <c r="E53" s="335"/>
      <c r="F53" s="335"/>
      <c r="G53" s="335"/>
      <c r="H53" s="335"/>
      <c r="I53" s="335"/>
      <c r="J53" s="335"/>
      <c r="K53" s="335"/>
      <c r="L53" s="335"/>
      <c r="M53" s="335"/>
      <c r="N53" s="335"/>
      <c r="O53" s="335"/>
      <c r="P53" s="335"/>
      <c r="Q53" s="335"/>
      <c r="R53" s="335"/>
      <c r="S53" s="335"/>
      <c r="T53" s="335"/>
      <c r="U53" s="335"/>
      <c r="V53" s="335"/>
      <c r="W53" s="335"/>
      <c r="X53" s="335"/>
      <c r="Y53" s="335"/>
    </row>
    <row r="54" ht="15.75" customHeight="1" spans="1:25">
      <c r="A54" s="335"/>
      <c r="B54" s="335"/>
      <c r="C54" s="335"/>
      <c r="D54" s="335"/>
      <c r="E54" s="335"/>
      <c r="F54" s="335"/>
      <c r="G54" s="335"/>
      <c r="H54" s="335"/>
      <c r="I54" s="335"/>
      <c r="J54" s="335"/>
      <c r="K54" s="335"/>
      <c r="L54" s="335"/>
      <c r="M54" s="335"/>
      <c r="N54" s="335"/>
      <c r="O54" s="335"/>
      <c r="P54" s="335"/>
      <c r="Q54" s="335"/>
      <c r="R54" s="335"/>
      <c r="S54" s="335"/>
      <c r="T54" s="335"/>
      <c r="U54" s="335"/>
      <c r="V54" s="335"/>
      <c r="W54" s="335"/>
      <c r="X54" s="335"/>
      <c r="Y54" s="335"/>
    </row>
    <row r="55" ht="15.75" customHeight="1" spans="1:25">
      <c r="A55" s="335"/>
      <c r="B55" s="335"/>
      <c r="C55" s="335"/>
      <c r="D55" s="335"/>
      <c r="E55" s="335"/>
      <c r="F55" s="335"/>
      <c r="G55" s="335"/>
      <c r="H55" s="335"/>
      <c r="I55" s="335"/>
      <c r="J55" s="335"/>
      <c r="K55" s="335"/>
      <c r="L55" s="335"/>
      <c r="M55" s="335"/>
      <c r="N55" s="335"/>
      <c r="O55" s="335"/>
      <c r="P55" s="335"/>
      <c r="Q55" s="335"/>
      <c r="R55" s="335"/>
      <c r="S55" s="335"/>
      <c r="T55" s="335"/>
      <c r="U55" s="335"/>
      <c r="V55" s="335"/>
      <c r="W55" s="335"/>
      <c r="X55" s="335"/>
      <c r="Y55" s="335"/>
    </row>
    <row r="56" ht="15.75" customHeight="1" spans="1:25">
      <c r="A56" s="335"/>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row>
    <row r="57" ht="15.75" customHeight="1" spans="1:25">
      <c r="A57" s="335"/>
      <c r="B57" s="335"/>
      <c r="C57" s="335"/>
      <c r="D57" s="335"/>
      <c r="E57" s="335"/>
      <c r="F57" s="335"/>
      <c r="G57" s="335"/>
      <c r="H57" s="335"/>
      <c r="I57" s="335"/>
      <c r="J57" s="335"/>
      <c r="K57" s="335"/>
      <c r="L57" s="335"/>
      <c r="M57" s="335"/>
      <c r="N57" s="335"/>
      <c r="O57" s="335"/>
      <c r="P57" s="335"/>
      <c r="Q57" s="335"/>
      <c r="R57" s="335"/>
      <c r="S57" s="335"/>
      <c r="T57" s="335"/>
      <c r="U57" s="335"/>
      <c r="V57" s="335"/>
      <c r="W57" s="335"/>
      <c r="X57" s="335"/>
      <c r="Y57" s="335"/>
    </row>
    <row r="58" ht="15.75" customHeight="1" spans="1:25">
      <c r="A58" s="335"/>
      <c r="B58" s="335"/>
      <c r="C58" s="335"/>
      <c r="D58" s="335"/>
      <c r="E58" s="335"/>
      <c r="F58" s="335"/>
      <c r="G58" s="335"/>
      <c r="H58" s="335"/>
      <c r="I58" s="335"/>
      <c r="J58" s="335"/>
      <c r="K58" s="335"/>
      <c r="L58" s="335"/>
      <c r="M58" s="335"/>
      <c r="N58" s="335"/>
      <c r="O58" s="335"/>
      <c r="P58" s="335"/>
      <c r="Q58" s="335"/>
      <c r="R58" s="335"/>
      <c r="S58" s="335"/>
      <c r="T58" s="335"/>
      <c r="U58" s="335"/>
      <c r="V58" s="335"/>
      <c r="W58" s="335"/>
      <c r="X58" s="335"/>
      <c r="Y58" s="335"/>
    </row>
    <row r="59" ht="15.75" customHeight="1" spans="1:25">
      <c r="A59" s="335"/>
      <c r="B59" s="335"/>
      <c r="C59" s="335"/>
      <c r="D59" s="335"/>
      <c r="E59" s="335"/>
      <c r="F59" s="335"/>
      <c r="G59" s="335"/>
      <c r="H59" s="335"/>
      <c r="I59" s="335"/>
      <c r="J59" s="335"/>
      <c r="K59" s="335"/>
      <c r="L59" s="335"/>
      <c r="M59" s="335"/>
      <c r="N59" s="335"/>
      <c r="O59" s="335"/>
      <c r="P59" s="335"/>
      <c r="Q59" s="335"/>
      <c r="R59" s="335"/>
      <c r="S59" s="335"/>
      <c r="T59" s="335"/>
      <c r="U59" s="335"/>
      <c r="V59" s="335"/>
      <c r="W59" s="335"/>
      <c r="X59" s="335"/>
      <c r="Y59" s="335"/>
    </row>
    <row r="60" ht="15.75" customHeight="1" spans="1:25">
      <c r="A60" s="335"/>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row>
    <row r="61" ht="15.75" customHeight="1" spans="1:25">
      <c r="A61" s="335"/>
      <c r="B61" s="335"/>
      <c r="C61" s="335"/>
      <c r="D61" s="335"/>
      <c r="E61" s="335"/>
      <c r="F61" s="335"/>
      <c r="G61" s="335"/>
      <c r="H61" s="335"/>
      <c r="I61" s="335"/>
      <c r="J61" s="335"/>
      <c r="K61" s="335"/>
      <c r="L61" s="335"/>
      <c r="M61" s="335"/>
      <c r="N61" s="335"/>
      <c r="O61" s="335"/>
      <c r="P61" s="335"/>
      <c r="Q61" s="335"/>
      <c r="R61" s="335"/>
      <c r="S61" s="335"/>
      <c r="T61" s="335"/>
      <c r="U61" s="335"/>
      <c r="V61" s="335"/>
      <c r="W61" s="335"/>
      <c r="X61" s="335"/>
      <c r="Y61" s="335"/>
    </row>
    <row r="62" ht="15.75" customHeight="1" spans="1:25">
      <c r="A62" s="335"/>
      <c r="B62" s="335"/>
      <c r="C62" s="335"/>
      <c r="D62" s="335"/>
      <c r="E62" s="335"/>
      <c r="F62" s="335"/>
      <c r="G62" s="335"/>
      <c r="H62" s="335"/>
      <c r="I62" s="335"/>
      <c r="J62" s="335"/>
      <c r="K62" s="335"/>
      <c r="L62" s="335"/>
      <c r="M62" s="335"/>
      <c r="N62" s="335"/>
      <c r="O62" s="335"/>
      <c r="P62" s="335"/>
      <c r="Q62" s="335"/>
      <c r="R62" s="335"/>
      <c r="S62" s="335"/>
      <c r="T62" s="335"/>
      <c r="U62" s="335"/>
      <c r="V62" s="335"/>
      <c r="W62" s="335"/>
      <c r="X62" s="335"/>
      <c r="Y62" s="335"/>
    </row>
    <row r="63" ht="15.75" customHeight="1" spans="1:25">
      <c r="A63" s="335"/>
      <c r="B63" s="335"/>
      <c r="C63" s="335"/>
      <c r="D63" s="335"/>
      <c r="E63" s="335"/>
      <c r="F63" s="335"/>
      <c r="G63" s="335"/>
      <c r="H63" s="335"/>
      <c r="I63" s="335"/>
      <c r="J63" s="335"/>
      <c r="K63" s="335"/>
      <c r="L63" s="335"/>
      <c r="M63" s="335"/>
      <c r="N63" s="335"/>
      <c r="O63" s="335"/>
      <c r="P63" s="335"/>
      <c r="Q63" s="335"/>
      <c r="R63" s="335"/>
      <c r="S63" s="335"/>
      <c r="T63" s="335"/>
      <c r="U63" s="335"/>
      <c r="V63" s="335"/>
      <c r="W63" s="335"/>
      <c r="X63" s="335"/>
      <c r="Y63" s="335"/>
    </row>
    <row r="64" ht="15.75" customHeight="1" spans="1:25">
      <c r="A64" s="335"/>
      <c r="B64" s="335"/>
      <c r="C64" s="335"/>
      <c r="D64" s="335"/>
      <c r="E64" s="335"/>
      <c r="F64" s="335"/>
      <c r="G64" s="335"/>
      <c r="H64" s="335"/>
      <c r="I64" s="335"/>
      <c r="J64" s="335"/>
      <c r="K64" s="335"/>
      <c r="L64" s="335"/>
      <c r="M64" s="335"/>
      <c r="N64" s="335"/>
      <c r="O64" s="335"/>
      <c r="P64" s="335"/>
      <c r="Q64" s="335"/>
      <c r="R64" s="335"/>
      <c r="S64" s="335"/>
      <c r="T64" s="335"/>
      <c r="U64" s="335"/>
      <c r="V64" s="335"/>
      <c r="W64" s="335"/>
      <c r="X64" s="335"/>
      <c r="Y64" s="335"/>
    </row>
    <row r="65" ht="15.75" customHeight="1" spans="1:25">
      <c r="A65" s="335"/>
      <c r="B65" s="335"/>
      <c r="C65" s="335"/>
      <c r="D65" s="335"/>
      <c r="E65" s="335"/>
      <c r="F65" s="335"/>
      <c r="G65" s="335"/>
      <c r="H65" s="335"/>
      <c r="I65" s="335"/>
      <c r="J65" s="335"/>
      <c r="K65" s="335"/>
      <c r="L65" s="335"/>
      <c r="M65" s="335"/>
      <c r="N65" s="335"/>
      <c r="O65" s="335"/>
      <c r="P65" s="335"/>
      <c r="Q65" s="335"/>
      <c r="R65" s="335"/>
      <c r="S65" s="335"/>
      <c r="T65" s="335"/>
      <c r="U65" s="335"/>
      <c r="V65" s="335"/>
      <c r="W65" s="335"/>
      <c r="X65" s="335"/>
      <c r="Y65" s="335"/>
    </row>
    <row r="66" ht="15.75" customHeight="1" spans="1:25">
      <c r="A66" s="335"/>
      <c r="B66" s="335"/>
      <c r="C66" s="335"/>
      <c r="D66" s="335"/>
      <c r="E66" s="335"/>
      <c r="F66" s="335"/>
      <c r="G66" s="335"/>
      <c r="H66" s="335"/>
      <c r="I66" s="335"/>
      <c r="J66" s="335"/>
      <c r="K66" s="335"/>
      <c r="L66" s="335"/>
      <c r="M66" s="335"/>
      <c r="N66" s="335"/>
      <c r="O66" s="335"/>
      <c r="P66" s="335"/>
      <c r="Q66" s="335"/>
      <c r="R66" s="335"/>
      <c r="S66" s="335"/>
      <c r="T66" s="335"/>
      <c r="U66" s="335"/>
      <c r="V66" s="335"/>
      <c r="W66" s="335"/>
      <c r="X66" s="335"/>
      <c r="Y66" s="335"/>
    </row>
    <row r="67" ht="15.75" customHeight="1" spans="1:25">
      <c r="A67" s="335"/>
      <c r="B67" s="335"/>
      <c r="C67" s="335"/>
      <c r="D67" s="335"/>
      <c r="E67" s="335"/>
      <c r="F67" s="335"/>
      <c r="G67" s="335"/>
      <c r="H67" s="335"/>
      <c r="I67" s="335"/>
      <c r="J67" s="335"/>
      <c r="K67" s="335"/>
      <c r="L67" s="335"/>
      <c r="M67" s="335"/>
      <c r="N67" s="335"/>
      <c r="O67" s="335"/>
      <c r="P67" s="335"/>
      <c r="Q67" s="335"/>
      <c r="R67" s="335"/>
      <c r="S67" s="335"/>
      <c r="T67" s="335"/>
      <c r="U67" s="335"/>
      <c r="V67" s="335"/>
      <c r="W67" s="335"/>
      <c r="X67" s="335"/>
      <c r="Y67" s="335"/>
    </row>
    <row r="68" ht="15.75" customHeight="1" spans="1:25">
      <c r="A68" s="335"/>
      <c r="B68" s="335"/>
      <c r="C68" s="335"/>
      <c r="D68" s="335"/>
      <c r="E68" s="335"/>
      <c r="F68" s="335"/>
      <c r="G68" s="335"/>
      <c r="H68" s="335"/>
      <c r="I68" s="335"/>
      <c r="J68" s="335"/>
      <c r="K68" s="335"/>
      <c r="L68" s="335"/>
      <c r="M68" s="335"/>
      <c r="N68" s="335"/>
      <c r="O68" s="335"/>
      <c r="P68" s="335"/>
      <c r="Q68" s="335"/>
      <c r="R68" s="335"/>
      <c r="S68" s="335"/>
      <c r="T68" s="335"/>
      <c r="U68" s="335"/>
      <c r="V68" s="335"/>
      <c r="W68" s="335"/>
      <c r="X68" s="335"/>
      <c r="Y68" s="335"/>
    </row>
    <row r="69" ht="15.75" customHeight="1" spans="1:25">
      <c r="A69" s="335"/>
      <c r="B69" s="335"/>
      <c r="C69" s="335"/>
      <c r="D69" s="335"/>
      <c r="E69" s="335"/>
      <c r="F69" s="335"/>
      <c r="G69" s="335"/>
      <c r="H69" s="335"/>
      <c r="I69" s="335"/>
      <c r="J69" s="335"/>
      <c r="K69" s="335"/>
      <c r="L69" s="335"/>
      <c r="M69" s="335"/>
      <c r="N69" s="335"/>
      <c r="O69" s="335"/>
      <c r="P69" s="335"/>
      <c r="Q69" s="335"/>
      <c r="R69" s="335"/>
      <c r="S69" s="335"/>
      <c r="T69" s="335"/>
      <c r="U69" s="335"/>
      <c r="V69" s="335"/>
      <c r="W69" s="335"/>
      <c r="X69" s="335"/>
      <c r="Y69" s="335"/>
    </row>
    <row r="70" ht="15.75" customHeight="1" spans="1:25">
      <c r="A70" s="335"/>
      <c r="B70" s="335"/>
      <c r="C70" s="335"/>
      <c r="D70" s="335"/>
      <c r="E70" s="335"/>
      <c r="F70" s="335"/>
      <c r="G70" s="335"/>
      <c r="H70" s="335"/>
      <c r="I70" s="335"/>
      <c r="J70" s="335"/>
      <c r="K70" s="335"/>
      <c r="L70" s="335"/>
      <c r="M70" s="335"/>
      <c r="N70" s="335"/>
      <c r="O70" s="335"/>
      <c r="P70" s="335"/>
      <c r="Q70" s="335"/>
      <c r="R70" s="335"/>
      <c r="S70" s="335"/>
      <c r="T70" s="335"/>
      <c r="U70" s="335"/>
      <c r="V70" s="335"/>
      <c r="W70" s="335"/>
      <c r="X70" s="335"/>
      <c r="Y70" s="335"/>
    </row>
    <row r="71" ht="15.75" customHeight="1" spans="1:25">
      <c r="A71" s="335"/>
      <c r="B71" s="335"/>
      <c r="C71" s="335"/>
      <c r="D71" s="335"/>
      <c r="E71" s="335"/>
      <c r="F71" s="335"/>
      <c r="G71" s="335"/>
      <c r="H71" s="335"/>
      <c r="I71" s="335"/>
      <c r="J71" s="335"/>
      <c r="K71" s="335"/>
      <c r="L71" s="335"/>
      <c r="M71" s="335"/>
      <c r="N71" s="335"/>
      <c r="O71" s="335"/>
      <c r="P71" s="335"/>
      <c r="Q71" s="335"/>
      <c r="R71" s="335"/>
      <c r="S71" s="335"/>
      <c r="T71" s="335"/>
      <c r="U71" s="335"/>
      <c r="V71" s="335"/>
      <c r="W71" s="335"/>
      <c r="X71" s="335"/>
      <c r="Y71" s="335"/>
    </row>
    <row r="72" ht="15.75" customHeight="1" spans="1:25">
      <c r="A72" s="335"/>
      <c r="B72" s="335"/>
      <c r="C72" s="335"/>
      <c r="D72" s="335"/>
      <c r="E72" s="335"/>
      <c r="F72" s="335"/>
      <c r="G72" s="335"/>
      <c r="H72" s="335"/>
      <c r="I72" s="335"/>
      <c r="J72" s="335"/>
      <c r="K72" s="335"/>
      <c r="L72" s="335"/>
      <c r="M72" s="335"/>
      <c r="N72" s="335"/>
      <c r="O72" s="335"/>
      <c r="P72" s="335"/>
      <c r="Q72" s="335"/>
      <c r="R72" s="335"/>
      <c r="S72" s="335"/>
      <c r="T72" s="335"/>
      <c r="U72" s="335"/>
      <c r="V72" s="335"/>
      <c r="W72" s="335"/>
      <c r="X72" s="335"/>
      <c r="Y72" s="335"/>
    </row>
    <row r="73" ht="15.75" customHeight="1" spans="1:25">
      <c r="A73" s="335"/>
      <c r="B73" s="335"/>
      <c r="C73" s="335"/>
      <c r="D73" s="335"/>
      <c r="E73" s="335"/>
      <c r="F73" s="335"/>
      <c r="G73" s="335"/>
      <c r="H73" s="335"/>
      <c r="I73" s="335"/>
      <c r="J73" s="335"/>
      <c r="K73" s="335"/>
      <c r="L73" s="335"/>
      <c r="M73" s="335"/>
      <c r="N73" s="335"/>
      <c r="O73" s="335"/>
      <c r="P73" s="335"/>
      <c r="Q73" s="335"/>
      <c r="R73" s="335"/>
      <c r="S73" s="335"/>
      <c r="T73" s="335"/>
      <c r="U73" s="335"/>
      <c r="V73" s="335"/>
      <c r="W73" s="335"/>
      <c r="X73" s="335"/>
      <c r="Y73" s="335"/>
    </row>
    <row r="74" ht="15.75" customHeight="1" spans="1:25">
      <c r="A74" s="335"/>
      <c r="B74" s="335"/>
      <c r="C74" s="335"/>
      <c r="D74" s="335"/>
      <c r="E74" s="335"/>
      <c r="F74" s="335"/>
      <c r="G74" s="335"/>
      <c r="H74" s="335"/>
      <c r="I74" s="335"/>
      <c r="J74" s="335"/>
      <c r="K74" s="335"/>
      <c r="L74" s="335"/>
      <c r="M74" s="335"/>
      <c r="N74" s="335"/>
      <c r="O74" s="335"/>
      <c r="P74" s="335"/>
      <c r="Q74" s="335"/>
      <c r="R74" s="335"/>
      <c r="S74" s="335"/>
      <c r="T74" s="335"/>
      <c r="U74" s="335"/>
      <c r="V74" s="335"/>
      <c r="W74" s="335"/>
      <c r="X74" s="335"/>
      <c r="Y74" s="335"/>
    </row>
    <row r="75" ht="15.75" customHeight="1" spans="1:25">
      <c r="A75" s="335"/>
      <c r="B75" s="335"/>
      <c r="C75" s="335"/>
      <c r="D75" s="335"/>
      <c r="E75" s="335"/>
      <c r="F75" s="335"/>
      <c r="G75" s="335"/>
      <c r="H75" s="335"/>
      <c r="I75" s="335"/>
      <c r="J75" s="335"/>
      <c r="K75" s="335"/>
      <c r="L75" s="335"/>
      <c r="M75" s="335"/>
      <c r="N75" s="335"/>
      <c r="O75" s="335"/>
      <c r="P75" s="335"/>
      <c r="Q75" s="335"/>
      <c r="R75" s="335"/>
      <c r="S75" s="335"/>
      <c r="T75" s="335"/>
      <c r="U75" s="335"/>
      <c r="V75" s="335"/>
      <c r="W75" s="335"/>
      <c r="X75" s="335"/>
      <c r="Y75" s="335"/>
    </row>
    <row r="76" ht="15.75" customHeight="1" spans="1:25">
      <c r="A76" s="335"/>
      <c r="B76" s="335"/>
      <c r="C76" s="335"/>
      <c r="D76" s="335"/>
      <c r="E76" s="335"/>
      <c r="F76" s="335"/>
      <c r="G76" s="335"/>
      <c r="H76" s="335"/>
      <c r="I76" s="335"/>
      <c r="J76" s="335"/>
      <c r="K76" s="335"/>
      <c r="L76" s="335"/>
      <c r="M76" s="335"/>
      <c r="N76" s="335"/>
      <c r="O76" s="335"/>
      <c r="P76" s="335"/>
      <c r="Q76" s="335"/>
      <c r="R76" s="335"/>
      <c r="S76" s="335"/>
      <c r="T76" s="335"/>
      <c r="U76" s="335"/>
      <c r="V76" s="335"/>
      <c r="W76" s="335"/>
      <c r="X76" s="335"/>
      <c r="Y76" s="335"/>
    </row>
    <row r="77" ht="15.75" customHeight="1" spans="1:25">
      <c r="A77" s="335"/>
      <c r="B77" s="335"/>
      <c r="C77" s="335"/>
      <c r="D77" s="335"/>
      <c r="E77" s="335"/>
      <c r="F77" s="335"/>
      <c r="G77" s="335"/>
      <c r="H77" s="335"/>
      <c r="I77" s="335"/>
      <c r="J77" s="335"/>
      <c r="K77" s="335"/>
      <c r="L77" s="335"/>
      <c r="M77" s="335"/>
      <c r="N77" s="335"/>
      <c r="O77" s="335"/>
      <c r="P77" s="335"/>
      <c r="Q77" s="335"/>
      <c r="R77" s="335"/>
      <c r="S77" s="335"/>
      <c r="T77" s="335"/>
      <c r="U77" s="335"/>
      <c r="V77" s="335"/>
      <c r="W77" s="335"/>
      <c r="X77" s="335"/>
      <c r="Y77" s="335"/>
    </row>
    <row r="78" ht="15.75" customHeight="1" spans="1:25">
      <c r="A78" s="335"/>
      <c r="B78" s="335"/>
      <c r="C78" s="335"/>
      <c r="D78" s="335"/>
      <c r="E78" s="335"/>
      <c r="F78" s="335"/>
      <c r="G78" s="335"/>
      <c r="H78" s="335"/>
      <c r="I78" s="335"/>
      <c r="J78" s="335"/>
      <c r="K78" s="335"/>
      <c r="L78" s="335"/>
      <c r="M78" s="335"/>
      <c r="N78" s="335"/>
      <c r="O78" s="335"/>
      <c r="P78" s="335"/>
      <c r="Q78" s="335"/>
      <c r="R78" s="335"/>
      <c r="S78" s="335"/>
      <c r="T78" s="335"/>
      <c r="U78" s="335"/>
      <c r="V78" s="335"/>
      <c r="W78" s="335"/>
      <c r="X78" s="335"/>
      <c r="Y78" s="335"/>
    </row>
    <row r="79" ht="15.75" customHeight="1" spans="1:25">
      <c r="A79" s="335"/>
      <c r="B79" s="335"/>
      <c r="C79" s="335"/>
      <c r="D79" s="335"/>
      <c r="E79" s="335"/>
      <c r="F79" s="335"/>
      <c r="G79" s="335"/>
      <c r="H79" s="335"/>
      <c r="I79" s="335"/>
      <c r="J79" s="335"/>
      <c r="K79" s="335"/>
      <c r="L79" s="335"/>
      <c r="M79" s="335"/>
      <c r="N79" s="335"/>
      <c r="O79" s="335"/>
      <c r="P79" s="335"/>
      <c r="Q79" s="335"/>
      <c r="R79" s="335"/>
      <c r="S79" s="335"/>
      <c r="T79" s="335"/>
      <c r="U79" s="335"/>
      <c r="V79" s="335"/>
      <c r="W79" s="335"/>
      <c r="X79" s="335"/>
      <c r="Y79" s="335"/>
    </row>
    <row r="80" ht="15.75" customHeight="1" spans="1:25">
      <c r="A80" s="335"/>
      <c r="B80" s="335"/>
      <c r="C80" s="335"/>
      <c r="D80" s="335"/>
      <c r="E80" s="335"/>
      <c r="F80" s="335"/>
      <c r="G80" s="335"/>
      <c r="H80" s="335"/>
      <c r="I80" s="335"/>
      <c r="J80" s="335"/>
      <c r="K80" s="335"/>
      <c r="L80" s="335"/>
      <c r="M80" s="335"/>
      <c r="N80" s="335"/>
      <c r="O80" s="335"/>
      <c r="P80" s="335"/>
      <c r="Q80" s="335"/>
      <c r="R80" s="335"/>
      <c r="S80" s="335"/>
      <c r="T80" s="335"/>
      <c r="U80" s="335"/>
      <c r="V80" s="335"/>
      <c r="W80" s="335"/>
      <c r="X80" s="335"/>
      <c r="Y80" s="335"/>
    </row>
    <row r="81" ht="15.75" customHeight="1" spans="1:25">
      <c r="A81" s="335"/>
      <c r="B81" s="335"/>
      <c r="C81" s="335"/>
      <c r="D81" s="335"/>
      <c r="E81" s="335"/>
      <c r="F81" s="335"/>
      <c r="G81" s="335"/>
      <c r="H81" s="335"/>
      <c r="I81" s="335"/>
      <c r="J81" s="335"/>
      <c r="K81" s="335"/>
      <c r="L81" s="335"/>
      <c r="M81" s="335"/>
      <c r="N81" s="335"/>
      <c r="O81" s="335"/>
      <c r="P81" s="335"/>
      <c r="Q81" s="335"/>
      <c r="R81" s="335"/>
      <c r="S81" s="335"/>
      <c r="T81" s="335"/>
      <c r="U81" s="335"/>
      <c r="V81" s="335"/>
      <c r="W81" s="335"/>
      <c r="X81" s="335"/>
      <c r="Y81" s="335"/>
    </row>
    <row r="82" ht="15.75" customHeight="1" spans="1:25">
      <c r="A82" s="335"/>
      <c r="B82" s="335"/>
      <c r="C82" s="335"/>
      <c r="D82" s="335"/>
      <c r="E82" s="335"/>
      <c r="F82" s="335"/>
      <c r="G82" s="335"/>
      <c r="H82" s="335"/>
      <c r="I82" s="335"/>
      <c r="J82" s="335"/>
      <c r="K82" s="335"/>
      <c r="L82" s="335"/>
      <c r="M82" s="335"/>
      <c r="N82" s="335"/>
      <c r="O82" s="335"/>
      <c r="P82" s="335"/>
      <c r="Q82" s="335"/>
      <c r="R82" s="335"/>
      <c r="S82" s="335"/>
      <c r="T82" s="335"/>
      <c r="U82" s="335"/>
      <c r="V82" s="335"/>
      <c r="W82" s="335"/>
      <c r="X82" s="335"/>
      <c r="Y82" s="335"/>
    </row>
    <row r="83" ht="15.75" customHeight="1" spans="1:25">
      <c r="A83" s="335"/>
      <c r="B83" s="335"/>
      <c r="C83" s="335"/>
      <c r="D83" s="335"/>
      <c r="E83" s="335"/>
      <c r="F83" s="335"/>
      <c r="G83" s="335"/>
      <c r="H83" s="335"/>
      <c r="I83" s="335"/>
      <c r="J83" s="335"/>
      <c r="K83" s="335"/>
      <c r="L83" s="335"/>
      <c r="M83" s="335"/>
      <c r="N83" s="335"/>
      <c r="O83" s="335"/>
      <c r="P83" s="335"/>
      <c r="Q83" s="335"/>
      <c r="R83" s="335"/>
      <c r="S83" s="335"/>
      <c r="T83" s="335"/>
      <c r="U83" s="335"/>
      <c r="V83" s="335"/>
      <c r="W83" s="335"/>
      <c r="X83" s="335"/>
      <c r="Y83" s="335"/>
    </row>
    <row r="84" ht="15.75" customHeight="1" spans="1:25">
      <c r="A84" s="335"/>
      <c r="B84" s="335"/>
      <c r="C84" s="335"/>
      <c r="D84" s="335"/>
      <c r="E84" s="335"/>
      <c r="F84" s="335"/>
      <c r="G84" s="335"/>
      <c r="H84" s="335"/>
      <c r="I84" s="335"/>
      <c r="J84" s="335"/>
      <c r="K84" s="335"/>
      <c r="L84" s="335"/>
      <c r="M84" s="335"/>
      <c r="N84" s="335"/>
      <c r="O84" s="335"/>
      <c r="P84" s="335"/>
      <c r="Q84" s="335"/>
      <c r="R84" s="335"/>
      <c r="S84" s="335"/>
      <c r="T84" s="335"/>
      <c r="U84" s="335"/>
      <c r="V84" s="335"/>
      <c r="W84" s="335"/>
      <c r="X84" s="335"/>
      <c r="Y84" s="335"/>
    </row>
    <row r="85" ht="15.75" customHeight="1" spans="1:25">
      <c r="A85" s="335"/>
      <c r="B85" s="335"/>
      <c r="C85" s="335"/>
      <c r="D85" s="335"/>
      <c r="E85" s="335"/>
      <c r="F85" s="335"/>
      <c r="G85" s="335"/>
      <c r="H85" s="335"/>
      <c r="I85" s="335"/>
      <c r="J85" s="335"/>
      <c r="K85" s="335"/>
      <c r="L85" s="335"/>
      <c r="M85" s="335"/>
      <c r="N85" s="335"/>
      <c r="O85" s="335"/>
      <c r="P85" s="335"/>
      <c r="Q85" s="335"/>
      <c r="R85" s="335"/>
      <c r="S85" s="335"/>
      <c r="T85" s="335"/>
      <c r="U85" s="335"/>
      <c r="V85" s="335"/>
      <c r="W85" s="335"/>
      <c r="X85" s="335"/>
      <c r="Y85" s="335"/>
    </row>
    <row r="86" ht="15.75" customHeight="1" spans="1:25">
      <c r="A86" s="335"/>
      <c r="B86" s="335"/>
      <c r="C86" s="335"/>
      <c r="D86" s="335"/>
      <c r="E86" s="335"/>
      <c r="F86" s="335"/>
      <c r="G86" s="335"/>
      <c r="H86" s="335"/>
      <c r="I86" s="335"/>
      <c r="J86" s="335"/>
      <c r="K86" s="335"/>
      <c r="L86" s="335"/>
      <c r="M86" s="335"/>
      <c r="N86" s="335"/>
      <c r="O86" s="335"/>
      <c r="P86" s="335"/>
      <c r="Q86" s="335"/>
      <c r="R86" s="335"/>
      <c r="S86" s="335"/>
      <c r="T86" s="335"/>
      <c r="U86" s="335"/>
      <c r="V86" s="335"/>
      <c r="W86" s="335"/>
      <c r="X86" s="335"/>
      <c r="Y86" s="335"/>
    </row>
    <row r="87" ht="15.75" customHeight="1" spans="1:25">
      <c r="A87" s="335"/>
      <c r="B87" s="335"/>
      <c r="C87" s="335"/>
      <c r="D87" s="335"/>
      <c r="E87" s="335"/>
      <c r="F87" s="335"/>
      <c r="G87" s="335"/>
      <c r="H87" s="335"/>
      <c r="I87" s="335"/>
      <c r="J87" s="335"/>
      <c r="K87" s="335"/>
      <c r="L87" s="335"/>
      <c r="M87" s="335"/>
      <c r="N87" s="335"/>
      <c r="O87" s="335"/>
      <c r="P87" s="335"/>
      <c r="Q87" s="335"/>
      <c r="R87" s="335"/>
      <c r="S87" s="335"/>
      <c r="T87" s="335"/>
      <c r="U87" s="335"/>
      <c r="V87" s="335"/>
      <c r="W87" s="335"/>
      <c r="X87" s="335"/>
      <c r="Y87" s="335"/>
    </row>
    <row r="88" ht="15.75" customHeight="1" spans="1:25">
      <c r="A88" s="335"/>
      <c r="B88" s="335"/>
      <c r="C88" s="335"/>
      <c r="D88" s="335"/>
      <c r="E88" s="335"/>
      <c r="F88" s="335"/>
      <c r="G88" s="335"/>
      <c r="H88" s="335"/>
      <c r="I88" s="335"/>
      <c r="J88" s="335"/>
      <c r="K88" s="335"/>
      <c r="L88" s="335"/>
      <c r="M88" s="335"/>
      <c r="N88" s="335"/>
      <c r="O88" s="335"/>
      <c r="P88" s="335"/>
      <c r="Q88" s="335"/>
      <c r="R88" s="335"/>
      <c r="S88" s="335"/>
      <c r="T88" s="335"/>
      <c r="U88" s="335"/>
      <c r="V88" s="335"/>
      <c r="W88" s="335"/>
      <c r="X88" s="335"/>
      <c r="Y88" s="335"/>
    </row>
    <row r="89" ht="15.75" customHeight="1" spans="1:25">
      <c r="A89" s="335"/>
      <c r="B89" s="335"/>
      <c r="C89" s="335"/>
      <c r="D89" s="335"/>
      <c r="E89" s="335"/>
      <c r="F89" s="335"/>
      <c r="G89" s="335"/>
      <c r="H89" s="335"/>
      <c r="I89" s="335"/>
      <c r="J89" s="335"/>
      <c r="K89" s="335"/>
      <c r="L89" s="335"/>
      <c r="M89" s="335"/>
      <c r="N89" s="335"/>
      <c r="O89" s="335"/>
      <c r="P89" s="335"/>
      <c r="Q89" s="335"/>
      <c r="R89" s="335"/>
      <c r="S89" s="335"/>
      <c r="T89" s="335"/>
      <c r="U89" s="335"/>
      <c r="V89" s="335"/>
      <c r="W89" s="335"/>
      <c r="X89" s="335"/>
      <c r="Y89" s="335"/>
    </row>
    <row r="90" ht="15.75" customHeight="1" spans="1:25">
      <c r="A90" s="335"/>
      <c r="B90" s="335"/>
      <c r="C90" s="335"/>
      <c r="D90" s="335"/>
      <c r="E90" s="335"/>
      <c r="F90" s="335"/>
      <c r="G90" s="335"/>
      <c r="H90" s="335"/>
      <c r="I90" s="335"/>
      <c r="J90" s="335"/>
      <c r="K90" s="335"/>
      <c r="L90" s="335"/>
      <c r="M90" s="335"/>
      <c r="N90" s="335"/>
      <c r="O90" s="335"/>
      <c r="P90" s="335"/>
      <c r="Q90" s="335"/>
      <c r="R90" s="335"/>
      <c r="S90" s="335"/>
      <c r="T90" s="335"/>
      <c r="U90" s="335"/>
      <c r="V90" s="335"/>
      <c r="W90" s="335"/>
      <c r="X90" s="335"/>
      <c r="Y90" s="335"/>
    </row>
    <row r="91" ht="15.75" customHeight="1" spans="1:25">
      <c r="A91" s="335"/>
      <c r="B91" s="335"/>
      <c r="C91" s="335"/>
      <c r="D91" s="335"/>
      <c r="E91" s="335"/>
      <c r="F91" s="335"/>
      <c r="G91" s="335"/>
      <c r="H91" s="335"/>
      <c r="I91" s="335"/>
      <c r="J91" s="335"/>
      <c r="K91" s="335"/>
      <c r="L91" s="335"/>
      <c r="M91" s="335"/>
      <c r="N91" s="335"/>
      <c r="O91" s="335"/>
      <c r="P91" s="335"/>
      <c r="Q91" s="335"/>
      <c r="R91" s="335"/>
      <c r="S91" s="335"/>
      <c r="T91" s="335"/>
      <c r="U91" s="335"/>
      <c r="V91" s="335"/>
      <c r="W91" s="335"/>
      <c r="X91" s="335"/>
      <c r="Y91" s="335"/>
    </row>
    <row r="92" ht="15.75" customHeight="1" spans="1:25">
      <c r="A92" s="335"/>
      <c r="B92" s="335"/>
      <c r="C92" s="335"/>
      <c r="D92" s="335"/>
      <c r="E92" s="335"/>
      <c r="F92" s="335"/>
      <c r="G92" s="335"/>
      <c r="H92" s="335"/>
      <c r="I92" s="335"/>
      <c r="J92" s="335"/>
      <c r="K92" s="335"/>
      <c r="L92" s="335"/>
      <c r="M92" s="335"/>
      <c r="N92" s="335"/>
      <c r="O92" s="335"/>
      <c r="P92" s="335"/>
      <c r="Q92" s="335"/>
      <c r="R92" s="335"/>
      <c r="S92" s="335"/>
      <c r="T92" s="335"/>
      <c r="U92" s="335"/>
      <c r="V92" s="335"/>
      <c r="W92" s="335"/>
      <c r="X92" s="335"/>
      <c r="Y92" s="335"/>
    </row>
    <row r="93" ht="15.75" customHeight="1" spans="1:25">
      <c r="A93" s="335"/>
      <c r="B93" s="335"/>
      <c r="C93" s="335"/>
      <c r="D93" s="335"/>
      <c r="E93" s="335"/>
      <c r="F93" s="335"/>
      <c r="G93" s="335"/>
      <c r="H93" s="335"/>
      <c r="I93" s="335"/>
      <c r="J93" s="335"/>
      <c r="K93" s="335"/>
      <c r="L93" s="335"/>
      <c r="M93" s="335"/>
      <c r="N93" s="335"/>
      <c r="O93" s="335"/>
      <c r="P93" s="335"/>
      <c r="Q93" s="335"/>
      <c r="R93" s="335"/>
      <c r="S93" s="335"/>
      <c r="T93" s="335"/>
      <c r="U93" s="335"/>
      <c r="V93" s="335"/>
      <c r="W93" s="335"/>
      <c r="X93" s="335"/>
      <c r="Y93" s="335"/>
    </row>
    <row r="94" ht="15.75" customHeight="1" spans="1:25">
      <c r="A94" s="335"/>
      <c r="B94" s="335"/>
      <c r="C94" s="335"/>
      <c r="D94" s="335"/>
      <c r="E94" s="335"/>
      <c r="F94" s="335"/>
      <c r="G94" s="335"/>
      <c r="H94" s="335"/>
      <c r="I94" s="335"/>
      <c r="J94" s="335"/>
      <c r="K94" s="335"/>
      <c r="L94" s="335"/>
      <c r="M94" s="335"/>
      <c r="N94" s="335"/>
      <c r="O94" s="335"/>
      <c r="P94" s="335"/>
      <c r="Q94" s="335"/>
      <c r="R94" s="335"/>
      <c r="S94" s="335"/>
      <c r="T94" s="335"/>
      <c r="U94" s="335"/>
      <c r="V94" s="335"/>
      <c r="W94" s="335"/>
      <c r="X94" s="335"/>
      <c r="Y94" s="335"/>
    </row>
    <row r="95" ht="15.75" customHeight="1" spans="1:25">
      <c r="A95" s="335"/>
      <c r="B95" s="335"/>
      <c r="C95" s="335"/>
      <c r="D95" s="335"/>
      <c r="E95" s="335"/>
      <c r="F95" s="335"/>
      <c r="G95" s="335"/>
      <c r="H95" s="335"/>
      <c r="I95" s="335"/>
      <c r="J95" s="335"/>
      <c r="K95" s="335"/>
      <c r="L95" s="335"/>
      <c r="M95" s="335"/>
      <c r="N95" s="335"/>
      <c r="O95" s="335"/>
      <c r="P95" s="335"/>
      <c r="Q95" s="335"/>
      <c r="R95" s="335"/>
      <c r="S95" s="335"/>
      <c r="T95" s="335"/>
      <c r="U95" s="335"/>
      <c r="V95" s="335"/>
      <c r="W95" s="335"/>
      <c r="X95" s="335"/>
      <c r="Y95" s="335"/>
    </row>
    <row r="96" ht="15.75" customHeight="1" spans="1:25">
      <c r="A96" s="335"/>
      <c r="B96" s="335"/>
      <c r="C96" s="335"/>
      <c r="D96" s="335"/>
      <c r="E96" s="335"/>
      <c r="F96" s="335"/>
      <c r="G96" s="335"/>
      <c r="H96" s="335"/>
      <c r="I96" s="335"/>
      <c r="J96" s="335"/>
      <c r="K96" s="335"/>
      <c r="L96" s="335"/>
      <c r="M96" s="335"/>
      <c r="N96" s="335"/>
      <c r="O96" s="335"/>
      <c r="P96" s="335"/>
      <c r="Q96" s="335"/>
      <c r="R96" s="335"/>
      <c r="S96" s="335"/>
      <c r="T96" s="335"/>
      <c r="U96" s="335"/>
      <c r="V96" s="335"/>
      <c r="W96" s="335"/>
      <c r="X96" s="335"/>
      <c r="Y96" s="335"/>
    </row>
    <row r="97" ht="15.75" customHeight="1" spans="1:25">
      <c r="A97" s="335"/>
      <c r="B97" s="335"/>
      <c r="C97" s="335"/>
      <c r="D97" s="335"/>
      <c r="E97" s="335"/>
      <c r="F97" s="335"/>
      <c r="G97" s="335"/>
      <c r="H97" s="335"/>
      <c r="I97" s="335"/>
      <c r="J97" s="335"/>
      <c r="K97" s="335"/>
      <c r="L97" s="335"/>
      <c r="M97" s="335"/>
      <c r="N97" s="335"/>
      <c r="O97" s="335"/>
      <c r="P97" s="335"/>
      <c r="Q97" s="335"/>
      <c r="R97" s="335"/>
      <c r="S97" s="335"/>
      <c r="T97" s="335"/>
      <c r="U97" s="335"/>
      <c r="V97" s="335"/>
      <c r="W97" s="335"/>
      <c r="X97" s="335"/>
      <c r="Y97" s="335"/>
    </row>
    <row r="98" ht="15.75" customHeight="1" spans="1:25">
      <c r="A98" s="335"/>
      <c r="B98" s="335"/>
      <c r="C98" s="335"/>
      <c r="D98" s="335"/>
      <c r="E98" s="335"/>
      <c r="F98" s="335"/>
      <c r="G98" s="335"/>
      <c r="H98" s="335"/>
      <c r="I98" s="335"/>
      <c r="J98" s="335"/>
      <c r="K98" s="335"/>
      <c r="L98" s="335"/>
      <c r="M98" s="335"/>
      <c r="N98" s="335"/>
      <c r="O98" s="335"/>
      <c r="P98" s="335"/>
      <c r="Q98" s="335"/>
      <c r="R98" s="335"/>
      <c r="S98" s="335"/>
      <c r="T98" s="335"/>
      <c r="U98" s="335"/>
      <c r="V98" s="335"/>
      <c r="W98" s="335"/>
      <c r="X98" s="335"/>
      <c r="Y98" s="335"/>
    </row>
    <row r="99" ht="15.75" customHeight="1" spans="1:25">
      <c r="A99" s="335"/>
      <c r="B99" s="335"/>
      <c r="C99" s="335"/>
      <c r="D99" s="335"/>
      <c r="E99" s="335"/>
      <c r="F99" s="335"/>
      <c r="G99" s="335"/>
      <c r="H99" s="335"/>
      <c r="I99" s="335"/>
      <c r="J99" s="335"/>
      <c r="K99" s="335"/>
      <c r="L99" s="335"/>
      <c r="M99" s="335"/>
      <c r="N99" s="335"/>
      <c r="O99" s="335"/>
      <c r="P99" s="335"/>
      <c r="Q99" s="335"/>
      <c r="R99" s="335"/>
      <c r="S99" s="335"/>
      <c r="T99" s="335"/>
      <c r="U99" s="335"/>
      <c r="V99" s="335"/>
      <c r="W99" s="335"/>
      <c r="X99" s="335"/>
      <c r="Y99" s="335"/>
    </row>
    <row r="100" ht="15.75" customHeight="1" spans="1:25">
      <c r="A100" s="335"/>
      <c r="B100" s="335"/>
      <c r="C100" s="335"/>
      <c r="D100" s="335"/>
      <c r="E100" s="335"/>
      <c r="F100" s="335"/>
      <c r="G100" s="335"/>
      <c r="H100" s="335"/>
      <c r="I100" s="335"/>
      <c r="J100" s="335"/>
      <c r="K100" s="335"/>
      <c r="L100" s="335"/>
      <c r="M100" s="335"/>
      <c r="N100" s="335"/>
      <c r="O100" s="335"/>
      <c r="P100" s="335"/>
      <c r="Q100" s="335"/>
      <c r="R100" s="335"/>
      <c r="S100" s="335"/>
      <c r="T100" s="335"/>
      <c r="U100" s="335"/>
      <c r="V100" s="335"/>
      <c r="W100" s="335"/>
      <c r="X100" s="335"/>
      <c r="Y100" s="335"/>
    </row>
    <row r="101" ht="15.75" customHeight="1" spans="1:25">
      <c r="A101" s="335"/>
      <c r="B101" s="335"/>
      <c r="C101" s="335"/>
      <c r="D101" s="335"/>
      <c r="E101" s="335"/>
      <c r="F101" s="335"/>
      <c r="G101" s="335"/>
      <c r="H101" s="335"/>
      <c r="I101" s="335"/>
      <c r="J101" s="335"/>
      <c r="K101" s="335"/>
      <c r="L101" s="335"/>
      <c r="M101" s="335"/>
      <c r="N101" s="335"/>
      <c r="O101" s="335"/>
      <c r="P101" s="335"/>
      <c r="Q101" s="335"/>
      <c r="R101" s="335"/>
      <c r="S101" s="335"/>
      <c r="T101" s="335"/>
      <c r="U101" s="335"/>
      <c r="V101" s="335"/>
      <c r="W101" s="335"/>
      <c r="X101" s="335"/>
      <c r="Y101" s="335"/>
    </row>
    <row r="102" ht="15.75" customHeight="1" spans="1:25">
      <c r="A102" s="335"/>
      <c r="B102" s="335"/>
      <c r="C102" s="335"/>
      <c r="D102" s="335"/>
      <c r="E102" s="335"/>
      <c r="F102" s="335"/>
      <c r="G102" s="335"/>
      <c r="H102" s="335"/>
      <c r="I102" s="335"/>
      <c r="J102" s="335"/>
      <c r="K102" s="335"/>
      <c r="L102" s="335"/>
      <c r="M102" s="335"/>
      <c r="N102" s="335"/>
      <c r="O102" s="335"/>
      <c r="P102" s="335"/>
      <c r="Q102" s="335"/>
      <c r="R102" s="335"/>
      <c r="S102" s="335"/>
      <c r="T102" s="335"/>
      <c r="U102" s="335"/>
      <c r="V102" s="335"/>
      <c r="W102" s="335"/>
      <c r="X102" s="335"/>
      <c r="Y102" s="335"/>
    </row>
    <row r="103" ht="15.75" customHeight="1" spans="1:25">
      <c r="A103" s="335"/>
      <c r="B103" s="335"/>
      <c r="C103" s="335"/>
      <c r="D103" s="335"/>
      <c r="E103" s="335"/>
      <c r="F103" s="335"/>
      <c r="G103" s="335"/>
      <c r="H103" s="335"/>
      <c r="I103" s="335"/>
      <c r="J103" s="335"/>
      <c r="K103" s="335"/>
      <c r="L103" s="335"/>
      <c r="M103" s="335"/>
      <c r="N103" s="335"/>
      <c r="O103" s="335"/>
      <c r="P103" s="335"/>
      <c r="Q103" s="335"/>
      <c r="R103" s="335"/>
      <c r="S103" s="335"/>
      <c r="T103" s="335"/>
      <c r="U103" s="335"/>
      <c r="V103" s="335"/>
      <c r="W103" s="335"/>
      <c r="X103" s="335"/>
      <c r="Y103" s="335"/>
    </row>
    <row r="104" ht="15.75" customHeight="1" spans="1:25">
      <c r="A104" s="335"/>
      <c r="B104" s="335"/>
      <c r="C104" s="335"/>
      <c r="D104" s="335"/>
      <c r="E104" s="335"/>
      <c r="F104" s="335"/>
      <c r="G104" s="335"/>
      <c r="H104" s="335"/>
      <c r="I104" s="335"/>
      <c r="J104" s="335"/>
      <c r="K104" s="335"/>
      <c r="L104" s="335"/>
      <c r="M104" s="335"/>
      <c r="N104" s="335"/>
      <c r="O104" s="335"/>
      <c r="P104" s="335"/>
      <c r="Q104" s="335"/>
      <c r="R104" s="335"/>
      <c r="S104" s="335"/>
      <c r="T104" s="335"/>
      <c r="U104" s="335"/>
      <c r="V104" s="335"/>
      <c r="W104" s="335"/>
      <c r="X104" s="335"/>
      <c r="Y104" s="335"/>
    </row>
    <row r="105" ht="15.75" customHeight="1" spans="1:25">
      <c r="A105" s="335"/>
      <c r="B105" s="335"/>
      <c r="C105" s="335"/>
      <c r="D105" s="335"/>
      <c r="E105" s="335"/>
      <c r="F105" s="335"/>
      <c r="G105" s="335"/>
      <c r="H105" s="335"/>
      <c r="I105" s="335"/>
      <c r="J105" s="335"/>
      <c r="K105" s="335"/>
      <c r="L105" s="335"/>
      <c r="M105" s="335"/>
      <c r="N105" s="335"/>
      <c r="O105" s="335"/>
      <c r="P105" s="335"/>
      <c r="Q105" s="335"/>
      <c r="R105" s="335"/>
      <c r="S105" s="335"/>
      <c r="T105" s="335"/>
      <c r="U105" s="335"/>
      <c r="V105" s="335"/>
      <c r="W105" s="335"/>
      <c r="X105" s="335"/>
      <c r="Y105" s="335"/>
    </row>
    <row r="106" ht="15.75" customHeight="1" spans="1:25">
      <c r="A106" s="335"/>
      <c r="B106" s="335"/>
      <c r="C106" s="335"/>
      <c r="D106" s="335"/>
      <c r="E106" s="335"/>
      <c r="F106" s="335"/>
      <c r="G106" s="335"/>
      <c r="H106" s="335"/>
      <c r="I106" s="335"/>
      <c r="J106" s="335"/>
      <c r="K106" s="335"/>
      <c r="L106" s="335"/>
      <c r="M106" s="335"/>
      <c r="N106" s="335"/>
      <c r="O106" s="335"/>
      <c r="P106" s="335"/>
      <c r="Q106" s="335"/>
      <c r="R106" s="335"/>
      <c r="S106" s="335"/>
      <c r="T106" s="335"/>
      <c r="U106" s="335"/>
      <c r="V106" s="335"/>
      <c r="W106" s="335"/>
      <c r="X106" s="335"/>
      <c r="Y106" s="335"/>
    </row>
    <row r="107" ht="15.75" customHeight="1" spans="1:25">
      <c r="A107" s="335"/>
      <c r="B107" s="335"/>
      <c r="C107" s="335"/>
      <c r="D107" s="335"/>
      <c r="E107" s="335"/>
      <c r="F107" s="335"/>
      <c r="G107" s="335"/>
      <c r="H107" s="335"/>
      <c r="I107" s="335"/>
      <c r="J107" s="335"/>
      <c r="K107" s="335"/>
      <c r="L107" s="335"/>
      <c r="M107" s="335"/>
      <c r="N107" s="335"/>
      <c r="O107" s="335"/>
      <c r="P107" s="335"/>
      <c r="Q107" s="335"/>
      <c r="R107" s="335"/>
      <c r="S107" s="335"/>
      <c r="T107" s="335"/>
      <c r="U107" s="335"/>
      <c r="V107" s="335"/>
      <c r="W107" s="335"/>
      <c r="X107" s="335"/>
      <c r="Y107" s="335"/>
    </row>
    <row r="108" ht="15.75" customHeight="1" spans="1:25">
      <c r="A108" s="335"/>
      <c r="B108" s="335"/>
      <c r="C108" s="335"/>
      <c r="D108" s="335"/>
      <c r="E108" s="335"/>
      <c r="F108" s="335"/>
      <c r="G108" s="335"/>
      <c r="H108" s="335"/>
      <c r="I108" s="335"/>
      <c r="J108" s="335"/>
      <c r="K108" s="335"/>
      <c r="L108" s="335"/>
      <c r="M108" s="335"/>
      <c r="N108" s="335"/>
      <c r="O108" s="335"/>
      <c r="P108" s="335"/>
      <c r="Q108" s="335"/>
      <c r="R108" s="335"/>
      <c r="S108" s="335"/>
      <c r="T108" s="335"/>
      <c r="U108" s="335"/>
      <c r="V108" s="335"/>
      <c r="W108" s="335"/>
      <c r="X108" s="335"/>
      <c r="Y108" s="335"/>
    </row>
    <row r="109" ht="15.75" customHeight="1" spans="1:25">
      <c r="A109" s="335"/>
      <c r="B109" s="335"/>
      <c r="C109" s="335"/>
      <c r="D109" s="335"/>
      <c r="E109" s="335"/>
      <c r="F109" s="335"/>
      <c r="G109" s="335"/>
      <c r="H109" s="335"/>
      <c r="I109" s="335"/>
      <c r="J109" s="335"/>
      <c r="K109" s="335"/>
      <c r="L109" s="335"/>
      <c r="M109" s="335"/>
      <c r="N109" s="335"/>
      <c r="O109" s="335"/>
      <c r="P109" s="335"/>
      <c r="Q109" s="335"/>
      <c r="R109" s="335"/>
      <c r="S109" s="335"/>
      <c r="T109" s="335"/>
      <c r="U109" s="335"/>
      <c r="V109" s="335"/>
      <c r="W109" s="335"/>
      <c r="X109" s="335"/>
      <c r="Y109" s="335"/>
    </row>
    <row r="110" ht="15.75" customHeight="1" spans="1:25">
      <c r="A110" s="335"/>
      <c r="B110" s="335"/>
      <c r="C110" s="335"/>
      <c r="D110" s="335"/>
      <c r="E110" s="335"/>
      <c r="F110" s="335"/>
      <c r="G110" s="335"/>
      <c r="H110" s="335"/>
      <c r="I110" s="335"/>
      <c r="J110" s="335"/>
      <c r="K110" s="335"/>
      <c r="L110" s="335"/>
      <c r="M110" s="335"/>
      <c r="N110" s="335"/>
      <c r="O110" s="335"/>
      <c r="P110" s="335"/>
      <c r="Q110" s="335"/>
      <c r="R110" s="335"/>
      <c r="S110" s="335"/>
      <c r="T110" s="335"/>
      <c r="U110" s="335"/>
      <c r="V110" s="335"/>
      <c r="W110" s="335"/>
      <c r="X110" s="335"/>
      <c r="Y110" s="335"/>
    </row>
    <row r="111" ht="15.75" customHeight="1" spans="1:25">
      <c r="A111" s="335"/>
      <c r="B111" s="335"/>
      <c r="C111" s="335"/>
      <c r="D111" s="335"/>
      <c r="E111" s="335"/>
      <c r="F111" s="335"/>
      <c r="G111" s="335"/>
      <c r="H111" s="335"/>
      <c r="I111" s="335"/>
      <c r="J111" s="335"/>
      <c r="K111" s="335"/>
      <c r="L111" s="335"/>
      <c r="M111" s="335"/>
      <c r="N111" s="335"/>
      <c r="O111" s="335"/>
      <c r="P111" s="335"/>
      <c r="Q111" s="335"/>
      <c r="R111" s="335"/>
      <c r="S111" s="335"/>
      <c r="T111" s="335"/>
      <c r="U111" s="335"/>
      <c r="V111" s="335"/>
      <c r="W111" s="335"/>
      <c r="X111" s="335"/>
      <c r="Y111" s="335"/>
    </row>
    <row r="112" ht="15.75" customHeight="1" spans="1:25">
      <c r="A112" s="335"/>
      <c r="B112" s="335"/>
      <c r="C112" s="335"/>
      <c r="D112" s="335"/>
      <c r="E112" s="335"/>
      <c r="F112" s="335"/>
      <c r="G112" s="335"/>
      <c r="H112" s="335"/>
      <c r="I112" s="335"/>
      <c r="J112" s="335"/>
      <c r="K112" s="335"/>
      <c r="L112" s="335"/>
      <c r="M112" s="335"/>
      <c r="N112" s="335"/>
      <c r="O112" s="335"/>
      <c r="P112" s="335"/>
      <c r="Q112" s="335"/>
      <c r="R112" s="335"/>
      <c r="S112" s="335"/>
      <c r="T112" s="335"/>
      <c r="U112" s="335"/>
      <c r="V112" s="335"/>
      <c r="W112" s="335"/>
      <c r="X112" s="335"/>
      <c r="Y112" s="335"/>
    </row>
    <row r="113" ht="15.75" customHeight="1" spans="1:25">
      <c r="A113" s="335"/>
      <c r="B113" s="335"/>
      <c r="C113" s="335"/>
      <c r="D113" s="335"/>
      <c r="E113" s="335"/>
      <c r="F113" s="335"/>
      <c r="G113" s="335"/>
      <c r="H113" s="335"/>
      <c r="I113" s="335"/>
      <c r="J113" s="335"/>
      <c r="K113" s="335"/>
      <c r="L113" s="335"/>
      <c r="M113" s="335"/>
      <c r="N113" s="335"/>
      <c r="O113" s="335"/>
      <c r="P113" s="335"/>
      <c r="Q113" s="335"/>
      <c r="R113" s="335"/>
      <c r="S113" s="335"/>
      <c r="T113" s="335"/>
      <c r="U113" s="335"/>
      <c r="V113" s="335"/>
      <c r="W113" s="335"/>
      <c r="X113" s="335"/>
      <c r="Y113" s="335"/>
    </row>
    <row r="114" ht="15.75" customHeight="1" spans="1:25">
      <c r="A114" s="335"/>
      <c r="B114" s="335"/>
      <c r="C114" s="335"/>
      <c r="D114" s="335"/>
      <c r="E114" s="335"/>
      <c r="F114" s="335"/>
      <c r="G114" s="335"/>
      <c r="H114" s="335"/>
      <c r="I114" s="335"/>
      <c r="J114" s="335"/>
      <c r="K114" s="335"/>
      <c r="L114" s="335"/>
      <c r="M114" s="335"/>
      <c r="N114" s="335"/>
      <c r="O114" s="335"/>
      <c r="P114" s="335"/>
      <c r="Q114" s="335"/>
      <c r="R114" s="335"/>
      <c r="S114" s="335"/>
      <c r="T114" s="335"/>
      <c r="U114" s="335"/>
      <c r="V114" s="335"/>
      <c r="W114" s="335"/>
      <c r="X114" s="335"/>
      <c r="Y114" s="335"/>
    </row>
    <row r="115" ht="15.75" customHeight="1" spans="1:25">
      <c r="A115" s="335"/>
      <c r="B115" s="335"/>
      <c r="C115" s="335"/>
      <c r="D115" s="335"/>
      <c r="E115" s="335"/>
      <c r="F115" s="335"/>
      <c r="G115" s="335"/>
      <c r="H115" s="335"/>
      <c r="I115" s="335"/>
      <c r="J115" s="335"/>
      <c r="K115" s="335"/>
      <c r="L115" s="335"/>
      <c r="M115" s="335"/>
      <c r="N115" s="335"/>
      <c r="O115" s="335"/>
      <c r="P115" s="335"/>
      <c r="Q115" s="335"/>
      <c r="R115" s="335"/>
      <c r="S115" s="335"/>
      <c r="T115" s="335"/>
      <c r="U115" s="335"/>
      <c r="V115" s="335"/>
      <c r="W115" s="335"/>
      <c r="X115" s="335"/>
      <c r="Y115" s="335"/>
    </row>
    <row r="116" ht="15.75" customHeight="1" spans="1:25">
      <c r="A116" s="335"/>
      <c r="B116" s="335"/>
      <c r="C116" s="335"/>
      <c r="D116" s="335"/>
      <c r="E116" s="335"/>
      <c r="F116" s="335"/>
      <c r="G116" s="335"/>
      <c r="H116" s="335"/>
      <c r="I116" s="335"/>
      <c r="J116" s="335"/>
      <c r="K116" s="335"/>
      <c r="L116" s="335"/>
      <c r="M116" s="335"/>
      <c r="N116" s="335"/>
      <c r="O116" s="335"/>
      <c r="P116" s="335"/>
      <c r="Q116" s="335"/>
      <c r="R116" s="335"/>
      <c r="S116" s="335"/>
      <c r="T116" s="335"/>
      <c r="U116" s="335"/>
      <c r="V116" s="335"/>
      <c r="W116" s="335"/>
      <c r="X116" s="335"/>
      <c r="Y116" s="335"/>
    </row>
    <row r="117" ht="15.75" customHeight="1" spans="1:25">
      <c r="A117" s="335"/>
      <c r="B117" s="335"/>
      <c r="C117" s="335"/>
      <c r="D117" s="335"/>
      <c r="E117" s="335"/>
      <c r="F117" s="335"/>
      <c r="G117" s="335"/>
      <c r="H117" s="335"/>
      <c r="I117" s="335"/>
      <c r="J117" s="335"/>
      <c r="K117" s="335"/>
      <c r="L117" s="335"/>
      <c r="M117" s="335"/>
      <c r="N117" s="335"/>
      <c r="O117" s="335"/>
      <c r="P117" s="335"/>
      <c r="Q117" s="335"/>
      <c r="R117" s="335"/>
      <c r="S117" s="335"/>
      <c r="T117" s="335"/>
      <c r="U117" s="335"/>
      <c r="V117" s="335"/>
      <c r="W117" s="335"/>
      <c r="X117" s="335"/>
      <c r="Y117" s="335"/>
    </row>
    <row r="118" ht="15.75" customHeight="1" spans="1:25">
      <c r="A118" s="335"/>
      <c r="B118" s="335"/>
      <c r="C118" s="335"/>
      <c r="D118" s="335"/>
      <c r="E118" s="335"/>
      <c r="F118" s="335"/>
      <c r="G118" s="335"/>
      <c r="H118" s="335"/>
      <c r="I118" s="335"/>
      <c r="J118" s="335"/>
      <c r="K118" s="335"/>
      <c r="L118" s="335"/>
      <c r="M118" s="335"/>
      <c r="N118" s="335"/>
      <c r="O118" s="335"/>
      <c r="P118" s="335"/>
      <c r="Q118" s="335"/>
      <c r="R118" s="335"/>
      <c r="S118" s="335"/>
      <c r="T118" s="335"/>
      <c r="U118" s="335"/>
      <c r="V118" s="335"/>
      <c r="W118" s="335"/>
      <c r="X118" s="335"/>
      <c r="Y118" s="335"/>
    </row>
    <row r="119" ht="15.75" customHeight="1" spans="1:25">
      <c r="A119" s="335"/>
      <c r="B119" s="335"/>
      <c r="C119" s="335"/>
      <c r="D119" s="335"/>
      <c r="E119" s="335"/>
      <c r="F119" s="335"/>
      <c r="G119" s="335"/>
      <c r="H119" s="335"/>
      <c r="I119" s="335"/>
      <c r="J119" s="335"/>
      <c r="K119" s="335"/>
      <c r="L119" s="335"/>
      <c r="M119" s="335"/>
      <c r="N119" s="335"/>
      <c r="O119" s="335"/>
      <c r="P119" s="335"/>
      <c r="Q119" s="335"/>
      <c r="R119" s="335"/>
      <c r="S119" s="335"/>
      <c r="T119" s="335"/>
      <c r="U119" s="335"/>
      <c r="V119" s="335"/>
      <c r="W119" s="335"/>
      <c r="X119" s="335"/>
      <c r="Y119" s="335"/>
    </row>
    <row r="120" ht="15.75" customHeight="1" spans="1:25">
      <c r="A120" s="335"/>
      <c r="B120" s="335"/>
      <c r="C120" s="335"/>
      <c r="D120" s="335"/>
      <c r="E120" s="335"/>
      <c r="F120" s="335"/>
      <c r="G120" s="335"/>
      <c r="H120" s="335"/>
      <c r="I120" s="335"/>
      <c r="J120" s="335"/>
      <c r="K120" s="335"/>
      <c r="L120" s="335"/>
      <c r="M120" s="335"/>
      <c r="N120" s="335"/>
      <c r="O120" s="335"/>
      <c r="P120" s="335"/>
      <c r="Q120" s="335"/>
      <c r="R120" s="335"/>
      <c r="S120" s="335"/>
      <c r="T120" s="335"/>
      <c r="U120" s="335"/>
      <c r="V120" s="335"/>
      <c r="W120" s="335"/>
      <c r="X120" s="335"/>
      <c r="Y120" s="335"/>
    </row>
    <row r="121" ht="15.75" customHeight="1" spans="1:25">
      <c r="A121" s="335"/>
      <c r="B121" s="335"/>
      <c r="C121" s="335"/>
      <c r="D121" s="335"/>
      <c r="E121" s="335"/>
      <c r="F121" s="335"/>
      <c r="G121" s="335"/>
      <c r="H121" s="335"/>
      <c r="I121" s="335"/>
      <c r="J121" s="335"/>
      <c r="K121" s="335"/>
      <c r="L121" s="335"/>
      <c r="M121" s="335"/>
      <c r="N121" s="335"/>
      <c r="O121" s="335"/>
      <c r="P121" s="335"/>
      <c r="Q121" s="335"/>
      <c r="R121" s="335"/>
      <c r="S121" s="335"/>
      <c r="T121" s="335"/>
      <c r="U121" s="335"/>
      <c r="V121" s="335"/>
      <c r="W121" s="335"/>
      <c r="X121" s="335"/>
      <c r="Y121" s="335"/>
    </row>
    <row r="122" ht="15.75" customHeight="1" spans="1:25">
      <c r="A122" s="335"/>
      <c r="B122" s="335"/>
      <c r="C122" s="335"/>
      <c r="D122" s="335"/>
      <c r="E122" s="335"/>
      <c r="F122" s="335"/>
      <c r="G122" s="335"/>
      <c r="H122" s="335"/>
      <c r="I122" s="335"/>
      <c r="J122" s="335"/>
      <c r="K122" s="335"/>
      <c r="L122" s="335"/>
      <c r="M122" s="335"/>
      <c r="N122" s="335"/>
      <c r="O122" s="335"/>
      <c r="P122" s="335"/>
      <c r="Q122" s="335"/>
      <c r="R122" s="335"/>
      <c r="S122" s="335"/>
      <c r="T122" s="335"/>
      <c r="U122" s="335"/>
      <c r="V122" s="335"/>
      <c r="W122" s="335"/>
      <c r="X122" s="335"/>
      <c r="Y122" s="335"/>
    </row>
    <row r="123" ht="15.75" customHeight="1" spans="1:25">
      <c r="A123" s="335"/>
      <c r="B123" s="335"/>
      <c r="C123" s="335"/>
      <c r="D123" s="335"/>
      <c r="E123" s="335"/>
      <c r="F123" s="335"/>
      <c r="G123" s="335"/>
      <c r="H123" s="335"/>
      <c r="I123" s="335"/>
      <c r="J123" s="335"/>
      <c r="K123" s="335"/>
      <c r="L123" s="335"/>
      <c r="M123" s="335"/>
      <c r="N123" s="335"/>
      <c r="O123" s="335"/>
      <c r="P123" s="335"/>
      <c r="Q123" s="335"/>
      <c r="R123" s="335"/>
      <c r="S123" s="335"/>
      <c r="T123" s="335"/>
      <c r="U123" s="335"/>
      <c r="V123" s="335"/>
      <c r="W123" s="335"/>
      <c r="X123" s="335"/>
      <c r="Y123" s="335"/>
    </row>
    <row r="124" ht="15.75" customHeight="1" spans="1:25">
      <c r="A124" s="335"/>
      <c r="B124" s="335"/>
      <c r="C124" s="335"/>
      <c r="D124" s="335"/>
      <c r="E124" s="335"/>
      <c r="F124" s="335"/>
      <c r="G124" s="335"/>
      <c r="H124" s="335"/>
      <c r="I124" s="335"/>
      <c r="J124" s="335"/>
      <c r="K124" s="335"/>
      <c r="L124" s="335"/>
      <c r="M124" s="335"/>
      <c r="N124" s="335"/>
      <c r="O124" s="335"/>
      <c r="P124" s="335"/>
      <c r="Q124" s="335"/>
      <c r="R124" s="335"/>
      <c r="S124" s="335"/>
      <c r="T124" s="335"/>
      <c r="U124" s="335"/>
      <c r="V124" s="335"/>
      <c r="W124" s="335"/>
      <c r="X124" s="335"/>
      <c r="Y124" s="335"/>
    </row>
    <row r="125" ht="15.75" customHeight="1" spans="1:25">
      <c r="A125" s="335"/>
      <c r="B125" s="335"/>
      <c r="C125" s="335"/>
      <c r="D125" s="335"/>
      <c r="E125" s="335"/>
      <c r="F125" s="335"/>
      <c r="G125" s="335"/>
      <c r="H125" s="335"/>
      <c r="I125" s="335"/>
      <c r="J125" s="335"/>
      <c r="K125" s="335"/>
      <c r="L125" s="335"/>
      <c r="M125" s="335"/>
      <c r="N125" s="335"/>
      <c r="O125" s="335"/>
      <c r="P125" s="335"/>
      <c r="Q125" s="335"/>
      <c r="R125" s="335"/>
      <c r="S125" s="335"/>
      <c r="T125" s="335"/>
      <c r="U125" s="335"/>
      <c r="V125" s="335"/>
      <c r="W125" s="335"/>
      <c r="X125" s="335"/>
      <c r="Y125" s="335"/>
    </row>
    <row r="126" ht="15.75" customHeight="1" spans="1:25">
      <c r="A126" s="335"/>
      <c r="B126" s="335"/>
      <c r="C126" s="335"/>
      <c r="D126" s="335"/>
      <c r="E126" s="335"/>
      <c r="F126" s="335"/>
      <c r="G126" s="335"/>
      <c r="H126" s="335"/>
      <c r="I126" s="335"/>
      <c r="J126" s="335"/>
      <c r="K126" s="335"/>
      <c r="L126" s="335"/>
      <c r="M126" s="335"/>
      <c r="N126" s="335"/>
      <c r="O126" s="335"/>
      <c r="P126" s="335"/>
      <c r="Q126" s="335"/>
      <c r="R126" s="335"/>
      <c r="S126" s="335"/>
      <c r="T126" s="335"/>
      <c r="U126" s="335"/>
      <c r="V126" s="335"/>
      <c r="W126" s="335"/>
      <c r="X126" s="335"/>
      <c r="Y126" s="335"/>
    </row>
    <row r="127" ht="15.75" customHeight="1" spans="1:25">
      <c r="A127" s="335"/>
      <c r="B127" s="335"/>
      <c r="C127" s="335"/>
      <c r="D127" s="335"/>
      <c r="E127" s="335"/>
      <c r="F127" s="335"/>
      <c r="G127" s="335"/>
      <c r="H127" s="335"/>
      <c r="I127" s="335"/>
      <c r="J127" s="335"/>
      <c r="K127" s="335"/>
      <c r="L127" s="335"/>
      <c r="M127" s="335"/>
      <c r="N127" s="335"/>
      <c r="O127" s="335"/>
      <c r="P127" s="335"/>
      <c r="Q127" s="335"/>
      <c r="R127" s="335"/>
      <c r="S127" s="335"/>
      <c r="T127" s="335"/>
      <c r="U127" s="335"/>
      <c r="V127" s="335"/>
      <c r="W127" s="335"/>
      <c r="X127" s="335"/>
      <c r="Y127" s="335"/>
    </row>
    <row r="128" ht="15.75" customHeight="1" spans="1:25">
      <c r="A128" s="335"/>
      <c r="B128" s="335"/>
      <c r="C128" s="335"/>
      <c r="D128" s="335"/>
      <c r="E128" s="335"/>
      <c r="F128" s="335"/>
      <c r="G128" s="335"/>
      <c r="H128" s="335"/>
      <c r="I128" s="335"/>
      <c r="J128" s="335"/>
      <c r="K128" s="335"/>
      <c r="L128" s="335"/>
      <c r="M128" s="335"/>
      <c r="N128" s="335"/>
      <c r="O128" s="335"/>
      <c r="P128" s="335"/>
      <c r="Q128" s="335"/>
      <c r="R128" s="335"/>
      <c r="S128" s="335"/>
      <c r="T128" s="335"/>
      <c r="U128" s="335"/>
      <c r="V128" s="335"/>
      <c r="W128" s="335"/>
      <c r="X128" s="335"/>
      <c r="Y128" s="335"/>
    </row>
    <row r="129" ht="15.75" customHeight="1" spans="1:25">
      <c r="A129" s="335"/>
      <c r="B129" s="335"/>
      <c r="C129" s="335"/>
      <c r="D129" s="335"/>
      <c r="E129" s="335"/>
      <c r="F129" s="335"/>
      <c r="G129" s="335"/>
      <c r="H129" s="335"/>
      <c r="I129" s="335"/>
      <c r="J129" s="335"/>
      <c r="K129" s="335"/>
      <c r="L129" s="335"/>
      <c r="M129" s="335"/>
      <c r="N129" s="335"/>
      <c r="O129" s="335"/>
      <c r="P129" s="335"/>
      <c r="Q129" s="335"/>
      <c r="R129" s="335"/>
      <c r="S129" s="335"/>
      <c r="T129" s="335"/>
      <c r="U129" s="335"/>
      <c r="V129" s="335"/>
      <c r="W129" s="335"/>
      <c r="X129" s="335"/>
      <c r="Y129" s="335"/>
    </row>
    <row r="130" ht="15.75" customHeight="1" spans="1:25">
      <c r="A130" s="335"/>
      <c r="B130" s="335"/>
      <c r="C130" s="335"/>
      <c r="D130" s="335"/>
      <c r="E130" s="335"/>
      <c r="F130" s="335"/>
      <c r="G130" s="335"/>
      <c r="H130" s="335"/>
      <c r="I130" s="335"/>
      <c r="J130" s="335"/>
      <c r="K130" s="335"/>
      <c r="L130" s="335"/>
      <c r="M130" s="335"/>
      <c r="N130" s="335"/>
      <c r="O130" s="335"/>
      <c r="P130" s="335"/>
      <c r="Q130" s="335"/>
      <c r="R130" s="335"/>
      <c r="S130" s="335"/>
      <c r="T130" s="335"/>
      <c r="U130" s="335"/>
      <c r="V130" s="335"/>
      <c r="W130" s="335"/>
      <c r="X130" s="335"/>
      <c r="Y130" s="335"/>
    </row>
    <row r="131" ht="15.75" customHeight="1" spans="1:25">
      <c r="A131" s="335"/>
      <c r="B131" s="335"/>
      <c r="C131" s="335"/>
      <c r="D131" s="335"/>
      <c r="E131" s="335"/>
      <c r="F131" s="335"/>
      <c r="G131" s="335"/>
      <c r="H131" s="335"/>
      <c r="I131" s="335"/>
      <c r="J131" s="335"/>
      <c r="K131" s="335"/>
      <c r="L131" s="335"/>
      <c r="M131" s="335"/>
      <c r="N131" s="335"/>
      <c r="O131" s="335"/>
      <c r="P131" s="335"/>
      <c r="Q131" s="335"/>
      <c r="R131" s="335"/>
      <c r="S131" s="335"/>
      <c r="T131" s="335"/>
      <c r="U131" s="335"/>
      <c r="V131" s="335"/>
      <c r="W131" s="335"/>
      <c r="X131" s="335"/>
      <c r="Y131" s="335"/>
    </row>
    <row r="132" ht="15.75" customHeight="1" spans="1:25">
      <c r="A132" s="335"/>
      <c r="B132" s="335"/>
      <c r="C132" s="335"/>
      <c r="D132" s="335"/>
      <c r="E132" s="335"/>
      <c r="F132" s="335"/>
      <c r="G132" s="335"/>
      <c r="H132" s="335"/>
      <c r="I132" s="335"/>
      <c r="J132" s="335"/>
      <c r="K132" s="335"/>
      <c r="L132" s="335"/>
      <c r="M132" s="335"/>
      <c r="N132" s="335"/>
      <c r="O132" s="335"/>
      <c r="P132" s="335"/>
      <c r="Q132" s="335"/>
      <c r="R132" s="335"/>
      <c r="S132" s="335"/>
      <c r="T132" s="335"/>
      <c r="U132" s="335"/>
      <c r="V132" s="335"/>
      <c r="W132" s="335"/>
      <c r="X132" s="335"/>
      <c r="Y132" s="335"/>
    </row>
    <row r="133" ht="15.75" customHeight="1" spans="1:25">
      <c r="A133" s="335"/>
      <c r="B133" s="335"/>
      <c r="C133" s="335"/>
      <c r="D133" s="335"/>
      <c r="E133" s="335"/>
      <c r="F133" s="335"/>
      <c r="G133" s="335"/>
      <c r="H133" s="335"/>
      <c r="I133" s="335"/>
      <c r="J133" s="335"/>
      <c r="K133" s="335"/>
      <c r="L133" s="335"/>
      <c r="M133" s="335"/>
      <c r="N133" s="335"/>
      <c r="O133" s="335"/>
      <c r="P133" s="335"/>
      <c r="Q133" s="335"/>
      <c r="R133" s="335"/>
      <c r="S133" s="335"/>
      <c r="T133" s="335"/>
      <c r="U133" s="335"/>
      <c r="V133" s="335"/>
      <c r="W133" s="335"/>
      <c r="X133" s="335"/>
      <c r="Y133" s="335"/>
    </row>
    <row r="134" ht="15.75" customHeight="1" spans="1:25">
      <c r="A134" s="335"/>
      <c r="B134" s="335"/>
      <c r="C134" s="335"/>
      <c r="D134" s="335"/>
      <c r="E134" s="335"/>
      <c r="F134" s="335"/>
      <c r="G134" s="335"/>
      <c r="H134" s="335"/>
      <c r="I134" s="335"/>
      <c r="J134" s="335"/>
      <c r="K134" s="335"/>
      <c r="L134" s="335"/>
      <c r="M134" s="335"/>
      <c r="N134" s="335"/>
      <c r="O134" s="335"/>
      <c r="P134" s="335"/>
      <c r="Q134" s="335"/>
      <c r="R134" s="335"/>
      <c r="S134" s="335"/>
      <c r="T134" s="335"/>
      <c r="U134" s="335"/>
      <c r="V134" s="335"/>
      <c r="W134" s="335"/>
      <c r="X134" s="335"/>
      <c r="Y134" s="335"/>
    </row>
    <row r="135" ht="15.75" customHeight="1" spans="1:25">
      <c r="A135" s="335"/>
      <c r="B135" s="335"/>
      <c r="C135" s="335"/>
      <c r="D135" s="335"/>
      <c r="E135" s="335"/>
      <c r="F135" s="335"/>
      <c r="G135" s="335"/>
      <c r="H135" s="335"/>
      <c r="I135" s="335"/>
      <c r="J135" s="335"/>
      <c r="K135" s="335"/>
      <c r="L135" s="335"/>
      <c r="M135" s="335"/>
      <c r="N135" s="335"/>
      <c r="O135" s="335"/>
      <c r="P135" s="335"/>
      <c r="Q135" s="335"/>
      <c r="R135" s="335"/>
      <c r="S135" s="335"/>
      <c r="T135" s="335"/>
      <c r="U135" s="335"/>
      <c r="V135" s="335"/>
      <c r="W135" s="335"/>
      <c r="X135" s="335"/>
      <c r="Y135" s="335"/>
    </row>
    <row r="136" ht="15.75" customHeight="1" spans="1:25">
      <c r="A136" s="335"/>
      <c r="B136" s="335"/>
      <c r="C136" s="335"/>
      <c r="D136" s="335"/>
      <c r="E136" s="335"/>
      <c r="F136" s="335"/>
      <c r="G136" s="335"/>
      <c r="H136" s="335"/>
      <c r="I136" s="335"/>
      <c r="J136" s="335"/>
      <c r="K136" s="335"/>
      <c r="L136" s="335"/>
      <c r="M136" s="335"/>
      <c r="N136" s="335"/>
      <c r="O136" s="335"/>
      <c r="P136" s="335"/>
      <c r="Q136" s="335"/>
      <c r="R136" s="335"/>
      <c r="S136" s="335"/>
      <c r="T136" s="335"/>
      <c r="U136" s="335"/>
      <c r="V136" s="335"/>
      <c r="W136" s="335"/>
      <c r="X136" s="335"/>
      <c r="Y136" s="335"/>
    </row>
    <row r="137" ht="15.75" customHeight="1" spans="1:25">
      <c r="A137" s="335"/>
      <c r="B137" s="335"/>
      <c r="C137" s="335"/>
      <c r="D137" s="335"/>
      <c r="E137" s="335"/>
      <c r="F137" s="335"/>
      <c r="G137" s="335"/>
      <c r="H137" s="335"/>
      <c r="I137" s="335"/>
      <c r="J137" s="335"/>
      <c r="K137" s="335"/>
      <c r="L137" s="335"/>
      <c r="M137" s="335"/>
      <c r="N137" s="335"/>
      <c r="O137" s="335"/>
      <c r="P137" s="335"/>
      <c r="Q137" s="335"/>
      <c r="R137" s="335"/>
      <c r="S137" s="335"/>
      <c r="T137" s="335"/>
      <c r="U137" s="335"/>
      <c r="V137" s="335"/>
      <c r="W137" s="335"/>
      <c r="X137" s="335"/>
      <c r="Y137" s="335"/>
    </row>
    <row r="138" ht="15.75" customHeight="1" spans="1:25">
      <c r="A138" s="335"/>
      <c r="B138" s="335"/>
      <c r="C138" s="335"/>
      <c r="D138" s="335"/>
      <c r="E138" s="335"/>
      <c r="F138" s="335"/>
      <c r="G138" s="335"/>
      <c r="H138" s="335"/>
      <c r="I138" s="335"/>
      <c r="J138" s="335"/>
      <c r="K138" s="335"/>
      <c r="L138" s="335"/>
      <c r="M138" s="335"/>
      <c r="N138" s="335"/>
      <c r="O138" s="335"/>
      <c r="P138" s="335"/>
      <c r="Q138" s="335"/>
      <c r="R138" s="335"/>
      <c r="S138" s="335"/>
      <c r="T138" s="335"/>
      <c r="U138" s="335"/>
      <c r="V138" s="335"/>
      <c r="W138" s="335"/>
      <c r="X138" s="335"/>
      <c r="Y138" s="335"/>
    </row>
    <row r="139" ht="15.75" customHeight="1" spans="1:25">
      <c r="A139" s="335"/>
      <c r="B139" s="335"/>
      <c r="C139" s="335"/>
      <c r="D139" s="335"/>
      <c r="E139" s="335"/>
      <c r="F139" s="335"/>
      <c r="G139" s="335"/>
      <c r="H139" s="335"/>
      <c r="I139" s="335"/>
      <c r="J139" s="335"/>
      <c r="K139" s="335"/>
      <c r="L139" s="335"/>
      <c r="M139" s="335"/>
      <c r="N139" s="335"/>
      <c r="O139" s="335"/>
      <c r="P139" s="335"/>
      <c r="Q139" s="335"/>
      <c r="R139" s="335"/>
      <c r="S139" s="335"/>
      <c r="T139" s="335"/>
      <c r="U139" s="335"/>
      <c r="V139" s="335"/>
      <c r="W139" s="335"/>
      <c r="X139" s="335"/>
      <c r="Y139" s="335"/>
    </row>
    <row r="140" ht="15.75" customHeight="1" spans="1:25">
      <c r="A140" s="335"/>
      <c r="B140" s="335"/>
      <c r="C140" s="335"/>
      <c r="D140" s="335"/>
      <c r="E140" s="335"/>
      <c r="F140" s="335"/>
      <c r="G140" s="335"/>
      <c r="H140" s="335"/>
      <c r="I140" s="335"/>
      <c r="J140" s="335"/>
      <c r="K140" s="335"/>
      <c r="L140" s="335"/>
      <c r="M140" s="335"/>
      <c r="N140" s="335"/>
      <c r="O140" s="335"/>
      <c r="P140" s="335"/>
      <c r="Q140" s="335"/>
      <c r="R140" s="335"/>
      <c r="S140" s="335"/>
      <c r="T140" s="335"/>
      <c r="U140" s="335"/>
      <c r="V140" s="335"/>
      <c r="W140" s="335"/>
      <c r="X140" s="335"/>
      <c r="Y140" s="335"/>
    </row>
    <row r="141" ht="15.75" customHeight="1" spans="1:25">
      <c r="A141" s="335"/>
      <c r="B141" s="335"/>
      <c r="C141" s="335"/>
      <c r="D141" s="335"/>
      <c r="E141" s="335"/>
      <c r="F141" s="335"/>
      <c r="G141" s="335"/>
      <c r="H141" s="335"/>
      <c r="I141" s="335"/>
      <c r="J141" s="335"/>
      <c r="K141" s="335"/>
      <c r="L141" s="335"/>
      <c r="M141" s="335"/>
      <c r="N141" s="335"/>
      <c r="O141" s="335"/>
      <c r="P141" s="335"/>
      <c r="Q141" s="335"/>
      <c r="R141" s="335"/>
      <c r="S141" s="335"/>
      <c r="T141" s="335"/>
      <c r="U141" s="335"/>
      <c r="V141" s="335"/>
      <c r="W141" s="335"/>
      <c r="X141" s="335"/>
      <c r="Y141" s="335"/>
    </row>
    <row r="142" ht="15.75" customHeight="1" spans="1:25">
      <c r="A142" s="335"/>
      <c r="B142" s="335"/>
      <c r="C142" s="335"/>
      <c r="D142" s="335"/>
      <c r="E142" s="335"/>
      <c r="F142" s="335"/>
      <c r="G142" s="335"/>
      <c r="H142" s="335"/>
      <c r="I142" s="335"/>
      <c r="J142" s="335"/>
      <c r="K142" s="335"/>
      <c r="L142" s="335"/>
      <c r="M142" s="335"/>
      <c r="N142" s="335"/>
      <c r="O142" s="335"/>
      <c r="P142" s="335"/>
      <c r="Q142" s="335"/>
      <c r="R142" s="335"/>
      <c r="S142" s="335"/>
      <c r="T142" s="335"/>
      <c r="U142" s="335"/>
      <c r="V142" s="335"/>
      <c r="W142" s="335"/>
      <c r="X142" s="335"/>
      <c r="Y142" s="335"/>
    </row>
    <row r="143" ht="15.75" customHeight="1" spans="1:25">
      <c r="A143" s="335"/>
      <c r="B143" s="335"/>
      <c r="C143" s="335"/>
      <c r="D143" s="335"/>
      <c r="E143" s="335"/>
      <c r="F143" s="335"/>
      <c r="G143" s="335"/>
      <c r="H143" s="335"/>
      <c r="I143" s="335"/>
      <c r="J143" s="335"/>
      <c r="K143" s="335"/>
      <c r="L143" s="335"/>
      <c r="M143" s="335"/>
      <c r="N143" s="335"/>
      <c r="O143" s="335"/>
      <c r="P143" s="335"/>
      <c r="Q143" s="335"/>
      <c r="R143" s="335"/>
      <c r="S143" s="335"/>
      <c r="T143" s="335"/>
      <c r="U143" s="335"/>
      <c r="V143" s="335"/>
      <c r="W143" s="335"/>
      <c r="X143" s="335"/>
      <c r="Y143" s="335"/>
    </row>
    <row r="144" ht="15.75" customHeight="1" spans="1:25">
      <c r="A144" s="335"/>
      <c r="B144" s="335"/>
      <c r="C144" s="335"/>
      <c r="D144" s="335"/>
      <c r="E144" s="335"/>
      <c r="F144" s="335"/>
      <c r="G144" s="335"/>
      <c r="H144" s="335"/>
      <c r="I144" s="335"/>
      <c r="J144" s="335"/>
      <c r="K144" s="335"/>
      <c r="L144" s="335"/>
      <c r="M144" s="335"/>
      <c r="N144" s="335"/>
      <c r="O144" s="335"/>
      <c r="P144" s="335"/>
      <c r="Q144" s="335"/>
      <c r="R144" s="335"/>
      <c r="S144" s="335"/>
      <c r="T144" s="335"/>
      <c r="U144" s="335"/>
      <c r="V144" s="335"/>
      <c r="W144" s="335"/>
      <c r="X144" s="335"/>
      <c r="Y144" s="335"/>
    </row>
    <row r="145" ht="15.75" customHeight="1" spans="1:25">
      <c r="A145" s="335"/>
      <c r="B145" s="335"/>
      <c r="C145" s="335"/>
      <c r="D145" s="335"/>
      <c r="E145" s="335"/>
      <c r="F145" s="335"/>
      <c r="G145" s="335"/>
      <c r="H145" s="335"/>
      <c r="I145" s="335"/>
      <c r="J145" s="335"/>
      <c r="K145" s="335"/>
      <c r="L145" s="335"/>
      <c r="M145" s="335"/>
      <c r="N145" s="335"/>
      <c r="O145" s="335"/>
      <c r="P145" s="335"/>
      <c r="Q145" s="335"/>
      <c r="R145" s="335"/>
      <c r="S145" s="335"/>
      <c r="T145" s="335"/>
      <c r="U145" s="335"/>
      <c r="V145" s="335"/>
      <c r="W145" s="335"/>
      <c r="X145" s="335"/>
      <c r="Y145" s="335"/>
    </row>
    <row r="146" ht="15.75" customHeight="1" spans="1:25">
      <c r="A146" s="335"/>
      <c r="B146" s="335"/>
      <c r="C146" s="335"/>
      <c r="D146" s="335"/>
      <c r="E146" s="335"/>
      <c r="F146" s="335"/>
      <c r="G146" s="335"/>
      <c r="H146" s="335"/>
      <c r="I146" s="335"/>
      <c r="J146" s="335"/>
      <c r="K146" s="335"/>
      <c r="L146" s="335"/>
      <c r="M146" s="335"/>
      <c r="N146" s="335"/>
      <c r="O146" s="335"/>
      <c r="P146" s="335"/>
      <c r="Q146" s="335"/>
      <c r="R146" s="335"/>
      <c r="S146" s="335"/>
      <c r="T146" s="335"/>
      <c r="U146" s="335"/>
      <c r="V146" s="335"/>
      <c r="W146" s="335"/>
      <c r="X146" s="335"/>
      <c r="Y146" s="335"/>
    </row>
    <row r="147" ht="15.75" customHeight="1" spans="1:25">
      <c r="A147" s="335"/>
      <c r="B147" s="335"/>
      <c r="C147" s="335"/>
      <c r="D147" s="335"/>
      <c r="E147" s="335"/>
      <c r="F147" s="335"/>
      <c r="G147" s="335"/>
      <c r="H147" s="335"/>
      <c r="I147" s="335"/>
      <c r="J147" s="335"/>
      <c r="K147" s="335"/>
      <c r="L147" s="335"/>
      <c r="M147" s="335"/>
      <c r="N147" s="335"/>
      <c r="O147" s="335"/>
      <c r="P147" s="335"/>
      <c r="Q147" s="335"/>
      <c r="R147" s="335"/>
      <c r="S147" s="335"/>
      <c r="T147" s="335"/>
      <c r="U147" s="335"/>
      <c r="V147" s="335"/>
      <c r="W147" s="335"/>
      <c r="X147" s="335"/>
      <c r="Y147" s="335"/>
    </row>
    <row r="148" ht="15.75" customHeight="1" spans="1:25">
      <c r="A148" s="335"/>
      <c r="B148" s="335"/>
      <c r="C148" s="335"/>
      <c r="D148" s="335"/>
      <c r="E148" s="335"/>
      <c r="F148" s="335"/>
      <c r="G148" s="335"/>
      <c r="H148" s="335"/>
      <c r="I148" s="335"/>
      <c r="J148" s="335"/>
      <c r="K148" s="335"/>
      <c r="L148" s="335"/>
      <c r="M148" s="335"/>
      <c r="N148" s="335"/>
      <c r="O148" s="335"/>
      <c r="P148" s="335"/>
      <c r="Q148" s="335"/>
      <c r="R148" s="335"/>
      <c r="S148" s="335"/>
      <c r="T148" s="335"/>
      <c r="U148" s="335"/>
      <c r="V148" s="335"/>
      <c r="W148" s="335"/>
      <c r="X148" s="335"/>
      <c r="Y148" s="335"/>
    </row>
    <row r="149" ht="15.75" customHeight="1" spans="1:25">
      <c r="A149" s="335"/>
      <c r="B149" s="335"/>
      <c r="C149" s="335"/>
      <c r="D149" s="335"/>
      <c r="E149" s="335"/>
      <c r="F149" s="335"/>
      <c r="G149" s="335"/>
      <c r="H149" s="335"/>
      <c r="I149" s="335"/>
      <c r="J149" s="335"/>
      <c r="K149" s="335"/>
      <c r="L149" s="335"/>
      <c r="M149" s="335"/>
      <c r="N149" s="335"/>
      <c r="O149" s="335"/>
      <c r="P149" s="335"/>
      <c r="Q149" s="335"/>
      <c r="R149" s="335"/>
      <c r="S149" s="335"/>
      <c r="T149" s="335"/>
      <c r="U149" s="335"/>
      <c r="V149" s="335"/>
      <c r="W149" s="335"/>
      <c r="X149" s="335"/>
      <c r="Y149" s="335"/>
    </row>
    <row r="150" ht="15.75" customHeight="1" spans="1:25">
      <c r="A150" s="335"/>
      <c r="B150" s="335"/>
      <c r="C150" s="335"/>
      <c r="D150" s="335"/>
      <c r="E150" s="335"/>
      <c r="F150" s="335"/>
      <c r="G150" s="335"/>
      <c r="H150" s="335"/>
      <c r="I150" s="335"/>
      <c r="J150" s="335"/>
      <c r="K150" s="335"/>
      <c r="L150" s="335"/>
      <c r="M150" s="335"/>
      <c r="N150" s="335"/>
      <c r="O150" s="335"/>
      <c r="P150" s="335"/>
      <c r="Q150" s="335"/>
      <c r="R150" s="335"/>
      <c r="S150" s="335"/>
      <c r="T150" s="335"/>
      <c r="U150" s="335"/>
      <c r="V150" s="335"/>
      <c r="W150" s="335"/>
      <c r="X150" s="335"/>
      <c r="Y150" s="335"/>
    </row>
    <row r="151" ht="15.75" customHeight="1" spans="1:25">
      <c r="A151" s="335"/>
      <c r="B151" s="335"/>
      <c r="C151" s="335"/>
      <c r="D151" s="335"/>
      <c r="E151" s="335"/>
      <c r="F151" s="335"/>
      <c r="G151" s="335"/>
      <c r="H151" s="335"/>
      <c r="I151" s="335"/>
      <c r="J151" s="335"/>
      <c r="K151" s="335"/>
      <c r="L151" s="335"/>
      <c r="M151" s="335"/>
      <c r="N151" s="335"/>
      <c r="O151" s="335"/>
      <c r="P151" s="335"/>
      <c r="Q151" s="335"/>
      <c r="R151" s="335"/>
      <c r="S151" s="335"/>
      <c r="T151" s="335"/>
      <c r="U151" s="335"/>
      <c r="V151" s="335"/>
      <c r="W151" s="335"/>
      <c r="X151" s="335"/>
      <c r="Y151" s="335"/>
    </row>
    <row r="152" ht="15.75" customHeight="1" spans="1:25">
      <c r="A152" s="335"/>
      <c r="B152" s="335"/>
      <c r="C152" s="335"/>
      <c r="D152" s="335"/>
      <c r="E152" s="335"/>
      <c r="F152" s="335"/>
      <c r="G152" s="335"/>
      <c r="H152" s="335"/>
      <c r="I152" s="335"/>
      <c r="J152" s="335"/>
      <c r="K152" s="335"/>
      <c r="L152" s="335"/>
      <c r="M152" s="335"/>
      <c r="N152" s="335"/>
      <c r="O152" s="335"/>
      <c r="P152" s="335"/>
      <c r="Q152" s="335"/>
      <c r="R152" s="335"/>
      <c r="S152" s="335"/>
      <c r="T152" s="335"/>
      <c r="U152" s="335"/>
      <c r="V152" s="335"/>
      <c r="W152" s="335"/>
      <c r="X152" s="335"/>
      <c r="Y152" s="335"/>
    </row>
    <row r="153" ht="15.75" customHeight="1" spans="1:25">
      <c r="A153" s="335"/>
      <c r="B153" s="335"/>
      <c r="C153" s="335"/>
      <c r="D153" s="335"/>
      <c r="E153" s="335"/>
      <c r="F153" s="335"/>
      <c r="G153" s="335"/>
      <c r="H153" s="335"/>
      <c r="I153" s="335"/>
      <c r="J153" s="335"/>
      <c r="K153" s="335"/>
      <c r="L153" s="335"/>
      <c r="M153" s="335"/>
      <c r="N153" s="335"/>
      <c r="O153" s="335"/>
      <c r="P153" s="335"/>
      <c r="Q153" s="335"/>
      <c r="R153" s="335"/>
      <c r="S153" s="335"/>
      <c r="T153" s="335"/>
      <c r="U153" s="335"/>
      <c r="V153" s="335"/>
      <c r="W153" s="335"/>
      <c r="X153" s="335"/>
      <c r="Y153" s="335"/>
    </row>
    <row r="154" ht="15.75" customHeight="1" spans="1:25">
      <c r="A154" s="335"/>
      <c r="B154" s="335"/>
      <c r="C154" s="335"/>
      <c r="D154" s="335"/>
      <c r="E154" s="335"/>
      <c r="F154" s="335"/>
      <c r="G154" s="335"/>
      <c r="H154" s="335"/>
      <c r="I154" s="335"/>
      <c r="J154" s="335"/>
      <c r="K154" s="335"/>
      <c r="L154" s="335"/>
      <c r="M154" s="335"/>
      <c r="N154" s="335"/>
      <c r="O154" s="335"/>
      <c r="P154" s="335"/>
      <c r="Q154" s="335"/>
      <c r="R154" s="335"/>
      <c r="S154" s="335"/>
      <c r="T154" s="335"/>
      <c r="U154" s="335"/>
      <c r="V154" s="335"/>
      <c r="W154" s="335"/>
      <c r="X154" s="335"/>
      <c r="Y154" s="335"/>
    </row>
    <row r="155" ht="15.75" customHeight="1" spans="1:25">
      <c r="A155" s="335"/>
      <c r="B155" s="335"/>
      <c r="C155" s="335"/>
      <c r="D155" s="335"/>
      <c r="E155" s="335"/>
      <c r="F155" s="335"/>
      <c r="G155" s="335"/>
      <c r="H155" s="335"/>
      <c r="I155" s="335"/>
      <c r="J155" s="335"/>
      <c r="K155" s="335"/>
      <c r="L155" s="335"/>
      <c r="M155" s="335"/>
      <c r="N155" s="335"/>
      <c r="O155" s="335"/>
      <c r="P155" s="335"/>
      <c r="Q155" s="335"/>
      <c r="R155" s="335"/>
      <c r="S155" s="335"/>
      <c r="T155" s="335"/>
      <c r="U155" s="335"/>
      <c r="V155" s="335"/>
      <c r="W155" s="335"/>
      <c r="X155" s="335"/>
      <c r="Y155" s="335"/>
    </row>
    <row r="156" ht="15.75" customHeight="1" spans="1:25">
      <c r="A156" s="335"/>
      <c r="B156" s="335"/>
      <c r="C156" s="335"/>
      <c r="D156" s="335"/>
      <c r="E156" s="335"/>
      <c r="F156" s="335"/>
      <c r="G156" s="335"/>
      <c r="H156" s="335"/>
      <c r="I156" s="335"/>
      <c r="J156" s="335"/>
      <c r="K156" s="335"/>
      <c r="L156" s="335"/>
      <c r="M156" s="335"/>
      <c r="N156" s="335"/>
      <c r="O156" s="335"/>
      <c r="P156" s="335"/>
      <c r="Q156" s="335"/>
      <c r="R156" s="335"/>
      <c r="S156" s="335"/>
      <c r="T156" s="335"/>
      <c r="U156" s="335"/>
      <c r="V156" s="335"/>
      <c r="W156" s="335"/>
      <c r="X156" s="335"/>
      <c r="Y156" s="335"/>
    </row>
    <row r="157" ht="15.75" customHeight="1" spans="1:25">
      <c r="A157" s="335"/>
      <c r="B157" s="335"/>
      <c r="C157" s="335"/>
      <c r="D157" s="335"/>
      <c r="E157" s="335"/>
      <c r="F157" s="335"/>
      <c r="G157" s="335"/>
      <c r="H157" s="335"/>
      <c r="I157" s="335"/>
      <c r="J157" s="335"/>
      <c r="K157" s="335"/>
      <c r="L157" s="335"/>
      <c r="M157" s="335"/>
      <c r="N157" s="335"/>
      <c r="O157" s="335"/>
      <c r="P157" s="335"/>
      <c r="Q157" s="335"/>
      <c r="R157" s="335"/>
      <c r="S157" s="335"/>
      <c r="T157" s="335"/>
      <c r="U157" s="335"/>
      <c r="V157" s="335"/>
      <c r="W157" s="335"/>
      <c r="X157" s="335"/>
      <c r="Y157" s="335"/>
    </row>
    <row r="158" ht="15.75" customHeight="1" spans="1:25">
      <c r="A158" s="335"/>
      <c r="B158" s="335"/>
      <c r="C158" s="335"/>
      <c r="D158" s="335"/>
      <c r="E158" s="335"/>
      <c r="F158" s="335"/>
      <c r="G158" s="335"/>
      <c r="H158" s="335"/>
      <c r="I158" s="335"/>
      <c r="J158" s="335"/>
      <c r="K158" s="335"/>
      <c r="L158" s="335"/>
      <c r="M158" s="335"/>
      <c r="N158" s="335"/>
      <c r="O158" s="335"/>
      <c r="P158" s="335"/>
      <c r="Q158" s="335"/>
      <c r="R158" s="335"/>
      <c r="S158" s="335"/>
      <c r="T158" s="335"/>
      <c r="U158" s="335"/>
      <c r="V158" s="335"/>
      <c r="W158" s="335"/>
      <c r="X158" s="335"/>
      <c r="Y158" s="335"/>
    </row>
    <row r="159" ht="15.75" customHeight="1" spans="1:25">
      <c r="A159" s="335"/>
      <c r="B159" s="335"/>
      <c r="C159" s="335"/>
      <c r="D159" s="335"/>
      <c r="E159" s="335"/>
      <c r="F159" s="335"/>
      <c r="G159" s="335"/>
      <c r="H159" s="335"/>
      <c r="I159" s="335"/>
      <c r="J159" s="335"/>
      <c r="K159" s="335"/>
      <c r="L159" s="335"/>
      <c r="M159" s="335"/>
      <c r="N159" s="335"/>
      <c r="O159" s="335"/>
      <c r="P159" s="335"/>
      <c r="Q159" s="335"/>
      <c r="R159" s="335"/>
      <c r="S159" s="335"/>
      <c r="T159" s="335"/>
      <c r="U159" s="335"/>
      <c r="V159" s="335"/>
      <c r="W159" s="335"/>
      <c r="X159" s="335"/>
      <c r="Y159" s="335"/>
    </row>
    <row r="160" ht="15.75" customHeight="1" spans="1:25">
      <c r="A160" s="335"/>
      <c r="B160" s="335"/>
      <c r="C160" s="335"/>
      <c r="D160" s="335"/>
      <c r="E160" s="335"/>
      <c r="F160" s="335"/>
      <c r="G160" s="335"/>
      <c r="H160" s="335"/>
      <c r="I160" s="335"/>
      <c r="J160" s="335"/>
      <c r="K160" s="335"/>
      <c r="L160" s="335"/>
      <c r="M160" s="335"/>
      <c r="N160" s="335"/>
      <c r="O160" s="335"/>
      <c r="P160" s="335"/>
      <c r="Q160" s="335"/>
      <c r="R160" s="335"/>
      <c r="S160" s="335"/>
      <c r="T160" s="335"/>
      <c r="U160" s="335"/>
      <c r="V160" s="335"/>
      <c r="W160" s="335"/>
      <c r="X160" s="335"/>
      <c r="Y160" s="335"/>
    </row>
    <row r="161" ht="15.75" customHeight="1" spans="1:25">
      <c r="A161" s="335"/>
      <c r="B161" s="335"/>
      <c r="C161" s="335"/>
      <c r="D161" s="335"/>
      <c r="E161" s="335"/>
      <c r="F161" s="335"/>
      <c r="G161" s="335"/>
      <c r="H161" s="335"/>
      <c r="I161" s="335"/>
      <c r="J161" s="335"/>
      <c r="K161" s="335"/>
      <c r="L161" s="335"/>
      <c r="M161" s="335"/>
      <c r="N161" s="335"/>
      <c r="O161" s="335"/>
      <c r="P161" s="335"/>
      <c r="Q161" s="335"/>
      <c r="R161" s="335"/>
      <c r="S161" s="335"/>
      <c r="T161" s="335"/>
      <c r="U161" s="335"/>
      <c r="V161" s="335"/>
      <c r="W161" s="335"/>
      <c r="X161" s="335"/>
      <c r="Y161" s="335"/>
    </row>
    <row r="162" ht="15.75" customHeight="1" spans="1:25">
      <c r="A162" s="335"/>
      <c r="B162" s="335"/>
      <c r="C162" s="335"/>
      <c r="D162" s="335"/>
      <c r="E162" s="335"/>
      <c r="F162" s="335"/>
      <c r="G162" s="335"/>
      <c r="H162" s="335"/>
      <c r="I162" s="335"/>
      <c r="J162" s="335"/>
      <c r="K162" s="335"/>
      <c r="L162" s="335"/>
      <c r="M162" s="335"/>
      <c r="N162" s="335"/>
      <c r="O162" s="335"/>
      <c r="P162" s="335"/>
      <c r="Q162" s="335"/>
      <c r="R162" s="335"/>
      <c r="S162" s="335"/>
      <c r="T162" s="335"/>
      <c r="U162" s="335"/>
      <c r="V162" s="335"/>
      <c r="W162" s="335"/>
      <c r="X162" s="335"/>
      <c r="Y162" s="335"/>
    </row>
    <row r="163" ht="15.75" customHeight="1" spans="1:25">
      <c r="A163" s="335"/>
      <c r="B163" s="335"/>
      <c r="C163" s="335"/>
      <c r="D163" s="335"/>
      <c r="E163" s="335"/>
      <c r="F163" s="335"/>
      <c r="G163" s="335"/>
      <c r="H163" s="335"/>
      <c r="I163" s="335"/>
      <c r="J163" s="335"/>
      <c r="K163" s="335"/>
      <c r="L163" s="335"/>
      <c r="M163" s="335"/>
      <c r="N163" s="335"/>
      <c r="O163" s="335"/>
      <c r="P163" s="335"/>
      <c r="Q163" s="335"/>
      <c r="R163" s="335"/>
      <c r="S163" s="335"/>
      <c r="T163" s="335"/>
      <c r="U163" s="335"/>
      <c r="V163" s="335"/>
      <c r="W163" s="335"/>
      <c r="X163" s="335"/>
      <c r="Y163" s="335"/>
    </row>
    <row r="164" ht="15.75" customHeight="1" spans="1:25">
      <c r="A164" s="335"/>
      <c r="B164" s="335"/>
      <c r="C164" s="335"/>
      <c r="D164" s="335"/>
      <c r="E164" s="335"/>
      <c r="F164" s="335"/>
      <c r="G164" s="335"/>
      <c r="H164" s="335"/>
      <c r="I164" s="335"/>
      <c r="J164" s="335"/>
      <c r="K164" s="335"/>
      <c r="L164" s="335"/>
      <c r="M164" s="335"/>
      <c r="N164" s="335"/>
      <c r="O164" s="335"/>
      <c r="P164" s="335"/>
      <c r="Q164" s="335"/>
      <c r="R164" s="335"/>
      <c r="S164" s="335"/>
      <c r="T164" s="335"/>
      <c r="U164" s="335"/>
      <c r="V164" s="335"/>
      <c r="W164" s="335"/>
      <c r="X164" s="335"/>
      <c r="Y164" s="335"/>
    </row>
    <row r="165" ht="15.75" customHeight="1" spans="1:25">
      <c r="A165" s="335"/>
      <c r="B165" s="335"/>
      <c r="C165" s="335"/>
      <c r="D165" s="335"/>
      <c r="E165" s="335"/>
      <c r="F165" s="335"/>
      <c r="G165" s="335"/>
      <c r="H165" s="335"/>
      <c r="I165" s="335"/>
      <c r="J165" s="335"/>
      <c r="K165" s="335"/>
      <c r="L165" s="335"/>
      <c r="M165" s="335"/>
      <c r="N165" s="335"/>
      <c r="O165" s="335"/>
      <c r="P165" s="335"/>
      <c r="Q165" s="335"/>
      <c r="R165" s="335"/>
      <c r="S165" s="335"/>
      <c r="T165" s="335"/>
      <c r="U165" s="335"/>
      <c r="V165" s="335"/>
      <c r="W165" s="335"/>
      <c r="X165" s="335"/>
      <c r="Y165" s="335"/>
    </row>
    <row r="166" ht="15.75" customHeight="1" spans="1:25">
      <c r="A166" s="335"/>
      <c r="B166" s="335"/>
      <c r="C166" s="335"/>
      <c r="D166" s="335"/>
      <c r="E166" s="335"/>
      <c r="F166" s="335"/>
      <c r="G166" s="335"/>
      <c r="H166" s="335"/>
      <c r="I166" s="335"/>
      <c r="J166" s="335"/>
      <c r="K166" s="335"/>
      <c r="L166" s="335"/>
      <c r="M166" s="335"/>
      <c r="N166" s="335"/>
      <c r="O166" s="335"/>
      <c r="P166" s="335"/>
      <c r="Q166" s="335"/>
      <c r="R166" s="335"/>
      <c r="S166" s="335"/>
      <c r="T166" s="335"/>
      <c r="U166" s="335"/>
      <c r="V166" s="335"/>
      <c r="W166" s="335"/>
      <c r="X166" s="335"/>
      <c r="Y166" s="335"/>
    </row>
    <row r="167" ht="15.75" customHeight="1" spans="1:25">
      <c r="A167" s="335"/>
      <c r="B167" s="335"/>
      <c r="C167" s="335"/>
      <c r="D167" s="335"/>
      <c r="E167" s="335"/>
      <c r="F167" s="335"/>
      <c r="G167" s="335"/>
      <c r="H167" s="335"/>
      <c r="I167" s="335"/>
      <c r="J167" s="335"/>
      <c r="K167" s="335"/>
      <c r="L167" s="335"/>
      <c r="M167" s="335"/>
      <c r="N167" s="335"/>
      <c r="O167" s="335"/>
      <c r="P167" s="335"/>
      <c r="Q167" s="335"/>
      <c r="R167" s="335"/>
      <c r="S167" s="335"/>
      <c r="T167" s="335"/>
      <c r="U167" s="335"/>
      <c r="V167" s="335"/>
      <c r="W167" s="335"/>
      <c r="X167" s="335"/>
      <c r="Y167" s="335"/>
    </row>
    <row r="168" ht="15.75" customHeight="1" spans="1:25">
      <c r="A168" s="335"/>
      <c r="B168" s="335"/>
      <c r="C168" s="335"/>
      <c r="D168" s="335"/>
      <c r="E168" s="335"/>
      <c r="F168" s="335"/>
      <c r="G168" s="335"/>
      <c r="H168" s="335"/>
      <c r="I168" s="335"/>
      <c r="J168" s="335"/>
      <c r="K168" s="335"/>
      <c r="L168" s="335"/>
      <c r="M168" s="335"/>
      <c r="N168" s="335"/>
      <c r="O168" s="335"/>
      <c r="P168" s="335"/>
      <c r="Q168" s="335"/>
      <c r="R168" s="335"/>
      <c r="S168" s="335"/>
      <c r="T168" s="335"/>
      <c r="U168" s="335"/>
      <c r="V168" s="335"/>
      <c r="W168" s="335"/>
      <c r="X168" s="335"/>
      <c r="Y168" s="335"/>
    </row>
    <row r="169" ht="15.75" customHeight="1" spans="1:25">
      <c r="A169" s="335"/>
      <c r="B169" s="335"/>
      <c r="C169" s="335"/>
      <c r="D169" s="335"/>
      <c r="E169" s="335"/>
      <c r="F169" s="335"/>
      <c r="G169" s="335"/>
      <c r="H169" s="335"/>
      <c r="I169" s="335"/>
      <c r="J169" s="335"/>
      <c r="K169" s="335"/>
      <c r="L169" s="335"/>
      <c r="M169" s="335"/>
      <c r="N169" s="335"/>
      <c r="O169" s="335"/>
      <c r="P169" s="335"/>
      <c r="Q169" s="335"/>
      <c r="R169" s="335"/>
      <c r="S169" s="335"/>
      <c r="T169" s="335"/>
      <c r="U169" s="335"/>
      <c r="V169" s="335"/>
      <c r="W169" s="335"/>
      <c r="X169" s="335"/>
      <c r="Y169" s="335"/>
    </row>
    <row r="170" ht="15.75" customHeight="1" spans="1:25">
      <c r="A170" s="335"/>
      <c r="B170" s="335"/>
      <c r="C170" s="335"/>
      <c r="D170" s="335"/>
      <c r="E170" s="335"/>
      <c r="F170" s="335"/>
      <c r="G170" s="335"/>
      <c r="H170" s="335"/>
      <c r="I170" s="335"/>
      <c r="J170" s="335"/>
      <c r="K170" s="335"/>
      <c r="L170" s="335"/>
      <c r="M170" s="335"/>
      <c r="N170" s="335"/>
      <c r="O170" s="335"/>
      <c r="P170" s="335"/>
      <c r="Q170" s="335"/>
      <c r="R170" s="335"/>
      <c r="S170" s="335"/>
      <c r="T170" s="335"/>
      <c r="U170" s="335"/>
      <c r="V170" s="335"/>
      <c r="W170" s="335"/>
      <c r="X170" s="335"/>
      <c r="Y170" s="335"/>
    </row>
    <row r="171" ht="15.75" customHeight="1" spans="1:25">
      <c r="A171" s="335"/>
      <c r="B171" s="335"/>
      <c r="C171" s="335"/>
      <c r="D171" s="335"/>
      <c r="E171" s="335"/>
      <c r="F171" s="335"/>
      <c r="G171" s="335"/>
      <c r="H171" s="335"/>
      <c r="I171" s="335"/>
      <c r="J171" s="335"/>
      <c r="K171" s="335"/>
      <c r="L171" s="335"/>
      <c r="M171" s="335"/>
      <c r="N171" s="335"/>
      <c r="O171" s="335"/>
      <c r="P171" s="335"/>
      <c r="Q171" s="335"/>
      <c r="R171" s="335"/>
      <c r="S171" s="335"/>
      <c r="T171" s="335"/>
      <c r="U171" s="335"/>
      <c r="V171" s="335"/>
      <c r="W171" s="335"/>
      <c r="X171" s="335"/>
      <c r="Y171" s="335"/>
    </row>
    <row r="172" ht="15.75" customHeight="1" spans="1:25">
      <c r="A172" s="335"/>
      <c r="B172" s="335"/>
      <c r="C172" s="335"/>
      <c r="D172" s="335"/>
      <c r="E172" s="335"/>
      <c r="F172" s="335"/>
      <c r="G172" s="335"/>
      <c r="H172" s="335"/>
      <c r="I172" s="335"/>
      <c r="J172" s="335"/>
      <c r="K172" s="335"/>
      <c r="L172" s="335"/>
      <c r="M172" s="335"/>
      <c r="N172" s="335"/>
      <c r="O172" s="335"/>
      <c r="P172" s="335"/>
      <c r="Q172" s="335"/>
      <c r="R172" s="335"/>
      <c r="S172" s="335"/>
      <c r="T172" s="335"/>
      <c r="U172" s="335"/>
      <c r="V172" s="335"/>
      <c r="W172" s="335"/>
      <c r="X172" s="335"/>
      <c r="Y172" s="335"/>
    </row>
    <row r="173" ht="15.75" customHeight="1" spans="1:25">
      <c r="A173" s="335"/>
      <c r="B173" s="335"/>
      <c r="C173" s="335"/>
      <c r="D173" s="335"/>
      <c r="E173" s="335"/>
      <c r="F173" s="335"/>
      <c r="G173" s="335"/>
      <c r="H173" s="335"/>
      <c r="I173" s="335"/>
      <c r="J173" s="335"/>
      <c r="K173" s="335"/>
      <c r="L173" s="335"/>
      <c r="M173" s="335"/>
      <c r="N173" s="335"/>
      <c r="O173" s="335"/>
      <c r="P173" s="335"/>
      <c r="Q173" s="335"/>
      <c r="R173" s="335"/>
      <c r="S173" s="335"/>
      <c r="T173" s="335"/>
      <c r="U173" s="335"/>
      <c r="V173" s="335"/>
      <c r="W173" s="335"/>
      <c r="X173" s="335"/>
      <c r="Y173" s="335"/>
    </row>
    <row r="174" ht="15.75" customHeight="1" spans="1:25">
      <c r="A174" s="335"/>
      <c r="B174" s="335"/>
      <c r="C174" s="335"/>
      <c r="D174" s="335"/>
      <c r="E174" s="335"/>
      <c r="F174" s="335"/>
      <c r="G174" s="335"/>
      <c r="H174" s="335"/>
      <c r="I174" s="335"/>
      <c r="J174" s="335"/>
      <c r="K174" s="335"/>
      <c r="L174" s="335"/>
      <c r="M174" s="335"/>
      <c r="N174" s="335"/>
      <c r="O174" s="335"/>
      <c r="P174" s="335"/>
      <c r="Q174" s="335"/>
      <c r="R174" s="335"/>
      <c r="S174" s="335"/>
      <c r="T174" s="335"/>
      <c r="U174" s="335"/>
      <c r="V174" s="335"/>
      <c r="W174" s="335"/>
      <c r="X174" s="335"/>
      <c r="Y174" s="335"/>
    </row>
    <row r="175" ht="15.75" customHeight="1" spans="1:25">
      <c r="A175" s="335"/>
      <c r="B175" s="335"/>
      <c r="C175" s="335"/>
      <c r="D175" s="335"/>
      <c r="E175" s="335"/>
      <c r="F175" s="335"/>
      <c r="G175" s="335"/>
      <c r="H175" s="335"/>
      <c r="I175" s="335"/>
      <c r="J175" s="335"/>
      <c r="K175" s="335"/>
      <c r="L175" s="335"/>
      <c r="M175" s="335"/>
      <c r="N175" s="335"/>
      <c r="O175" s="335"/>
      <c r="P175" s="335"/>
      <c r="Q175" s="335"/>
      <c r="R175" s="335"/>
      <c r="S175" s="335"/>
      <c r="T175" s="335"/>
      <c r="U175" s="335"/>
      <c r="V175" s="335"/>
      <c r="W175" s="335"/>
      <c r="X175" s="335"/>
      <c r="Y175" s="335"/>
    </row>
    <row r="176" ht="15.75" customHeight="1" spans="1:25">
      <c r="A176" s="335"/>
      <c r="B176" s="335"/>
      <c r="C176" s="335"/>
      <c r="D176" s="335"/>
      <c r="E176" s="335"/>
      <c r="F176" s="335"/>
      <c r="G176" s="335"/>
      <c r="H176" s="335"/>
      <c r="I176" s="335"/>
      <c r="J176" s="335"/>
      <c r="K176" s="335"/>
      <c r="L176" s="335"/>
      <c r="M176" s="335"/>
      <c r="N176" s="335"/>
      <c r="O176" s="335"/>
      <c r="P176" s="335"/>
      <c r="Q176" s="335"/>
      <c r="R176" s="335"/>
      <c r="S176" s="335"/>
      <c r="T176" s="335"/>
      <c r="U176" s="335"/>
      <c r="V176" s="335"/>
      <c r="W176" s="335"/>
      <c r="X176" s="335"/>
      <c r="Y176" s="335"/>
    </row>
    <row r="177" ht="15.75" customHeight="1" spans="1:25">
      <c r="A177" s="335"/>
      <c r="B177" s="335"/>
      <c r="C177" s="335"/>
      <c r="D177" s="335"/>
      <c r="E177" s="335"/>
      <c r="F177" s="335"/>
      <c r="G177" s="335"/>
      <c r="H177" s="335"/>
      <c r="I177" s="335"/>
      <c r="J177" s="335"/>
      <c r="K177" s="335"/>
      <c r="L177" s="335"/>
      <c r="M177" s="335"/>
      <c r="N177" s="335"/>
      <c r="O177" s="335"/>
      <c r="P177" s="335"/>
      <c r="Q177" s="335"/>
      <c r="R177" s="335"/>
      <c r="S177" s="335"/>
      <c r="T177" s="335"/>
      <c r="U177" s="335"/>
      <c r="V177" s="335"/>
      <c r="W177" s="335"/>
      <c r="X177" s="335"/>
      <c r="Y177" s="335"/>
    </row>
    <row r="178" ht="15.75" customHeight="1" spans="1:25">
      <c r="A178" s="335"/>
      <c r="B178" s="335"/>
      <c r="C178" s="335"/>
      <c r="D178" s="335"/>
      <c r="E178" s="335"/>
      <c r="F178" s="335"/>
      <c r="G178" s="335"/>
      <c r="H178" s="335"/>
      <c r="I178" s="335"/>
      <c r="J178" s="335"/>
      <c r="K178" s="335"/>
      <c r="L178" s="335"/>
      <c r="M178" s="335"/>
      <c r="N178" s="335"/>
      <c r="O178" s="335"/>
      <c r="P178" s="335"/>
      <c r="Q178" s="335"/>
      <c r="R178" s="335"/>
      <c r="S178" s="335"/>
      <c r="T178" s="335"/>
      <c r="U178" s="335"/>
      <c r="V178" s="335"/>
      <c r="W178" s="335"/>
      <c r="X178" s="335"/>
      <c r="Y178" s="335"/>
    </row>
    <row r="179" ht="15.75" customHeight="1" spans="1:25">
      <c r="A179" s="335"/>
      <c r="B179" s="335"/>
      <c r="C179" s="335"/>
      <c r="D179" s="335"/>
      <c r="E179" s="335"/>
      <c r="F179" s="335"/>
      <c r="G179" s="335"/>
      <c r="H179" s="335"/>
      <c r="I179" s="335"/>
      <c r="J179" s="335"/>
      <c r="K179" s="335"/>
      <c r="L179" s="335"/>
      <c r="M179" s="335"/>
      <c r="N179" s="335"/>
      <c r="O179" s="335"/>
      <c r="P179" s="335"/>
      <c r="Q179" s="335"/>
      <c r="R179" s="335"/>
      <c r="S179" s="335"/>
      <c r="T179" s="335"/>
      <c r="U179" s="335"/>
      <c r="V179" s="335"/>
      <c r="W179" s="335"/>
      <c r="X179" s="335"/>
      <c r="Y179" s="335"/>
    </row>
    <row r="180" ht="15.75" customHeight="1" spans="1:25">
      <c r="A180" s="335"/>
      <c r="B180" s="335"/>
      <c r="C180" s="335"/>
      <c r="D180" s="335"/>
      <c r="E180" s="335"/>
      <c r="F180" s="335"/>
      <c r="G180" s="335"/>
      <c r="H180" s="335"/>
      <c r="I180" s="335"/>
      <c r="J180" s="335"/>
      <c r="K180" s="335"/>
      <c r="L180" s="335"/>
      <c r="M180" s="335"/>
      <c r="N180" s="335"/>
      <c r="O180" s="335"/>
      <c r="P180" s="335"/>
      <c r="Q180" s="335"/>
      <c r="R180" s="335"/>
      <c r="S180" s="335"/>
      <c r="T180" s="335"/>
      <c r="U180" s="335"/>
      <c r="V180" s="335"/>
      <c r="W180" s="335"/>
      <c r="X180" s="335"/>
      <c r="Y180" s="335"/>
    </row>
    <row r="181" ht="15.75" customHeight="1" spans="1:25">
      <c r="A181" s="335"/>
      <c r="B181" s="335"/>
      <c r="C181" s="335"/>
      <c r="D181" s="335"/>
      <c r="E181" s="335"/>
      <c r="F181" s="335"/>
      <c r="G181" s="335"/>
      <c r="H181" s="335"/>
      <c r="I181" s="335"/>
      <c r="J181" s="335"/>
      <c r="K181" s="335"/>
      <c r="L181" s="335"/>
      <c r="M181" s="335"/>
      <c r="N181" s="335"/>
      <c r="O181" s="335"/>
      <c r="P181" s="335"/>
      <c r="Q181" s="335"/>
      <c r="R181" s="335"/>
      <c r="S181" s="335"/>
      <c r="T181" s="335"/>
      <c r="U181" s="335"/>
      <c r="V181" s="335"/>
      <c r="W181" s="335"/>
      <c r="X181" s="335"/>
      <c r="Y181" s="335"/>
    </row>
    <row r="182" ht="15.75" customHeight="1" spans="1:25">
      <c r="A182" s="335"/>
      <c r="B182" s="335"/>
      <c r="C182" s="335"/>
      <c r="D182" s="335"/>
      <c r="E182" s="335"/>
      <c r="F182" s="335"/>
      <c r="G182" s="335"/>
      <c r="H182" s="335"/>
      <c r="I182" s="335"/>
      <c r="J182" s="335"/>
      <c r="K182" s="335"/>
      <c r="L182" s="335"/>
      <c r="M182" s="335"/>
      <c r="N182" s="335"/>
      <c r="O182" s="335"/>
      <c r="P182" s="335"/>
      <c r="Q182" s="335"/>
      <c r="R182" s="335"/>
      <c r="S182" s="335"/>
      <c r="T182" s="335"/>
      <c r="U182" s="335"/>
      <c r="V182" s="335"/>
      <c r="W182" s="335"/>
      <c r="X182" s="335"/>
      <c r="Y182" s="335"/>
    </row>
    <row r="183" ht="15.75" customHeight="1" spans="1:25">
      <c r="A183" s="335"/>
      <c r="B183" s="335"/>
      <c r="C183" s="335"/>
      <c r="D183" s="335"/>
      <c r="E183" s="335"/>
      <c r="F183" s="335"/>
      <c r="G183" s="335"/>
      <c r="H183" s="335"/>
      <c r="I183" s="335"/>
      <c r="J183" s="335"/>
      <c r="K183" s="335"/>
      <c r="L183" s="335"/>
      <c r="M183" s="335"/>
      <c r="N183" s="335"/>
      <c r="O183" s="335"/>
      <c r="P183" s="335"/>
      <c r="Q183" s="335"/>
      <c r="R183" s="335"/>
      <c r="S183" s="335"/>
      <c r="T183" s="335"/>
      <c r="U183" s="335"/>
      <c r="V183" s="335"/>
      <c r="W183" s="335"/>
      <c r="X183" s="335"/>
      <c r="Y183" s="335"/>
    </row>
    <row r="184" ht="15.75" customHeight="1" spans="1:25">
      <c r="A184" s="335"/>
      <c r="B184" s="335"/>
      <c r="C184" s="335"/>
      <c r="D184" s="335"/>
      <c r="E184" s="335"/>
      <c r="F184" s="335"/>
      <c r="G184" s="335"/>
      <c r="H184" s="335"/>
      <c r="I184" s="335"/>
      <c r="J184" s="335"/>
      <c r="K184" s="335"/>
      <c r="L184" s="335"/>
      <c r="M184" s="335"/>
      <c r="N184" s="335"/>
      <c r="O184" s="335"/>
      <c r="P184" s="335"/>
      <c r="Q184" s="335"/>
      <c r="R184" s="335"/>
      <c r="S184" s="335"/>
      <c r="T184" s="335"/>
      <c r="U184" s="335"/>
      <c r="V184" s="335"/>
      <c r="W184" s="335"/>
      <c r="X184" s="335"/>
      <c r="Y184" s="335"/>
    </row>
    <row r="185" ht="15.75" customHeight="1" spans="1:25">
      <c r="A185" s="335"/>
      <c r="B185" s="335"/>
      <c r="C185" s="335"/>
      <c r="D185" s="335"/>
      <c r="E185" s="335"/>
      <c r="F185" s="335"/>
      <c r="G185" s="335"/>
      <c r="H185" s="335"/>
      <c r="I185" s="335"/>
      <c r="J185" s="335"/>
      <c r="K185" s="335"/>
      <c r="L185" s="335"/>
      <c r="M185" s="335"/>
      <c r="N185" s="335"/>
      <c r="O185" s="335"/>
      <c r="P185" s="335"/>
      <c r="Q185" s="335"/>
      <c r="R185" s="335"/>
      <c r="S185" s="335"/>
      <c r="T185" s="335"/>
      <c r="U185" s="335"/>
      <c r="V185" s="335"/>
      <c r="W185" s="335"/>
      <c r="X185" s="335"/>
      <c r="Y185" s="335"/>
    </row>
    <row r="186" ht="15.75" customHeight="1" spans="1:25">
      <c r="A186" s="335"/>
      <c r="B186" s="335"/>
      <c r="C186" s="335"/>
      <c r="D186" s="335"/>
      <c r="E186" s="335"/>
      <c r="F186" s="335"/>
      <c r="G186" s="335"/>
      <c r="H186" s="335"/>
      <c r="I186" s="335"/>
      <c r="J186" s="335"/>
      <c r="K186" s="335"/>
      <c r="L186" s="335"/>
      <c r="M186" s="335"/>
      <c r="N186" s="335"/>
      <c r="O186" s="335"/>
      <c r="P186" s="335"/>
      <c r="Q186" s="335"/>
      <c r="R186" s="335"/>
      <c r="S186" s="335"/>
      <c r="T186" s="335"/>
      <c r="U186" s="335"/>
      <c r="V186" s="335"/>
      <c r="W186" s="335"/>
      <c r="X186" s="335"/>
      <c r="Y186" s="335"/>
    </row>
    <row r="187" ht="15.75" customHeight="1" spans="1:25">
      <c r="A187" s="335"/>
      <c r="B187" s="335"/>
      <c r="C187" s="335"/>
      <c r="D187" s="335"/>
      <c r="E187" s="335"/>
      <c r="F187" s="335"/>
      <c r="G187" s="335"/>
      <c r="H187" s="335"/>
      <c r="I187" s="335"/>
      <c r="J187" s="335"/>
      <c r="K187" s="335"/>
      <c r="L187" s="335"/>
      <c r="M187" s="335"/>
      <c r="N187" s="335"/>
      <c r="O187" s="335"/>
      <c r="P187" s="335"/>
      <c r="Q187" s="335"/>
      <c r="R187" s="335"/>
      <c r="S187" s="335"/>
      <c r="T187" s="335"/>
      <c r="U187" s="335"/>
      <c r="V187" s="335"/>
      <c r="W187" s="335"/>
      <c r="X187" s="335"/>
      <c r="Y187" s="335"/>
    </row>
    <row r="188" ht="15.75" customHeight="1" spans="1:25">
      <c r="A188" s="335"/>
      <c r="B188" s="335"/>
      <c r="C188" s="335"/>
      <c r="D188" s="335"/>
      <c r="E188" s="335"/>
      <c r="F188" s="335"/>
      <c r="G188" s="335"/>
      <c r="H188" s="335"/>
      <c r="I188" s="335"/>
      <c r="J188" s="335"/>
      <c r="K188" s="335"/>
      <c r="L188" s="335"/>
      <c r="M188" s="335"/>
      <c r="N188" s="335"/>
      <c r="O188" s="335"/>
      <c r="P188" s="335"/>
      <c r="Q188" s="335"/>
      <c r="R188" s="335"/>
      <c r="S188" s="335"/>
      <c r="T188" s="335"/>
      <c r="U188" s="335"/>
      <c r="V188" s="335"/>
      <c r="W188" s="335"/>
      <c r="X188" s="335"/>
      <c r="Y188" s="335"/>
    </row>
    <row r="189" ht="15.75" customHeight="1" spans="1:25">
      <c r="A189" s="335"/>
      <c r="B189" s="335"/>
      <c r="C189" s="335"/>
      <c r="D189" s="335"/>
      <c r="E189" s="335"/>
      <c r="F189" s="335"/>
      <c r="G189" s="335"/>
      <c r="H189" s="335"/>
      <c r="I189" s="335"/>
      <c r="J189" s="335"/>
      <c r="K189" s="335"/>
      <c r="L189" s="335"/>
      <c r="M189" s="335"/>
      <c r="N189" s="335"/>
      <c r="O189" s="335"/>
      <c r="P189" s="335"/>
      <c r="Q189" s="335"/>
      <c r="R189" s="335"/>
      <c r="S189" s="335"/>
      <c r="T189" s="335"/>
      <c r="U189" s="335"/>
      <c r="V189" s="335"/>
      <c r="W189" s="335"/>
      <c r="X189" s="335"/>
      <c r="Y189" s="335"/>
    </row>
    <row r="190" ht="15.75" customHeight="1" spans="1:25">
      <c r="A190" s="335"/>
      <c r="B190" s="335"/>
      <c r="C190" s="335"/>
      <c r="D190" s="335"/>
      <c r="E190" s="335"/>
      <c r="F190" s="335"/>
      <c r="G190" s="335"/>
      <c r="H190" s="335"/>
      <c r="I190" s="335"/>
      <c r="J190" s="335"/>
      <c r="K190" s="335"/>
      <c r="L190" s="335"/>
      <c r="M190" s="335"/>
      <c r="N190" s="335"/>
      <c r="O190" s="335"/>
      <c r="P190" s="335"/>
      <c r="Q190" s="335"/>
      <c r="R190" s="335"/>
      <c r="S190" s="335"/>
      <c r="T190" s="335"/>
      <c r="U190" s="335"/>
      <c r="V190" s="335"/>
      <c r="W190" s="335"/>
      <c r="X190" s="335"/>
      <c r="Y190" s="335"/>
    </row>
    <row r="191" ht="15.75" customHeight="1" spans="1:25">
      <c r="A191" s="335"/>
      <c r="B191" s="335"/>
      <c r="C191" s="335"/>
      <c r="D191" s="335"/>
      <c r="E191" s="335"/>
      <c r="F191" s="335"/>
      <c r="G191" s="335"/>
      <c r="H191" s="335"/>
      <c r="I191" s="335"/>
      <c r="J191" s="335"/>
      <c r="K191" s="335"/>
      <c r="L191" s="335"/>
      <c r="M191" s="335"/>
      <c r="N191" s="335"/>
      <c r="O191" s="335"/>
      <c r="P191" s="335"/>
      <c r="Q191" s="335"/>
      <c r="R191" s="335"/>
      <c r="S191" s="335"/>
      <c r="T191" s="335"/>
      <c r="U191" s="335"/>
      <c r="V191" s="335"/>
      <c r="W191" s="335"/>
      <c r="X191" s="335"/>
      <c r="Y191" s="335"/>
    </row>
    <row r="192" ht="15.75" customHeight="1" spans="1:25">
      <c r="A192" s="335"/>
      <c r="B192" s="335"/>
      <c r="C192" s="335"/>
      <c r="D192" s="335"/>
      <c r="E192" s="335"/>
      <c r="F192" s="335"/>
      <c r="G192" s="335"/>
      <c r="H192" s="335"/>
      <c r="I192" s="335"/>
      <c r="J192" s="335"/>
      <c r="K192" s="335"/>
      <c r="L192" s="335"/>
      <c r="M192" s="335"/>
      <c r="N192" s="335"/>
      <c r="O192" s="335"/>
      <c r="P192" s="335"/>
      <c r="Q192" s="335"/>
      <c r="R192" s="335"/>
      <c r="S192" s="335"/>
      <c r="T192" s="335"/>
      <c r="U192" s="335"/>
      <c r="V192" s="335"/>
      <c r="W192" s="335"/>
      <c r="X192" s="335"/>
      <c r="Y192" s="335"/>
    </row>
    <row r="193" ht="15.75" customHeight="1" spans="1:25">
      <c r="A193" s="335"/>
      <c r="B193" s="335"/>
      <c r="C193" s="335"/>
      <c r="D193" s="335"/>
      <c r="E193" s="335"/>
      <c r="F193" s="335"/>
      <c r="G193" s="335"/>
      <c r="H193" s="335"/>
      <c r="I193" s="335"/>
      <c r="J193" s="335"/>
      <c r="K193" s="335"/>
      <c r="L193" s="335"/>
      <c r="M193" s="335"/>
      <c r="N193" s="335"/>
      <c r="O193" s="335"/>
      <c r="P193" s="335"/>
      <c r="Q193" s="335"/>
      <c r="R193" s="335"/>
      <c r="S193" s="335"/>
      <c r="T193" s="335"/>
      <c r="U193" s="335"/>
      <c r="V193" s="335"/>
      <c r="W193" s="335"/>
      <c r="X193" s="335"/>
      <c r="Y193" s="335"/>
    </row>
    <row r="194" ht="15.75" customHeight="1" spans="1:25">
      <c r="A194" s="335"/>
      <c r="B194" s="335"/>
      <c r="C194" s="335"/>
      <c r="D194" s="335"/>
      <c r="E194" s="335"/>
      <c r="F194" s="335"/>
      <c r="G194" s="335"/>
      <c r="H194" s="335"/>
      <c r="I194" s="335"/>
      <c r="J194" s="335"/>
      <c r="K194" s="335"/>
      <c r="L194" s="335"/>
      <c r="M194" s="335"/>
      <c r="N194" s="335"/>
      <c r="O194" s="335"/>
      <c r="P194" s="335"/>
      <c r="Q194" s="335"/>
      <c r="R194" s="335"/>
      <c r="S194" s="335"/>
      <c r="T194" s="335"/>
      <c r="U194" s="335"/>
      <c r="V194" s="335"/>
      <c r="W194" s="335"/>
      <c r="X194" s="335"/>
      <c r="Y194" s="335"/>
    </row>
    <row r="195" ht="15.75" customHeight="1" spans="1:25">
      <c r="A195" s="335"/>
      <c r="B195" s="335"/>
      <c r="C195" s="335"/>
      <c r="D195" s="335"/>
      <c r="E195" s="335"/>
      <c r="F195" s="335"/>
      <c r="G195" s="335"/>
      <c r="H195" s="335"/>
      <c r="I195" s="335"/>
      <c r="J195" s="335"/>
      <c r="K195" s="335"/>
      <c r="L195" s="335"/>
      <c r="M195" s="335"/>
      <c r="N195" s="335"/>
      <c r="O195" s="335"/>
      <c r="P195" s="335"/>
      <c r="Q195" s="335"/>
      <c r="R195" s="335"/>
      <c r="S195" s="335"/>
      <c r="T195" s="335"/>
      <c r="U195" s="335"/>
      <c r="V195" s="335"/>
      <c r="W195" s="335"/>
      <c r="X195" s="335"/>
      <c r="Y195" s="335"/>
    </row>
    <row r="196" ht="15.75" customHeight="1" spans="1:25">
      <c r="A196" s="335"/>
      <c r="B196" s="335"/>
      <c r="C196" s="335"/>
      <c r="D196" s="335"/>
      <c r="E196" s="335"/>
      <c r="F196" s="335"/>
      <c r="G196" s="335"/>
      <c r="H196" s="335"/>
      <c r="I196" s="335"/>
      <c r="J196" s="335"/>
      <c r="K196" s="335"/>
      <c r="L196" s="335"/>
      <c r="M196" s="335"/>
      <c r="N196" s="335"/>
      <c r="O196" s="335"/>
      <c r="P196" s="335"/>
      <c r="Q196" s="335"/>
      <c r="R196" s="335"/>
      <c r="S196" s="335"/>
      <c r="T196" s="335"/>
      <c r="U196" s="335"/>
      <c r="V196" s="335"/>
      <c r="W196" s="335"/>
      <c r="X196" s="335"/>
      <c r="Y196" s="335"/>
    </row>
    <row r="197" ht="15.75" customHeight="1" spans="1:25">
      <c r="A197" s="335"/>
      <c r="B197" s="335"/>
      <c r="C197" s="335"/>
      <c r="D197" s="335"/>
      <c r="E197" s="335"/>
      <c r="F197" s="335"/>
      <c r="G197" s="335"/>
      <c r="H197" s="335"/>
      <c r="I197" s="335"/>
      <c r="J197" s="335"/>
      <c r="K197" s="335"/>
      <c r="L197" s="335"/>
      <c r="M197" s="335"/>
      <c r="N197" s="335"/>
      <c r="O197" s="335"/>
      <c r="P197" s="335"/>
      <c r="Q197" s="335"/>
      <c r="R197" s="335"/>
      <c r="S197" s="335"/>
      <c r="T197" s="335"/>
      <c r="U197" s="335"/>
      <c r="V197" s="335"/>
      <c r="W197" s="335"/>
      <c r="X197" s="335"/>
      <c r="Y197" s="335"/>
    </row>
    <row r="198" ht="15.75" customHeight="1" spans="1:25">
      <c r="A198" s="335"/>
      <c r="B198" s="335"/>
      <c r="C198" s="335"/>
      <c r="D198" s="335"/>
      <c r="E198" s="335"/>
      <c r="F198" s="335"/>
      <c r="G198" s="335"/>
      <c r="H198" s="335"/>
      <c r="I198" s="335"/>
      <c r="J198" s="335"/>
      <c r="K198" s="335"/>
      <c r="L198" s="335"/>
      <c r="M198" s="335"/>
      <c r="N198" s="335"/>
      <c r="O198" s="335"/>
      <c r="P198" s="335"/>
      <c r="Q198" s="335"/>
      <c r="R198" s="335"/>
      <c r="S198" s="335"/>
      <c r="T198" s="335"/>
      <c r="U198" s="335"/>
      <c r="V198" s="335"/>
      <c r="W198" s="335"/>
      <c r="X198" s="335"/>
      <c r="Y198" s="335"/>
    </row>
    <row r="199" ht="15.75" customHeight="1" spans="1:25">
      <c r="A199" s="335"/>
      <c r="B199" s="335"/>
      <c r="C199" s="335"/>
      <c r="D199" s="335"/>
      <c r="E199" s="335"/>
      <c r="F199" s="335"/>
      <c r="G199" s="335"/>
      <c r="H199" s="335"/>
      <c r="I199" s="335"/>
      <c r="J199" s="335"/>
      <c r="K199" s="335"/>
      <c r="L199" s="335"/>
      <c r="M199" s="335"/>
      <c r="N199" s="335"/>
      <c r="O199" s="335"/>
      <c r="P199" s="335"/>
      <c r="Q199" s="335"/>
      <c r="R199" s="335"/>
      <c r="S199" s="335"/>
      <c r="T199" s="335"/>
      <c r="U199" s="335"/>
      <c r="V199" s="335"/>
      <c r="W199" s="335"/>
      <c r="X199" s="335"/>
      <c r="Y199" s="335"/>
    </row>
    <row r="200" ht="15.75" customHeight="1" spans="1:25">
      <c r="A200" s="335"/>
      <c r="B200" s="335"/>
      <c r="C200" s="335"/>
      <c r="D200" s="335"/>
      <c r="E200" s="335"/>
      <c r="F200" s="335"/>
      <c r="G200" s="335"/>
      <c r="H200" s="335"/>
      <c r="I200" s="335"/>
      <c r="J200" s="335"/>
      <c r="K200" s="335"/>
      <c r="L200" s="335"/>
      <c r="M200" s="335"/>
      <c r="N200" s="335"/>
      <c r="O200" s="335"/>
      <c r="P200" s="335"/>
      <c r="Q200" s="335"/>
      <c r="R200" s="335"/>
      <c r="S200" s="335"/>
      <c r="T200" s="335"/>
      <c r="U200" s="335"/>
      <c r="V200" s="335"/>
      <c r="W200" s="335"/>
      <c r="X200" s="335"/>
      <c r="Y200" s="335"/>
    </row>
    <row r="201" ht="15.75" customHeight="1" spans="1:25">
      <c r="A201" s="335"/>
      <c r="B201" s="335"/>
      <c r="C201" s="335"/>
      <c r="D201" s="335"/>
      <c r="E201" s="335"/>
      <c r="F201" s="335"/>
      <c r="G201" s="335"/>
      <c r="H201" s="335"/>
      <c r="I201" s="335"/>
      <c r="J201" s="335"/>
      <c r="K201" s="335"/>
      <c r="L201" s="335"/>
      <c r="M201" s="335"/>
      <c r="N201" s="335"/>
      <c r="O201" s="335"/>
      <c r="P201" s="335"/>
      <c r="Q201" s="335"/>
      <c r="R201" s="335"/>
      <c r="S201" s="335"/>
      <c r="T201" s="335"/>
      <c r="U201" s="335"/>
      <c r="V201" s="335"/>
      <c r="W201" s="335"/>
      <c r="X201" s="335"/>
      <c r="Y201" s="335"/>
    </row>
    <row r="202" ht="15.75" customHeight="1" spans="1:25">
      <c r="A202" s="335"/>
      <c r="B202" s="335"/>
      <c r="C202" s="335"/>
      <c r="D202" s="335"/>
      <c r="E202" s="335"/>
      <c r="F202" s="335"/>
      <c r="G202" s="335"/>
      <c r="H202" s="335"/>
      <c r="I202" s="335"/>
      <c r="J202" s="335"/>
      <c r="K202" s="335"/>
      <c r="L202" s="335"/>
      <c r="M202" s="335"/>
      <c r="N202" s="335"/>
      <c r="O202" s="335"/>
      <c r="P202" s="335"/>
      <c r="Q202" s="335"/>
      <c r="R202" s="335"/>
      <c r="S202" s="335"/>
      <c r="T202" s="335"/>
      <c r="U202" s="335"/>
      <c r="V202" s="335"/>
      <c r="W202" s="335"/>
      <c r="X202" s="335"/>
      <c r="Y202" s="335"/>
    </row>
    <row r="203" ht="15.75" customHeight="1" spans="1:25">
      <c r="A203" s="335"/>
      <c r="B203" s="335"/>
      <c r="C203" s="335"/>
      <c r="D203" s="335"/>
      <c r="E203" s="335"/>
      <c r="F203" s="335"/>
      <c r="G203" s="335"/>
      <c r="H203" s="335"/>
      <c r="I203" s="335"/>
      <c r="J203" s="335"/>
      <c r="K203" s="335"/>
      <c r="L203" s="335"/>
      <c r="M203" s="335"/>
      <c r="N203" s="335"/>
      <c r="O203" s="335"/>
      <c r="P203" s="335"/>
      <c r="Q203" s="335"/>
      <c r="R203" s="335"/>
      <c r="S203" s="335"/>
      <c r="T203" s="335"/>
      <c r="U203" s="335"/>
      <c r="V203" s="335"/>
      <c r="W203" s="335"/>
      <c r="X203" s="335"/>
      <c r="Y203" s="335"/>
    </row>
    <row r="204" ht="15.75" customHeight="1" spans="1:25">
      <c r="A204" s="335"/>
      <c r="B204" s="335"/>
      <c r="C204" s="335"/>
      <c r="D204" s="335"/>
      <c r="E204" s="335"/>
      <c r="F204" s="335"/>
      <c r="G204" s="335"/>
      <c r="H204" s="335"/>
      <c r="I204" s="335"/>
      <c r="J204" s="335"/>
      <c r="K204" s="335"/>
      <c r="L204" s="335"/>
      <c r="M204" s="335"/>
      <c r="N204" s="335"/>
      <c r="O204" s="335"/>
      <c r="P204" s="335"/>
      <c r="Q204" s="335"/>
      <c r="R204" s="335"/>
      <c r="S204" s="335"/>
      <c r="T204" s="335"/>
      <c r="U204" s="335"/>
      <c r="V204" s="335"/>
      <c r="W204" s="335"/>
      <c r="X204" s="335"/>
      <c r="Y204" s="335"/>
    </row>
    <row r="205" ht="15.75" customHeight="1" spans="1:25">
      <c r="A205" s="335"/>
      <c r="B205" s="335"/>
      <c r="C205" s="335"/>
      <c r="D205" s="335"/>
      <c r="E205" s="335"/>
      <c r="F205" s="335"/>
      <c r="G205" s="335"/>
      <c r="H205" s="335"/>
      <c r="I205" s="335"/>
      <c r="J205" s="335"/>
      <c r="K205" s="335"/>
      <c r="L205" s="335"/>
      <c r="M205" s="335"/>
      <c r="N205" s="335"/>
      <c r="O205" s="335"/>
      <c r="P205" s="335"/>
      <c r="Q205" s="335"/>
      <c r="R205" s="335"/>
      <c r="S205" s="335"/>
      <c r="T205" s="335"/>
      <c r="U205" s="335"/>
      <c r="V205" s="335"/>
      <c r="W205" s="335"/>
      <c r="X205" s="335"/>
      <c r="Y205" s="335"/>
    </row>
    <row r="206" ht="15.75" customHeight="1" spans="1:25">
      <c r="A206" s="335"/>
      <c r="B206" s="335"/>
      <c r="C206" s="335"/>
      <c r="D206" s="335"/>
      <c r="E206" s="335"/>
      <c r="F206" s="335"/>
      <c r="G206" s="335"/>
      <c r="H206" s="335"/>
      <c r="I206" s="335"/>
      <c r="J206" s="335"/>
      <c r="K206" s="335"/>
      <c r="L206" s="335"/>
      <c r="M206" s="335"/>
      <c r="N206" s="335"/>
      <c r="O206" s="335"/>
      <c r="P206" s="335"/>
      <c r="Q206" s="335"/>
      <c r="R206" s="335"/>
      <c r="S206" s="335"/>
      <c r="T206" s="335"/>
      <c r="U206" s="335"/>
      <c r="V206" s="335"/>
      <c r="W206" s="335"/>
      <c r="X206" s="335"/>
      <c r="Y206" s="335"/>
    </row>
    <row r="207" ht="15.75" customHeight="1" spans="1:25">
      <c r="A207" s="335"/>
      <c r="B207" s="335"/>
      <c r="C207" s="335"/>
      <c r="D207" s="335"/>
      <c r="E207" s="335"/>
      <c r="F207" s="335"/>
      <c r="G207" s="335"/>
      <c r="H207" s="335"/>
      <c r="I207" s="335"/>
      <c r="J207" s="335"/>
      <c r="K207" s="335"/>
      <c r="L207" s="335"/>
      <c r="M207" s="335"/>
      <c r="N207" s="335"/>
      <c r="O207" s="335"/>
      <c r="P207" s="335"/>
      <c r="Q207" s="335"/>
      <c r="R207" s="335"/>
      <c r="S207" s="335"/>
      <c r="T207" s="335"/>
      <c r="U207" s="335"/>
      <c r="V207" s="335"/>
      <c r="W207" s="335"/>
      <c r="X207" s="335"/>
      <c r="Y207" s="335"/>
    </row>
    <row r="208" ht="15.75" customHeight="1" spans="1:25">
      <c r="A208" s="335"/>
      <c r="B208" s="335"/>
      <c r="C208" s="335"/>
      <c r="D208" s="335"/>
      <c r="E208" s="335"/>
      <c r="F208" s="335"/>
      <c r="G208" s="335"/>
      <c r="H208" s="335"/>
      <c r="I208" s="335"/>
      <c r="J208" s="335"/>
      <c r="K208" s="335"/>
      <c r="L208" s="335"/>
      <c r="M208" s="335"/>
      <c r="N208" s="335"/>
      <c r="O208" s="335"/>
      <c r="P208" s="335"/>
      <c r="Q208" s="335"/>
      <c r="R208" s="335"/>
      <c r="S208" s="335"/>
      <c r="T208" s="335"/>
      <c r="U208" s="335"/>
      <c r="V208" s="335"/>
      <c r="W208" s="335"/>
      <c r="X208" s="335"/>
      <c r="Y208" s="335"/>
    </row>
    <row r="209" ht="15.75" customHeight="1" spans="1:25">
      <c r="A209" s="335"/>
      <c r="B209" s="335"/>
      <c r="C209" s="335"/>
      <c r="D209" s="335"/>
      <c r="E209" s="335"/>
      <c r="F209" s="335"/>
      <c r="G209" s="335"/>
      <c r="H209" s="335"/>
      <c r="I209" s="335"/>
      <c r="J209" s="335"/>
      <c r="K209" s="335"/>
      <c r="L209" s="335"/>
      <c r="M209" s="335"/>
      <c r="N209" s="335"/>
      <c r="O209" s="335"/>
      <c r="P209" s="335"/>
      <c r="Q209" s="335"/>
      <c r="R209" s="335"/>
      <c r="S209" s="335"/>
      <c r="T209" s="335"/>
      <c r="U209" s="335"/>
      <c r="V209" s="335"/>
      <c r="W209" s="335"/>
      <c r="X209" s="335"/>
      <c r="Y209" s="335"/>
    </row>
    <row r="210" ht="15.75" customHeight="1" spans="1:25">
      <c r="A210" s="335"/>
      <c r="B210" s="335"/>
      <c r="C210" s="335"/>
      <c r="D210" s="335"/>
      <c r="E210" s="335"/>
      <c r="F210" s="335"/>
      <c r="G210" s="335"/>
      <c r="H210" s="335"/>
      <c r="I210" s="335"/>
      <c r="J210" s="335"/>
      <c r="K210" s="335"/>
      <c r="L210" s="335"/>
      <c r="M210" s="335"/>
      <c r="N210" s="335"/>
      <c r="O210" s="335"/>
      <c r="P210" s="335"/>
      <c r="Q210" s="335"/>
      <c r="R210" s="335"/>
      <c r="S210" s="335"/>
      <c r="T210" s="335"/>
      <c r="U210" s="335"/>
      <c r="V210" s="335"/>
      <c r="W210" s="335"/>
      <c r="X210" s="335"/>
      <c r="Y210" s="335"/>
    </row>
    <row r="211" ht="15.75" customHeight="1" spans="1:25">
      <c r="A211" s="335"/>
      <c r="B211" s="335"/>
      <c r="C211" s="335"/>
      <c r="D211" s="335"/>
      <c r="E211" s="335"/>
      <c r="F211" s="335"/>
      <c r="G211" s="335"/>
      <c r="H211" s="335"/>
      <c r="I211" s="335"/>
      <c r="J211" s="335"/>
      <c r="K211" s="335"/>
      <c r="L211" s="335"/>
      <c r="M211" s="335"/>
      <c r="N211" s="335"/>
      <c r="O211" s="335"/>
      <c r="P211" s="335"/>
      <c r="Q211" s="335"/>
      <c r="R211" s="335"/>
      <c r="S211" s="335"/>
      <c r="T211" s="335"/>
      <c r="U211" s="335"/>
      <c r="V211" s="335"/>
      <c r="W211" s="335"/>
      <c r="X211" s="335"/>
      <c r="Y211" s="335"/>
    </row>
    <row r="212" ht="15.75" customHeight="1" spans="1:25">
      <c r="A212" s="335"/>
      <c r="B212" s="335"/>
      <c r="C212" s="335"/>
      <c r="D212" s="335"/>
      <c r="E212" s="335"/>
      <c r="F212" s="335"/>
      <c r="G212" s="335"/>
      <c r="H212" s="335"/>
      <c r="I212" s="335"/>
      <c r="J212" s="335"/>
      <c r="K212" s="335"/>
      <c r="L212" s="335"/>
      <c r="M212" s="335"/>
      <c r="N212" s="335"/>
      <c r="O212" s="335"/>
      <c r="P212" s="335"/>
      <c r="Q212" s="335"/>
      <c r="R212" s="335"/>
      <c r="S212" s="335"/>
      <c r="T212" s="335"/>
      <c r="U212" s="335"/>
      <c r="V212" s="335"/>
      <c r="W212" s="335"/>
      <c r="X212" s="335"/>
      <c r="Y212" s="335"/>
    </row>
    <row r="213" ht="15.75" customHeight="1" spans="1:25">
      <c r="A213" s="335"/>
      <c r="B213" s="335"/>
      <c r="C213" s="335"/>
      <c r="D213" s="335"/>
      <c r="E213" s="335"/>
      <c r="F213" s="335"/>
      <c r="G213" s="335"/>
      <c r="H213" s="335"/>
      <c r="I213" s="335"/>
      <c r="J213" s="335"/>
      <c r="K213" s="335"/>
      <c r="L213" s="335"/>
      <c r="M213" s="335"/>
      <c r="N213" s="335"/>
      <c r="O213" s="335"/>
      <c r="P213" s="335"/>
      <c r="Q213" s="335"/>
      <c r="R213" s="335"/>
      <c r="S213" s="335"/>
      <c r="T213" s="335"/>
      <c r="U213" s="335"/>
      <c r="V213" s="335"/>
      <c r="W213" s="335"/>
      <c r="X213" s="335"/>
      <c r="Y213" s="335"/>
    </row>
    <row r="214" ht="15.75" customHeight="1" spans="1:25">
      <c r="A214" s="335"/>
      <c r="B214" s="335"/>
      <c r="C214" s="335"/>
      <c r="D214" s="335"/>
      <c r="E214" s="335"/>
      <c r="F214" s="335"/>
      <c r="G214" s="335"/>
      <c r="H214" s="335"/>
      <c r="I214" s="335"/>
      <c r="J214" s="335"/>
      <c r="K214" s="335"/>
      <c r="L214" s="335"/>
      <c r="M214" s="335"/>
      <c r="N214" s="335"/>
      <c r="O214" s="335"/>
      <c r="P214" s="335"/>
      <c r="Q214" s="335"/>
      <c r="R214" s="335"/>
      <c r="S214" s="335"/>
      <c r="T214" s="335"/>
      <c r="U214" s="335"/>
      <c r="V214" s="335"/>
      <c r="W214" s="335"/>
      <c r="X214" s="335"/>
      <c r="Y214" s="335"/>
    </row>
    <row r="215" ht="15.75" customHeight="1" spans="1:25">
      <c r="A215" s="335"/>
      <c r="B215" s="335"/>
      <c r="C215" s="335"/>
      <c r="D215" s="335"/>
      <c r="E215" s="335"/>
      <c r="F215" s="335"/>
      <c r="G215" s="335"/>
      <c r="H215" s="335"/>
      <c r="I215" s="335"/>
      <c r="J215" s="335"/>
      <c r="K215" s="335"/>
      <c r="L215" s="335"/>
      <c r="M215" s="335"/>
      <c r="N215" s="335"/>
      <c r="O215" s="335"/>
      <c r="P215" s="335"/>
      <c r="Q215" s="335"/>
      <c r="R215" s="335"/>
      <c r="S215" s="335"/>
      <c r="T215" s="335"/>
      <c r="U215" s="335"/>
      <c r="V215" s="335"/>
      <c r="W215" s="335"/>
      <c r="X215" s="335"/>
      <c r="Y215" s="335"/>
    </row>
    <row r="216" ht="15.75" customHeight="1" spans="1:25">
      <c r="A216" s="335"/>
      <c r="B216" s="335"/>
      <c r="C216" s="335"/>
      <c r="D216" s="335"/>
      <c r="E216" s="335"/>
      <c r="F216" s="335"/>
      <c r="G216" s="335"/>
      <c r="H216" s="335"/>
      <c r="I216" s="335"/>
      <c r="J216" s="335"/>
      <c r="K216" s="335"/>
      <c r="L216" s="335"/>
      <c r="M216" s="335"/>
      <c r="N216" s="335"/>
      <c r="O216" s="335"/>
      <c r="P216" s="335"/>
      <c r="Q216" s="335"/>
      <c r="R216" s="335"/>
      <c r="S216" s="335"/>
      <c r="T216" s="335"/>
      <c r="U216" s="335"/>
      <c r="V216" s="335"/>
      <c r="W216" s="335"/>
      <c r="X216" s="335"/>
      <c r="Y216" s="335"/>
    </row>
    <row r="217" ht="15.75" customHeight="1" spans="1:25">
      <c r="A217" s="335"/>
      <c r="B217" s="335"/>
      <c r="C217" s="335"/>
      <c r="D217" s="335"/>
      <c r="E217" s="335"/>
      <c r="F217" s="335"/>
      <c r="G217" s="335"/>
      <c r="H217" s="335"/>
      <c r="I217" s="335"/>
      <c r="J217" s="335"/>
      <c r="K217" s="335"/>
      <c r="L217" s="335"/>
      <c r="M217" s="335"/>
      <c r="N217" s="335"/>
      <c r="O217" s="335"/>
      <c r="P217" s="335"/>
      <c r="Q217" s="335"/>
      <c r="R217" s="335"/>
      <c r="S217" s="335"/>
      <c r="T217" s="335"/>
      <c r="U217" s="335"/>
      <c r="V217" s="335"/>
      <c r="W217" s="335"/>
      <c r="X217" s="335"/>
      <c r="Y217" s="335"/>
    </row>
    <row r="218" ht="15.75" customHeight="1" spans="1:25">
      <c r="A218" s="335"/>
      <c r="B218" s="335"/>
      <c r="C218" s="335"/>
      <c r="D218" s="335"/>
      <c r="E218" s="335"/>
      <c r="F218" s="335"/>
      <c r="G218" s="335"/>
      <c r="H218" s="335"/>
      <c r="I218" s="335"/>
      <c r="J218" s="335"/>
      <c r="K218" s="335"/>
      <c r="L218" s="335"/>
      <c r="M218" s="335"/>
      <c r="N218" s="335"/>
      <c r="O218" s="335"/>
      <c r="P218" s="335"/>
      <c r="Q218" s="335"/>
      <c r="R218" s="335"/>
      <c r="S218" s="335"/>
      <c r="T218" s="335"/>
      <c r="U218" s="335"/>
      <c r="V218" s="335"/>
      <c r="W218" s="335"/>
      <c r="X218" s="335"/>
      <c r="Y218" s="335"/>
    </row>
    <row r="219" ht="15.75" customHeight="1" spans="1:25">
      <c r="A219" s="335"/>
      <c r="B219" s="335"/>
      <c r="C219" s="335"/>
      <c r="D219" s="335"/>
      <c r="E219" s="335"/>
      <c r="F219" s="335"/>
      <c r="G219" s="335"/>
      <c r="H219" s="335"/>
      <c r="I219" s="335"/>
      <c r="J219" s="335"/>
      <c r="K219" s="335"/>
      <c r="L219" s="335"/>
      <c r="M219" s="335"/>
      <c r="N219" s="335"/>
      <c r="O219" s="335"/>
      <c r="P219" s="335"/>
      <c r="Q219" s="335"/>
      <c r="R219" s="335"/>
      <c r="S219" s="335"/>
      <c r="T219" s="335"/>
      <c r="U219" s="335"/>
      <c r="V219" s="335"/>
      <c r="W219" s="335"/>
      <c r="X219" s="335"/>
      <c r="Y219" s="335"/>
    </row>
    <row r="220" ht="15.75" customHeight="1" spans="1:25">
      <c r="A220" s="335"/>
      <c r="B220" s="335"/>
      <c r="C220" s="335"/>
      <c r="D220" s="335"/>
      <c r="E220" s="335"/>
      <c r="F220" s="335"/>
      <c r="G220" s="335"/>
      <c r="H220" s="335"/>
      <c r="I220" s="335"/>
      <c r="J220" s="335"/>
      <c r="K220" s="335"/>
      <c r="L220" s="335"/>
      <c r="M220" s="335"/>
      <c r="N220" s="335"/>
      <c r="O220" s="335"/>
      <c r="P220" s="335"/>
      <c r="Q220" s="335"/>
      <c r="R220" s="335"/>
      <c r="S220" s="335"/>
      <c r="T220" s="335"/>
      <c r="U220" s="335"/>
      <c r="V220" s="335"/>
      <c r="W220" s="335"/>
      <c r="X220" s="335"/>
      <c r="Y220" s="335"/>
    </row>
    <row r="221" ht="15.75" customHeight="1" spans="1:25">
      <c r="A221" s="335"/>
      <c r="B221" s="335"/>
      <c r="C221" s="335"/>
      <c r="D221" s="335"/>
      <c r="E221" s="335"/>
      <c r="F221" s="335"/>
      <c r="G221" s="335"/>
      <c r="H221" s="335"/>
      <c r="I221" s="335"/>
      <c r="J221" s="335"/>
      <c r="K221" s="335"/>
      <c r="L221" s="335"/>
      <c r="M221" s="335"/>
      <c r="N221" s="335"/>
      <c r="O221" s="335"/>
      <c r="P221" s="335"/>
      <c r="Q221" s="335"/>
      <c r="R221" s="335"/>
      <c r="S221" s="335"/>
      <c r="T221" s="335"/>
      <c r="U221" s="335"/>
      <c r="V221" s="335"/>
      <c r="W221" s="335"/>
      <c r="X221" s="335"/>
      <c r="Y221" s="335"/>
    </row>
    <row r="222" ht="15.75" customHeight="1" spans="1:25">
      <c r="A222" s="335"/>
      <c r="B222" s="335"/>
      <c r="C222" s="335"/>
      <c r="D222" s="335"/>
      <c r="E222" s="335"/>
      <c r="F222" s="335"/>
      <c r="G222" s="335"/>
      <c r="H222" s="335"/>
      <c r="I222" s="335"/>
      <c r="J222" s="335"/>
      <c r="K222" s="335"/>
      <c r="L222" s="335"/>
      <c r="M222" s="335"/>
      <c r="N222" s="335"/>
      <c r="O222" s="335"/>
      <c r="P222" s="335"/>
      <c r="Q222" s="335"/>
      <c r="R222" s="335"/>
      <c r="S222" s="335"/>
      <c r="T222" s="335"/>
      <c r="U222" s="335"/>
      <c r="V222" s="335"/>
      <c r="W222" s="335"/>
      <c r="X222" s="335"/>
      <c r="Y222" s="335"/>
    </row>
    <row r="223" ht="15.75" customHeight="1" spans="1:25">
      <c r="A223" s="335"/>
      <c r="B223" s="335"/>
      <c r="C223" s="335"/>
      <c r="D223" s="335"/>
      <c r="E223" s="335"/>
      <c r="F223" s="335"/>
      <c r="G223" s="335"/>
      <c r="H223" s="335"/>
      <c r="I223" s="335"/>
      <c r="J223" s="335"/>
      <c r="K223" s="335"/>
      <c r="L223" s="335"/>
      <c r="M223" s="335"/>
      <c r="N223" s="335"/>
      <c r="O223" s="335"/>
      <c r="P223" s="335"/>
      <c r="Q223" s="335"/>
      <c r="R223" s="335"/>
      <c r="S223" s="335"/>
      <c r="T223" s="335"/>
      <c r="U223" s="335"/>
      <c r="V223" s="335"/>
      <c r="W223" s="335"/>
      <c r="X223" s="335"/>
      <c r="Y223" s="335"/>
    </row>
    <row r="224" ht="15.75" customHeight="1" spans="1:25">
      <c r="A224" s="335"/>
      <c r="B224" s="335"/>
      <c r="C224" s="335"/>
      <c r="D224" s="335"/>
      <c r="E224" s="335"/>
      <c r="F224" s="335"/>
      <c r="G224" s="335"/>
      <c r="H224" s="335"/>
      <c r="I224" s="335"/>
      <c r="J224" s="335"/>
      <c r="K224" s="335"/>
      <c r="L224" s="335"/>
      <c r="M224" s="335"/>
      <c r="N224" s="335"/>
      <c r="O224" s="335"/>
      <c r="P224" s="335"/>
      <c r="Q224" s="335"/>
      <c r="R224" s="335"/>
      <c r="S224" s="335"/>
      <c r="T224" s="335"/>
      <c r="U224" s="335"/>
      <c r="V224" s="335"/>
      <c r="W224" s="335"/>
      <c r="X224" s="335"/>
      <c r="Y224" s="335"/>
    </row>
    <row r="225" ht="15.75" customHeight="1" spans="1:25">
      <c r="A225" s="335"/>
      <c r="B225" s="335"/>
      <c r="C225" s="335"/>
      <c r="D225" s="335"/>
      <c r="E225" s="335"/>
      <c r="F225" s="335"/>
      <c r="G225" s="335"/>
      <c r="H225" s="335"/>
      <c r="I225" s="335"/>
      <c r="J225" s="335"/>
      <c r="K225" s="335"/>
      <c r="L225" s="335"/>
      <c r="M225" s="335"/>
      <c r="N225" s="335"/>
      <c r="O225" s="335"/>
      <c r="P225" s="335"/>
      <c r="Q225" s="335"/>
      <c r="R225" s="335"/>
      <c r="S225" s="335"/>
      <c r="T225" s="335"/>
      <c r="U225" s="335"/>
      <c r="V225" s="335"/>
      <c r="W225" s="335"/>
      <c r="X225" s="335"/>
      <c r="Y225" s="335"/>
    </row>
    <row r="226" ht="15.75" customHeight="1" spans="1:25">
      <c r="A226" s="335"/>
      <c r="B226" s="335"/>
      <c r="C226" s="335"/>
      <c r="D226" s="335"/>
      <c r="E226" s="335"/>
      <c r="F226" s="335"/>
      <c r="G226" s="335"/>
      <c r="H226" s="335"/>
      <c r="I226" s="335"/>
      <c r="J226" s="335"/>
      <c r="K226" s="335"/>
      <c r="L226" s="335"/>
      <c r="M226" s="335"/>
      <c r="N226" s="335"/>
      <c r="O226" s="335"/>
      <c r="P226" s="335"/>
      <c r="Q226" s="335"/>
      <c r="R226" s="335"/>
      <c r="S226" s="335"/>
      <c r="T226" s="335"/>
      <c r="U226" s="335"/>
      <c r="V226" s="335"/>
      <c r="W226" s="335"/>
      <c r="X226" s="335"/>
      <c r="Y226" s="335"/>
    </row>
    <row r="227" ht="15.75" customHeight="1" spans="1:25">
      <c r="A227" s="335"/>
      <c r="B227" s="335"/>
      <c r="C227" s="335"/>
      <c r="D227" s="335"/>
      <c r="E227" s="335"/>
      <c r="F227" s="335"/>
      <c r="G227" s="335"/>
      <c r="H227" s="335"/>
      <c r="I227" s="335"/>
      <c r="J227" s="335"/>
      <c r="K227" s="335"/>
      <c r="L227" s="335"/>
      <c r="M227" s="335"/>
      <c r="N227" s="335"/>
      <c r="O227" s="335"/>
      <c r="P227" s="335"/>
      <c r="Q227" s="335"/>
      <c r="R227" s="335"/>
      <c r="S227" s="335"/>
      <c r="T227" s="335"/>
      <c r="U227" s="335"/>
      <c r="V227" s="335"/>
      <c r="W227" s="335"/>
      <c r="X227" s="335"/>
      <c r="Y227" s="335"/>
    </row>
    <row r="228" ht="15.75" customHeight="1" spans="1:25">
      <c r="A228" s="335"/>
      <c r="B228" s="335"/>
      <c r="C228" s="335"/>
      <c r="D228" s="335"/>
      <c r="E228" s="335"/>
      <c r="F228" s="335"/>
      <c r="G228" s="335"/>
      <c r="H228" s="335"/>
      <c r="I228" s="335"/>
      <c r="J228" s="335"/>
      <c r="K228" s="335"/>
      <c r="L228" s="335"/>
      <c r="M228" s="335"/>
      <c r="N228" s="335"/>
      <c r="O228" s="335"/>
      <c r="P228" s="335"/>
      <c r="Q228" s="335"/>
      <c r="R228" s="335"/>
      <c r="S228" s="335"/>
      <c r="T228" s="335"/>
      <c r="U228" s="335"/>
      <c r="V228" s="335"/>
      <c r="W228" s="335"/>
      <c r="X228" s="335"/>
      <c r="Y228" s="335"/>
    </row>
    <row r="229" ht="15.75" customHeight="1" spans="1:25">
      <c r="A229" s="335"/>
      <c r="B229" s="335"/>
      <c r="C229" s="335"/>
      <c r="D229" s="335"/>
      <c r="E229" s="335"/>
      <c r="F229" s="335"/>
      <c r="G229" s="335"/>
      <c r="H229" s="335"/>
      <c r="I229" s="335"/>
      <c r="J229" s="335"/>
      <c r="K229" s="335"/>
      <c r="L229" s="335"/>
      <c r="M229" s="335"/>
      <c r="N229" s="335"/>
      <c r="O229" s="335"/>
      <c r="P229" s="335"/>
      <c r="Q229" s="335"/>
      <c r="R229" s="335"/>
      <c r="S229" s="335"/>
      <c r="T229" s="335"/>
      <c r="U229" s="335"/>
      <c r="V229" s="335"/>
      <c r="W229" s="335"/>
      <c r="X229" s="335"/>
      <c r="Y229" s="335"/>
    </row>
    <row r="230" ht="15.75" customHeight="1" spans="1:25">
      <c r="A230" s="335"/>
      <c r="B230" s="335"/>
      <c r="C230" s="335"/>
      <c r="D230" s="335"/>
      <c r="E230" s="335"/>
      <c r="F230" s="335"/>
      <c r="G230" s="335"/>
      <c r="H230" s="335"/>
      <c r="I230" s="335"/>
      <c r="J230" s="335"/>
      <c r="K230" s="335"/>
      <c r="L230" s="335"/>
      <c r="M230" s="335"/>
      <c r="N230" s="335"/>
      <c r="O230" s="335"/>
      <c r="P230" s="335"/>
      <c r="Q230" s="335"/>
      <c r="R230" s="335"/>
      <c r="S230" s="335"/>
      <c r="T230" s="335"/>
      <c r="U230" s="335"/>
      <c r="V230" s="335"/>
      <c r="W230" s="335"/>
      <c r="X230" s="335"/>
      <c r="Y230" s="335"/>
    </row>
    <row r="231" ht="15.75" customHeight="1" spans="1:25">
      <c r="A231" s="335"/>
      <c r="B231" s="335"/>
      <c r="C231" s="335"/>
      <c r="D231" s="335"/>
      <c r="E231" s="335"/>
      <c r="F231" s="335"/>
      <c r="G231" s="335"/>
      <c r="H231" s="335"/>
      <c r="I231" s="335"/>
      <c r="J231" s="335"/>
      <c r="K231" s="335"/>
      <c r="L231" s="335"/>
      <c r="M231" s="335"/>
      <c r="N231" s="335"/>
      <c r="O231" s="335"/>
      <c r="P231" s="335"/>
      <c r="Q231" s="335"/>
      <c r="R231" s="335"/>
      <c r="S231" s="335"/>
      <c r="T231" s="335"/>
      <c r="U231" s="335"/>
      <c r="V231" s="335"/>
      <c r="W231" s="335"/>
      <c r="X231" s="335"/>
      <c r="Y231" s="335"/>
    </row>
    <row r="232" ht="15.75" customHeight="1" spans="1:25">
      <c r="A232" s="335"/>
      <c r="B232" s="335"/>
      <c r="C232" s="335"/>
      <c r="D232" s="335"/>
      <c r="E232" s="335"/>
      <c r="F232" s="335"/>
      <c r="G232" s="335"/>
      <c r="H232" s="335"/>
      <c r="I232" s="335"/>
      <c r="J232" s="335"/>
      <c r="K232" s="335"/>
      <c r="L232" s="335"/>
      <c r="M232" s="335"/>
      <c r="N232" s="335"/>
      <c r="O232" s="335"/>
      <c r="P232" s="335"/>
      <c r="Q232" s="335"/>
      <c r="R232" s="335"/>
      <c r="S232" s="335"/>
      <c r="T232" s="335"/>
      <c r="U232" s="335"/>
      <c r="V232" s="335"/>
      <c r="W232" s="335"/>
      <c r="X232" s="335"/>
      <c r="Y232" s="335"/>
    </row>
    <row r="233" ht="15.75" customHeight="1" spans="1:25">
      <c r="A233" s="335"/>
      <c r="B233" s="335"/>
      <c r="C233" s="335"/>
      <c r="D233" s="335"/>
      <c r="E233" s="335"/>
      <c r="F233" s="335"/>
      <c r="G233" s="335"/>
      <c r="H233" s="335"/>
      <c r="I233" s="335"/>
      <c r="J233" s="335"/>
      <c r="K233" s="335"/>
      <c r="L233" s="335"/>
      <c r="M233" s="335"/>
      <c r="N233" s="335"/>
      <c r="O233" s="335"/>
      <c r="P233" s="335"/>
      <c r="Q233" s="335"/>
      <c r="R233" s="335"/>
      <c r="S233" s="335"/>
      <c r="T233" s="335"/>
      <c r="U233" s="335"/>
      <c r="V233" s="335"/>
      <c r="W233" s="335"/>
      <c r="X233" s="335"/>
      <c r="Y233" s="335"/>
    </row>
    <row r="234" ht="15.75" customHeight="1" spans="1:25">
      <c r="A234" s="335"/>
      <c r="B234" s="335"/>
      <c r="C234" s="335"/>
      <c r="D234" s="335"/>
      <c r="E234" s="335"/>
      <c r="F234" s="335"/>
      <c r="G234" s="335"/>
      <c r="H234" s="335"/>
      <c r="I234" s="335"/>
      <c r="J234" s="335"/>
      <c r="K234" s="335"/>
      <c r="L234" s="335"/>
      <c r="M234" s="335"/>
      <c r="N234" s="335"/>
      <c r="O234" s="335"/>
      <c r="P234" s="335"/>
      <c r="Q234" s="335"/>
      <c r="R234" s="335"/>
      <c r="S234" s="335"/>
      <c r="T234" s="335"/>
      <c r="U234" s="335"/>
      <c r="V234" s="335"/>
      <c r="W234" s="335"/>
      <c r="X234" s="335"/>
      <c r="Y234" s="335"/>
    </row>
    <row r="235" ht="15.75" customHeight="1" spans="1:25">
      <c r="A235" s="335"/>
      <c r="B235" s="335"/>
      <c r="C235" s="335"/>
      <c r="D235" s="335"/>
      <c r="E235" s="335"/>
      <c r="F235" s="335"/>
      <c r="G235" s="335"/>
      <c r="H235" s="335"/>
      <c r="I235" s="335"/>
      <c r="J235" s="335"/>
      <c r="K235" s="335"/>
      <c r="L235" s="335"/>
      <c r="M235" s="335"/>
      <c r="N235" s="335"/>
      <c r="O235" s="335"/>
      <c r="P235" s="335"/>
      <c r="Q235" s="335"/>
      <c r="R235" s="335"/>
      <c r="S235" s="335"/>
      <c r="T235" s="335"/>
      <c r="U235" s="335"/>
      <c r="V235" s="335"/>
      <c r="W235" s="335"/>
      <c r="X235" s="335"/>
      <c r="Y235" s="335"/>
    </row>
    <row r="236" ht="15.75" customHeight="1" spans="1:25">
      <c r="A236" s="335"/>
      <c r="B236" s="335"/>
      <c r="C236" s="335"/>
      <c r="D236" s="335"/>
      <c r="E236" s="335"/>
      <c r="F236" s="335"/>
      <c r="G236" s="335"/>
      <c r="H236" s="335"/>
      <c r="I236" s="335"/>
      <c r="J236" s="335"/>
      <c r="K236" s="335"/>
      <c r="L236" s="335"/>
      <c r="M236" s="335"/>
      <c r="N236" s="335"/>
      <c r="O236" s="335"/>
      <c r="P236" s="335"/>
      <c r="Q236" s="335"/>
      <c r="R236" s="335"/>
      <c r="S236" s="335"/>
      <c r="T236" s="335"/>
      <c r="U236" s="335"/>
      <c r="V236" s="335"/>
      <c r="W236" s="335"/>
      <c r="X236" s="335"/>
      <c r="Y236" s="335"/>
    </row>
    <row r="237" ht="15.75" customHeight="1" spans="1:25">
      <c r="A237" s="335"/>
      <c r="B237" s="335"/>
      <c r="C237" s="335"/>
      <c r="D237" s="335"/>
      <c r="E237" s="335"/>
      <c r="F237" s="335"/>
      <c r="G237" s="335"/>
      <c r="H237" s="335"/>
      <c r="I237" s="335"/>
      <c r="J237" s="335"/>
      <c r="K237" s="335"/>
      <c r="L237" s="335"/>
      <c r="M237" s="335"/>
      <c r="N237" s="335"/>
      <c r="O237" s="335"/>
      <c r="P237" s="335"/>
      <c r="Q237" s="335"/>
      <c r="R237" s="335"/>
      <c r="S237" s="335"/>
      <c r="T237" s="335"/>
      <c r="U237" s="335"/>
      <c r="V237" s="335"/>
      <c r="W237" s="335"/>
      <c r="X237" s="335"/>
      <c r="Y237" s="335"/>
    </row>
    <row r="238" ht="15.75" customHeight="1" spans="1:25">
      <c r="A238" s="335"/>
      <c r="B238" s="335"/>
      <c r="C238" s="335"/>
      <c r="D238" s="335"/>
      <c r="E238" s="335"/>
      <c r="F238" s="335"/>
      <c r="G238" s="335"/>
      <c r="H238" s="335"/>
      <c r="I238" s="335"/>
      <c r="J238" s="335"/>
      <c r="K238" s="335"/>
      <c r="L238" s="335"/>
      <c r="M238" s="335"/>
      <c r="N238" s="335"/>
      <c r="O238" s="335"/>
      <c r="P238" s="335"/>
      <c r="Q238" s="335"/>
      <c r="R238" s="335"/>
      <c r="S238" s="335"/>
      <c r="T238" s="335"/>
      <c r="U238" s="335"/>
      <c r="V238" s="335"/>
      <c r="W238" s="335"/>
      <c r="X238" s="335"/>
      <c r="Y238" s="335"/>
    </row>
    <row r="239" ht="15.75" customHeight="1" spans="1:25">
      <c r="A239" s="335"/>
      <c r="B239" s="335"/>
      <c r="C239" s="335"/>
      <c r="D239" s="335"/>
      <c r="E239" s="335"/>
      <c r="F239" s="335"/>
      <c r="G239" s="335"/>
      <c r="H239" s="335"/>
      <c r="I239" s="335"/>
      <c r="J239" s="335"/>
      <c r="K239" s="335"/>
      <c r="L239" s="335"/>
      <c r="M239" s="335"/>
      <c r="N239" s="335"/>
      <c r="O239" s="335"/>
      <c r="P239" s="335"/>
      <c r="Q239" s="335"/>
      <c r="R239" s="335"/>
      <c r="S239" s="335"/>
      <c r="T239" s="335"/>
      <c r="U239" s="335"/>
      <c r="V239" s="335"/>
      <c r="W239" s="335"/>
      <c r="X239" s="335"/>
      <c r="Y239" s="335"/>
    </row>
    <row r="240" ht="15.75" customHeight="1" spans="1:25">
      <c r="A240" s="335"/>
      <c r="B240" s="335"/>
      <c r="C240" s="335"/>
      <c r="D240" s="335"/>
      <c r="E240" s="335"/>
      <c r="F240" s="335"/>
      <c r="G240" s="335"/>
      <c r="H240" s="335"/>
      <c r="I240" s="335"/>
      <c r="J240" s="335"/>
      <c r="K240" s="335"/>
      <c r="L240" s="335"/>
      <c r="M240" s="335"/>
      <c r="N240" s="335"/>
      <c r="O240" s="335"/>
      <c r="P240" s="335"/>
      <c r="Q240" s="335"/>
      <c r="R240" s="335"/>
      <c r="S240" s="335"/>
      <c r="T240" s="335"/>
      <c r="U240" s="335"/>
      <c r="V240" s="335"/>
      <c r="W240" s="335"/>
      <c r="X240" s="335"/>
      <c r="Y240" s="335"/>
    </row>
    <row r="241" ht="15.75" customHeight="1" spans="1:25">
      <c r="A241" s="335"/>
      <c r="B241" s="335"/>
      <c r="C241" s="335"/>
      <c r="D241" s="335"/>
      <c r="E241" s="335"/>
      <c r="F241" s="335"/>
      <c r="G241" s="335"/>
      <c r="H241" s="335"/>
      <c r="I241" s="335"/>
      <c r="J241" s="335"/>
      <c r="K241" s="335"/>
      <c r="L241" s="335"/>
      <c r="M241" s="335"/>
      <c r="N241" s="335"/>
      <c r="O241" s="335"/>
      <c r="P241" s="335"/>
      <c r="Q241" s="335"/>
      <c r="R241" s="335"/>
      <c r="S241" s="335"/>
      <c r="T241" s="335"/>
      <c r="U241" s="335"/>
      <c r="V241" s="335"/>
      <c r="W241" s="335"/>
      <c r="X241" s="335"/>
      <c r="Y241" s="335"/>
    </row>
    <row r="242" ht="15.75" customHeight="1" spans="1:25">
      <c r="A242" s="335"/>
      <c r="B242" s="335"/>
      <c r="C242" s="335"/>
      <c r="D242" s="335"/>
      <c r="E242" s="335"/>
      <c r="F242" s="335"/>
      <c r="G242" s="335"/>
      <c r="H242" s="335"/>
      <c r="I242" s="335"/>
      <c r="J242" s="335"/>
      <c r="K242" s="335"/>
      <c r="L242" s="335"/>
      <c r="M242" s="335"/>
      <c r="N242" s="335"/>
      <c r="O242" s="335"/>
      <c r="P242" s="335"/>
      <c r="Q242" s="335"/>
      <c r="R242" s="335"/>
      <c r="S242" s="335"/>
      <c r="T242" s="335"/>
      <c r="U242" s="335"/>
      <c r="V242" s="335"/>
      <c r="W242" s="335"/>
      <c r="X242" s="335"/>
      <c r="Y242" s="335"/>
    </row>
    <row r="243" ht="15.75" customHeight="1" spans="1:25">
      <c r="A243" s="335"/>
      <c r="B243" s="335"/>
      <c r="C243" s="335"/>
      <c r="D243" s="335"/>
      <c r="E243" s="335"/>
      <c r="F243" s="335"/>
      <c r="G243" s="335"/>
      <c r="H243" s="335"/>
      <c r="I243" s="335"/>
      <c r="J243" s="335"/>
      <c r="K243" s="335"/>
      <c r="L243" s="335"/>
      <c r="M243" s="335"/>
      <c r="N243" s="335"/>
      <c r="O243" s="335"/>
      <c r="P243" s="335"/>
      <c r="Q243" s="335"/>
      <c r="R243" s="335"/>
      <c r="S243" s="335"/>
      <c r="T243" s="335"/>
      <c r="U243" s="335"/>
      <c r="V243" s="335"/>
      <c r="W243" s="335"/>
      <c r="X243" s="335"/>
      <c r="Y243" s="335"/>
    </row>
    <row r="244" ht="15.75" customHeight="1" spans="1:25">
      <c r="A244" s="335"/>
      <c r="B244" s="335"/>
      <c r="C244" s="335"/>
      <c r="D244" s="335"/>
      <c r="E244" s="335"/>
      <c r="F244" s="335"/>
      <c r="G244" s="335"/>
      <c r="H244" s="335"/>
      <c r="I244" s="335"/>
      <c r="J244" s="335"/>
      <c r="K244" s="335"/>
      <c r="L244" s="335"/>
      <c r="M244" s="335"/>
      <c r="N244" s="335"/>
      <c r="O244" s="335"/>
      <c r="P244" s="335"/>
      <c r="Q244" s="335"/>
      <c r="R244" s="335"/>
      <c r="S244" s="335"/>
      <c r="T244" s="335"/>
      <c r="U244" s="335"/>
      <c r="V244" s="335"/>
      <c r="W244" s="335"/>
      <c r="X244" s="335"/>
      <c r="Y244" s="335"/>
    </row>
    <row r="245" ht="15.75" customHeight="1" spans="1:25">
      <c r="A245" s="335"/>
      <c r="B245" s="335"/>
      <c r="C245" s="335"/>
      <c r="D245" s="335"/>
      <c r="E245" s="335"/>
      <c r="F245" s="335"/>
      <c r="G245" s="335"/>
      <c r="H245" s="335"/>
      <c r="I245" s="335"/>
      <c r="J245" s="335"/>
      <c r="K245" s="335"/>
      <c r="L245" s="335"/>
      <c r="M245" s="335"/>
      <c r="N245" s="335"/>
      <c r="O245" s="335"/>
      <c r="P245" s="335"/>
      <c r="Q245" s="335"/>
      <c r="R245" s="335"/>
      <c r="S245" s="335"/>
      <c r="T245" s="335"/>
      <c r="U245" s="335"/>
      <c r="V245" s="335"/>
      <c r="W245" s="335"/>
      <c r="X245" s="335"/>
      <c r="Y245" s="335"/>
    </row>
    <row r="246" ht="15.75" customHeight="1" spans="1:25">
      <c r="A246" s="335"/>
      <c r="B246" s="335"/>
      <c r="C246" s="335"/>
      <c r="D246" s="335"/>
      <c r="E246" s="335"/>
      <c r="F246" s="335"/>
      <c r="G246" s="335"/>
      <c r="H246" s="335"/>
      <c r="I246" s="335"/>
      <c r="J246" s="335"/>
      <c r="K246" s="335"/>
      <c r="L246" s="335"/>
      <c r="M246" s="335"/>
      <c r="N246" s="335"/>
      <c r="O246" s="335"/>
      <c r="P246" s="335"/>
      <c r="Q246" s="335"/>
      <c r="R246" s="335"/>
      <c r="S246" s="335"/>
      <c r="T246" s="335"/>
      <c r="U246" s="335"/>
      <c r="V246" s="335"/>
      <c r="W246" s="335"/>
      <c r="X246" s="335"/>
      <c r="Y246" s="335"/>
    </row>
    <row r="247" ht="15.75" customHeight="1" spans="1:25">
      <c r="A247" s="335"/>
      <c r="B247" s="335"/>
      <c r="C247" s="335"/>
      <c r="D247" s="335"/>
      <c r="E247" s="335"/>
      <c r="F247" s="335"/>
      <c r="G247" s="335"/>
      <c r="H247" s="335"/>
      <c r="I247" s="335"/>
      <c r="J247" s="335"/>
      <c r="K247" s="335"/>
      <c r="L247" s="335"/>
      <c r="M247" s="335"/>
      <c r="N247" s="335"/>
      <c r="O247" s="335"/>
      <c r="P247" s="335"/>
      <c r="Q247" s="335"/>
      <c r="R247" s="335"/>
      <c r="S247" s="335"/>
      <c r="T247" s="335"/>
      <c r="U247" s="335"/>
      <c r="V247" s="335"/>
      <c r="W247" s="335"/>
      <c r="X247" s="335"/>
      <c r="Y247" s="335"/>
    </row>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73">
    <mergeCell ref="A11:I11"/>
    <mergeCell ref="A12:D12"/>
    <mergeCell ref="E12:G12"/>
    <mergeCell ref="H12:I12"/>
    <mergeCell ref="A13:D13"/>
    <mergeCell ref="E13:G13"/>
    <mergeCell ref="H13:I13"/>
    <mergeCell ref="A14:D14"/>
    <mergeCell ref="A15:D15"/>
    <mergeCell ref="A16:I16"/>
    <mergeCell ref="B17:G17"/>
    <mergeCell ref="H17:I17"/>
    <mergeCell ref="B18:G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B37:C37"/>
    <mergeCell ref="H37:I37"/>
    <mergeCell ref="B38:C38"/>
    <mergeCell ref="H38:I38"/>
    <mergeCell ref="B39:C39"/>
    <mergeCell ref="H39:I39"/>
    <mergeCell ref="B40:C40"/>
    <mergeCell ref="H40:I40"/>
    <mergeCell ref="B41:C41"/>
    <mergeCell ref="H41:I41"/>
    <mergeCell ref="B42:C42"/>
    <mergeCell ref="H42:I42"/>
    <mergeCell ref="B43:C43"/>
    <mergeCell ref="H43:I43"/>
    <mergeCell ref="B44:C44"/>
    <mergeCell ref="H44:I44"/>
    <mergeCell ref="B45:C45"/>
    <mergeCell ref="H45:I45"/>
    <mergeCell ref="B46:C46"/>
    <mergeCell ref="H46:I46"/>
    <mergeCell ref="A47:G47"/>
    <mergeCell ref="H47:I47"/>
    <mergeCell ref="A1:I10"/>
  </mergeCells>
  <pageMargins left="0.7" right="0.7" top="0.75" bottom="0.75" header="0" footer="0"/>
  <pageSetup paperSize="9" scale="60" fitToHeight="0"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27"/>
  <sheetViews>
    <sheetView showGridLines="0" tabSelected="1" zoomScale="80" zoomScaleNormal="80" topLeftCell="A603" workbookViewId="0">
      <selection activeCell="K627" sqref="K627"/>
    </sheetView>
  </sheetViews>
  <sheetFormatPr defaultColWidth="14.4380952380952" defaultRowHeight="15" customHeight="1"/>
  <cols>
    <col min="1" max="1" width="13.3333333333333" customWidth="1"/>
    <col min="2" max="2" width="16" customWidth="1"/>
    <col min="3" max="3" width="11" customWidth="1"/>
    <col min="4" max="4" width="61.552380952381" style="546" customWidth="1"/>
    <col min="5" max="5" width="8.66666666666667" customWidth="1"/>
    <col min="6" max="6" width="12.552380952381" customWidth="1"/>
    <col min="7" max="8" width="13.6666666666667" customWidth="1"/>
    <col min="9" max="9" width="15.8857142857143" customWidth="1"/>
    <col min="11" max="11" width="16.4285714285714" style="547"/>
  </cols>
  <sheetData>
    <row r="1" spans="1:9">
      <c r="A1" s="548"/>
      <c r="B1" s="202"/>
      <c r="C1" s="202"/>
      <c r="D1" s="202"/>
      <c r="E1" s="202"/>
      <c r="F1" s="202"/>
      <c r="G1" s="202"/>
      <c r="H1" s="202"/>
      <c r="I1" s="256"/>
    </row>
    <row r="2" spans="1:9">
      <c r="A2" s="203"/>
      <c r="D2"/>
      <c r="I2" s="257"/>
    </row>
    <row r="3" ht="1.5" customHeight="1" spans="1:9">
      <c r="A3" s="203"/>
      <c r="D3"/>
      <c r="I3" s="257"/>
    </row>
    <row r="4" spans="1:9">
      <c r="A4" s="203"/>
      <c r="D4"/>
      <c r="I4" s="257"/>
    </row>
    <row r="5" spans="1:9">
      <c r="A5" s="203"/>
      <c r="D5"/>
      <c r="I5" s="257"/>
    </row>
    <row r="6" ht="1.5" customHeight="1" spans="1:9">
      <c r="A6" s="203"/>
      <c r="D6"/>
      <c r="I6" s="257"/>
    </row>
    <row r="7" ht="9.75" customHeight="1" spans="1:9">
      <c r="A7" s="203"/>
      <c r="D7"/>
      <c r="I7" s="257"/>
    </row>
    <row r="8" spans="1:9">
      <c r="A8" s="203"/>
      <c r="D8"/>
      <c r="I8" s="257"/>
    </row>
    <row r="9" spans="1:9">
      <c r="A9" s="203"/>
      <c r="D9"/>
      <c r="I9" s="257"/>
    </row>
    <row r="10" spans="1:9">
      <c r="A10" s="204"/>
      <c r="B10" s="205"/>
      <c r="C10" s="205"/>
      <c r="D10" s="205"/>
      <c r="E10" s="205"/>
      <c r="F10" s="205"/>
      <c r="G10" s="205"/>
      <c r="H10" s="205"/>
      <c r="I10" s="258"/>
    </row>
    <row r="11" spans="1:9">
      <c r="A11" s="206" t="s">
        <v>50</v>
      </c>
      <c r="B11" s="207"/>
      <c r="C11" s="207"/>
      <c r="D11" s="207"/>
      <c r="E11" s="207"/>
      <c r="F11" s="207"/>
      <c r="G11" s="207"/>
      <c r="H11" s="207"/>
      <c r="I11" s="259"/>
    </row>
    <row r="12" spans="1:9">
      <c r="A12" s="549" t="s">
        <v>1</v>
      </c>
      <c r="B12" s="294"/>
      <c r="C12" s="294"/>
      <c r="D12" s="324"/>
      <c r="E12" s="293" t="str">
        <f>Resumo!E12</f>
        <v>AUTOR:</v>
      </c>
      <c r="F12" s="294"/>
      <c r="G12" s="295"/>
      <c r="H12" s="355" t="str">
        <f>Resumo!H12</f>
        <v>FUNÇÃO:</v>
      </c>
      <c r="I12" s="324"/>
    </row>
    <row r="13" spans="1:9">
      <c r="A13" s="550" t="s">
        <v>4</v>
      </c>
      <c r="B13" s="209"/>
      <c r="C13" s="209"/>
      <c r="D13" s="260"/>
      <c r="E13" s="214" t="str">
        <f>Resumo!E13</f>
        <v>PROCESSO: </v>
      </c>
      <c r="F13" s="215"/>
      <c r="G13" s="216"/>
      <c r="H13" s="217" t="str">
        <f>Resumo!H13</f>
        <v>ART/RRT:</v>
      </c>
      <c r="I13" s="261"/>
    </row>
    <row r="14" spans="1:9">
      <c r="A14" s="550" t="s">
        <v>7</v>
      </c>
      <c r="B14" s="209"/>
      <c r="C14" s="209"/>
      <c r="D14" s="260"/>
      <c r="E14" s="218" t="str">
        <f>Resumo!E14</f>
        <v>BDI</v>
      </c>
      <c r="F14" s="218" t="str">
        <f>Resumo!F14</f>
        <v>BDI EQUIP.</v>
      </c>
      <c r="G14" s="218" t="str">
        <f>Resumo!G14</f>
        <v>SIAPE</v>
      </c>
      <c r="H14" s="218" t="str">
        <f>Resumo!H14</f>
        <v>DATA</v>
      </c>
      <c r="I14" s="218" t="str">
        <f>Resumo!I14</f>
        <v>REVISÃO</v>
      </c>
    </row>
    <row r="15" customHeight="1" spans="1:9">
      <c r="A15" s="551" t="s">
        <v>13</v>
      </c>
      <c r="B15" s="205"/>
      <c r="C15" s="205"/>
      <c r="D15" s="258"/>
      <c r="E15" s="298">
        <f>Resumo!E15</f>
        <v>0.24657</v>
      </c>
      <c r="F15" s="358">
        <f>Resumo!F15</f>
        <v>0</v>
      </c>
      <c r="G15" s="300" t="str">
        <f>Resumo!G15</f>
        <v>0000000</v>
      </c>
      <c r="H15" s="301">
        <f>Resumo!H15</f>
        <v>45957</v>
      </c>
      <c r="I15" s="381" t="str">
        <f>Resumo!I15</f>
        <v>R03</v>
      </c>
    </row>
    <row r="16" ht="30" customHeight="1" spans="1:11">
      <c r="A16" s="552" t="s">
        <v>17</v>
      </c>
      <c r="B16" s="553" t="s">
        <v>51</v>
      </c>
      <c r="C16" s="554" t="s">
        <v>52</v>
      </c>
      <c r="D16" s="554" t="s">
        <v>53</v>
      </c>
      <c r="E16" s="553" t="s">
        <v>54</v>
      </c>
      <c r="F16" s="554" t="s">
        <v>55</v>
      </c>
      <c r="G16" s="554" t="s">
        <v>56</v>
      </c>
      <c r="H16" s="554" t="s">
        <v>57</v>
      </c>
      <c r="I16" s="563" t="s">
        <v>19</v>
      </c>
      <c r="J16" s="564" t="s">
        <v>58</v>
      </c>
      <c r="K16" s="565" t="s">
        <v>59</v>
      </c>
    </row>
    <row r="17" spans="1:11">
      <c r="A17" s="555" t="s">
        <v>60</v>
      </c>
      <c r="B17" s="555" t="s">
        <v>61</v>
      </c>
      <c r="C17" s="555"/>
      <c r="D17" s="555" t="s">
        <v>20</v>
      </c>
      <c r="E17" s="556"/>
      <c r="F17" s="557">
        <v>1</v>
      </c>
      <c r="G17" s="557" t="s">
        <v>62</v>
      </c>
      <c r="H17" s="558">
        <v>496956.26</v>
      </c>
      <c r="I17" s="566">
        <v>496956.26</v>
      </c>
      <c r="J17" s="567"/>
      <c r="K17" s="568">
        <f>K18</f>
        <v>496956.26</v>
      </c>
    </row>
    <row r="18" spans="1:11">
      <c r="A18" s="559" t="s">
        <v>63</v>
      </c>
      <c r="B18" s="559" t="s">
        <v>64</v>
      </c>
      <c r="C18" s="559" t="s">
        <v>65</v>
      </c>
      <c r="D18" s="559" t="s">
        <v>66</v>
      </c>
      <c r="E18" s="560" t="s">
        <v>67</v>
      </c>
      <c r="F18" s="561">
        <v>1</v>
      </c>
      <c r="G18" s="562">
        <v>398649.34</v>
      </c>
      <c r="H18" s="562">
        <v>496956.26</v>
      </c>
      <c r="I18" s="569">
        <v>496956.26</v>
      </c>
      <c r="J18" s="567">
        <f>$I$626</f>
        <v>0</v>
      </c>
      <c r="K18" s="570">
        <f t="shared" ref="K18:K81" si="0">I18-(I18*J18)</f>
        <v>496956.26</v>
      </c>
    </row>
    <row r="19" spans="1:11">
      <c r="A19" s="555" t="s">
        <v>68</v>
      </c>
      <c r="B19" s="555" t="s">
        <v>61</v>
      </c>
      <c r="C19" s="555"/>
      <c r="D19" s="555" t="s">
        <v>21</v>
      </c>
      <c r="E19" s="556"/>
      <c r="F19" s="557">
        <v>1</v>
      </c>
      <c r="G19" s="557" t="s">
        <v>62</v>
      </c>
      <c r="H19" s="558">
        <v>34553.01</v>
      </c>
      <c r="I19" s="566">
        <v>34553.01</v>
      </c>
      <c r="J19" s="567"/>
      <c r="K19" s="568">
        <f>SUM(K20:K22)</f>
        <v>34553.01</v>
      </c>
    </row>
    <row r="20" ht="25.5" spans="1:11">
      <c r="A20" s="559" t="s">
        <v>69</v>
      </c>
      <c r="B20" s="559" t="s">
        <v>70</v>
      </c>
      <c r="C20" s="559" t="s">
        <v>71</v>
      </c>
      <c r="D20" s="559" t="s">
        <v>72</v>
      </c>
      <c r="E20" s="560" t="s">
        <v>73</v>
      </c>
      <c r="F20" s="561">
        <v>6</v>
      </c>
      <c r="G20" s="562">
        <v>476.28</v>
      </c>
      <c r="H20" s="562">
        <v>593.73</v>
      </c>
      <c r="I20" s="569">
        <v>3562.38</v>
      </c>
      <c r="J20" s="567">
        <f t="shared" ref="J20:J29" si="1">$I$626</f>
        <v>0</v>
      </c>
      <c r="K20" s="570">
        <f t="shared" si="0"/>
        <v>3562.38</v>
      </c>
    </row>
    <row r="21" ht="89.25" spans="1:11">
      <c r="A21" s="559" t="s">
        <v>74</v>
      </c>
      <c r="B21" s="559" t="s">
        <v>75</v>
      </c>
      <c r="C21" s="559" t="s">
        <v>76</v>
      </c>
      <c r="D21" s="559" t="s">
        <v>77</v>
      </c>
      <c r="E21" s="560" t="s">
        <v>78</v>
      </c>
      <c r="F21" s="561">
        <v>941.81</v>
      </c>
      <c r="G21" s="562">
        <v>25.94</v>
      </c>
      <c r="H21" s="562">
        <v>32.33</v>
      </c>
      <c r="I21" s="569">
        <v>30448.71</v>
      </c>
      <c r="J21" s="567">
        <f t="shared" si="1"/>
        <v>0</v>
      </c>
      <c r="K21" s="570">
        <f t="shared" si="0"/>
        <v>30448.71</v>
      </c>
    </row>
    <row r="22" spans="1:11">
      <c r="A22" s="559" t="s">
        <v>79</v>
      </c>
      <c r="B22" s="559" t="s">
        <v>80</v>
      </c>
      <c r="C22" s="559" t="s">
        <v>71</v>
      </c>
      <c r="D22" s="559" t="s">
        <v>81</v>
      </c>
      <c r="E22" s="560" t="s">
        <v>82</v>
      </c>
      <c r="F22" s="561">
        <v>16</v>
      </c>
      <c r="G22" s="562">
        <v>27.17</v>
      </c>
      <c r="H22" s="562">
        <v>33.87</v>
      </c>
      <c r="I22" s="569">
        <v>541.92</v>
      </c>
      <c r="J22" s="567">
        <f t="shared" si="1"/>
        <v>0</v>
      </c>
      <c r="K22" s="570">
        <f t="shared" si="0"/>
        <v>541.92</v>
      </c>
    </row>
    <row r="23" spans="1:11">
      <c r="A23" s="555" t="s">
        <v>83</v>
      </c>
      <c r="B23" s="555" t="s">
        <v>61</v>
      </c>
      <c r="C23" s="555"/>
      <c r="D23" s="555" t="s">
        <v>22</v>
      </c>
      <c r="E23" s="556"/>
      <c r="F23" s="557">
        <v>1</v>
      </c>
      <c r="G23" s="557" t="s">
        <v>62</v>
      </c>
      <c r="H23" s="558">
        <v>339265.3</v>
      </c>
      <c r="I23" s="566">
        <v>339265.3</v>
      </c>
      <c r="J23" s="567"/>
      <c r="K23" s="568">
        <f>SUM(K24:K35)</f>
        <v>339265.3</v>
      </c>
    </row>
    <row r="24" ht="63.75" spans="1:11">
      <c r="A24" s="559" t="s">
        <v>84</v>
      </c>
      <c r="B24" s="559" t="s">
        <v>85</v>
      </c>
      <c r="C24" s="559" t="s">
        <v>65</v>
      </c>
      <c r="D24" s="559" t="s">
        <v>86</v>
      </c>
      <c r="E24" s="560" t="s">
        <v>67</v>
      </c>
      <c r="F24" s="561">
        <v>1</v>
      </c>
      <c r="G24" s="562">
        <v>41.85</v>
      </c>
      <c r="H24" s="562">
        <v>52.17</v>
      </c>
      <c r="I24" s="569">
        <v>52.17</v>
      </c>
      <c r="J24" s="567">
        <f t="shared" si="1"/>
        <v>0</v>
      </c>
      <c r="K24" s="570">
        <f t="shared" si="0"/>
        <v>52.17</v>
      </c>
    </row>
    <row r="25" spans="1:11">
      <c r="A25" s="559" t="s">
        <v>87</v>
      </c>
      <c r="B25" s="559" t="s">
        <v>88</v>
      </c>
      <c r="C25" s="559" t="s">
        <v>71</v>
      </c>
      <c r="D25" s="559" t="s">
        <v>89</v>
      </c>
      <c r="E25" s="560" t="s">
        <v>73</v>
      </c>
      <c r="F25" s="561">
        <v>711.38</v>
      </c>
      <c r="G25" s="562">
        <v>105.08</v>
      </c>
      <c r="H25" s="562">
        <v>130.99</v>
      </c>
      <c r="I25" s="569">
        <v>93183.66</v>
      </c>
      <c r="J25" s="567">
        <f t="shared" si="1"/>
        <v>0</v>
      </c>
      <c r="K25" s="570">
        <f t="shared" si="0"/>
        <v>93183.66</v>
      </c>
    </row>
    <row r="26" ht="127.5" spans="1:11">
      <c r="A26" s="559" t="s">
        <v>90</v>
      </c>
      <c r="B26" s="559" t="s">
        <v>91</v>
      </c>
      <c r="C26" s="559" t="s">
        <v>76</v>
      </c>
      <c r="D26" s="559" t="s">
        <v>92</v>
      </c>
      <c r="E26" s="560" t="s">
        <v>93</v>
      </c>
      <c r="F26" s="561">
        <v>13</v>
      </c>
      <c r="G26" s="562">
        <v>1250</v>
      </c>
      <c r="H26" s="562">
        <v>1558.25</v>
      </c>
      <c r="I26" s="569">
        <v>20257.25</v>
      </c>
      <c r="J26" s="567">
        <f t="shared" si="1"/>
        <v>0</v>
      </c>
      <c r="K26" s="570">
        <f t="shared" si="0"/>
        <v>20257.25</v>
      </c>
    </row>
    <row r="27" ht="127.5" spans="1:11">
      <c r="A27" s="559" t="s">
        <v>94</v>
      </c>
      <c r="B27" s="559" t="s">
        <v>95</v>
      </c>
      <c r="C27" s="559" t="s">
        <v>76</v>
      </c>
      <c r="D27" s="559" t="s">
        <v>96</v>
      </c>
      <c r="E27" s="560" t="s">
        <v>93</v>
      </c>
      <c r="F27" s="561">
        <v>13</v>
      </c>
      <c r="G27" s="562">
        <v>1850</v>
      </c>
      <c r="H27" s="562">
        <v>2306.21</v>
      </c>
      <c r="I27" s="569">
        <v>29980.73</v>
      </c>
      <c r="J27" s="567">
        <f t="shared" si="1"/>
        <v>0</v>
      </c>
      <c r="K27" s="570">
        <f t="shared" si="0"/>
        <v>29980.73</v>
      </c>
    </row>
    <row r="28" spans="1:11">
      <c r="A28" s="559" t="s">
        <v>97</v>
      </c>
      <c r="B28" s="559" t="s">
        <v>98</v>
      </c>
      <c r="C28" s="559" t="s">
        <v>99</v>
      </c>
      <c r="D28" s="559" t="s">
        <v>100</v>
      </c>
      <c r="E28" s="560" t="s">
        <v>101</v>
      </c>
      <c r="F28" s="561">
        <v>13</v>
      </c>
      <c r="G28" s="562">
        <v>3264</v>
      </c>
      <c r="H28" s="562">
        <v>4068.9</v>
      </c>
      <c r="I28" s="569">
        <v>52895.7</v>
      </c>
      <c r="J28" s="567">
        <f t="shared" si="1"/>
        <v>0</v>
      </c>
      <c r="K28" s="570">
        <f t="shared" si="0"/>
        <v>52895.7</v>
      </c>
    </row>
    <row r="29" spans="1:11">
      <c r="A29" s="559" t="s">
        <v>102</v>
      </c>
      <c r="B29" s="559" t="s">
        <v>103</v>
      </c>
      <c r="C29" s="559" t="s">
        <v>99</v>
      </c>
      <c r="D29" s="559" t="s">
        <v>104</v>
      </c>
      <c r="E29" s="560" t="s">
        <v>105</v>
      </c>
      <c r="F29" s="561">
        <v>1</v>
      </c>
      <c r="G29" s="562">
        <v>3156.75</v>
      </c>
      <c r="H29" s="562">
        <v>3935.2</v>
      </c>
      <c r="I29" s="569">
        <v>3935.2</v>
      </c>
      <c r="J29" s="567">
        <f t="shared" si="1"/>
        <v>0</v>
      </c>
      <c r="K29" s="570">
        <f t="shared" si="0"/>
        <v>3935.2</v>
      </c>
    </row>
    <row r="30" spans="1:11">
      <c r="A30" s="559" t="s">
        <v>106</v>
      </c>
      <c r="B30" s="559" t="s">
        <v>107</v>
      </c>
      <c r="C30" s="559" t="s">
        <v>65</v>
      </c>
      <c r="D30" s="559" t="s">
        <v>108</v>
      </c>
      <c r="E30" s="560" t="s">
        <v>105</v>
      </c>
      <c r="F30" s="561">
        <v>1</v>
      </c>
      <c r="G30" s="562">
        <v>2636.95</v>
      </c>
      <c r="H30" s="562">
        <v>3287.22</v>
      </c>
      <c r="I30" s="569">
        <v>3287.22</v>
      </c>
      <c r="J30" s="567">
        <f t="shared" ref="J30:J39" si="2">$I$626</f>
        <v>0</v>
      </c>
      <c r="K30" s="570">
        <f t="shared" si="0"/>
        <v>3287.22</v>
      </c>
    </row>
    <row r="31" ht="51" spans="1:11">
      <c r="A31" s="559" t="s">
        <v>109</v>
      </c>
      <c r="B31" s="559" t="s">
        <v>110</v>
      </c>
      <c r="C31" s="559" t="s">
        <v>71</v>
      </c>
      <c r="D31" s="559" t="s">
        <v>111</v>
      </c>
      <c r="E31" s="560" t="s">
        <v>73</v>
      </c>
      <c r="F31" s="561">
        <v>840</v>
      </c>
      <c r="G31" s="562">
        <v>27.83</v>
      </c>
      <c r="H31" s="562">
        <v>34.69</v>
      </c>
      <c r="I31" s="569">
        <v>29139.6</v>
      </c>
      <c r="J31" s="567">
        <f t="shared" si="2"/>
        <v>0</v>
      </c>
      <c r="K31" s="570">
        <f t="shared" si="0"/>
        <v>29139.6</v>
      </c>
    </row>
    <row r="32" ht="63.75" spans="1:11">
      <c r="A32" s="559" t="s">
        <v>112</v>
      </c>
      <c r="B32" s="559" t="s">
        <v>113</v>
      </c>
      <c r="C32" s="559" t="s">
        <v>65</v>
      </c>
      <c r="D32" s="559" t="s">
        <v>114</v>
      </c>
      <c r="E32" s="560" t="s">
        <v>67</v>
      </c>
      <c r="F32" s="561">
        <v>1680</v>
      </c>
      <c r="G32" s="562">
        <v>29.45</v>
      </c>
      <c r="H32" s="562">
        <v>36.71</v>
      </c>
      <c r="I32" s="569">
        <v>61672.8</v>
      </c>
      <c r="J32" s="567">
        <f t="shared" si="2"/>
        <v>0</v>
      </c>
      <c r="K32" s="570">
        <f t="shared" si="0"/>
        <v>61672.8</v>
      </c>
    </row>
    <row r="33" ht="25.5" spans="1:11">
      <c r="A33" s="559" t="s">
        <v>115</v>
      </c>
      <c r="B33" s="559" t="s">
        <v>116</v>
      </c>
      <c r="C33" s="559" t="s">
        <v>71</v>
      </c>
      <c r="D33" s="559" t="s">
        <v>117</v>
      </c>
      <c r="E33" s="560" t="s">
        <v>78</v>
      </c>
      <c r="F33" s="561">
        <v>13</v>
      </c>
      <c r="G33" s="562">
        <v>38.42</v>
      </c>
      <c r="H33" s="562">
        <v>47.89</v>
      </c>
      <c r="I33" s="569">
        <v>622.57</v>
      </c>
      <c r="J33" s="567">
        <f t="shared" si="2"/>
        <v>0</v>
      </c>
      <c r="K33" s="570">
        <f t="shared" si="0"/>
        <v>622.57</v>
      </c>
    </row>
    <row r="34" spans="1:11">
      <c r="A34" s="559" t="s">
        <v>118</v>
      </c>
      <c r="B34" s="559" t="s">
        <v>119</v>
      </c>
      <c r="C34" s="559" t="s">
        <v>65</v>
      </c>
      <c r="D34" s="559" t="s">
        <v>120</v>
      </c>
      <c r="E34" s="560" t="s">
        <v>121</v>
      </c>
      <c r="F34" s="561">
        <v>26</v>
      </c>
      <c r="G34" s="562">
        <v>806.2</v>
      </c>
      <c r="H34" s="562">
        <v>1005</v>
      </c>
      <c r="I34" s="569">
        <v>26130</v>
      </c>
      <c r="J34" s="567">
        <f t="shared" si="2"/>
        <v>0</v>
      </c>
      <c r="K34" s="570">
        <f t="shared" si="0"/>
        <v>26130</v>
      </c>
    </row>
    <row r="35" ht="76.5" spans="1:11">
      <c r="A35" s="559" t="s">
        <v>122</v>
      </c>
      <c r="B35" s="559" t="s">
        <v>123</v>
      </c>
      <c r="C35" s="559" t="s">
        <v>76</v>
      </c>
      <c r="D35" s="559" t="s">
        <v>124</v>
      </c>
      <c r="E35" s="560" t="s">
        <v>105</v>
      </c>
      <c r="F35" s="561">
        <v>40</v>
      </c>
      <c r="G35" s="562">
        <v>363.16</v>
      </c>
      <c r="H35" s="562">
        <v>452.71</v>
      </c>
      <c r="I35" s="569">
        <v>18108.4</v>
      </c>
      <c r="J35" s="567">
        <f t="shared" si="2"/>
        <v>0</v>
      </c>
      <c r="K35" s="570">
        <f t="shared" si="0"/>
        <v>18108.4</v>
      </c>
    </row>
    <row r="36" spans="1:11">
      <c r="A36" s="555" t="s">
        <v>125</v>
      </c>
      <c r="B36" s="555" t="s">
        <v>61</v>
      </c>
      <c r="C36" s="555"/>
      <c r="D36" s="555" t="s">
        <v>23</v>
      </c>
      <c r="E36" s="556"/>
      <c r="F36" s="557">
        <v>1</v>
      </c>
      <c r="G36" s="557" t="s">
        <v>62</v>
      </c>
      <c r="H36" s="558">
        <v>47272.53</v>
      </c>
      <c r="I36" s="566">
        <v>47272.53</v>
      </c>
      <c r="J36" s="567"/>
      <c r="K36" s="568">
        <f>SUM(K37:K41)</f>
        <v>47272.53</v>
      </c>
    </row>
    <row r="37" ht="25.5" spans="1:11">
      <c r="A37" s="559" t="s">
        <v>126</v>
      </c>
      <c r="B37" s="559" t="s">
        <v>127</v>
      </c>
      <c r="C37" s="559" t="s">
        <v>71</v>
      </c>
      <c r="D37" s="559" t="s">
        <v>128</v>
      </c>
      <c r="E37" s="560" t="s">
        <v>129</v>
      </c>
      <c r="F37" s="561">
        <v>419.38</v>
      </c>
      <c r="G37" s="562">
        <v>5.04</v>
      </c>
      <c r="H37" s="562">
        <v>6.28</v>
      </c>
      <c r="I37" s="569">
        <v>2633.7</v>
      </c>
      <c r="J37" s="567">
        <f t="shared" si="2"/>
        <v>0</v>
      </c>
      <c r="K37" s="570">
        <f t="shared" si="0"/>
        <v>2633.7</v>
      </c>
    </row>
    <row r="38" ht="51" spans="1:11">
      <c r="A38" s="559" t="s">
        <v>130</v>
      </c>
      <c r="B38" s="559" t="s">
        <v>131</v>
      </c>
      <c r="C38" s="559" t="s">
        <v>71</v>
      </c>
      <c r="D38" s="559" t="s">
        <v>132</v>
      </c>
      <c r="E38" s="560" t="s">
        <v>129</v>
      </c>
      <c r="F38" s="561">
        <v>502.05</v>
      </c>
      <c r="G38" s="562">
        <v>9.67</v>
      </c>
      <c r="H38" s="562">
        <v>12.05</v>
      </c>
      <c r="I38" s="569">
        <v>6049.7</v>
      </c>
      <c r="J38" s="567">
        <f t="shared" si="2"/>
        <v>0</v>
      </c>
      <c r="K38" s="570">
        <f t="shared" si="0"/>
        <v>6049.7</v>
      </c>
    </row>
    <row r="39" ht="63.75" spans="1:11">
      <c r="A39" s="559" t="s">
        <v>133</v>
      </c>
      <c r="B39" s="559" t="s">
        <v>134</v>
      </c>
      <c r="C39" s="559" t="s">
        <v>71</v>
      </c>
      <c r="D39" s="559" t="s">
        <v>135</v>
      </c>
      <c r="E39" s="560" t="s">
        <v>129</v>
      </c>
      <c r="F39" s="561">
        <v>335.4</v>
      </c>
      <c r="G39" s="562">
        <v>14.14</v>
      </c>
      <c r="H39" s="562">
        <v>17.62</v>
      </c>
      <c r="I39" s="569">
        <v>5909.74</v>
      </c>
      <c r="J39" s="567">
        <f t="shared" si="2"/>
        <v>0</v>
      </c>
      <c r="K39" s="570">
        <f t="shared" si="0"/>
        <v>5909.74</v>
      </c>
    </row>
    <row r="40" ht="38.25" spans="1:11">
      <c r="A40" s="559" t="s">
        <v>136</v>
      </c>
      <c r="B40" s="559" t="s">
        <v>137</v>
      </c>
      <c r="C40" s="559" t="s">
        <v>71</v>
      </c>
      <c r="D40" s="559" t="s">
        <v>138</v>
      </c>
      <c r="E40" s="560" t="s">
        <v>139</v>
      </c>
      <c r="F40" s="561">
        <v>10041.72</v>
      </c>
      <c r="G40" s="562">
        <v>1.08</v>
      </c>
      <c r="H40" s="562">
        <v>1.34</v>
      </c>
      <c r="I40" s="569">
        <v>13455.9</v>
      </c>
      <c r="J40" s="567">
        <f t="shared" ref="J40:J49" si="3">$I$626</f>
        <v>0</v>
      </c>
      <c r="K40" s="570">
        <f t="shared" si="0"/>
        <v>13455.9</v>
      </c>
    </row>
    <row r="41" spans="1:11">
      <c r="A41" s="559" t="s">
        <v>140</v>
      </c>
      <c r="B41" s="559" t="s">
        <v>141</v>
      </c>
      <c r="C41" s="559" t="s">
        <v>65</v>
      </c>
      <c r="D41" s="559" t="s">
        <v>142</v>
      </c>
      <c r="E41" s="560" t="s">
        <v>129</v>
      </c>
      <c r="F41" s="561">
        <v>502.05</v>
      </c>
      <c r="G41" s="562">
        <v>30.72</v>
      </c>
      <c r="H41" s="562">
        <v>38.29</v>
      </c>
      <c r="I41" s="569">
        <v>19223.49</v>
      </c>
      <c r="J41" s="567">
        <f t="shared" si="3"/>
        <v>0</v>
      </c>
      <c r="K41" s="570">
        <f t="shared" si="0"/>
        <v>19223.49</v>
      </c>
    </row>
    <row r="42" spans="1:11">
      <c r="A42" s="555" t="s">
        <v>143</v>
      </c>
      <c r="B42" s="555" t="s">
        <v>61</v>
      </c>
      <c r="C42" s="555"/>
      <c r="D42" s="555" t="s">
        <v>24</v>
      </c>
      <c r="E42" s="556"/>
      <c r="F42" s="557">
        <v>1</v>
      </c>
      <c r="G42" s="557" t="s">
        <v>62</v>
      </c>
      <c r="H42" s="558">
        <v>287021.81</v>
      </c>
      <c r="I42" s="566">
        <v>287021.81</v>
      </c>
      <c r="J42" s="567"/>
      <c r="K42" s="568">
        <f>SUM(K43+K56)</f>
        <v>287021.81</v>
      </c>
    </row>
    <row r="43" spans="1:11">
      <c r="A43" s="555" t="s">
        <v>144</v>
      </c>
      <c r="B43" s="555" t="s">
        <v>61</v>
      </c>
      <c r="C43" s="555"/>
      <c r="D43" s="555" t="s">
        <v>145</v>
      </c>
      <c r="E43" s="556"/>
      <c r="F43" s="557">
        <v>1</v>
      </c>
      <c r="G43" s="557" t="s">
        <v>62</v>
      </c>
      <c r="H43" s="558">
        <v>268782.03</v>
      </c>
      <c r="I43" s="566">
        <v>268782.03</v>
      </c>
      <c r="J43" s="567"/>
      <c r="K43" s="568">
        <f>SUM(K44:K55)</f>
        <v>268782.03</v>
      </c>
    </row>
    <row r="44" ht="38.25" spans="1:11">
      <c r="A44" s="559" t="s">
        <v>146</v>
      </c>
      <c r="B44" s="559" t="s">
        <v>147</v>
      </c>
      <c r="C44" s="559" t="s">
        <v>71</v>
      </c>
      <c r="D44" s="559" t="s">
        <v>148</v>
      </c>
      <c r="E44" s="560" t="s">
        <v>129</v>
      </c>
      <c r="F44" s="561">
        <v>283.16</v>
      </c>
      <c r="G44" s="562">
        <v>126.82</v>
      </c>
      <c r="H44" s="562">
        <v>158.09</v>
      </c>
      <c r="I44" s="569">
        <v>44764.76</v>
      </c>
      <c r="J44" s="567">
        <f t="shared" si="3"/>
        <v>0</v>
      </c>
      <c r="K44" s="570">
        <f t="shared" si="0"/>
        <v>44764.76</v>
      </c>
    </row>
    <row r="45" ht="38.25" spans="1:11">
      <c r="A45" s="559" t="s">
        <v>149</v>
      </c>
      <c r="B45" s="559" t="s">
        <v>150</v>
      </c>
      <c r="C45" s="559" t="s">
        <v>71</v>
      </c>
      <c r="D45" s="559" t="s">
        <v>151</v>
      </c>
      <c r="E45" s="560" t="s">
        <v>73</v>
      </c>
      <c r="F45" s="561">
        <v>148.91</v>
      </c>
      <c r="G45" s="562">
        <v>316.77</v>
      </c>
      <c r="H45" s="562">
        <v>394.88</v>
      </c>
      <c r="I45" s="569">
        <v>58801.58</v>
      </c>
      <c r="J45" s="567">
        <f t="shared" si="3"/>
        <v>0</v>
      </c>
      <c r="K45" s="570">
        <f t="shared" si="0"/>
        <v>58801.58</v>
      </c>
    </row>
    <row r="46" ht="38.25" spans="1:11">
      <c r="A46" s="559" t="s">
        <v>152</v>
      </c>
      <c r="B46" s="559" t="s">
        <v>153</v>
      </c>
      <c r="C46" s="559" t="s">
        <v>71</v>
      </c>
      <c r="D46" s="559" t="s">
        <v>154</v>
      </c>
      <c r="E46" s="560" t="s">
        <v>73</v>
      </c>
      <c r="F46" s="561">
        <v>53.11</v>
      </c>
      <c r="G46" s="562">
        <v>184.31</v>
      </c>
      <c r="H46" s="562">
        <v>229.76</v>
      </c>
      <c r="I46" s="569">
        <v>12202.55</v>
      </c>
      <c r="J46" s="567">
        <f t="shared" si="3"/>
        <v>0</v>
      </c>
      <c r="K46" s="570">
        <f t="shared" si="0"/>
        <v>12202.55</v>
      </c>
    </row>
    <row r="47" ht="25.5" spans="1:11">
      <c r="A47" s="559" t="s">
        <v>155</v>
      </c>
      <c r="B47" s="559" t="s">
        <v>156</v>
      </c>
      <c r="C47" s="559" t="s">
        <v>71</v>
      </c>
      <c r="D47" s="559" t="s">
        <v>157</v>
      </c>
      <c r="E47" s="560" t="s">
        <v>158</v>
      </c>
      <c r="F47" s="561">
        <v>10</v>
      </c>
      <c r="G47" s="562">
        <v>23.72</v>
      </c>
      <c r="H47" s="562">
        <v>29.56</v>
      </c>
      <c r="I47" s="569">
        <v>295.6</v>
      </c>
      <c r="J47" s="567">
        <f t="shared" si="3"/>
        <v>0</v>
      </c>
      <c r="K47" s="570">
        <f t="shared" si="0"/>
        <v>295.6</v>
      </c>
    </row>
    <row r="48" ht="25.5" spans="1:11">
      <c r="A48" s="559" t="s">
        <v>159</v>
      </c>
      <c r="B48" s="559" t="s">
        <v>160</v>
      </c>
      <c r="C48" s="559" t="s">
        <v>71</v>
      </c>
      <c r="D48" s="559" t="s">
        <v>161</v>
      </c>
      <c r="E48" s="560" t="s">
        <v>158</v>
      </c>
      <c r="F48" s="561">
        <v>41</v>
      </c>
      <c r="G48" s="562">
        <v>15.92</v>
      </c>
      <c r="H48" s="562">
        <v>19.84</v>
      </c>
      <c r="I48" s="569">
        <v>813.44</v>
      </c>
      <c r="J48" s="567">
        <f t="shared" si="3"/>
        <v>0</v>
      </c>
      <c r="K48" s="570">
        <f t="shared" si="0"/>
        <v>813.44</v>
      </c>
    </row>
    <row r="49" ht="38.25" spans="1:11">
      <c r="A49" s="559" t="s">
        <v>162</v>
      </c>
      <c r="B49" s="559" t="s">
        <v>163</v>
      </c>
      <c r="C49" s="559" t="s">
        <v>71</v>
      </c>
      <c r="D49" s="559" t="s">
        <v>164</v>
      </c>
      <c r="E49" s="560" t="s">
        <v>158</v>
      </c>
      <c r="F49" s="561">
        <v>27</v>
      </c>
      <c r="G49" s="562">
        <v>19.57</v>
      </c>
      <c r="H49" s="562">
        <v>24.39</v>
      </c>
      <c r="I49" s="569">
        <v>658.53</v>
      </c>
      <c r="J49" s="567">
        <f t="shared" si="3"/>
        <v>0</v>
      </c>
      <c r="K49" s="570">
        <f t="shared" si="0"/>
        <v>658.53</v>
      </c>
    </row>
    <row r="50" ht="38.25" spans="1:11">
      <c r="A50" s="559" t="s">
        <v>165</v>
      </c>
      <c r="B50" s="559" t="s">
        <v>166</v>
      </c>
      <c r="C50" s="559" t="s">
        <v>71</v>
      </c>
      <c r="D50" s="559" t="s">
        <v>167</v>
      </c>
      <c r="E50" s="560" t="s">
        <v>158</v>
      </c>
      <c r="F50" s="561">
        <v>2</v>
      </c>
      <c r="G50" s="562">
        <v>16.14</v>
      </c>
      <c r="H50" s="562">
        <v>20.12</v>
      </c>
      <c r="I50" s="569">
        <v>40.24</v>
      </c>
      <c r="J50" s="567">
        <f t="shared" ref="J50:J59" si="4">$I$626</f>
        <v>0</v>
      </c>
      <c r="K50" s="570">
        <f t="shared" si="0"/>
        <v>40.24</v>
      </c>
    </row>
    <row r="51" ht="38.25" spans="1:11">
      <c r="A51" s="559" t="s">
        <v>168</v>
      </c>
      <c r="B51" s="559" t="s">
        <v>169</v>
      </c>
      <c r="C51" s="559" t="s">
        <v>71</v>
      </c>
      <c r="D51" s="559" t="s">
        <v>170</v>
      </c>
      <c r="E51" s="560" t="s">
        <v>158</v>
      </c>
      <c r="F51" s="561">
        <v>1584</v>
      </c>
      <c r="G51" s="562">
        <v>14.25</v>
      </c>
      <c r="H51" s="562">
        <v>17.76</v>
      </c>
      <c r="I51" s="569">
        <v>28131.84</v>
      </c>
      <c r="J51" s="567">
        <f t="shared" si="4"/>
        <v>0</v>
      </c>
      <c r="K51" s="570">
        <f t="shared" si="0"/>
        <v>28131.84</v>
      </c>
    </row>
    <row r="52" ht="38.25" spans="1:11">
      <c r="A52" s="559" t="s">
        <v>171</v>
      </c>
      <c r="B52" s="559" t="s">
        <v>172</v>
      </c>
      <c r="C52" s="559" t="s">
        <v>71</v>
      </c>
      <c r="D52" s="559" t="s">
        <v>173</v>
      </c>
      <c r="E52" s="560" t="s">
        <v>158</v>
      </c>
      <c r="F52" s="561">
        <v>1437</v>
      </c>
      <c r="G52" s="562">
        <v>12.01</v>
      </c>
      <c r="H52" s="562">
        <v>14.97</v>
      </c>
      <c r="I52" s="569">
        <v>21511.89</v>
      </c>
      <c r="J52" s="567">
        <f t="shared" si="4"/>
        <v>0</v>
      </c>
      <c r="K52" s="570">
        <f t="shared" si="0"/>
        <v>21511.89</v>
      </c>
    </row>
    <row r="53" ht="38.25" spans="1:11">
      <c r="A53" s="559" t="s">
        <v>174</v>
      </c>
      <c r="B53" s="559" t="s">
        <v>175</v>
      </c>
      <c r="C53" s="559" t="s">
        <v>71</v>
      </c>
      <c r="D53" s="559" t="s">
        <v>176</v>
      </c>
      <c r="E53" s="560" t="s">
        <v>158</v>
      </c>
      <c r="F53" s="561">
        <v>930</v>
      </c>
      <c r="G53" s="562">
        <v>11.17</v>
      </c>
      <c r="H53" s="562">
        <v>13.92</v>
      </c>
      <c r="I53" s="569">
        <v>12945.6</v>
      </c>
      <c r="J53" s="567">
        <f t="shared" si="4"/>
        <v>0</v>
      </c>
      <c r="K53" s="570">
        <f t="shared" si="0"/>
        <v>12945.6</v>
      </c>
    </row>
    <row r="54" ht="25.5" spans="1:11">
      <c r="A54" s="559" t="s">
        <v>177</v>
      </c>
      <c r="B54" s="559" t="s">
        <v>178</v>
      </c>
      <c r="C54" s="559" t="s">
        <v>71</v>
      </c>
      <c r="D54" s="559" t="s">
        <v>179</v>
      </c>
      <c r="E54" s="560" t="s">
        <v>129</v>
      </c>
      <c r="F54" s="561">
        <v>64.69</v>
      </c>
      <c r="G54" s="562">
        <v>756.52</v>
      </c>
      <c r="H54" s="562">
        <v>943.07</v>
      </c>
      <c r="I54" s="569">
        <v>61007.19</v>
      </c>
      <c r="J54" s="567">
        <f t="shared" si="4"/>
        <v>0</v>
      </c>
      <c r="K54" s="570">
        <f t="shared" si="0"/>
        <v>61007.19</v>
      </c>
    </row>
    <row r="55" ht="38.25" spans="1:11">
      <c r="A55" s="559" t="s">
        <v>180</v>
      </c>
      <c r="B55" s="559" t="s">
        <v>181</v>
      </c>
      <c r="C55" s="559" t="s">
        <v>71</v>
      </c>
      <c r="D55" s="559" t="s">
        <v>182</v>
      </c>
      <c r="E55" s="560" t="s">
        <v>129</v>
      </c>
      <c r="F55" s="561">
        <v>30.8</v>
      </c>
      <c r="G55" s="562">
        <v>719.07</v>
      </c>
      <c r="H55" s="562">
        <v>896.39</v>
      </c>
      <c r="I55" s="569">
        <v>27608.81</v>
      </c>
      <c r="J55" s="567">
        <f t="shared" si="4"/>
        <v>0</v>
      </c>
      <c r="K55" s="570">
        <f t="shared" si="0"/>
        <v>27608.81</v>
      </c>
    </row>
    <row r="56" spans="1:11">
      <c r="A56" s="555" t="s">
        <v>183</v>
      </c>
      <c r="B56" s="555" t="s">
        <v>61</v>
      </c>
      <c r="C56" s="555"/>
      <c r="D56" s="555" t="s">
        <v>184</v>
      </c>
      <c r="E56" s="556"/>
      <c r="F56" s="557">
        <v>1</v>
      </c>
      <c r="G56" s="557" t="s">
        <v>62</v>
      </c>
      <c r="H56" s="558">
        <v>18239.78</v>
      </c>
      <c r="I56" s="566">
        <v>18239.78</v>
      </c>
      <c r="J56" s="567"/>
      <c r="K56" s="568">
        <f>SUM(K57:K62)</f>
        <v>18239.78</v>
      </c>
    </row>
    <row r="57" ht="38.25" spans="1:11">
      <c r="A57" s="559" t="s">
        <v>185</v>
      </c>
      <c r="B57" s="559" t="s">
        <v>186</v>
      </c>
      <c r="C57" s="559" t="s">
        <v>71</v>
      </c>
      <c r="D57" s="559" t="s">
        <v>187</v>
      </c>
      <c r="E57" s="560" t="s">
        <v>129</v>
      </c>
      <c r="F57" s="561">
        <v>4.932</v>
      </c>
      <c r="G57" s="562">
        <v>139.56</v>
      </c>
      <c r="H57" s="562">
        <v>173.97</v>
      </c>
      <c r="I57" s="569">
        <v>858.02</v>
      </c>
      <c r="J57" s="567">
        <f t="shared" si="4"/>
        <v>0</v>
      </c>
      <c r="K57" s="570">
        <f t="shared" si="0"/>
        <v>858.02</v>
      </c>
    </row>
    <row r="58" ht="38.25" spans="1:11">
      <c r="A58" s="559" t="s">
        <v>188</v>
      </c>
      <c r="B58" s="559" t="s">
        <v>189</v>
      </c>
      <c r="C58" s="559" t="s">
        <v>71</v>
      </c>
      <c r="D58" s="559" t="s">
        <v>190</v>
      </c>
      <c r="E58" s="560" t="s">
        <v>73</v>
      </c>
      <c r="F58" s="561">
        <v>25.99</v>
      </c>
      <c r="G58" s="562">
        <v>83.04</v>
      </c>
      <c r="H58" s="562">
        <v>103.51</v>
      </c>
      <c r="I58" s="569">
        <v>2690.22</v>
      </c>
      <c r="J58" s="567">
        <f t="shared" si="4"/>
        <v>0</v>
      </c>
      <c r="K58" s="570">
        <f t="shared" si="0"/>
        <v>2690.22</v>
      </c>
    </row>
    <row r="59" ht="38.25" spans="1:11">
      <c r="A59" s="559" t="s">
        <v>191</v>
      </c>
      <c r="B59" s="559" t="s">
        <v>169</v>
      </c>
      <c r="C59" s="559" t="s">
        <v>71</v>
      </c>
      <c r="D59" s="559" t="s">
        <v>170</v>
      </c>
      <c r="E59" s="560" t="s">
        <v>158</v>
      </c>
      <c r="F59" s="561">
        <v>131</v>
      </c>
      <c r="G59" s="562">
        <v>14.25</v>
      </c>
      <c r="H59" s="562">
        <v>17.76</v>
      </c>
      <c r="I59" s="569">
        <v>2326.56</v>
      </c>
      <c r="J59" s="567">
        <f t="shared" si="4"/>
        <v>0</v>
      </c>
      <c r="K59" s="570">
        <f t="shared" si="0"/>
        <v>2326.56</v>
      </c>
    </row>
    <row r="60" ht="38.25" spans="1:11">
      <c r="A60" s="559" t="s">
        <v>192</v>
      </c>
      <c r="B60" s="559" t="s">
        <v>172</v>
      </c>
      <c r="C60" s="559" t="s">
        <v>71</v>
      </c>
      <c r="D60" s="559" t="s">
        <v>173</v>
      </c>
      <c r="E60" s="560" t="s">
        <v>158</v>
      </c>
      <c r="F60" s="561">
        <v>72</v>
      </c>
      <c r="G60" s="562">
        <v>12.01</v>
      </c>
      <c r="H60" s="562">
        <v>14.97</v>
      </c>
      <c r="I60" s="569">
        <v>1077.84</v>
      </c>
      <c r="J60" s="567">
        <f t="shared" ref="J60:J69" si="5">$I$626</f>
        <v>0</v>
      </c>
      <c r="K60" s="570">
        <f t="shared" si="0"/>
        <v>1077.84</v>
      </c>
    </row>
    <row r="61" ht="38.25" spans="1:11">
      <c r="A61" s="559" t="s">
        <v>193</v>
      </c>
      <c r="B61" s="559" t="s">
        <v>175</v>
      </c>
      <c r="C61" s="559" t="s">
        <v>71</v>
      </c>
      <c r="D61" s="559" t="s">
        <v>176</v>
      </c>
      <c r="E61" s="560" t="s">
        <v>158</v>
      </c>
      <c r="F61" s="561">
        <v>476</v>
      </c>
      <c r="G61" s="562">
        <v>11.17</v>
      </c>
      <c r="H61" s="562">
        <v>13.92</v>
      </c>
      <c r="I61" s="569">
        <v>6625.92</v>
      </c>
      <c r="J61" s="567">
        <f t="shared" si="5"/>
        <v>0</v>
      </c>
      <c r="K61" s="570">
        <f t="shared" si="0"/>
        <v>6625.92</v>
      </c>
    </row>
    <row r="62" ht="38.25" spans="1:11">
      <c r="A62" s="559" t="s">
        <v>194</v>
      </c>
      <c r="B62" s="559" t="s">
        <v>181</v>
      </c>
      <c r="C62" s="559" t="s">
        <v>71</v>
      </c>
      <c r="D62" s="559" t="s">
        <v>182</v>
      </c>
      <c r="E62" s="560" t="s">
        <v>129</v>
      </c>
      <c r="F62" s="561">
        <v>5.2</v>
      </c>
      <c r="G62" s="562">
        <v>719.07</v>
      </c>
      <c r="H62" s="562">
        <v>896.39</v>
      </c>
      <c r="I62" s="569">
        <v>4661.22</v>
      </c>
      <c r="J62" s="567">
        <f t="shared" si="5"/>
        <v>0</v>
      </c>
      <c r="K62" s="570">
        <f t="shared" si="0"/>
        <v>4661.22</v>
      </c>
    </row>
    <row r="63" spans="1:11">
      <c r="A63" s="555" t="s">
        <v>195</v>
      </c>
      <c r="B63" s="555" t="s">
        <v>61</v>
      </c>
      <c r="C63" s="555"/>
      <c r="D63" s="555" t="s">
        <v>25</v>
      </c>
      <c r="E63" s="556"/>
      <c r="F63" s="557">
        <v>1</v>
      </c>
      <c r="G63" s="557" t="s">
        <v>62</v>
      </c>
      <c r="H63" s="558">
        <v>105691.68</v>
      </c>
      <c r="I63" s="566">
        <v>105691.68</v>
      </c>
      <c r="J63" s="567"/>
      <c r="K63" s="568">
        <f>SUM(K64:K66)</f>
        <v>105691.68</v>
      </c>
    </row>
    <row r="64" ht="63.75" spans="1:11">
      <c r="A64" s="559" t="s">
        <v>196</v>
      </c>
      <c r="B64" s="559" t="s">
        <v>197</v>
      </c>
      <c r="C64" s="559" t="s">
        <v>76</v>
      </c>
      <c r="D64" s="559" t="s">
        <v>198</v>
      </c>
      <c r="E64" s="560" t="s">
        <v>78</v>
      </c>
      <c r="F64" s="561">
        <v>180</v>
      </c>
      <c r="G64" s="562">
        <v>439.05</v>
      </c>
      <c r="H64" s="562">
        <v>547.31</v>
      </c>
      <c r="I64" s="569">
        <v>98515.8</v>
      </c>
      <c r="J64" s="567">
        <f t="shared" si="5"/>
        <v>0</v>
      </c>
      <c r="K64" s="570">
        <f t="shared" si="0"/>
        <v>98515.8</v>
      </c>
    </row>
    <row r="65" ht="25.5" spans="1:11">
      <c r="A65" s="559" t="s">
        <v>199</v>
      </c>
      <c r="B65" s="559" t="s">
        <v>200</v>
      </c>
      <c r="C65" s="559" t="s">
        <v>71</v>
      </c>
      <c r="D65" s="559" t="s">
        <v>201</v>
      </c>
      <c r="E65" s="560" t="s">
        <v>105</v>
      </c>
      <c r="F65" s="561">
        <v>12</v>
      </c>
      <c r="G65" s="562">
        <v>39.7</v>
      </c>
      <c r="H65" s="562">
        <v>49.49</v>
      </c>
      <c r="I65" s="569">
        <v>593.88</v>
      </c>
      <c r="J65" s="567">
        <f t="shared" si="5"/>
        <v>0</v>
      </c>
      <c r="K65" s="570">
        <f t="shared" si="0"/>
        <v>593.88</v>
      </c>
    </row>
    <row r="66" spans="1:11">
      <c r="A66" s="559" t="s">
        <v>202</v>
      </c>
      <c r="B66" s="559" t="s">
        <v>203</v>
      </c>
      <c r="C66" s="559" t="s">
        <v>65</v>
      </c>
      <c r="D66" s="559" t="s">
        <v>204</v>
      </c>
      <c r="E66" s="560" t="s">
        <v>67</v>
      </c>
      <c r="F66" s="561">
        <v>12</v>
      </c>
      <c r="G66" s="562">
        <v>440</v>
      </c>
      <c r="H66" s="562">
        <v>548.5</v>
      </c>
      <c r="I66" s="569">
        <v>6582</v>
      </c>
      <c r="J66" s="567">
        <f t="shared" si="5"/>
        <v>0</v>
      </c>
      <c r="K66" s="570">
        <f t="shared" si="0"/>
        <v>6582</v>
      </c>
    </row>
    <row r="67" spans="1:11">
      <c r="A67" s="555" t="s">
        <v>205</v>
      </c>
      <c r="B67" s="555" t="s">
        <v>61</v>
      </c>
      <c r="C67" s="555"/>
      <c r="D67" s="555" t="s">
        <v>26</v>
      </c>
      <c r="E67" s="556"/>
      <c r="F67" s="557">
        <v>1</v>
      </c>
      <c r="G67" s="557" t="s">
        <v>62</v>
      </c>
      <c r="H67" s="558">
        <v>1104984.13</v>
      </c>
      <c r="I67" s="566">
        <v>1104984.13</v>
      </c>
      <c r="J67" s="567"/>
      <c r="K67" s="568">
        <f>K68+K77+K86+K97+K107</f>
        <v>1104984.13</v>
      </c>
    </row>
    <row r="68" spans="1:11">
      <c r="A68" s="555" t="s">
        <v>206</v>
      </c>
      <c r="B68" s="555" t="s">
        <v>61</v>
      </c>
      <c r="C68" s="555"/>
      <c r="D68" s="555" t="s">
        <v>207</v>
      </c>
      <c r="E68" s="556"/>
      <c r="F68" s="557">
        <v>1</v>
      </c>
      <c r="G68" s="557" t="s">
        <v>62</v>
      </c>
      <c r="H68" s="558">
        <v>157306.34</v>
      </c>
      <c r="I68" s="566">
        <v>157306.34</v>
      </c>
      <c r="J68" s="567"/>
      <c r="K68" s="568">
        <f>SUM(K69:K76)</f>
        <v>157306.34</v>
      </c>
    </row>
    <row r="69" ht="38.25" spans="1:11">
      <c r="A69" s="559" t="s">
        <v>208</v>
      </c>
      <c r="B69" s="559" t="s">
        <v>209</v>
      </c>
      <c r="C69" s="559" t="s">
        <v>71</v>
      </c>
      <c r="D69" s="559" t="s">
        <v>210</v>
      </c>
      <c r="E69" s="560" t="s">
        <v>73</v>
      </c>
      <c r="F69" s="561">
        <v>381.56</v>
      </c>
      <c r="G69" s="562">
        <v>129.51</v>
      </c>
      <c r="H69" s="562">
        <v>161.44</v>
      </c>
      <c r="I69" s="569">
        <v>61599.04</v>
      </c>
      <c r="J69" s="567">
        <f t="shared" si="5"/>
        <v>0</v>
      </c>
      <c r="K69" s="570">
        <f t="shared" si="0"/>
        <v>61599.04</v>
      </c>
    </row>
    <row r="70" ht="38.25" spans="1:11">
      <c r="A70" s="559" t="s">
        <v>211</v>
      </c>
      <c r="B70" s="559" t="s">
        <v>212</v>
      </c>
      <c r="C70" s="559" t="s">
        <v>71</v>
      </c>
      <c r="D70" s="559" t="s">
        <v>213</v>
      </c>
      <c r="E70" s="560" t="s">
        <v>158</v>
      </c>
      <c r="F70" s="561">
        <v>583</v>
      </c>
      <c r="G70" s="562">
        <v>16.13</v>
      </c>
      <c r="H70" s="562">
        <v>20.1</v>
      </c>
      <c r="I70" s="569">
        <v>11718.3</v>
      </c>
      <c r="J70" s="567">
        <f t="shared" ref="J70:J79" si="6">$I$626</f>
        <v>0</v>
      </c>
      <c r="K70" s="570">
        <f t="shared" si="0"/>
        <v>11718.3</v>
      </c>
    </row>
    <row r="71" ht="38.25" spans="1:11">
      <c r="A71" s="559" t="s">
        <v>214</v>
      </c>
      <c r="B71" s="559" t="s">
        <v>215</v>
      </c>
      <c r="C71" s="559" t="s">
        <v>71</v>
      </c>
      <c r="D71" s="559" t="s">
        <v>216</v>
      </c>
      <c r="E71" s="560" t="s">
        <v>158</v>
      </c>
      <c r="F71" s="561">
        <v>321</v>
      </c>
      <c r="G71" s="562">
        <v>14.82</v>
      </c>
      <c r="H71" s="562">
        <v>18.47</v>
      </c>
      <c r="I71" s="569">
        <v>5928.87</v>
      </c>
      <c r="J71" s="567">
        <f t="shared" si="6"/>
        <v>0</v>
      </c>
      <c r="K71" s="570">
        <f t="shared" si="0"/>
        <v>5928.87</v>
      </c>
    </row>
    <row r="72" ht="38.25" spans="1:11">
      <c r="A72" s="559" t="s">
        <v>217</v>
      </c>
      <c r="B72" s="559" t="s">
        <v>218</v>
      </c>
      <c r="C72" s="559" t="s">
        <v>71</v>
      </c>
      <c r="D72" s="559" t="s">
        <v>219</v>
      </c>
      <c r="E72" s="560" t="s">
        <v>158</v>
      </c>
      <c r="F72" s="561">
        <v>39</v>
      </c>
      <c r="G72" s="562">
        <v>13.64</v>
      </c>
      <c r="H72" s="562">
        <v>17</v>
      </c>
      <c r="I72" s="569">
        <v>663</v>
      </c>
      <c r="J72" s="567">
        <f t="shared" si="6"/>
        <v>0</v>
      </c>
      <c r="K72" s="570">
        <f t="shared" si="0"/>
        <v>663</v>
      </c>
    </row>
    <row r="73" ht="38.25" spans="1:11">
      <c r="A73" s="559" t="s">
        <v>220</v>
      </c>
      <c r="B73" s="559" t="s">
        <v>221</v>
      </c>
      <c r="C73" s="559" t="s">
        <v>71</v>
      </c>
      <c r="D73" s="559" t="s">
        <v>222</v>
      </c>
      <c r="E73" s="560" t="s">
        <v>158</v>
      </c>
      <c r="F73" s="561">
        <v>747</v>
      </c>
      <c r="G73" s="562">
        <v>12.03</v>
      </c>
      <c r="H73" s="562">
        <v>14.99</v>
      </c>
      <c r="I73" s="569">
        <v>11197.53</v>
      </c>
      <c r="J73" s="567">
        <f t="shared" si="6"/>
        <v>0</v>
      </c>
      <c r="K73" s="570">
        <f t="shared" si="0"/>
        <v>11197.53</v>
      </c>
    </row>
    <row r="74" ht="38.25" spans="1:11">
      <c r="A74" s="559" t="s">
        <v>223</v>
      </c>
      <c r="B74" s="559" t="s">
        <v>224</v>
      </c>
      <c r="C74" s="559" t="s">
        <v>71</v>
      </c>
      <c r="D74" s="559" t="s">
        <v>225</v>
      </c>
      <c r="E74" s="560" t="s">
        <v>158</v>
      </c>
      <c r="F74" s="561">
        <v>1979.9</v>
      </c>
      <c r="G74" s="562">
        <v>10.02</v>
      </c>
      <c r="H74" s="562">
        <v>12.49</v>
      </c>
      <c r="I74" s="569">
        <v>24728.95</v>
      </c>
      <c r="J74" s="567">
        <f t="shared" si="6"/>
        <v>0</v>
      </c>
      <c r="K74" s="570">
        <f t="shared" si="0"/>
        <v>24728.95</v>
      </c>
    </row>
    <row r="75" ht="38.25" spans="1:11">
      <c r="A75" s="559" t="s">
        <v>226</v>
      </c>
      <c r="B75" s="559" t="s">
        <v>227</v>
      </c>
      <c r="C75" s="559" t="s">
        <v>71</v>
      </c>
      <c r="D75" s="559" t="s">
        <v>228</v>
      </c>
      <c r="E75" s="560" t="s">
        <v>158</v>
      </c>
      <c r="F75" s="561">
        <v>1730</v>
      </c>
      <c r="G75" s="562">
        <v>9.61</v>
      </c>
      <c r="H75" s="562">
        <v>11.97</v>
      </c>
      <c r="I75" s="569">
        <v>20708.1</v>
      </c>
      <c r="J75" s="567">
        <f t="shared" si="6"/>
        <v>0</v>
      </c>
      <c r="K75" s="570">
        <f t="shared" si="0"/>
        <v>20708.1</v>
      </c>
    </row>
    <row r="76" ht="25.5" spans="1:11">
      <c r="A76" s="559" t="s">
        <v>229</v>
      </c>
      <c r="B76" s="559" t="s">
        <v>230</v>
      </c>
      <c r="C76" s="559" t="s">
        <v>71</v>
      </c>
      <c r="D76" s="559" t="s">
        <v>231</v>
      </c>
      <c r="E76" s="560" t="s">
        <v>129</v>
      </c>
      <c r="F76" s="561">
        <v>25.31</v>
      </c>
      <c r="G76" s="562">
        <v>658.06</v>
      </c>
      <c r="H76" s="562">
        <v>820.33</v>
      </c>
      <c r="I76" s="569">
        <v>20762.55</v>
      </c>
      <c r="J76" s="567">
        <f t="shared" si="6"/>
        <v>0</v>
      </c>
      <c r="K76" s="570">
        <f t="shared" si="0"/>
        <v>20762.55</v>
      </c>
    </row>
    <row r="77" spans="1:11">
      <c r="A77" s="555" t="s">
        <v>232</v>
      </c>
      <c r="B77" s="555" t="s">
        <v>61</v>
      </c>
      <c r="C77" s="555"/>
      <c r="D77" s="555" t="s">
        <v>233</v>
      </c>
      <c r="E77" s="556"/>
      <c r="F77" s="557">
        <v>1</v>
      </c>
      <c r="G77" s="557" t="s">
        <v>62</v>
      </c>
      <c r="H77" s="558">
        <v>255494.29</v>
      </c>
      <c r="I77" s="566">
        <v>255494.29</v>
      </c>
      <c r="J77" s="567"/>
      <c r="K77" s="568">
        <f>SUM(K78:K85)</f>
        <v>255494.29</v>
      </c>
    </row>
    <row r="78" ht="38.25" spans="1:11">
      <c r="A78" s="559" t="s">
        <v>234</v>
      </c>
      <c r="B78" s="559" t="s">
        <v>235</v>
      </c>
      <c r="C78" s="559" t="s">
        <v>71</v>
      </c>
      <c r="D78" s="559" t="s">
        <v>236</v>
      </c>
      <c r="E78" s="560" t="s">
        <v>73</v>
      </c>
      <c r="F78" s="561">
        <v>444.1</v>
      </c>
      <c r="G78" s="562">
        <v>175.44</v>
      </c>
      <c r="H78" s="562">
        <v>218.7</v>
      </c>
      <c r="I78" s="569">
        <v>97124.67</v>
      </c>
      <c r="J78" s="567">
        <f t="shared" si="6"/>
        <v>0</v>
      </c>
      <c r="K78" s="570">
        <f t="shared" si="0"/>
        <v>97124.67</v>
      </c>
    </row>
    <row r="79" ht="38.25" spans="1:11">
      <c r="A79" s="559" t="s">
        <v>237</v>
      </c>
      <c r="B79" s="559" t="s">
        <v>212</v>
      </c>
      <c r="C79" s="559" t="s">
        <v>71</v>
      </c>
      <c r="D79" s="559" t="s">
        <v>213</v>
      </c>
      <c r="E79" s="560" t="s">
        <v>158</v>
      </c>
      <c r="F79" s="561">
        <v>857.2</v>
      </c>
      <c r="G79" s="562">
        <v>16.13</v>
      </c>
      <c r="H79" s="562">
        <v>20.1</v>
      </c>
      <c r="I79" s="569">
        <v>17229.72</v>
      </c>
      <c r="J79" s="567">
        <f t="shared" si="6"/>
        <v>0</v>
      </c>
      <c r="K79" s="570">
        <f t="shared" si="0"/>
        <v>17229.72</v>
      </c>
    </row>
    <row r="80" ht="38.25" spans="1:11">
      <c r="A80" s="559" t="s">
        <v>238</v>
      </c>
      <c r="B80" s="559" t="s">
        <v>215</v>
      </c>
      <c r="C80" s="559" t="s">
        <v>71</v>
      </c>
      <c r="D80" s="559" t="s">
        <v>216</v>
      </c>
      <c r="E80" s="560" t="s">
        <v>158</v>
      </c>
      <c r="F80" s="561">
        <v>2007.1</v>
      </c>
      <c r="G80" s="562">
        <v>14.82</v>
      </c>
      <c r="H80" s="562">
        <v>18.47</v>
      </c>
      <c r="I80" s="569">
        <v>37071.13</v>
      </c>
      <c r="J80" s="567">
        <f t="shared" ref="J80:J89" si="7">$I$626</f>
        <v>0</v>
      </c>
      <c r="K80" s="570">
        <f t="shared" si="0"/>
        <v>37071.13</v>
      </c>
    </row>
    <row r="81" ht="38.25" spans="1:11">
      <c r="A81" s="559" t="s">
        <v>239</v>
      </c>
      <c r="B81" s="559" t="s">
        <v>218</v>
      </c>
      <c r="C81" s="559" t="s">
        <v>71</v>
      </c>
      <c r="D81" s="559" t="s">
        <v>219</v>
      </c>
      <c r="E81" s="560" t="s">
        <v>158</v>
      </c>
      <c r="F81" s="561">
        <v>141</v>
      </c>
      <c r="G81" s="562">
        <v>13.64</v>
      </c>
      <c r="H81" s="562">
        <v>17</v>
      </c>
      <c r="I81" s="569">
        <v>2397</v>
      </c>
      <c r="J81" s="567">
        <f t="shared" si="7"/>
        <v>0</v>
      </c>
      <c r="K81" s="570">
        <f t="shared" si="0"/>
        <v>2397</v>
      </c>
    </row>
    <row r="82" ht="38.25" spans="1:11">
      <c r="A82" s="559" t="s">
        <v>240</v>
      </c>
      <c r="B82" s="559" t="s">
        <v>221</v>
      </c>
      <c r="C82" s="559" t="s">
        <v>71</v>
      </c>
      <c r="D82" s="559" t="s">
        <v>222</v>
      </c>
      <c r="E82" s="560" t="s">
        <v>158</v>
      </c>
      <c r="F82" s="561">
        <v>1970</v>
      </c>
      <c r="G82" s="562">
        <v>12.03</v>
      </c>
      <c r="H82" s="562">
        <v>14.99</v>
      </c>
      <c r="I82" s="569">
        <v>29530.3</v>
      </c>
      <c r="J82" s="567">
        <f t="shared" si="7"/>
        <v>0</v>
      </c>
      <c r="K82" s="570">
        <f t="shared" ref="K82:K145" si="8">I82-(I82*J82)</f>
        <v>29530.3</v>
      </c>
    </row>
    <row r="83" ht="38.25" spans="1:11">
      <c r="A83" s="559" t="s">
        <v>241</v>
      </c>
      <c r="B83" s="559" t="s">
        <v>224</v>
      </c>
      <c r="C83" s="559" t="s">
        <v>71</v>
      </c>
      <c r="D83" s="559" t="s">
        <v>225</v>
      </c>
      <c r="E83" s="560" t="s">
        <v>158</v>
      </c>
      <c r="F83" s="561">
        <v>1134.3</v>
      </c>
      <c r="G83" s="562">
        <v>10.02</v>
      </c>
      <c r="H83" s="562">
        <v>12.49</v>
      </c>
      <c r="I83" s="569">
        <v>14167.4</v>
      </c>
      <c r="J83" s="567">
        <f t="shared" si="7"/>
        <v>0</v>
      </c>
      <c r="K83" s="570">
        <f t="shared" si="8"/>
        <v>14167.4</v>
      </c>
    </row>
    <row r="84" ht="38.25" spans="1:11">
      <c r="A84" s="559" t="s">
        <v>242</v>
      </c>
      <c r="B84" s="559" t="s">
        <v>227</v>
      </c>
      <c r="C84" s="559" t="s">
        <v>71</v>
      </c>
      <c r="D84" s="559" t="s">
        <v>228</v>
      </c>
      <c r="E84" s="560" t="s">
        <v>158</v>
      </c>
      <c r="F84" s="561">
        <v>3670.8</v>
      </c>
      <c r="G84" s="562">
        <v>9.61</v>
      </c>
      <c r="H84" s="562">
        <v>11.97</v>
      </c>
      <c r="I84" s="569">
        <v>43939.47</v>
      </c>
      <c r="J84" s="567">
        <f t="shared" si="7"/>
        <v>0</v>
      </c>
      <c r="K84" s="570">
        <f t="shared" si="8"/>
        <v>43939.47</v>
      </c>
    </row>
    <row r="85" ht="38.25" spans="1:11">
      <c r="A85" s="559" t="s">
        <v>243</v>
      </c>
      <c r="B85" s="559" t="s">
        <v>244</v>
      </c>
      <c r="C85" s="559" t="s">
        <v>71</v>
      </c>
      <c r="D85" s="559" t="s">
        <v>245</v>
      </c>
      <c r="E85" s="560" t="s">
        <v>158</v>
      </c>
      <c r="F85" s="561">
        <v>1035</v>
      </c>
      <c r="G85" s="562">
        <v>10.88</v>
      </c>
      <c r="H85" s="562">
        <v>13.56</v>
      </c>
      <c r="I85" s="569">
        <v>14034.6</v>
      </c>
      <c r="J85" s="567">
        <f t="shared" si="7"/>
        <v>0</v>
      </c>
      <c r="K85" s="570">
        <f t="shared" si="8"/>
        <v>14034.6</v>
      </c>
    </row>
    <row r="86" spans="1:11">
      <c r="A86" s="555" t="s">
        <v>246</v>
      </c>
      <c r="B86" s="555" t="s">
        <v>61</v>
      </c>
      <c r="C86" s="555"/>
      <c r="D86" s="555" t="s">
        <v>247</v>
      </c>
      <c r="E86" s="556"/>
      <c r="F86" s="557">
        <v>1</v>
      </c>
      <c r="G86" s="557" t="s">
        <v>62</v>
      </c>
      <c r="H86" s="558">
        <v>408923.91</v>
      </c>
      <c r="I86" s="566">
        <v>408923.91</v>
      </c>
      <c r="J86" s="567"/>
      <c r="K86" s="568">
        <f>SUM(K87:K96)</f>
        <v>408923.91</v>
      </c>
    </row>
    <row r="87" ht="38.25" spans="1:11">
      <c r="A87" s="559" t="s">
        <v>248</v>
      </c>
      <c r="B87" s="559" t="s">
        <v>249</v>
      </c>
      <c r="C87" s="559" t="s">
        <v>71</v>
      </c>
      <c r="D87" s="559" t="s">
        <v>250</v>
      </c>
      <c r="E87" s="560" t="s">
        <v>73</v>
      </c>
      <c r="F87" s="561">
        <v>157.24</v>
      </c>
      <c r="G87" s="562">
        <v>73.76</v>
      </c>
      <c r="H87" s="562">
        <v>91.94</v>
      </c>
      <c r="I87" s="569">
        <v>14456.64</v>
      </c>
      <c r="J87" s="567">
        <f t="shared" si="7"/>
        <v>0</v>
      </c>
      <c r="K87" s="570">
        <f t="shared" si="8"/>
        <v>14456.64</v>
      </c>
    </row>
    <row r="88" ht="38.25" spans="1:11">
      <c r="A88" s="559" t="s">
        <v>251</v>
      </c>
      <c r="B88" s="559" t="s">
        <v>252</v>
      </c>
      <c r="C88" s="559" t="s">
        <v>71</v>
      </c>
      <c r="D88" s="559" t="s">
        <v>253</v>
      </c>
      <c r="E88" s="560" t="s">
        <v>158</v>
      </c>
      <c r="F88" s="561">
        <v>847.5</v>
      </c>
      <c r="G88" s="562">
        <v>15.37</v>
      </c>
      <c r="H88" s="562">
        <v>19.16</v>
      </c>
      <c r="I88" s="569">
        <v>16238.1</v>
      </c>
      <c r="J88" s="567">
        <f t="shared" si="7"/>
        <v>0</v>
      </c>
      <c r="K88" s="570">
        <f t="shared" si="8"/>
        <v>16238.1</v>
      </c>
    </row>
    <row r="89" ht="38.25" spans="1:11">
      <c r="A89" s="559" t="s">
        <v>254</v>
      </c>
      <c r="B89" s="559" t="s">
        <v>255</v>
      </c>
      <c r="C89" s="559" t="s">
        <v>71</v>
      </c>
      <c r="D89" s="559" t="s">
        <v>256</v>
      </c>
      <c r="E89" s="560" t="s">
        <v>158</v>
      </c>
      <c r="F89" s="561">
        <v>508</v>
      </c>
      <c r="G89" s="562">
        <v>14.11</v>
      </c>
      <c r="H89" s="562">
        <v>17.58</v>
      </c>
      <c r="I89" s="569">
        <v>8930.64</v>
      </c>
      <c r="J89" s="567">
        <f t="shared" si="7"/>
        <v>0</v>
      </c>
      <c r="K89" s="570">
        <f t="shared" si="8"/>
        <v>8930.64</v>
      </c>
    </row>
    <row r="90" ht="38.25" spans="1:11">
      <c r="A90" s="559" t="s">
        <v>257</v>
      </c>
      <c r="B90" s="559" t="s">
        <v>258</v>
      </c>
      <c r="C90" s="559" t="s">
        <v>71</v>
      </c>
      <c r="D90" s="559" t="s">
        <v>259</v>
      </c>
      <c r="E90" s="560" t="s">
        <v>158</v>
      </c>
      <c r="F90" s="561">
        <v>129</v>
      </c>
      <c r="G90" s="562">
        <v>12.99</v>
      </c>
      <c r="H90" s="562">
        <v>16.19</v>
      </c>
      <c r="I90" s="569">
        <v>2088.51</v>
      </c>
      <c r="J90" s="567">
        <f t="shared" ref="J90:J99" si="9">$I$626</f>
        <v>0</v>
      </c>
      <c r="K90" s="570">
        <f t="shared" si="8"/>
        <v>2088.51</v>
      </c>
    </row>
    <row r="91" ht="38.25" spans="1:11">
      <c r="A91" s="559" t="s">
        <v>260</v>
      </c>
      <c r="B91" s="559" t="s">
        <v>261</v>
      </c>
      <c r="C91" s="559" t="s">
        <v>71</v>
      </c>
      <c r="D91" s="559" t="s">
        <v>262</v>
      </c>
      <c r="E91" s="560" t="s">
        <v>158</v>
      </c>
      <c r="F91" s="561">
        <v>2048</v>
      </c>
      <c r="G91" s="562">
        <v>11.45</v>
      </c>
      <c r="H91" s="562">
        <v>14.27</v>
      </c>
      <c r="I91" s="569">
        <v>29224.96</v>
      </c>
      <c r="J91" s="567">
        <f t="shared" si="9"/>
        <v>0</v>
      </c>
      <c r="K91" s="570">
        <f t="shared" si="8"/>
        <v>29224.96</v>
      </c>
    </row>
    <row r="92" ht="38.25" spans="1:11">
      <c r="A92" s="559" t="s">
        <v>263</v>
      </c>
      <c r="B92" s="559" t="s">
        <v>264</v>
      </c>
      <c r="C92" s="559" t="s">
        <v>71</v>
      </c>
      <c r="D92" s="559" t="s">
        <v>265</v>
      </c>
      <c r="E92" s="560" t="s">
        <v>158</v>
      </c>
      <c r="F92" s="561">
        <v>4619</v>
      </c>
      <c r="G92" s="562">
        <v>9.5</v>
      </c>
      <c r="H92" s="562">
        <v>11.84</v>
      </c>
      <c r="I92" s="569">
        <v>54688.96</v>
      </c>
      <c r="J92" s="567">
        <f t="shared" si="9"/>
        <v>0</v>
      </c>
      <c r="K92" s="570">
        <f t="shared" si="8"/>
        <v>54688.96</v>
      </c>
    </row>
    <row r="93" ht="38.25" spans="1:11">
      <c r="A93" s="559" t="s">
        <v>266</v>
      </c>
      <c r="B93" s="559" t="s">
        <v>267</v>
      </c>
      <c r="C93" s="559" t="s">
        <v>71</v>
      </c>
      <c r="D93" s="559" t="s">
        <v>268</v>
      </c>
      <c r="E93" s="560" t="s">
        <v>158</v>
      </c>
      <c r="F93" s="561">
        <v>43</v>
      </c>
      <c r="G93" s="562">
        <v>9.28</v>
      </c>
      <c r="H93" s="562">
        <v>11.56</v>
      </c>
      <c r="I93" s="569">
        <v>497.08</v>
      </c>
      <c r="J93" s="567">
        <f t="shared" si="9"/>
        <v>0</v>
      </c>
      <c r="K93" s="570">
        <f t="shared" si="8"/>
        <v>497.08</v>
      </c>
    </row>
    <row r="94" ht="51" spans="1:11">
      <c r="A94" s="559" t="s">
        <v>269</v>
      </c>
      <c r="B94" s="559" t="s">
        <v>270</v>
      </c>
      <c r="C94" s="559" t="s">
        <v>71</v>
      </c>
      <c r="D94" s="559" t="s">
        <v>271</v>
      </c>
      <c r="E94" s="560" t="s">
        <v>73</v>
      </c>
      <c r="F94" s="561">
        <v>53.41</v>
      </c>
      <c r="G94" s="562">
        <v>213.63</v>
      </c>
      <c r="H94" s="562">
        <v>266.31</v>
      </c>
      <c r="I94" s="569">
        <v>14223.61</v>
      </c>
      <c r="J94" s="567">
        <f t="shared" si="9"/>
        <v>0</v>
      </c>
      <c r="K94" s="570">
        <f t="shared" si="8"/>
        <v>14223.61</v>
      </c>
    </row>
    <row r="95" ht="38.25" spans="1:11">
      <c r="A95" s="559" t="s">
        <v>272</v>
      </c>
      <c r="B95" s="559" t="s">
        <v>273</v>
      </c>
      <c r="C95" s="559" t="s">
        <v>71</v>
      </c>
      <c r="D95" s="559" t="s">
        <v>274</v>
      </c>
      <c r="E95" s="560" t="s">
        <v>73</v>
      </c>
      <c r="F95" s="561">
        <v>652.15</v>
      </c>
      <c r="G95" s="562">
        <v>86.86</v>
      </c>
      <c r="H95" s="562">
        <v>108.27</v>
      </c>
      <c r="I95" s="569">
        <v>70608.28</v>
      </c>
      <c r="J95" s="567">
        <f t="shared" si="9"/>
        <v>0</v>
      </c>
      <c r="K95" s="570">
        <f t="shared" si="8"/>
        <v>70608.28</v>
      </c>
    </row>
    <row r="96" ht="38.25" spans="1:11">
      <c r="A96" s="559" t="s">
        <v>275</v>
      </c>
      <c r="B96" s="559" t="s">
        <v>276</v>
      </c>
      <c r="C96" s="559" t="s">
        <v>71</v>
      </c>
      <c r="D96" s="559" t="s">
        <v>277</v>
      </c>
      <c r="E96" s="560" t="s">
        <v>129</v>
      </c>
      <c r="F96" s="561">
        <v>241.05</v>
      </c>
      <c r="G96" s="562">
        <v>658.81</v>
      </c>
      <c r="H96" s="562">
        <v>821.27</v>
      </c>
      <c r="I96" s="569">
        <v>197967.13</v>
      </c>
      <c r="J96" s="567">
        <f t="shared" si="9"/>
        <v>0</v>
      </c>
      <c r="K96" s="570">
        <f t="shared" si="8"/>
        <v>197967.13</v>
      </c>
    </row>
    <row r="97" spans="1:11">
      <c r="A97" s="555" t="s">
        <v>278</v>
      </c>
      <c r="B97" s="555" t="s">
        <v>61</v>
      </c>
      <c r="C97" s="555"/>
      <c r="D97" s="555" t="s">
        <v>279</v>
      </c>
      <c r="E97" s="556"/>
      <c r="F97" s="557">
        <v>1</v>
      </c>
      <c r="G97" s="557" t="s">
        <v>62</v>
      </c>
      <c r="H97" s="558">
        <v>20941.9</v>
      </c>
      <c r="I97" s="566">
        <v>20941.9</v>
      </c>
      <c r="J97" s="567"/>
      <c r="K97" s="568">
        <f>SUM(K98:K106)</f>
        <v>20941.9</v>
      </c>
    </row>
    <row r="98" ht="38.25" spans="1:11">
      <c r="A98" s="559" t="s">
        <v>280</v>
      </c>
      <c r="B98" s="559" t="s">
        <v>281</v>
      </c>
      <c r="C98" s="559" t="s">
        <v>71</v>
      </c>
      <c r="D98" s="559" t="s">
        <v>282</v>
      </c>
      <c r="E98" s="560" t="s">
        <v>73</v>
      </c>
      <c r="F98" s="561">
        <v>1.55</v>
      </c>
      <c r="G98" s="562">
        <v>511.61</v>
      </c>
      <c r="H98" s="562">
        <v>637.77</v>
      </c>
      <c r="I98" s="569">
        <v>988.54</v>
      </c>
      <c r="J98" s="567">
        <f t="shared" si="9"/>
        <v>0</v>
      </c>
      <c r="K98" s="570">
        <f t="shared" si="8"/>
        <v>988.54</v>
      </c>
    </row>
    <row r="99" ht="38.25" spans="1:11">
      <c r="A99" s="559" t="s">
        <v>283</v>
      </c>
      <c r="B99" s="559" t="s">
        <v>284</v>
      </c>
      <c r="C99" s="559" t="s">
        <v>71</v>
      </c>
      <c r="D99" s="559" t="s">
        <v>285</v>
      </c>
      <c r="E99" s="560" t="s">
        <v>158</v>
      </c>
      <c r="F99" s="561">
        <v>12</v>
      </c>
      <c r="G99" s="562">
        <v>26.62</v>
      </c>
      <c r="H99" s="562">
        <v>33.18</v>
      </c>
      <c r="I99" s="569">
        <v>398.16</v>
      </c>
      <c r="J99" s="567">
        <f t="shared" si="9"/>
        <v>0</v>
      </c>
      <c r="K99" s="570">
        <f t="shared" si="8"/>
        <v>398.16</v>
      </c>
    </row>
    <row r="100" ht="38.25" spans="1:11">
      <c r="A100" s="559" t="s">
        <v>286</v>
      </c>
      <c r="B100" s="559" t="s">
        <v>287</v>
      </c>
      <c r="C100" s="559" t="s">
        <v>71</v>
      </c>
      <c r="D100" s="559" t="s">
        <v>288</v>
      </c>
      <c r="E100" s="560" t="s">
        <v>158</v>
      </c>
      <c r="F100" s="561">
        <v>10</v>
      </c>
      <c r="G100" s="562">
        <v>23.65</v>
      </c>
      <c r="H100" s="562">
        <v>29.48</v>
      </c>
      <c r="I100" s="569">
        <v>294.8</v>
      </c>
      <c r="J100" s="567">
        <f t="shared" ref="J100:J109" si="10">$I$626</f>
        <v>0</v>
      </c>
      <c r="K100" s="570">
        <f t="shared" si="8"/>
        <v>294.8</v>
      </c>
    </row>
    <row r="101" ht="38.25" spans="1:11">
      <c r="A101" s="559" t="s">
        <v>289</v>
      </c>
      <c r="B101" s="559" t="s">
        <v>290</v>
      </c>
      <c r="C101" s="559" t="s">
        <v>71</v>
      </c>
      <c r="D101" s="559" t="s">
        <v>291</v>
      </c>
      <c r="E101" s="560" t="s">
        <v>158</v>
      </c>
      <c r="F101" s="561">
        <v>105</v>
      </c>
      <c r="G101" s="562">
        <v>18.46</v>
      </c>
      <c r="H101" s="562">
        <v>23.01</v>
      </c>
      <c r="I101" s="569">
        <v>2416.05</v>
      </c>
      <c r="J101" s="567">
        <f t="shared" si="10"/>
        <v>0</v>
      </c>
      <c r="K101" s="570">
        <f t="shared" si="8"/>
        <v>2416.05</v>
      </c>
    </row>
    <row r="102" ht="38.25" spans="1:11">
      <c r="A102" s="559" t="s">
        <v>292</v>
      </c>
      <c r="B102" s="559" t="s">
        <v>293</v>
      </c>
      <c r="C102" s="559" t="s">
        <v>71</v>
      </c>
      <c r="D102" s="559" t="s">
        <v>294</v>
      </c>
      <c r="E102" s="560" t="s">
        <v>158</v>
      </c>
      <c r="F102" s="561">
        <v>321</v>
      </c>
      <c r="G102" s="562">
        <v>14.24</v>
      </c>
      <c r="H102" s="562">
        <v>17.75</v>
      </c>
      <c r="I102" s="569">
        <v>5697.75</v>
      </c>
      <c r="J102" s="567">
        <f t="shared" si="10"/>
        <v>0</v>
      </c>
      <c r="K102" s="570">
        <f t="shared" si="8"/>
        <v>5697.75</v>
      </c>
    </row>
    <row r="103" ht="38.25" spans="1:11">
      <c r="A103" s="559" t="s">
        <v>295</v>
      </c>
      <c r="B103" s="559" t="s">
        <v>296</v>
      </c>
      <c r="C103" s="559" t="s">
        <v>71</v>
      </c>
      <c r="D103" s="559" t="s">
        <v>297</v>
      </c>
      <c r="E103" s="560" t="s">
        <v>158</v>
      </c>
      <c r="F103" s="561">
        <v>414</v>
      </c>
      <c r="G103" s="562">
        <v>10.67</v>
      </c>
      <c r="H103" s="562">
        <v>13.3</v>
      </c>
      <c r="I103" s="569">
        <v>5506.2</v>
      </c>
      <c r="J103" s="567">
        <f t="shared" si="10"/>
        <v>0</v>
      </c>
      <c r="K103" s="570">
        <f t="shared" si="8"/>
        <v>5506.2</v>
      </c>
    </row>
    <row r="104" ht="25.5" spans="1:11">
      <c r="A104" s="559" t="s">
        <v>298</v>
      </c>
      <c r="B104" s="559" t="s">
        <v>299</v>
      </c>
      <c r="C104" s="559" t="s">
        <v>71</v>
      </c>
      <c r="D104" s="559" t="s">
        <v>300</v>
      </c>
      <c r="E104" s="560" t="s">
        <v>129</v>
      </c>
      <c r="F104" s="561">
        <v>0.25</v>
      </c>
      <c r="G104" s="562">
        <v>746.33</v>
      </c>
      <c r="H104" s="562">
        <v>930.37</v>
      </c>
      <c r="I104" s="569">
        <v>232.59</v>
      </c>
      <c r="J104" s="567">
        <f t="shared" si="10"/>
        <v>0</v>
      </c>
      <c r="K104" s="570">
        <f t="shared" si="8"/>
        <v>232.59</v>
      </c>
    </row>
    <row r="105" ht="38.25" spans="1:11">
      <c r="A105" s="559" t="s">
        <v>301</v>
      </c>
      <c r="B105" s="559" t="s">
        <v>249</v>
      </c>
      <c r="C105" s="559" t="s">
        <v>71</v>
      </c>
      <c r="D105" s="559" t="s">
        <v>250</v>
      </c>
      <c r="E105" s="560" t="s">
        <v>73</v>
      </c>
      <c r="F105" s="561">
        <v>28.18</v>
      </c>
      <c r="G105" s="562">
        <v>73.76</v>
      </c>
      <c r="H105" s="562">
        <v>91.94</v>
      </c>
      <c r="I105" s="569">
        <v>2590.86</v>
      </c>
      <c r="J105" s="567">
        <f t="shared" si="10"/>
        <v>0</v>
      </c>
      <c r="K105" s="570">
        <f t="shared" si="8"/>
        <v>2590.86</v>
      </c>
    </row>
    <row r="106" ht="38.25" spans="1:11">
      <c r="A106" s="559" t="s">
        <v>302</v>
      </c>
      <c r="B106" s="559" t="s">
        <v>276</v>
      </c>
      <c r="C106" s="559" t="s">
        <v>71</v>
      </c>
      <c r="D106" s="559" t="s">
        <v>277</v>
      </c>
      <c r="E106" s="560" t="s">
        <v>129</v>
      </c>
      <c r="F106" s="561">
        <v>3.43</v>
      </c>
      <c r="G106" s="562">
        <v>658.81</v>
      </c>
      <c r="H106" s="562">
        <v>821.27</v>
      </c>
      <c r="I106" s="569">
        <v>2816.95</v>
      </c>
      <c r="J106" s="567">
        <f t="shared" si="10"/>
        <v>0</v>
      </c>
      <c r="K106" s="570">
        <f t="shared" si="8"/>
        <v>2816.95</v>
      </c>
    </row>
    <row r="107" spans="1:11">
      <c r="A107" s="555" t="s">
        <v>303</v>
      </c>
      <c r="B107" s="555" t="s">
        <v>61</v>
      </c>
      <c r="C107" s="555"/>
      <c r="D107" s="555" t="s">
        <v>304</v>
      </c>
      <c r="E107" s="556"/>
      <c r="F107" s="557">
        <v>1</v>
      </c>
      <c r="G107" s="557" t="s">
        <v>62</v>
      </c>
      <c r="H107" s="558">
        <v>262317.69</v>
      </c>
      <c r="I107" s="566">
        <v>262317.69</v>
      </c>
      <c r="J107" s="567"/>
      <c r="K107" s="568">
        <f>SUM(K108:K112)</f>
        <v>262317.69</v>
      </c>
    </row>
    <row r="108" ht="25.5" spans="1:11">
      <c r="A108" s="559" t="s">
        <v>305</v>
      </c>
      <c r="B108" s="559" t="s">
        <v>306</v>
      </c>
      <c r="C108" s="559" t="s">
        <v>71</v>
      </c>
      <c r="D108" s="559" t="s">
        <v>307</v>
      </c>
      <c r="E108" s="560" t="s">
        <v>158</v>
      </c>
      <c r="F108" s="561">
        <v>91</v>
      </c>
      <c r="G108" s="562">
        <v>11.94</v>
      </c>
      <c r="H108" s="562">
        <v>14.88</v>
      </c>
      <c r="I108" s="569">
        <v>1354.08</v>
      </c>
      <c r="J108" s="567">
        <f t="shared" si="10"/>
        <v>0</v>
      </c>
      <c r="K108" s="570">
        <f t="shared" si="8"/>
        <v>1354.08</v>
      </c>
    </row>
    <row r="109" ht="25.5" spans="1:11">
      <c r="A109" s="559" t="s">
        <v>308</v>
      </c>
      <c r="B109" s="559" t="s">
        <v>309</v>
      </c>
      <c r="C109" s="559" t="s">
        <v>71</v>
      </c>
      <c r="D109" s="559" t="s">
        <v>310</v>
      </c>
      <c r="E109" s="560" t="s">
        <v>158</v>
      </c>
      <c r="F109" s="561">
        <v>54</v>
      </c>
      <c r="G109" s="562">
        <v>9.1</v>
      </c>
      <c r="H109" s="562">
        <v>11.34</v>
      </c>
      <c r="I109" s="569">
        <v>612.36</v>
      </c>
      <c r="J109" s="567">
        <f t="shared" si="10"/>
        <v>0</v>
      </c>
      <c r="K109" s="570">
        <f t="shared" si="8"/>
        <v>612.36</v>
      </c>
    </row>
    <row r="110" ht="38.25" spans="1:11">
      <c r="A110" s="559" t="s">
        <v>311</v>
      </c>
      <c r="B110" s="559" t="s">
        <v>312</v>
      </c>
      <c r="C110" s="559" t="s">
        <v>71</v>
      </c>
      <c r="D110" s="559" t="s">
        <v>313</v>
      </c>
      <c r="E110" s="560" t="s">
        <v>73</v>
      </c>
      <c r="F110" s="561">
        <v>56.62</v>
      </c>
      <c r="G110" s="562">
        <v>86.45</v>
      </c>
      <c r="H110" s="562">
        <v>107.76</v>
      </c>
      <c r="I110" s="569">
        <v>6101.37</v>
      </c>
      <c r="J110" s="567">
        <f t="shared" ref="J110:J119" si="11">$I$626</f>
        <v>0</v>
      </c>
      <c r="K110" s="570">
        <f t="shared" si="8"/>
        <v>6101.37</v>
      </c>
    </row>
    <row r="111" ht="38.25" spans="1:11">
      <c r="A111" s="559" t="s">
        <v>314</v>
      </c>
      <c r="B111" s="559" t="s">
        <v>315</v>
      </c>
      <c r="C111" s="559" t="s">
        <v>71</v>
      </c>
      <c r="D111" s="559" t="s">
        <v>316</v>
      </c>
      <c r="E111" s="560" t="s">
        <v>129</v>
      </c>
      <c r="F111" s="561">
        <v>1</v>
      </c>
      <c r="G111" s="562">
        <v>483.96</v>
      </c>
      <c r="H111" s="562">
        <v>603.3</v>
      </c>
      <c r="I111" s="569">
        <v>603.3</v>
      </c>
      <c r="J111" s="567">
        <f t="shared" si="11"/>
        <v>0</v>
      </c>
      <c r="K111" s="570">
        <f t="shared" si="8"/>
        <v>603.3</v>
      </c>
    </row>
    <row r="112" ht="25.5" spans="1:11">
      <c r="A112" s="559" t="s">
        <v>317</v>
      </c>
      <c r="B112" s="559" t="s">
        <v>318</v>
      </c>
      <c r="C112" s="559" t="s">
        <v>65</v>
      </c>
      <c r="D112" s="559" t="s">
        <v>319</v>
      </c>
      <c r="E112" s="560" t="s">
        <v>67</v>
      </c>
      <c r="F112" s="561">
        <v>678</v>
      </c>
      <c r="G112" s="562">
        <v>300.11</v>
      </c>
      <c r="H112" s="562">
        <v>374.11</v>
      </c>
      <c r="I112" s="569">
        <v>253646.58</v>
      </c>
      <c r="J112" s="567">
        <f t="shared" si="11"/>
        <v>0</v>
      </c>
      <c r="K112" s="570">
        <f t="shared" si="8"/>
        <v>253646.58</v>
      </c>
    </row>
    <row r="113" spans="1:11">
      <c r="A113" s="555" t="s">
        <v>320</v>
      </c>
      <c r="B113" s="555" t="s">
        <v>61</v>
      </c>
      <c r="C113" s="555"/>
      <c r="D113" s="555" t="s">
        <v>27</v>
      </c>
      <c r="E113" s="556"/>
      <c r="F113" s="557">
        <v>1</v>
      </c>
      <c r="G113" s="557" t="s">
        <v>62</v>
      </c>
      <c r="H113" s="558">
        <v>718574.07</v>
      </c>
      <c r="I113" s="566">
        <v>718574.07</v>
      </c>
      <c r="J113" s="567"/>
      <c r="K113" s="568">
        <f>K114+K121+K123+K126</f>
        <v>718574.07</v>
      </c>
    </row>
    <row r="114" spans="1:11">
      <c r="A114" s="555" t="s">
        <v>321</v>
      </c>
      <c r="B114" s="555" t="s">
        <v>61</v>
      </c>
      <c r="C114" s="555"/>
      <c r="D114" s="555" t="s">
        <v>322</v>
      </c>
      <c r="E114" s="556"/>
      <c r="F114" s="557">
        <v>1</v>
      </c>
      <c r="G114" s="557" t="s">
        <v>62</v>
      </c>
      <c r="H114" s="558">
        <v>314484.77</v>
      </c>
      <c r="I114" s="566">
        <v>314484.77</v>
      </c>
      <c r="J114" s="567"/>
      <c r="K114" s="568">
        <f>SUM(K115:K120)</f>
        <v>314484.77</v>
      </c>
    </row>
    <row r="115" ht="38.25" spans="1:11">
      <c r="A115" s="559" t="s">
        <v>323</v>
      </c>
      <c r="B115" s="559" t="s">
        <v>324</v>
      </c>
      <c r="C115" s="559" t="s">
        <v>71</v>
      </c>
      <c r="D115" s="559" t="s">
        <v>325</v>
      </c>
      <c r="E115" s="560" t="s">
        <v>73</v>
      </c>
      <c r="F115" s="561">
        <v>27.62</v>
      </c>
      <c r="G115" s="562">
        <v>91.77</v>
      </c>
      <c r="H115" s="562">
        <v>114.4</v>
      </c>
      <c r="I115" s="569">
        <v>3159.72</v>
      </c>
      <c r="J115" s="567">
        <f t="shared" si="11"/>
        <v>0</v>
      </c>
      <c r="K115" s="570">
        <f t="shared" si="8"/>
        <v>3159.72</v>
      </c>
    </row>
    <row r="116" ht="38.25" spans="1:11">
      <c r="A116" s="559" t="s">
        <v>326</v>
      </c>
      <c r="B116" s="559" t="s">
        <v>327</v>
      </c>
      <c r="C116" s="559" t="s">
        <v>71</v>
      </c>
      <c r="D116" s="559" t="s">
        <v>328</v>
      </c>
      <c r="E116" s="560" t="s">
        <v>73</v>
      </c>
      <c r="F116" s="561">
        <v>66.62</v>
      </c>
      <c r="G116" s="562">
        <v>69.96</v>
      </c>
      <c r="H116" s="562">
        <v>87.21</v>
      </c>
      <c r="I116" s="569">
        <v>5809.93</v>
      </c>
      <c r="J116" s="567">
        <f t="shared" si="11"/>
        <v>0</v>
      </c>
      <c r="K116" s="570">
        <f t="shared" si="8"/>
        <v>5809.93</v>
      </c>
    </row>
    <row r="117" ht="89.25" spans="1:11">
      <c r="A117" s="559" t="s">
        <v>329</v>
      </c>
      <c r="B117" s="559" t="s">
        <v>330</v>
      </c>
      <c r="C117" s="559" t="s">
        <v>76</v>
      </c>
      <c r="D117" s="559" t="s">
        <v>331</v>
      </c>
      <c r="E117" s="560" t="s">
        <v>73</v>
      </c>
      <c r="F117" s="561">
        <v>39.3</v>
      </c>
      <c r="G117" s="562">
        <v>106.37</v>
      </c>
      <c r="H117" s="562">
        <v>132.6</v>
      </c>
      <c r="I117" s="569">
        <v>5211.18</v>
      </c>
      <c r="J117" s="567">
        <f t="shared" si="11"/>
        <v>0</v>
      </c>
      <c r="K117" s="570">
        <f t="shared" si="8"/>
        <v>5211.18</v>
      </c>
    </row>
    <row r="118" ht="38.25" spans="1:11">
      <c r="A118" s="559" t="s">
        <v>332</v>
      </c>
      <c r="B118" s="559" t="s">
        <v>333</v>
      </c>
      <c r="C118" s="559" t="s">
        <v>71</v>
      </c>
      <c r="D118" s="559" t="s">
        <v>334</v>
      </c>
      <c r="E118" s="560" t="s">
        <v>73</v>
      </c>
      <c r="F118" s="561">
        <v>713.69</v>
      </c>
      <c r="G118" s="562">
        <v>231.55</v>
      </c>
      <c r="H118" s="562">
        <v>288.65</v>
      </c>
      <c r="I118" s="569">
        <v>206006.61</v>
      </c>
      <c r="J118" s="567">
        <f t="shared" si="11"/>
        <v>0</v>
      </c>
      <c r="K118" s="570">
        <f t="shared" si="8"/>
        <v>206006.61</v>
      </c>
    </row>
    <row r="119" ht="25.5" spans="1:11">
      <c r="A119" s="559" t="s">
        <v>335</v>
      </c>
      <c r="B119" s="559" t="s">
        <v>336</v>
      </c>
      <c r="C119" s="559" t="s">
        <v>65</v>
      </c>
      <c r="D119" s="559" t="s">
        <v>337</v>
      </c>
      <c r="E119" s="560" t="s">
        <v>67</v>
      </c>
      <c r="F119" s="561">
        <v>374.26</v>
      </c>
      <c r="G119" s="562">
        <v>171.3</v>
      </c>
      <c r="H119" s="562">
        <v>213.54</v>
      </c>
      <c r="I119" s="569">
        <v>79919.48</v>
      </c>
      <c r="J119" s="567">
        <f t="shared" si="11"/>
        <v>0</v>
      </c>
      <c r="K119" s="570">
        <f t="shared" si="8"/>
        <v>79919.48</v>
      </c>
    </row>
    <row r="120" spans="1:11">
      <c r="A120" s="559" t="s">
        <v>338</v>
      </c>
      <c r="B120" s="559" t="s">
        <v>339</v>
      </c>
      <c r="C120" s="559" t="s">
        <v>65</v>
      </c>
      <c r="D120" s="559" t="s">
        <v>340</v>
      </c>
      <c r="E120" s="560" t="s">
        <v>67</v>
      </c>
      <c r="F120" s="561">
        <v>65.89</v>
      </c>
      <c r="G120" s="562">
        <v>175.05</v>
      </c>
      <c r="H120" s="562">
        <v>218.21</v>
      </c>
      <c r="I120" s="569">
        <v>14377.85</v>
      </c>
      <c r="J120" s="567">
        <f t="shared" ref="J120:J129" si="12">$I$626</f>
        <v>0</v>
      </c>
      <c r="K120" s="570">
        <f t="shared" si="8"/>
        <v>14377.85</v>
      </c>
    </row>
    <row r="121" spans="1:11">
      <c r="A121" s="555" t="s">
        <v>341</v>
      </c>
      <c r="B121" s="555" t="s">
        <v>61</v>
      </c>
      <c r="C121" s="555"/>
      <c r="D121" s="555" t="s">
        <v>342</v>
      </c>
      <c r="E121" s="556"/>
      <c r="F121" s="557">
        <v>1</v>
      </c>
      <c r="G121" s="557" t="s">
        <v>62</v>
      </c>
      <c r="H121" s="558">
        <v>87857.54</v>
      </c>
      <c r="I121" s="566">
        <v>87857.54</v>
      </c>
      <c r="J121" s="567"/>
      <c r="K121" s="568">
        <f>K122</f>
        <v>87857.54</v>
      </c>
    </row>
    <row r="122" ht="25.5" spans="1:11">
      <c r="A122" s="559" t="s">
        <v>343</v>
      </c>
      <c r="B122" s="559" t="s">
        <v>344</v>
      </c>
      <c r="C122" s="559" t="s">
        <v>99</v>
      </c>
      <c r="D122" s="559" t="s">
        <v>345</v>
      </c>
      <c r="E122" s="560" t="s">
        <v>73</v>
      </c>
      <c r="F122" s="561">
        <v>196.99</v>
      </c>
      <c r="G122" s="562">
        <v>357.78</v>
      </c>
      <c r="H122" s="562">
        <v>446</v>
      </c>
      <c r="I122" s="569">
        <v>87857.54</v>
      </c>
      <c r="J122" s="567">
        <f t="shared" si="12"/>
        <v>0</v>
      </c>
      <c r="K122" s="570">
        <f t="shared" si="8"/>
        <v>87857.54</v>
      </c>
    </row>
    <row r="123" spans="1:11">
      <c r="A123" s="555" t="s">
        <v>346</v>
      </c>
      <c r="B123" s="555" t="s">
        <v>61</v>
      </c>
      <c r="C123" s="555"/>
      <c r="D123" s="555" t="s">
        <v>347</v>
      </c>
      <c r="E123" s="556"/>
      <c r="F123" s="557">
        <v>1</v>
      </c>
      <c r="G123" s="557" t="s">
        <v>62</v>
      </c>
      <c r="H123" s="558">
        <v>70040.05</v>
      </c>
      <c r="I123" s="566">
        <v>70040.05</v>
      </c>
      <c r="J123" s="567"/>
      <c r="K123" s="568">
        <f>SUM(K124:K125)</f>
        <v>70040.05</v>
      </c>
    </row>
    <row r="124" ht="38.25" spans="1:11">
      <c r="A124" s="559" t="s">
        <v>348</v>
      </c>
      <c r="B124" s="559" t="s">
        <v>349</v>
      </c>
      <c r="C124" s="559" t="s">
        <v>71</v>
      </c>
      <c r="D124" s="559" t="s">
        <v>350</v>
      </c>
      <c r="E124" s="560" t="s">
        <v>73</v>
      </c>
      <c r="F124" s="561">
        <v>277.6</v>
      </c>
      <c r="G124" s="562">
        <v>184.24</v>
      </c>
      <c r="H124" s="562">
        <v>229.67</v>
      </c>
      <c r="I124" s="569">
        <v>63756.39</v>
      </c>
      <c r="J124" s="567">
        <f t="shared" si="12"/>
        <v>0</v>
      </c>
      <c r="K124" s="570">
        <f t="shared" si="8"/>
        <v>63756.39</v>
      </c>
    </row>
    <row r="125" ht="51" spans="1:11">
      <c r="A125" s="559" t="s">
        <v>351</v>
      </c>
      <c r="B125" s="559" t="s">
        <v>352</v>
      </c>
      <c r="C125" s="559" t="s">
        <v>71</v>
      </c>
      <c r="D125" s="559" t="s">
        <v>353</v>
      </c>
      <c r="E125" s="560" t="s">
        <v>73</v>
      </c>
      <c r="F125" s="561">
        <v>24.36</v>
      </c>
      <c r="G125" s="562">
        <v>206.93</v>
      </c>
      <c r="H125" s="562">
        <v>257.95</v>
      </c>
      <c r="I125" s="569">
        <v>6283.66</v>
      </c>
      <c r="J125" s="567">
        <f t="shared" si="12"/>
        <v>0</v>
      </c>
      <c r="K125" s="570">
        <f t="shared" si="8"/>
        <v>6283.66</v>
      </c>
    </row>
    <row r="126" spans="1:11">
      <c r="A126" s="555" t="s">
        <v>354</v>
      </c>
      <c r="B126" s="555" t="s">
        <v>61</v>
      </c>
      <c r="C126" s="555"/>
      <c r="D126" s="555" t="s">
        <v>355</v>
      </c>
      <c r="E126" s="556"/>
      <c r="F126" s="557">
        <v>1</v>
      </c>
      <c r="G126" s="557" t="s">
        <v>62</v>
      </c>
      <c r="H126" s="558">
        <v>246191.71</v>
      </c>
      <c r="I126" s="566">
        <v>246191.71</v>
      </c>
      <c r="J126" s="567"/>
      <c r="K126" s="568">
        <f>SUM(K127:K128)</f>
        <v>246191.71</v>
      </c>
    </row>
    <row r="127" ht="25.5" spans="1:11">
      <c r="A127" s="559" t="s">
        <v>356</v>
      </c>
      <c r="B127" s="559" t="s">
        <v>357</v>
      </c>
      <c r="C127" s="559" t="s">
        <v>65</v>
      </c>
      <c r="D127" s="559" t="s">
        <v>358</v>
      </c>
      <c r="E127" s="560" t="s">
        <v>67</v>
      </c>
      <c r="F127" s="561">
        <v>652</v>
      </c>
      <c r="G127" s="562">
        <v>57.26</v>
      </c>
      <c r="H127" s="562">
        <v>71.38</v>
      </c>
      <c r="I127" s="569">
        <v>46539.76</v>
      </c>
      <c r="J127" s="567">
        <f t="shared" si="12"/>
        <v>0</v>
      </c>
      <c r="K127" s="570">
        <f t="shared" si="8"/>
        <v>46539.76</v>
      </c>
    </row>
    <row r="128" ht="38.25" spans="1:11">
      <c r="A128" s="559" t="s">
        <v>359</v>
      </c>
      <c r="B128" s="559" t="s">
        <v>360</v>
      </c>
      <c r="C128" s="559" t="s">
        <v>71</v>
      </c>
      <c r="D128" s="559" t="s">
        <v>361</v>
      </c>
      <c r="E128" s="560" t="s">
        <v>78</v>
      </c>
      <c r="F128" s="561">
        <v>1835.88</v>
      </c>
      <c r="G128" s="562">
        <v>87.24</v>
      </c>
      <c r="H128" s="562">
        <v>108.75</v>
      </c>
      <c r="I128" s="569">
        <v>199651.95</v>
      </c>
      <c r="J128" s="567">
        <f t="shared" si="12"/>
        <v>0</v>
      </c>
      <c r="K128" s="570">
        <f t="shared" si="8"/>
        <v>199651.95</v>
      </c>
    </row>
    <row r="129" spans="1:11">
      <c r="A129" s="555" t="s">
        <v>362</v>
      </c>
      <c r="B129" s="555" t="s">
        <v>61</v>
      </c>
      <c r="C129" s="555"/>
      <c r="D129" s="555" t="s">
        <v>28</v>
      </c>
      <c r="E129" s="556"/>
      <c r="F129" s="557">
        <v>1</v>
      </c>
      <c r="G129" s="557" t="s">
        <v>62</v>
      </c>
      <c r="H129" s="558">
        <v>428331.73</v>
      </c>
      <c r="I129" s="566">
        <v>428331.73</v>
      </c>
      <c r="J129" s="567"/>
      <c r="K129" s="568">
        <f>K130+K133+K141+K143</f>
        <v>428331.73</v>
      </c>
    </row>
    <row r="130" spans="1:11">
      <c r="A130" s="555" t="s">
        <v>363</v>
      </c>
      <c r="B130" s="555" t="s">
        <v>61</v>
      </c>
      <c r="C130" s="555"/>
      <c r="D130" s="555" t="s">
        <v>364</v>
      </c>
      <c r="E130" s="556"/>
      <c r="F130" s="557">
        <v>1</v>
      </c>
      <c r="G130" s="557" t="s">
        <v>62</v>
      </c>
      <c r="H130" s="558">
        <v>159970.35</v>
      </c>
      <c r="I130" s="566">
        <v>159970.35</v>
      </c>
      <c r="J130" s="567"/>
      <c r="K130" s="568">
        <f>SUM(K131:K132)</f>
        <v>159970.35</v>
      </c>
    </row>
    <row r="131" ht="38.25" spans="1:11">
      <c r="A131" s="559" t="s">
        <v>365</v>
      </c>
      <c r="B131" s="559" t="s">
        <v>366</v>
      </c>
      <c r="C131" s="559" t="s">
        <v>76</v>
      </c>
      <c r="D131" s="559" t="s">
        <v>367</v>
      </c>
      <c r="E131" s="560" t="s">
        <v>73</v>
      </c>
      <c r="F131" s="561">
        <v>1.44</v>
      </c>
      <c r="G131" s="562">
        <v>615.59</v>
      </c>
      <c r="H131" s="562">
        <v>767.39</v>
      </c>
      <c r="I131" s="569">
        <v>1105.04</v>
      </c>
      <c r="J131" s="567">
        <f t="shared" ref="J130:J139" si="13">$I$626</f>
        <v>0</v>
      </c>
      <c r="K131" s="570">
        <f t="shared" si="8"/>
        <v>1105.04</v>
      </c>
    </row>
    <row r="132" ht="63.75" spans="1:11">
      <c r="A132" s="559" t="s">
        <v>368</v>
      </c>
      <c r="B132" s="559" t="s">
        <v>369</v>
      </c>
      <c r="C132" s="559" t="s">
        <v>71</v>
      </c>
      <c r="D132" s="559" t="s">
        <v>370</v>
      </c>
      <c r="E132" s="560" t="s">
        <v>73</v>
      </c>
      <c r="F132" s="561">
        <v>112.72</v>
      </c>
      <c r="G132" s="562">
        <v>1130.58</v>
      </c>
      <c r="H132" s="562">
        <v>1409.38</v>
      </c>
      <c r="I132" s="569">
        <v>158865.31</v>
      </c>
      <c r="J132" s="567">
        <f t="shared" si="13"/>
        <v>0</v>
      </c>
      <c r="K132" s="570">
        <f t="shared" si="8"/>
        <v>158865.31</v>
      </c>
    </row>
    <row r="133" spans="1:11">
      <c r="A133" s="555" t="s">
        <v>371</v>
      </c>
      <c r="B133" s="555" t="s">
        <v>61</v>
      </c>
      <c r="C133" s="555"/>
      <c r="D133" s="555" t="s">
        <v>372</v>
      </c>
      <c r="E133" s="556"/>
      <c r="F133" s="557">
        <v>1</v>
      </c>
      <c r="G133" s="557" t="s">
        <v>62</v>
      </c>
      <c r="H133" s="558">
        <v>112751.78</v>
      </c>
      <c r="I133" s="566">
        <v>112751.78</v>
      </c>
      <c r="J133" s="567"/>
      <c r="K133" s="568">
        <f>SUM(K134:K140)</f>
        <v>112751.78</v>
      </c>
    </row>
    <row r="134" ht="25.5" spans="1:11">
      <c r="A134" s="559" t="s">
        <v>373</v>
      </c>
      <c r="B134" s="559" t="s">
        <v>374</v>
      </c>
      <c r="C134" s="559" t="s">
        <v>99</v>
      </c>
      <c r="D134" s="559" t="s">
        <v>375</v>
      </c>
      <c r="E134" s="560" t="s">
        <v>73</v>
      </c>
      <c r="F134" s="561">
        <v>14.34</v>
      </c>
      <c r="G134" s="562">
        <v>1544.36</v>
      </c>
      <c r="H134" s="562">
        <v>1925.19</v>
      </c>
      <c r="I134" s="569">
        <v>27607.22</v>
      </c>
      <c r="J134" s="567">
        <f t="shared" si="13"/>
        <v>0</v>
      </c>
      <c r="K134" s="570">
        <f t="shared" si="8"/>
        <v>27607.22</v>
      </c>
    </row>
    <row r="135" ht="51" spans="1:11">
      <c r="A135" s="559" t="s">
        <v>376</v>
      </c>
      <c r="B135" s="559" t="s">
        <v>377</v>
      </c>
      <c r="C135" s="559" t="s">
        <v>71</v>
      </c>
      <c r="D135" s="559" t="s">
        <v>378</v>
      </c>
      <c r="E135" s="560" t="s">
        <v>105</v>
      </c>
      <c r="F135" s="561">
        <v>5</v>
      </c>
      <c r="G135" s="562">
        <v>938.72</v>
      </c>
      <c r="H135" s="562">
        <v>1170.2</v>
      </c>
      <c r="I135" s="569">
        <v>5851</v>
      </c>
      <c r="J135" s="567">
        <f t="shared" si="13"/>
        <v>0</v>
      </c>
      <c r="K135" s="570">
        <f t="shared" si="8"/>
        <v>5851</v>
      </c>
    </row>
    <row r="136" ht="51" spans="1:11">
      <c r="A136" s="559" t="s">
        <v>379</v>
      </c>
      <c r="B136" s="559" t="s">
        <v>380</v>
      </c>
      <c r="C136" s="559" t="s">
        <v>76</v>
      </c>
      <c r="D136" s="559" t="s">
        <v>381</v>
      </c>
      <c r="E136" s="560" t="s">
        <v>73</v>
      </c>
      <c r="F136" s="561">
        <v>9.45</v>
      </c>
      <c r="G136" s="562">
        <v>1360.88</v>
      </c>
      <c r="H136" s="562">
        <v>1696.47</v>
      </c>
      <c r="I136" s="569">
        <v>16031.64</v>
      </c>
      <c r="J136" s="567">
        <f t="shared" si="13"/>
        <v>0</v>
      </c>
      <c r="K136" s="570">
        <f t="shared" si="8"/>
        <v>16031.64</v>
      </c>
    </row>
    <row r="137" ht="25.5" spans="1:11">
      <c r="A137" s="559" t="s">
        <v>382</v>
      </c>
      <c r="B137" s="559" t="s">
        <v>383</v>
      </c>
      <c r="C137" s="559" t="s">
        <v>65</v>
      </c>
      <c r="D137" s="559" t="s">
        <v>384</v>
      </c>
      <c r="E137" s="560" t="s">
        <v>67</v>
      </c>
      <c r="F137" s="561">
        <v>17.37</v>
      </c>
      <c r="G137" s="562">
        <v>743.38</v>
      </c>
      <c r="H137" s="562">
        <v>926.69</v>
      </c>
      <c r="I137" s="569">
        <v>16096.6</v>
      </c>
      <c r="J137" s="567">
        <f t="shared" si="13"/>
        <v>0</v>
      </c>
      <c r="K137" s="570">
        <f t="shared" si="8"/>
        <v>16096.6</v>
      </c>
    </row>
    <row r="138" ht="63.75" spans="1:11">
      <c r="A138" s="559" t="s">
        <v>385</v>
      </c>
      <c r="B138" s="559" t="s">
        <v>386</v>
      </c>
      <c r="C138" s="559" t="s">
        <v>65</v>
      </c>
      <c r="D138" s="559" t="s">
        <v>387</v>
      </c>
      <c r="E138" s="560" t="s">
        <v>67</v>
      </c>
      <c r="F138" s="561">
        <v>30</v>
      </c>
      <c r="G138" s="562">
        <v>755.67</v>
      </c>
      <c r="H138" s="562">
        <v>942.01</v>
      </c>
      <c r="I138" s="569">
        <v>28260.3</v>
      </c>
      <c r="J138" s="567">
        <f t="shared" si="13"/>
        <v>0</v>
      </c>
      <c r="K138" s="570">
        <f t="shared" si="8"/>
        <v>28260.3</v>
      </c>
    </row>
    <row r="139" ht="25.5" spans="1:11">
      <c r="A139" s="559" t="s">
        <v>388</v>
      </c>
      <c r="B139" s="559" t="s">
        <v>389</v>
      </c>
      <c r="C139" s="559" t="s">
        <v>99</v>
      </c>
      <c r="D139" s="559" t="s">
        <v>390</v>
      </c>
      <c r="E139" s="560" t="s">
        <v>105</v>
      </c>
      <c r="F139" s="561">
        <v>2</v>
      </c>
      <c r="G139" s="562">
        <v>3383.77</v>
      </c>
      <c r="H139" s="562">
        <v>4218.2</v>
      </c>
      <c r="I139" s="569">
        <v>8436.4</v>
      </c>
      <c r="J139" s="567">
        <f t="shared" si="13"/>
        <v>0</v>
      </c>
      <c r="K139" s="570">
        <f t="shared" si="8"/>
        <v>8436.4</v>
      </c>
    </row>
    <row r="140" spans="1:11">
      <c r="A140" s="559" t="s">
        <v>391</v>
      </c>
      <c r="B140" s="559" t="s">
        <v>392</v>
      </c>
      <c r="C140" s="559" t="s">
        <v>99</v>
      </c>
      <c r="D140" s="559" t="s">
        <v>393</v>
      </c>
      <c r="E140" s="560" t="s">
        <v>105</v>
      </c>
      <c r="F140" s="561">
        <v>6</v>
      </c>
      <c r="G140" s="562">
        <v>1399.63</v>
      </c>
      <c r="H140" s="562">
        <v>1744.77</v>
      </c>
      <c r="I140" s="569">
        <v>10468.62</v>
      </c>
      <c r="J140" s="567">
        <f t="shared" ref="J140:J149" si="14">$I$626</f>
        <v>0</v>
      </c>
      <c r="K140" s="570">
        <f t="shared" si="8"/>
        <v>10468.62</v>
      </c>
    </row>
    <row r="141" spans="1:11">
      <c r="A141" s="555" t="s">
        <v>394</v>
      </c>
      <c r="B141" s="555" t="s">
        <v>61</v>
      </c>
      <c r="C141" s="555"/>
      <c r="D141" s="555" t="s">
        <v>395</v>
      </c>
      <c r="E141" s="556"/>
      <c r="F141" s="557">
        <v>1</v>
      </c>
      <c r="G141" s="557" t="s">
        <v>62</v>
      </c>
      <c r="H141" s="558">
        <v>145701.28</v>
      </c>
      <c r="I141" s="566">
        <v>145701.28</v>
      </c>
      <c r="J141" s="567"/>
      <c r="K141" s="568">
        <f>K142</f>
        <v>145701.28</v>
      </c>
    </row>
    <row r="142" ht="25.5" spans="1:11">
      <c r="A142" s="559" t="s">
        <v>396</v>
      </c>
      <c r="B142" s="559" t="s">
        <v>397</v>
      </c>
      <c r="C142" s="559" t="s">
        <v>99</v>
      </c>
      <c r="D142" s="559" t="s">
        <v>398</v>
      </c>
      <c r="E142" s="560" t="s">
        <v>73</v>
      </c>
      <c r="F142" s="561">
        <v>118.6</v>
      </c>
      <c r="G142" s="562">
        <v>985.49</v>
      </c>
      <c r="H142" s="562">
        <v>1228.51</v>
      </c>
      <c r="I142" s="569">
        <v>145701.28</v>
      </c>
      <c r="J142" s="567">
        <f t="shared" si="14"/>
        <v>0</v>
      </c>
      <c r="K142" s="570">
        <f t="shared" si="8"/>
        <v>145701.28</v>
      </c>
    </row>
    <row r="143" spans="1:11">
      <c r="A143" s="555" t="s">
        <v>399</v>
      </c>
      <c r="B143" s="555" t="s">
        <v>61</v>
      </c>
      <c r="C143" s="555"/>
      <c r="D143" s="555" t="s">
        <v>400</v>
      </c>
      <c r="E143" s="556"/>
      <c r="F143" s="557">
        <v>1</v>
      </c>
      <c r="G143" s="557" t="s">
        <v>62</v>
      </c>
      <c r="H143" s="558">
        <v>9908.32</v>
      </c>
      <c r="I143" s="566">
        <v>9908.32</v>
      </c>
      <c r="J143" s="567"/>
      <c r="K143" s="568">
        <f>SUM(K144:K145)</f>
        <v>9908.32</v>
      </c>
    </row>
    <row r="144" ht="51" spans="1:11">
      <c r="A144" s="559" t="s">
        <v>401</v>
      </c>
      <c r="B144" s="559" t="s">
        <v>402</v>
      </c>
      <c r="C144" s="559" t="s">
        <v>65</v>
      </c>
      <c r="D144" s="559" t="s">
        <v>403</v>
      </c>
      <c r="E144" s="560" t="s">
        <v>67</v>
      </c>
      <c r="F144" s="561">
        <v>86.94</v>
      </c>
      <c r="G144" s="562">
        <v>56.75</v>
      </c>
      <c r="H144" s="562">
        <v>70.74</v>
      </c>
      <c r="I144" s="569">
        <v>6150.13</v>
      </c>
      <c r="J144" s="567">
        <f t="shared" si="14"/>
        <v>0</v>
      </c>
      <c r="K144" s="570">
        <f t="shared" si="8"/>
        <v>6150.13</v>
      </c>
    </row>
    <row r="145" ht="25.5" spans="1:11">
      <c r="A145" s="559" t="s">
        <v>404</v>
      </c>
      <c r="B145" s="559" t="s">
        <v>405</v>
      </c>
      <c r="C145" s="559" t="s">
        <v>65</v>
      </c>
      <c r="D145" s="559" t="s">
        <v>406</v>
      </c>
      <c r="E145" s="560" t="s">
        <v>67</v>
      </c>
      <c r="F145" s="561">
        <v>25.5</v>
      </c>
      <c r="G145" s="562">
        <v>118.23</v>
      </c>
      <c r="H145" s="562">
        <v>147.38</v>
      </c>
      <c r="I145" s="569">
        <v>3758.19</v>
      </c>
      <c r="J145" s="567">
        <f t="shared" si="14"/>
        <v>0</v>
      </c>
      <c r="K145" s="570">
        <f t="shared" si="8"/>
        <v>3758.19</v>
      </c>
    </row>
    <row r="146" spans="1:11">
      <c r="A146" s="555" t="s">
        <v>407</v>
      </c>
      <c r="B146" s="555" t="s">
        <v>61</v>
      </c>
      <c r="C146" s="555"/>
      <c r="D146" s="555" t="s">
        <v>29</v>
      </c>
      <c r="E146" s="556"/>
      <c r="F146" s="557">
        <v>1</v>
      </c>
      <c r="G146" s="557" t="s">
        <v>62</v>
      </c>
      <c r="H146" s="558">
        <v>113067.58</v>
      </c>
      <c r="I146" s="566">
        <v>113067.58</v>
      </c>
      <c r="J146" s="575"/>
      <c r="K146" s="568">
        <f>K147+K189+K226</f>
        <v>113067.58</v>
      </c>
    </row>
    <row r="147" spans="1:11">
      <c r="A147" s="555" t="s">
        <v>408</v>
      </c>
      <c r="B147" s="555" t="s">
        <v>61</v>
      </c>
      <c r="C147" s="555"/>
      <c r="D147" s="555" t="s">
        <v>409</v>
      </c>
      <c r="E147" s="556"/>
      <c r="F147" s="557">
        <v>1</v>
      </c>
      <c r="G147" s="557" t="s">
        <v>62</v>
      </c>
      <c r="H147" s="558">
        <v>33073.33</v>
      </c>
      <c r="I147" s="566">
        <v>33073.33</v>
      </c>
      <c r="J147" s="575"/>
      <c r="K147" s="568">
        <f>K148+K181</f>
        <v>33073.33</v>
      </c>
    </row>
    <row r="148" spans="1:11">
      <c r="A148" s="555" t="s">
        <v>410</v>
      </c>
      <c r="B148" s="555" t="s">
        <v>61</v>
      </c>
      <c r="C148" s="555"/>
      <c r="D148" s="555" t="s">
        <v>411</v>
      </c>
      <c r="E148" s="556"/>
      <c r="F148" s="557">
        <v>1</v>
      </c>
      <c r="G148" s="557" t="s">
        <v>62</v>
      </c>
      <c r="H148" s="558">
        <v>27129.63</v>
      </c>
      <c r="I148" s="566">
        <v>27129.63</v>
      </c>
      <c r="J148" s="575"/>
      <c r="K148" s="568">
        <f>SUM(K149:K180)</f>
        <v>27129.63</v>
      </c>
    </row>
    <row r="149" ht="25.5" spans="1:11">
      <c r="A149" s="559" t="s">
        <v>412</v>
      </c>
      <c r="B149" s="559" t="s">
        <v>413</v>
      </c>
      <c r="C149" s="559" t="s">
        <v>71</v>
      </c>
      <c r="D149" s="559" t="s">
        <v>414</v>
      </c>
      <c r="E149" s="560" t="s">
        <v>78</v>
      </c>
      <c r="F149" s="561">
        <v>10</v>
      </c>
      <c r="G149" s="562">
        <v>25.5</v>
      </c>
      <c r="H149" s="562">
        <v>31.78</v>
      </c>
      <c r="I149" s="569">
        <v>317.8</v>
      </c>
      <c r="J149" s="567">
        <f t="shared" si="14"/>
        <v>0</v>
      </c>
      <c r="K149" s="570">
        <f t="shared" ref="K146:K209" si="15">I149-(I149*J149)</f>
        <v>317.8</v>
      </c>
    </row>
    <row r="150" ht="25.5" spans="1:11">
      <c r="A150" s="559" t="s">
        <v>415</v>
      </c>
      <c r="B150" s="559" t="s">
        <v>416</v>
      </c>
      <c r="C150" s="559" t="s">
        <v>71</v>
      </c>
      <c r="D150" s="559" t="s">
        <v>417</v>
      </c>
      <c r="E150" s="560" t="s">
        <v>78</v>
      </c>
      <c r="F150" s="561">
        <v>171</v>
      </c>
      <c r="G150" s="562">
        <v>29.44</v>
      </c>
      <c r="H150" s="562">
        <v>36.69</v>
      </c>
      <c r="I150" s="569">
        <v>6273.99</v>
      </c>
      <c r="J150" s="567">
        <f t="shared" ref="J150:J159" si="16">$I$626</f>
        <v>0</v>
      </c>
      <c r="K150" s="570">
        <f t="shared" si="15"/>
        <v>6273.99</v>
      </c>
    </row>
    <row r="151" ht="25.5" spans="1:11">
      <c r="A151" s="559" t="s">
        <v>418</v>
      </c>
      <c r="B151" s="559" t="s">
        <v>419</v>
      </c>
      <c r="C151" s="559" t="s">
        <v>71</v>
      </c>
      <c r="D151" s="559" t="s">
        <v>420</v>
      </c>
      <c r="E151" s="560" t="s">
        <v>78</v>
      </c>
      <c r="F151" s="561">
        <v>218</v>
      </c>
      <c r="G151" s="562">
        <v>39.49</v>
      </c>
      <c r="H151" s="562">
        <v>49.22</v>
      </c>
      <c r="I151" s="569">
        <v>10729.96</v>
      </c>
      <c r="J151" s="567">
        <f t="shared" si="16"/>
        <v>0</v>
      </c>
      <c r="K151" s="570">
        <f t="shared" si="15"/>
        <v>10729.96</v>
      </c>
    </row>
    <row r="152" ht="38.25" spans="1:11">
      <c r="A152" s="559" t="s">
        <v>421</v>
      </c>
      <c r="B152" s="559" t="s">
        <v>422</v>
      </c>
      <c r="C152" s="559" t="s">
        <v>71</v>
      </c>
      <c r="D152" s="559" t="s">
        <v>423</v>
      </c>
      <c r="E152" s="560" t="s">
        <v>78</v>
      </c>
      <c r="F152" s="561">
        <v>10</v>
      </c>
      <c r="G152" s="562">
        <v>30.01</v>
      </c>
      <c r="H152" s="562">
        <v>37.41</v>
      </c>
      <c r="I152" s="569">
        <v>374.1</v>
      </c>
      <c r="J152" s="567">
        <f t="shared" si="16"/>
        <v>0</v>
      </c>
      <c r="K152" s="570">
        <f t="shared" si="15"/>
        <v>374.1</v>
      </c>
    </row>
    <row r="153" ht="38.25" spans="1:11">
      <c r="A153" s="559" t="s">
        <v>424</v>
      </c>
      <c r="B153" s="559" t="s">
        <v>425</v>
      </c>
      <c r="C153" s="559" t="s">
        <v>71</v>
      </c>
      <c r="D153" s="559" t="s">
        <v>426</v>
      </c>
      <c r="E153" s="560" t="s">
        <v>105</v>
      </c>
      <c r="F153" s="561">
        <v>10</v>
      </c>
      <c r="G153" s="562">
        <v>20.69</v>
      </c>
      <c r="H153" s="562">
        <v>25.79</v>
      </c>
      <c r="I153" s="569">
        <v>257.9</v>
      </c>
      <c r="J153" s="567">
        <f t="shared" si="16"/>
        <v>0</v>
      </c>
      <c r="K153" s="570">
        <f t="shared" si="15"/>
        <v>257.9</v>
      </c>
    </row>
    <row r="154" ht="38.25" spans="1:11">
      <c r="A154" s="559" t="s">
        <v>427</v>
      </c>
      <c r="B154" s="559" t="s">
        <v>428</v>
      </c>
      <c r="C154" s="559" t="s">
        <v>71</v>
      </c>
      <c r="D154" s="559" t="s">
        <v>429</v>
      </c>
      <c r="E154" s="560" t="s">
        <v>105</v>
      </c>
      <c r="F154" s="561">
        <v>1</v>
      </c>
      <c r="G154" s="562">
        <v>32.35</v>
      </c>
      <c r="H154" s="562">
        <v>40.32</v>
      </c>
      <c r="I154" s="569">
        <v>40.32</v>
      </c>
      <c r="J154" s="567">
        <f t="shared" si="16"/>
        <v>0</v>
      </c>
      <c r="K154" s="570">
        <f t="shared" si="15"/>
        <v>40.32</v>
      </c>
    </row>
    <row r="155" ht="38.25" spans="1:11">
      <c r="A155" s="559" t="s">
        <v>430</v>
      </c>
      <c r="B155" s="559" t="s">
        <v>431</v>
      </c>
      <c r="C155" s="559" t="s">
        <v>71</v>
      </c>
      <c r="D155" s="559" t="s">
        <v>432</v>
      </c>
      <c r="E155" s="560" t="s">
        <v>105</v>
      </c>
      <c r="F155" s="561">
        <v>1</v>
      </c>
      <c r="G155" s="562">
        <v>39.94</v>
      </c>
      <c r="H155" s="562">
        <v>49.78</v>
      </c>
      <c r="I155" s="569">
        <v>49.78</v>
      </c>
      <c r="J155" s="567">
        <f t="shared" si="16"/>
        <v>0</v>
      </c>
      <c r="K155" s="570">
        <f t="shared" si="15"/>
        <v>49.78</v>
      </c>
    </row>
    <row r="156" ht="38.25" spans="1:11">
      <c r="A156" s="559" t="s">
        <v>433</v>
      </c>
      <c r="B156" s="559" t="s">
        <v>434</v>
      </c>
      <c r="C156" s="559" t="s">
        <v>71</v>
      </c>
      <c r="D156" s="559" t="s">
        <v>435</v>
      </c>
      <c r="E156" s="560" t="s">
        <v>105</v>
      </c>
      <c r="F156" s="561">
        <v>9</v>
      </c>
      <c r="G156" s="562">
        <v>10.04</v>
      </c>
      <c r="H156" s="562">
        <v>12.51</v>
      </c>
      <c r="I156" s="569">
        <v>112.59</v>
      </c>
      <c r="J156" s="567">
        <f t="shared" si="16"/>
        <v>0</v>
      </c>
      <c r="K156" s="570">
        <f t="shared" si="15"/>
        <v>112.59</v>
      </c>
    </row>
    <row r="157" ht="38.25" spans="1:11">
      <c r="A157" s="559" t="s">
        <v>436</v>
      </c>
      <c r="B157" s="559" t="s">
        <v>437</v>
      </c>
      <c r="C157" s="559" t="s">
        <v>71</v>
      </c>
      <c r="D157" s="559" t="s">
        <v>438</v>
      </c>
      <c r="E157" s="560" t="s">
        <v>105</v>
      </c>
      <c r="F157" s="561">
        <v>37</v>
      </c>
      <c r="G157" s="562">
        <v>11.88</v>
      </c>
      <c r="H157" s="562">
        <v>14.8</v>
      </c>
      <c r="I157" s="569">
        <v>547.6</v>
      </c>
      <c r="J157" s="567">
        <f t="shared" si="16"/>
        <v>0</v>
      </c>
      <c r="K157" s="570">
        <f t="shared" si="15"/>
        <v>547.6</v>
      </c>
    </row>
    <row r="158" ht="25.5" spans="1:11">
      <c r="A158" s="559" t="s">
        <v>439</v>
      </c>
      <c r="B158" s="559" t="s">
        <v>440</v>
      </c>
      <c r="C158" s="559" t="s">
        <v>71</v>
      </c>
      <c r="D158" s="559" t="s">
        <v>441</v>
      </c>
      <c r="E158" s="560" t="s">
        <v>105</v>
      </c>
      <c r="F158" s="561">
        <v>11</v>
      </c>
      <c r="G158" s="562">
        <v>9.71</v>
      </c>
      <c r="H158" s="562">
        <v>12.1</v>
      </c>
      <c r="I158" s="569">
        <v>133.1</v>
      </c>
      <c r="J158" s="567">
        <f t="shared" si="16"/>
        <v>0</v>
      </c>
      <c r="K158" s="570">
        <f t="shared" si="15"/>
        <v>133.1</v>
      </c>
    </row>
    <row r="159" ht="25.5" spans="1:11">
      <c r="A159" s="559" t="s">
        <v>442</v>
      </c>
      <c r="B159" s="559" t="s">
        <v>443</v>
      </c>
      <c r="C159" s="559" t="s">
        <v>71</v>
      </c>
      <c r="D159" s="559" t="s">
        <v>444</v>
      </c>
      <c r="E159" s="560" t="s">
        <v>105</v>
      </c>
      <c r="F159" s="561">
        <v>2</v>
      </c>
      <c r="G159" s="562">
        <v>14.99</v>
      </c>
      <c r="H159" s="562">
        <v>18.68</v>
      </c>
      <c r="I159" s="569">
        <v>37.36</v>
      </c>
      <c r="J159" s="567">
        <f t="shared" si="16"/>
        <v>0</v>
      </c>
      <c r="K159" s="570">
        <f t="shared" si="15"/>
        <v>37.36</v>
      </c>
    </row>
    <row r="160" ht="38.25" spans="1:11">
      <c r="A160" s="559" t="s">
        <v>445</v>
      </c>
      <c r="B160" s="559" t="s">
        <v>446</v>
      </c>
      <c r="C160" s="559" t="s">
        <v>71</v>
      </c>
      <c r="D160" s="559" t="s">
        <v>447</v>
      </c>
      <c r="E160" s="560" t="s">
        <v>105</v>
      </c>
      <c r="F160" s="561">
        <v>1</v>
      </c>
      <c r="G160" s="562">
        <v>20.78</v>
      </c>
      <c r="H160" s="562">
        <v>25.9</v>
      </c>
      <c r="I160" s="569">
        <v>25.9</v>
      </c>
      <c r="J160" s="567">
        <f t="shared" ref="J160:J169" si="17">$I$626</f>
        <v>0</v>
      </c>
      <c r="K160" s="570">
        <f t="shared" si="15"/>
        <v>25.9</v>
      </c>
    </row>
    <row r="161" ht="38.25" spans="1:11">
      <c r="A161" s="559" t="s">
        <v>448</v>
      </c>
      <c r="B161" s="559" t="s">
        <v>449</v>
      </c>
      <c r="C161" s="559" t="s">
        <v>71</v>
      </c>
      <c r="D161" s="559" t="s">
        <v>450</v>
      </c>
      <c r="E161" s="560" t="s">
        <v>105</v>
      </c>
      <c r="F161" s="561">
        <v>12</v>
      </c>
      <c r="G161" s="562">
        <v>15.16</v>
      </c>
      <c r="H161" s="562">
        <v>18.89</v>
      </c>
      <c r="I161" s="569">
        <v>226.68</v>
      </c>
      <c r="J161" s="567">
        <f t="shared" si="17"/>
        <v>0</v>
      </c>
      <c r="K161" s="570">
        <f t="shared" si="15"/>
        <v>226.68</v>
      </c>
    </row>
    <row r="162" ht="38.25" spans="1:11">
      <c r="A162" s="559" t="s">
        <v>451</v>
      </c>
      <c r="B162" s="559" t="s">
        <v>452</v>
      </c>
      <c r="C162" s="559" t="s">
        <v>71</v>
      </c>
      <c r="D162" s="559" t="s">
        <v>453</v>
      </c>
      <c r="E162" s="560" t="s">
        <v>105</v>
      </c>
      <c r="F162" s="561">
        <v>20</v>
      </c>
      <c r="G162" s="562">
        <v>31.73</v>
      </c>
      <c r="H162" s="562">
        <v>39.55</v>
      </c>
      <c r="I162" s="569">
        <v>791</v>
      </c>
      <c r="J162" s="567">
        <f t="shared" si="17"/>
        <v>0</v>
      </c>
      <c r="K162" s="570">
        <f t="shared" si="15"/>
        <v>791</v>
      </c>
    </row>
    <row r="163" ht="38.25" spans="1:11">
      <c r="A163" s="559" t="s">
        <v>454</v>
      </c>
      <c r="B163" s="559" t="s">
        <v>455</v>
      </c>
      <c r="C163" s="559" t="s">
        <v>71</v>
      </c>
      <c r="D163" s="559" t="s">
        <v>456</v>
      </c>
      <c r="E163" s="560" t="s">
        <v>105</v>
      </c>
      <c r="F163" s="561">
        <v>1</v>
      </c>
      <c r="G163" s="562">
        <v>18.67</v>
      </c>
      <c r="H163" s="562">
        <v>23.27</v>
      </c>
      <c r="I163" s="569">
        <v>23.27</v>
      </c>
      <c r="J163" s="567">
        <f t="shared" si="17"/>
        <v>0</v>
      </c>
      <c r="K163" s="570">
        <f t="shared" si="15"/>
        <v>23.27</v>
      </c>
    </row>
    <row r="164" ht="38.25" spans="1:11">
      <c r="A164" s="559" t="s">
        <v>457</v>
      </c>
      <c r="B164" s="559" t="s">
        <v>458</v>
      </c>
      <c r="C164" s="559" t="s">
        <v>71</v>
      </c>
      <c r="D164" s="559" t="s">
        <v>459</v>
      </c>
      <c r="E164" s="560" t="s">
        <v>105</v>
      </c>
      <c r="F164" s="561">
        <v>4</v>
      </c>
      <c r="G164" s="562">
        <v>22.06</v>
      </c>
      <c r="H164" s="562">
        <v>27.49</v>
      </c>
      <c r="I164" s="569">
        <v>109.96</v>
      </c>
      <c r="J164" s="567">
        <f t="shared" si="17"/>
        <v>0</v>
      </c>
      <c r="K164" s="570">
        <f t="shared" si="15"/>
        <v>109.96</v>
      </c>
    </row>
    <row r="165" ht="38.25" spans="1:11">
      <c r="A165" s="559" t="s">
        <v>460</v>
      </c>
      <c r="B165" s="559" t="s">
        <v>461</v>
      </c>
      <c r="C165" s="559" t="s">
        <v>71</v>
      </c>
      <c r="D165" s="559" t="s">
        <v>462</v>
      </c>
      <c r="E165" s="560" t="s">
        <v>105</v>
      </c>
      <c r="F165" s="561">
        <v>2</v>
      </c>
      <c r="G165" s="562">
        <v>27.21</v>
      </c>
      <c r="H165" s="562">
        <v>33.91</v>
      </c>
      <c r="I165" s="569">
        <v>67.82</v>
      </c>
      <c r="J165" s="567">
        <f t="shared" si="17"/>
        <v>0</v>
      </c>
      <c r="K165" s="570">
        <f t="shared" si="15"/>
        <v>67.82</v>
      </c>
    </row>
    <row r="166" ht="25.5" spans="1:11">
      <c r="A166" s="559" t="s">
        <v>463</v>
      </c>
      <c r="B166" s="559" t="s">
        <v>464</v>
      </c>
      <c r="C166" s="559" t="s">
        <v>71</v>
      </c>
      <c r="D166" s="559" t="s">
        <v>465</v>
      </c>
      <c r="E166" s="560" t="s">
        <v>105</v>
      </c>
      <c r="F166" s="561">
        <v>2</v>
      </c>
      <c r="G166" s="562">
        <v>21.75</v>
      </c>
      <c r="H166" s="562">
        <v>27.11</v>
      </c>
      <c r="I166" s="569">
        <v>54.22</v>
      </c>
      <c r="J166" s="567">
        <f t="shared" si="17"/>
        <v>0</v>
      </c>
      <c r="K166" s="570">
        <f t="shared" si="15"/>
        <v>54.22</v>
      </c>
    </row>
    <row r="167" ht="25.5" spans="1:11">
      <c r="A167" s="559" t="s">
        <v>466</v>
      </c>
      <c r="B167" s="559" t="s">
        <v>467</v>
      </c>
      <c r="C167" s="559" t="s">
        <v>71</v>
      </c>
      <c r="D167" s="559" t="s">
        <v>468</v>
      </c>
      <c r="E167" s="560" t="s">
        <v>105</v>
      </c>
      <c r="F167" s="561">
        <v>15</v>
      </c>
      <c r="G167" s="562">
        <v>9.14</v>
      </c>
      <c r="H167" s="562">
        <v>11.39</v>
      </c>
      <c r="I167" s="569">
        <v>170.85</v>
      </c>
      <c r="J167" s="567">
        <f t="shared" si="17"/>
        <v>0</v>
      </c>
      <c r="K167" s="570">
        <f t="shared" si="15"/>
        <v>170.85</v>
      </c>
    </row>
    <row r="168" ht="25.5" spans="1:11">
      <c r="A168" s="559" t="s">
        <v>469</v>
      </c>
      <c r="B168" s="559" t="s">
        <v>470</v>
      </c>
      <c r="C168" s="559" t="s">
        <v>71</v>
      </c>
      <c r="D168" s="559" t="s">
        <v>471</v>
      </c>
      <c r="E168" s="560" t="s">
        <v>105</v>
      </c>
      <c r="F168" s="561">
        <v>6</v>
      </c>
      <c r="G168" s="562">
        <v>13.83</v>
      </c>
      <c r="H168" s="562">
        <v>17.24</v>
      </c>
      <c r="I168" s="569">
        <v>103.44</v>
      </c>
      <c r="J168" s="567">
        <f t="shared" si="17"/>
        <v>0</v>
      </c>
      <c r="K168" s="570">
        <f t="shared" si="15"/>
        <v>103.44</v>
      </c>
    </row>
    <row r="169" ht="38.25" spans="1:11">
      <c r="A169" s="559" t="s">
        <v>472</v>
      </c>
      <c r="B169" s="559" t="s">
        <v>473</v>
      </c>
      <c r="C169" s="559" t="s">
        <v>71</v>
      </c>
      <c r="D169" s="559" t="s">
        <v>474</v>
      </c>
      <c r="E169" s="560" t="s">
        <v>105</v>
      </c>
      <c r="F169" s="561">
        <v>8</v>
      </c>
      <c r="G169" s="562">
        <v>16.55</v>
      </c>
      <c r="H169" s="562">
        <v>20.63</v>
      </c>
      <c r="I169" s="569">
        <v>165.04</v>
      </c>
      <c r="J169" s="567">
        <f t="shared" si="17"/>
        <v>0</v>
      </c>
      <c r="K169" s="570">
        <f t="shared" si="15"/>
        <v>165.04</v>
      </c>
    </row>
    <row r="170" ht="38.25" spans="1:11">
      <c r="A170" s="559" t="s">
        <v>475</v>
      </c>
      <c r="B170" s="559" t="s">
        <v>476</v>
      </c>
      <c r="C170" s="559" t="s">
        <v>71</v>
      </c>
      <c r="D170" s="559" t="s">
        <v>477</v>
      </c>
      <c r="E170" s="560" t="s">
        <v>105</v>
      </c>
      <c r="F170" s="561">
        <v>3</v>
      </c>
      <c r="G170" s="562">
        <v>23.39</v>
      </c>
      <c r="H170" s="562">
        <v>29.15</v>
      </c>
      <c r="I170" s="569">
        <v>87.45</v>
      </c>
      <c r="J170" s="567">
        <f t="shared" ref="J170:J179" si="18">$I$626</f>
        <v>0</v>
      </c>
      <c r="K170" s="570">
        <f t="shared" si="15"/>
        <v>87.45</v>
      </c>
    </row>
    <row r="171" ht="38.25" spans="1:11">
      <c r="A171" s="559" t="s">
        <v>478</v>
      </c>
      <c r="B171" s="559" t="s">
        <v>479</v>
      </c>
      <c r="C171" s="559" t="s">
        <v>71</v>
      </c>
      <c r="D171" s="559" t="s">
        <v>480</v>
      </c>
      <c r="E171" s="560" t="s">
        <v>105</v>
      </c>
      <c r="F171" s="561">
        <v>2</v>
      </c>
      <c r="G171" s="562">
        <v>7.8</v>
      </c>
      <c r="H171" s="562">
        <v>9.72</v>
      </c>
      <c r="I171" s="569">
        <v>19.44</v>
      </c>
      <c r="J171" s="567">
        <f t="shared" si="18"/>
        <v>0</v>
      </c>
      <c r="K171" s="570">
        <f t="shared" si="15"/>
        <v>19.44</v>
      </c>
    </row>
    <row r="172" ht="38.25" spans="1:11">
      <c r="A172" s="559" t="s">
        <v>481</v>
      </c>
      <c r="B172" s="559" t="s">
        <v>482</v>
      </c>
      <c r="C172" s="559" t="s">
        <v>71</v>
      </c>
      <c r="D172" s="559" t="s">
        <v>483</v>
      </c>
      <c r="E172" s="560" t="s">
        <v>105</v>
      </c>
      <c r="F172" s="561">
        <v>3</v>
      </c>
      <c r="G172" s="562">
        <v>9.65</v>
      </c>
      <c r="H172" s="562">
        <v>12.02</v>
      </c>
      <c r="I172" s="569">
        <v>36.06</v>
      </c>
      <c r="J172" s="567">
        <f t="shared" si="18"/>
        <v>0</v>
      </c>
      <c r="K172" s="570">
        <f t="shared" si="15"/>
        <v>36.06</v>
      </c>
    </row>
    <row r="173" ht="38.25" spans="1:11">
      <c r="A173" s="559" t="s">
        <v>484</v>
      </c>
      <c r="B173" s="559" t="s">
        <v>485</v>
      </c>
      <c r="C173" s="559" t="s">
        <v>71</v>
      </c>
      <c r="D173" s="559" t="s">
        <v>486</v>
      </c>
      <c r="E173" s="560" t="s">
        <v>105</v>
      </c>
      <c r="F173" s="561">
        <v>3</v>
      </c>
      <c r="G173" s="562">
        <v>22.11</v>
      </c>
      <c r="H173" s="562">
        <v>27.56</v>
      </c>
      <c r="I173" s="569">
        <v>82.68</v>
      </c>
      <c r="J173" s="567">
        <f t="shared" si="18"/>
        <v>0</v>
      </c>
      <c r="K173" s="570">
        <f t="shared" si="15"/>
        <v>82.68</v>
      </c>
    </row>
    <row r="174" ht="38.25" spans="1:11">
      <c r="A174" s="559" t="s">
        <v>487</v>
      </c>
      <c r="B174" s="559" t="s">
        <v>488</v>
      </c>
      <c r="C174" s="559" t="s">
        <v>71</v>
      </c>
      <c r="D174" s="559" t="s">
        <v>489</v>
      </c>
      <c r="E174" s="560" t="s">
        <v>105</v>
      </c>
      <c r="F174" s="561">
        <v>3</v>
      </c>
      <c r="G174" s="562">
        <v>29.05</v>
      </c>
      <c r="H174" s="562">
        <v>36.21</v>
      </c>
      <c r="I174" s="569">
        <v>108.63</v>
      </c>
      <c r="J174" s="567">
        <f t="shared" si="18"/>
        <v>0</v>
      </c>
      <c r="K174" s="570">
        <f t="shared" si="15"/>
        <v>108.63</v>
      </c>
    </row>
    <row r="175" ht="38.25" spans="1:11">
      <c r="A175" s="559" t="s">
        <v>490</v>
      </c>
      <c r="B175" s="559" t="s">
        <v>491</v>
      </c>
      <c r="C175" s="559" t="s">
        <v>71</v>
      </c>
      <c r="D175" s="559" t="s">
        <v>492</v>
      </c>
      <c r="E175" s="560" t="s">
        <v>105</v>
      </c>
      <c r="F175" s="561">
        <v>2</v>
      </c>
      <c r="G175" s="562">
        <v>39.15</v>
      </c>
      <c r="H175" s="562">
        <v>48.8</v>
      </c>
      <c r="I175" s="569">
        <v>97.6</v>
      </c>
      <c r="J175" s="567">
        <f t="shared" si="18"/>
        <v>0</v>
      </c>
      <c r="K175" s="570">
        <f t="shared" si="15"/>
        <v>97.6</v>
      </c>
    </row>
    <row r="176" ht="38.25" spans="1:11">
      <c r="A176" s="559" t="s">
        <v>493</v>
      </c>
      <c r="B176" s="559" t="s">
        <v>494</v>
      </c>
      <c r="C176" s="559" t="s">
        <v>71</v>
      </c>
      <c r="D176" s="559" t="s">
        <v>495</v>
      </c>
      <c r="E176" s="560" t="s">
        <v>105</v>
      </c>
      <c r="F176" s="561">
        <v>19</v>
      </c>
      <c r="G176" s="562">
        <v>78.48</v>
      </c>
      <c r="H176" s="562">
        <v>97.83</v>
      </c>
      <c r="I176" s="569">
        <v>1858.77</v>
      </c>
      <c r="J176" s="567">
        <f t="shared" si="18"/>
        <v>0</v>
      </c>
      <c r="K176" s="570">
        <f t="shared" si="15"/>
        <v>1858.77</v>
      </c>
    </row>
    <row r="177" ht="38.25" spans="1:11">
      <c r="A177" s="559" t="s">
        <v>496</v>
      </c>
      <c r="B177" s="559" t="s">
        <v>497</v>
      </c>
      <c r="C177" s="559" t="s">
        <v>71</v>
      </c>
      <c r="D177" s="559" t="s">
        <v>498</v>
      </c>
      <c r="E177" s="560" t="s">
        <v>105</v>
      </c>
      <c r="F177" s="561">
        <v>4</v>
      </c>
      <c r="G177" s="562">
        <v>95.33</v>
      </c>
      <c r="H177" s="562">
        <v>118.83</v>
      </c>
      <c r="I177" s="569">
        <v>475.32</v>
      </c>
      <c r="J177" s="567">
        <f t="shared" si="18"/>
        <v>0</v>
      </c>
      <c r="K177" s="570">
        <f t="shared" si="15"/>
        <v>475.32</v>
      </c>
    </row>
    <row r="178" ht="38.25" spans="1:11">
      <c r="A178" s="559" t="s">
        <v>499</v>
      </c>
      <c r="B178" s="559" t="s">
        <v>500</v>
      </c>
      <c r="C178" s="559" t="s">
        <v>71</v>
      </c>
      <c r="D178" s="559" t="s">
        <v>501</v>
      </c>
      <c r="E178" s="560" t="s">
        <v>105</v>
      </c>
      <c r="F178" s="561">
        <v>2</v>
      </c>
      <c r="G178" s="562">
        <v>129.43</v>
      </c>
      <c r="H178" s="562">
        <v>161.34</v>
      </c>
      <c r="I178" s="569">
        <v>322.68</v>
      </c>
      <c r="J178" s="567">
        <f t="shared" si="18"/>
        <v>0</v>
      </c>
      <c r="K178" s="570">
        <f t="shared" si="15"/>
        <v>322.68</v>
      </c>
    </row>
    <row r="179" ht="25.5" spans="1:11">
      <c r="A179" s="559" t="s">
        <v>502</v>
      </c>
      <c r="B179" s="559" t="s">
        <v>503</v>
      </c>
      <c r="C179" s="559" t="s">
        <v>71</v>
      </c>
      <c r="D179" s="559" t="s">
        <v>504</v>
      </c>
      <c r="E179" s="560" t="s">
        <v>105</v>
      </c>
      <c r="F179" s="561">
        <v>2</v>
      </c>
      <c r="G179" s="562">
        <v>1166.89</v>
      </c>
      <c r="H179" s="562">
        <v>1454.64</v>
      </c>
      <c r="I179" s="569">
        <v>2909.28</v>
      </c>
      <c r="J179" s="567">
        <f t="shared" si="18"/>
        <v>0</v>
      </c>
      <c r="K179" s="570">
        <f t="shared" si="15"/>
        <v>2909.28</v>
      </c>
    </row>
    <row r="180" ht="51" spans="1:11">
      <c r="A180" s="559" t="s">
        <v>505</v>
      </c>
      <c r="B180" s="559" t="s">
        <v>506</v>
      </c>
      <c r="C180" s="559" t="s">
        <v>65</v>
      </c>
      <c r="D180" s="559" t="s">
        <v>507</v>
      </c>
      <c r="E180" s="560" t="s">
        <v>67</v>
      </c>
      <c r="F180" s="561">
        <v>8</v>
      </c>
      <c r="G180" s="562">
        <v>52.05</v>
      </c>
      <c r="H180" s="562">
        <v>64.88</v>
      </c>
      <c r="I180" s="569">
        <v>519.04</v>
      </c>
      <c r="J180" s="567">
        <f t="shared" ref="J180:J189" si="19">$I$626</f>
        <v>0</v>
      </c>
      <c r="K180" s="570">
        <f t="shared" si="15"/>
        <v>519.04</v>
      </c>
    </row>
    <row r="181" spans="1:11">
      <c r="A181" s="555" t="s">
        <v>508</v>
      </c>
      <c r="B181" s="555" t="s">
        <v>61</v>
      </c>
      <c r="C181" s="555"/>
      <c r="D181" s="555" t="s">
        <v>509</v>
      </c>
      <c r="E181" s="556"/>
      <c r="F181" s="557">
        <v>1</v>
      </c>
      <c r="G181" s="557" t="s">
        <v>62</v>
      </c>
      <c r="H181" s="558">
        <v>5943.7</v>
      </c>
      <c r="I181" s="566">
        <v>5943.7</v>
      </c>
      <c r="J181" s="567"/>
      <c r="K181" s="568">
        <f>SUM(K182:K188)</f>
        <v>5943.7</v>
      </c>
    </row>
    <row r="182" ht="38.25" spans="1:11">
      <c r="A182" s="559" t="s">
        <v>510</v>
      </c>
      <c r="B182" s="559" t="s">
        <v>511</v>
      </c>
      <c r="C182" s="559" t="s">
        <v>512</v>
      </c>
      <c r="D182" s="559" t="s">
        <v>513</v>
      </c>
      <c r="E182" s="560" t="s">
        <v>73</v>
      </c>
      <c r="F182" s="561">
        <v>3.6</v>
      </c>
      <c r="G182" s="562">
        <v>364.89</v>
      </c>
      <c r="H182" s="562">
        <v>454.87</v>
      </c>
      <c r="I182" s="569">
        <v>1637.53</v>
      </c>
      <c r="J182" s="567">
        <f t="shared" si="19"/>
        <v>0</v>
      </c>
      <c r="K182" s="570">
        <f t="shared" si="15"/>
        <v>1637.53</v>
      </c>
    </row>
    <row r="183" ht="76.5" spans="1:11">
      <c r="A183" s="559" t="s">
        <v>514</v>
      </c>
      <c r="B183" s="559" t="s">
        <v>515</v>
      </c>
      <c r="C183" s="559" t="s">
        <v>76</v>
      </c>
      <c r="D183" s="559" t="s">
        <v>516</v>
      </c>
      <c r="E183" s="560" t="s">
        <v>105</v>
      </c>
      <c r="F183" s="561">
        <v>6</v>
      </c>
      <c r="G183" s="562">
        <v>348.35</v>
      </c>
      <c r="H183" s="562">
        <v>434.25</v>
      </c>
      <c r="I183" s="569">
        <v>2605.5</v>
      </c>
      <c r="J183" s="567">
        <f t="shared" si="19"/>
        <v>0</v>
      </c>
      <c r="K183" s="570">
        <f t="shared" si="15"/>
        <v>2605.5</v>
      </c>
    </row>
    <row r="184" ht="25.5" spans="1:11">
      <c r="A184" s="571" t="s">
        <v>517</v>
      </c>
      <c r="B184" s="571" t="s">
        <v>518</v>
      </c>
      <c r="C184" s="571" t="s">
        <v>76</v>
      </c>
      <c r="D184" s="571" t="s">
        <v>519</v>
      </c>
      <c r="E184" s="572" t="s">
        <v>105</v>
      </c>
      <c r="F184" s="573">
        <v>6</v>
      </c>
      <c r="G184" s="574">
        <v>28.08</v>
      </c>
      <c r="H184" s="574">
        <v>35</v>
      </c>
      <c r="I184" s="576">
        <v>210</v>
      </c>
      <c r="J184" s="567">
        <f t="shared" si="19"/>
        <v>0</v>
      </c>
      <c r="K184" s="570">
        <f t="shared" si="15"/>
        <v>210</v>
      </c>
    </row>
    <row r="185" ht="25.5" spans="1:11">
      <c r="A185" s="559" t="s">
        <v>520</v>
      </c>
      <c r="B185" s="559" t="s">
        <v>521</v>
      </c>
      <c r="C185" s="559" t="s">
        <v>71</v>
      </c>
      <c r="D185" s="559" t="s">
        <v>522</v>
      </c>
      <c r="E185" s="560" t="s">
        <v>105</v>
      </c>
      <c r="F185" s="561">
        <v>6</v>
      </c>
      <c r="G185" s="562">
        <v>33.51</v>
      </c>
      <c r="H185" s="562">
        <v>41.77</v>
      </c>
      <c r="I185" s="569">
        <v>250.62</v>
      </c>
      <c r="J185" s="567">
        <f t="shared" si="19"/>
        <v>0</v>
      </c>
      <c r="K185" s="570">
        <f t="shared" si="15"/>
        <v>250.62</v>
      </c>
    </row>
    <row r="186" ht="51" spans="1:11">
      <c r="A186" s="559" t="s">
        <v>523</v>
      </c>
      <c r="B186" s="559" t="s">
        <v>524</v>
      </c>
      <c r="C186" s="559" t="s">
        <v>71</v>
      </c>
      <c r="D186" s="559" t="s">
        <v>525</v>
      </c>
      <c r="E186" s="560" t="s">
        <v>105</v>
      </c>
      <c r="F186" s="561">
        <v>6</v>
      </c>
      <c r="G186" s="562">
        <v>7.46</v>
      </c>
      <c r="H186" s="562">
        <v>9.29</v>
      </c>
      <c r="I186" s="569">
        <v>55.74</v>
      </c>
      <c r="J186" s="567">
        <f t="shared" si="19"/>
        <v>0</v>
      </c>
      <c r="K186" s="570">
        <f t="shared" si="15"/>
        <v>55.74</v>
      </c>
    </row>
    <row r="187" ht="38.25" spans="1:11">
      <c r="A187" s="559" t="s">
        <v>526</v>
      </c>
      <c r="B187" s="559" t="s">
        <v>494</v>
      </c>
      <c r="C187" s="559" t="s">
        <v>71</v>
      </c>
      <c r="D187" s="559" t="s">
        <v>495</v>
      </c>
      <c r="E187" s="560" t="s">
        <v>105</v>
      </c>
      <c r="F187" s="561">
        <v>7</v>
      </c>
      <c r="G187" s="562">
        <v>78.48</v>
      </c>
      <c r="H187" s="562">
        <v>97.83</v>
      </c>
      <c r="I187" s="569">
        <v>684.81</v>
      </c>
      <c r="J187" s="567">
        <f t="shared" si="19"/>
        <v>0</v>
      </c>
      <c r="K187" s="570">
        <f t="shared" si="15"/>
        <v>684.81</v>
      </c>
    </row>
    <row r="188" spans="1:11">
      <c r="A188" s="559" t="s">
        <v>527</v>
      </c>
      <c r="B188" s="559" t="s">
        <v>528</v>
      </c>
      <c r="C188" s="559" t="s">
        <v>65</v>
      </c>
      <c r="D188" s="559" t="s">
        <v>529</v>
      </c>
      <c r="E188" s="560" t="s">
        <v>67</v>
      </c>
      <c r="F188" s="561">
        <v>1</v>
      </c>
      <c r="G188" s="562">
        <v>400.69</v>
      </c>
      <c r="H188" s="562">
        <v>499.5</v>
      </c>
      <c r="I188" s="569">
        <v>499.5</v>
      </c>
      <c r="J188" s="567">
        <f t="shared" si="19"/>
        <v>0</v>
      </c>
      <c r="K188" s="570">
        <f t="shared" si="15"/>
        <v>499.5</v>
      </c>
    </row>
    <row r="189" spans="1:11">
      <c r="A189" s="555" t="s">
        <v>530</v>
      </c>
      <c r="B189" s="555" t="s">
        <v>61</v>
      </c>
      <c r="C189" s="555"/>
      <c r="D189" s="555" t="s">
        <v>531</v>
      </c>
      <c r="E189" s="556"/>
      <c r="F189" s="557">
        <v>1</v>
      </c>
      <c r="G189" s="557" t="s">
        <v>62</v>
      </c>
      <c r="H189" s="558">
        <v>43283.35</v>
      </c>
      <c r="I189" s="566">
        <v>43283.35</v>
      </c>
      <c r="J189" s="567"/>
      <c r="K189" s="568">
        <f>SUM(K190:K225)</f>
        <v>43283.35</v>
      </c>
    </row>
    <row r="190" ht="25.5" spans="1:11">
      <c r="A190" s="559" t="s">
        <v>532</v>
      </c>
      <c r="B190" s="559" t="s">
        <v>533</v>
      </c>
      <c r="C190" s="559" t="s">
        <v>512</v>
      </c>
      <c r="D190" s="559" t="s">
        <v>534</v>
      </c>
      <c r="E190" s="560" t="s">
        <v>535</v>
      </c>
      <c r="F190" s="561">
        <v>117.26</v>
      </c>
      <c r="G190" s="562">
        <v>65.69</v>
      </c>
      <c r="H190" s="562">
        <v>81.88</v>
      </c>
      <c r="I190" s="569">
        <v>9601.24</v>
      </c>
      <c r="J190" s="567">
        <f t="shared" ref="J190:J199" si="20">$I$626</f>
        <v>0</v>
      </c>
      <c r="K190" s="570">
        <f t="shared" si="15"/>
        <v>9601.24</v>
      </c>
    </row>
    <row r="191" ht="38.25" spans="1:11">
      <c r="A191" s="559" t="s">
        <v>536</v>
      </c>
      <c r="B191" s="559" t="s">
        <v>537</v>
      </c>
      <c r="C191" s="559" t="s">
        <v>71</v>
      </c>
      <c r="D191" s="559" t="s">
        <v>538</v>
      </c>
      <c r="E191" s="560" t="s">
        <v>78</v>
      </c>
      <c r="F191" s="561">
        <v>20</v>
      </c>
      <c r="G191" s="562">
        <v>26.52</v>
      </c>
      <c r="H191" s="562">
        <v>33.05</v>
      </c>
      <c r="I191" s="569">
        <v>661</v>
      </c>
      <c r="J191" s="567">
        <f t="shared" si="20"/>
        <v>0</v>
      </c>
      <c r="K191" s="570">
        <f t="shared" si="15"/>
        <v>661</v>
      </c>
    </row>
    <row r="192" ht="38.25" spans="1:11">
      <c r="A192" s="559" t="s">
        <v>539</v>
      </c>
      <c r="B192" s="559" t="s">
        <v>540</v>
      </c>
      <c r="C192" s="559" t="s">
        <v>71</v>
      </c>
      <c r="D192" s="559" t="s">
        <v>541</v>
      </c>
      <c r="E192" s="560" t="s">
        <v>78</v>
      </c>
      <c r="F192" s="561">
        <v>29</v>
      </c>
      <c r="G192" s="562">
        <v>33.01</v>
      </c>
      <c r="H192" s="562">
        <v>41.15</v>
      </c>
      <c r="I192" s="569">
        <v>1193.35</v>
      </c>
      <c r="J192" s="567">
        <f t="shared" si="20"/>
        <v>0</v>
      </c>
      <c r="K192" s="570">
        <f t="shared" si="15"/>
        <v>1193.35</v>
      </c>
    </row>
    <row r="193" ht="38.25" spans="1:11">
      <c r="A193" s="559" t="s">
        <v>542</v>
      </c>
      <c r="B193" s="559" t="s">
        <v>543</v>
      </c>
      <c r="C193" s="559" t="s">
        <v>71</v>
      </c>
      <c r="D193" s="559" t="s">
        <v>544</v>
      </c>
      <c r="E193" s="560" t="s">
        <v>78</v>
      </c>
      <c r="F193" s="561">
        <v>33</v>
      </c>
      <c r="G193" s="562">
        <v>40.97</v>
      </c>
      <c r="H193" s="562">
        <v>51.07</v>
      </c>
      <c r="I193" s="569">
        <v>1685.31</v>
      </c>
      <c r="J193" s="567">
        <f t="shared" si="20"/>
        <v>0</v>
      </c>
      <c r="K193" s="570">
        <f t="shared" si="15"/>
        <v>1685.31</v>
      </c>
    </row>
    <row r="194" ht="38.25" spans="1:11">
      <c r="A194" s="559" t="s">
        <v>545</v>
      </c>
      <c r="B194" s="559" t="s">
        <v>546</v>
      </c>
      <c r="C194" s="559" t="s">
        <v>71</v>
      </c>
      <c r="D194" s="559" t="s">
        <v>547</v>
      </c>
      <c r="E194" s="560" t="s">
        <v>78</v>
      </c>
      <c r="F194" s="561">
        <v>130</v>
      </c>
      <c r="G194" s="562">
        <v>45.99</v>
      </c>
      <c r="H194" s="562">
        <v>57.33</v>
      </c>
      <c r="I194" s="569">
        <v>7452.9</v>
      </c>
      <c r="J194" s="567">
        <f t="shared" si="20"/>
        <v>0</v>
      </c>
      <c r="K194" s="570">
        <f t="shared" si="15"/>
        <v>7452.9</v>
      </c>
    </row>
    <row r="195" ht="38.25" spans="1:11">
      <c r="A195" s="559" t="s">
        <v>548</v>
      </c>
      <c r="B195" s="559" t="s">
        <v>549</v>
      </c>
      <c r="C195" s="559" t="s">
        <v>71</v>
      </c>
      <c r="D195" s="559" t="s">
        <v>550</v>
      </c>
      <c r="E195" s="560" t="s">
        <v>105</v>
      </c>
      <c r="F195" s="561">
        <v>31</v>
      </c>
      <c r="G195" s="562">
        <v>11.06</v>
      </c>
      <c r="H195" s="562">
        <v>13.78</v>
      </c>
      <c r="I195" s="569">
        <v>427.18</v>
      </c>
      <c r="J195" s="567">
        <f t="shared" si="20"/>
        <v>0</v>
      </c>
      <c r="K195" s="570">
        <f t="shared" si="15"/>
        <v>427.18</v>
      </c>
    </row>
    <row r="196" ht="38.25" spans="1:11">
      <c r="A196" s="559" t="s">
        <v>551</v>
      </c>
      <c r="B196" s="559" t="s">
        <v>552</v>
      </c>
      <c r="C196" s="559" t="s">
        <v>71</v>
      </c>
      <c r="D196" s="559" t="s">
        <v>553</v>
      </c>
      <c r="E196" s="560" t="s">
        <v>105</v>
      </c>
      <c r="F196" s="561">
        <v>24</v>
      </c>
      <c r="G196" s="562">
        <v>17.87</v>
      </c>
      <c r="H196" s="562">
        <v>22.27</v>
      </c>
      <c r="I196" s="569">
        <v>534.48</v>
      </c>
      <c r="J196" s="567">
        <f t="shared" si="20"/>
        <v>0</v>
      </c>
      <c r="K196" s="570">
        <f t="shared" si="15"/>
        <v>534.48</v>
      </c>
    </row>
    <row r="197" ht="38.25" spans="1:11">
      <c r="A197" s="559" t="s">
        <v>554</v>
      </c>
      <c r="B197" s="559" t="s">
        <v>555</v>
      </c>
      <c r="C197" s="559" t="s">
        <v>71</v>
      </c>
      <c r="D197" s="559" t="s">
        <v>556</v>
      </c>
      <c r="E197" s="560" t="s">
        <v>105</v>
      </c>
      <c r="F197" s="561">
        <v>24</v>
      </c>
      <c r="G197" s="562">
        <v>37.79</v>
      </c>
      <c r="H197" s="562">
        <v>47.1</v>
      </c>
      <c r="I197" s="569">
        <v>1130.4</v>
      </c>
      <c r="J197" s="567">
        <f t="shared" si="20"/>
        <v>0</v>
      </c>
      <c r="K197" s="570">
        <f t="shared" si="15"/>
        <v>1130.4</v>
      </c>
    </row>
    <row r="198" ht="38.25" spans="1:11">
      <c r="A198" s="559" t="s">
        <v>557</v>
      </c>
      <c r="B198" s="559" t="s">
        <v>558</v>
      </c>
      <c r="C198" s="559" t="s">
        <v>71</v>
      </c>
      <c r="D198" s="559" t="s">
        <v>559</v>
      </c>
      <c r="E198" s="560" t="s">
        <v>105</v>
      </c>
      <c r="F198" s="561">
        <v>5</v>
      </c>
      <c r="G198" s="562">
        <v>17.95</v>
      </c>
      <c r="H198" s="562">
        <v>22.37</v>
      </c>
      <c r="I198" s="569">
        <v>111.85</v>
      </c>
      <c r="J198" s="567">
        <f t="shared" si="20"/>
        <v>0</v>
      </c>
      <c r="K198" s="570">
        <f t="shared" si="15"/>
        <v>111.85</v>
      </c>
    </row>
    <row r="199" ht="38.25" spans="1:11">
      <c r="A199" s="559" t="s">
        <v>560</v>
      </c>
      <c r="B199" s="559" t="s">
        <v>561</v>
      </c>
      <c r="C199" s="559" t="s">
        <v>71</v>
      </c>
      <c r="D199" s="559" t="s">
        <v>562</v>
      </c>
      <c r="E199" s="560" t="s">
        <v>105</v>
      </c>
      <c r="F199" s="561">
        <v>2</v>
      </c>
      <c r="G199" s="562">
        <v>31.88</v>
      </c>
      <c r="H199" s="562">
        <v>39.74</v>
      </c>
      <c r="I199" s="569">
        <v>79.48</v>
      </c>
      <c r="J199" s="567">
        <f t="shared" si="20"/>
        <v>0</v>
      </c>
      <c r="K199" s="570">
        <f t="shared" si="15"/>
        <v>79.48</v>
      </c>
    </row>
    <row r="200" ht="38.25" spans="1:11">
      <c r="A200" s="559" t="s">
        <v>563</v>
      </c>
      <c r="B200" s="559" t="s">
        <v>564</v>
      </c>
      <c r="C200" s="559" t="s">
        <v>71</v>
      </c>
      <c r="D200" s="559" t="s">
        <v>565</v>
      </c>
      <c r="E200" s="560" t="s">
        <v>105</v>
      </c>
      <c r="F200" s="561">
        <v>9</v>
      </c>
      <c r="G200" s="562">
        <v>30.97</v>
      </c>
      <c r="H200" s="562">
        <v>38.6</v>
      </c>
      <c r="I200" s="569">
        <v>347.4</v>
      </c>
      <c r="J200" s="567">
        <f t="shared" ref="J200:J209" si="21">$I$626</f>
        <v>0</v>
      </c>
      <c r="K200" s="570">
        <f t="shared" si="15"/>
        <v>347.4</v>
      </c>
    </row>
    <row r="201" ht="38.25" spans="1:11">
      <c r="A201" s="559" t="s">
        <v>566</v>
      </c>
      <c r="B201" s="559" t="s">
        <v>567</v>
      </c>
      <c r="C201" s="559" t="s">
        <v>71</v>
      </c>
      <c r="D201" s="559" t="s">
        <v>568</v>
      </c>
      <c r="E201" s="560" t="s">
        <v>105</v>
      </c>
      <c r="F201" s="561">
        <v>9</v>
      </c>
      <c r="G201" s="562">
        <v>12.75</v>
      </c>
      <c r="H201" s="562">
        <v>15.89</v>
      </c>
      <c r="I201" s="569">
        <v>143.01</v>
      </c>
      <c r="J201" s="567">
        <f t="shared" si="21"/>
        <v>0</v>
      </c>
      <c r="K201" s="570">
        <f t="shared" si="15"/>
        <v>143.01</v>
      </c>
    </row>
    <row r="202" ht="38.25" spans="1:11">
      <c r="A202" s="559" t="s">
        <v>569</v>
      </c>
      <c r="B202" s="559" t="s">
        <v>570</v>
      </c>
      <c r="C202" s="559" t="s">
        <v>71</v>
      </c>
      <c r="D202" s="559" t="s">
        <v>571</v>
      </c>
      <c r="E202" s="560" t="s">
        <v>105</v>
      </c>
      <c r="F202" s="561">
        <v>28</v>
      </c>
      <c r="G202" s="562">
        <v>12.5</v>
      </c>
      <c r="H202" s="562">
        <v>15.58</v>
      </c>
      <c r="I202" s="569">
        <v>436.24</v>
      </c>
      <c r="J202" s="567">
        <f t="shared" si="21"/>
        <v>0</v>
      </c>
      <c r="K202" s="570">
        <f t="shared" si="15"/>
        <v>436.24</v>
      </c>
    </row>
    <row r="203" ht="38.25" spans="1:11">
      <c r="A203" s="559" t="s">
        <v>572</v>
      </c>
      <c r="B203" s="559" t="s">
        <v>573</v>
      </c>
      <c r="C203" s="559" t="s">
        <v>71</v>
      </c>
      <c r="D203" s="559" t="s">
        <v>574</v>
      </c>
      <c r="E203" s="560" t="s">
        <v>105</v>
      </c>
      <c r="F203" s="561">
        <v>2</v>
      </c>
      <c r="G203" s="562">
        <v>26.57</v>
      </c>
      <c r="H203" s="562">
        <v>33.12</v>
      </c>
      <c r="I203" s="569">
        <v>66.24</v>
      </c>
      <c r="J203" s="567">
        <f t="shared" si="21"/>
        <v>0</v>
      </c>
      <c r="K203" s="570">
        <f t="shared" si="15"/>
        <v>66.24</v>
      </c>
    </row>
    <row r="204" ht="38.25" spans="1:11">
      <c r="A204" s="559" t="s">
        <v>575</v>
      </c>
      <c r="B204" s="559" t="s">
        <v>576</v>
      </c>
      <c r="C204" s="559" t="s">
        <v>71</v>
      </c>
      <c r="D204" s="559" t="s">
        <v>577</v>
      </c>
      <c r="E204" s="560" t="s">
        <v>105</v>
      </c>
      <c r="F204" s="561">
        <v>19</v>
      </c>
      <c r="G204" s="562">
        <v>17.17</v>
      </c>
      <c r="H204" s="562">
        <v>21.4</v>
      </c>
      <c r="I204" s="569">
        <v>406.6</v>
      </c>
      <c r="J204" s="567">
        <f t="shared" si="21"/>
        <v>0</v>
      </c>
      <c r="K204" s="570">
        <f t="shared" si="15"/>
        <v>406.6</v>
      </c>
    </row>
    <row r="205" ht="38.25" spans="1:11">
      <c r="A205" s="559" t="s">
        <v>578</v>
      </c>
      <c r="B205" s="559" t="s">
        <v>579</v>
      </c>
      <c r="C205" s="559" t="s">
        <v>71</v>
      </c>
      <c r="D205" s="559" t="s">
        <v>580</v>
      </c>
      <c r="E205" s="560" t="s">
        <v>105</v>
      </c>
      <c r="F205" s="561">
        <v>11</v>
      </c>
      <c r="G205" s="562">
        <v>25.52</v>
      </c>
      <c r="H205" s="562">
        <v>31.81</v>
      </c>
      <c r="I205" s="569">
        <v>349.91</v>
      </c>
      <c r="J205" s="567">
        <f t="shared" si="21"/>
        <v>0</v>
      </c>
      <c r="K205" s="570">
        <f t="shared" si="15"/>
        <v>349.91</v>
      </c>
    </row>
    <row r="206" ht="38.25" spans="1:11">
      <c r="A206" s="559" t="s">
        <v>581</v>
      </c>
      <c r="B206" s="559" t="s">
        <v>582</v>
      </c>
      <c r="C206" s="559" t="s">
        <v>71</v>
      </c>
      <c r="D206" s="559" t="s">
        <v>583</v>
      </c>
      <c r="E206" s="560" t="s">
        <v>105</v>
      </c>
      <c r="F206" s="561">
        <v>3</v>
      </c>
      <c r="G206" s="562">
        <v>18.05</v>
      </c>
      <c r="H206" s="562">
        <v>22.5</v>
      </c>
      <c r="I206" s="569">
        <v>67.5</v>
      </c>
      <c r="J206" s="567">
        <f t="shared" si="21"/>
        <v>0</v>
      </c>
      <c r="K206" s="570">
        <f t="shared" si="15"/>
        <v>67.5</v>
      </c>
    </row>
    <row r="207" ht="38.25" spans="1:11">
      <c r="A207" s="559" t="s">
        <v>584</v>
      </c>
      <c r="B207" s="559" t="s">
        <v>585</v>
      </c>
      <c r="C207" s="559" t="s">
        <v>71</v>
      </c>
      <c r="D207" s="559" t="s">
        <v>586</v>
      </c>
      <c r="E207" s="560" t="s">
        <v>105</v>
      </c>
      <c r="F207" s="561">
        <v>1</v>
      </c>
      <c r="G207" s="562">
        <v>29.96</v>
      </c>
      <c r="H207" s="562">
        <v>37.34</v>
      </c>
      <c r="I207" s="569">
        <v>37.34</v>
      </c>
      <c r="J207" s="567">
        <f t="shared" si="21"/>
        <v>0</v>
      </c>
      <c r="K207" s="570">
        <f t="shared" si="15"/>
        <v>37.34</v>
      </c>
    </row>
    <row r="208" ht="51" spans="1:11">
      <c r="A208" s="559" t="s">
        <v>587</v>
      </c>
      <c r="B208" s="559" t="s">
        <v>588</v>
      </c>
      <c r="C208" s="559" t="s">
        <v>71</v>
      </c>
      <c r="D208" s="559" t="s">
        <v>589</v>
      </c>
      <c r="E208" s="560" t="s">
        <v>105</v>
      </c>
      <c r="F208" s="561">
        <v>3</v>
      </c>
      <c r="G208" s="562">
        <v>47.68</v>
      </c>
      <c r="H208" s="562">
        <v>59.43</v>
      </c>
      <c r="I208" s="569">
        <v>178.29</v>
      </c>
      <c r="J208" s="567">
        <f t="shared" si="21"/>
        <v>0</v>
      </c>
      <c r="K208" s="570">
        <f t="shared" si="15"/>
        <v>178.29</v>
      </c>
    </row>
    <row r="209" ht="38.25" spans="1:11">
      <c r="A209" s="559" t="s">
        <v>590</v>
      </c>
      <c r="B209" s="559" t="s">
        <v>591</v>
      </c>
      <c r="C209" s="559" t="s">
        <v>71</v>
      </c>
      <c r="D209" s="559" t="s">
        <v>592</v>
      </c>
      <c r="E209" s="560" t="s">
        <v>105</v>
      </c>
      <c r="F209" s="561">
        <v>2</v>
      </c>
      <c r="G209" s="562">
        <v>99.58</v>
      </c>
      <c r="H209" s="562">
        <v>124.13</v>
      </c>
      <c r="I209" s="569">
        <v>248.26</v>
      </c>
      <c r="J209" s="567">
        <f t="shared" si="21"/>
        <v>0</v>
      </c>
      <c r="K209" s="570">
        <f t="shared" si="15"/>
        <v>248.26</v>
      </c>
    </row>
    <row r="210" ht="51" spans="1:11">
      <c r="A210" s="559" t="s">
        <v>593</v>
      </c>
      <c r="B210" s="559" t="s">
        <v>594</v>
      </c>
      <c r="C210" s="559" t="s">
        <v>71</v>
      </c>
      <c r="D210" s="559" t="s">
        <v>595</v>
      </c>
      <c r="E210" s="560" t="s">
        <v>105</v>
      </c>
      <c r="F210" s="561">
        <v>6</v>
      </c>
      <c r="G210" s="562">
        <v>56.9</v>
      </c>
      <c r="H210" s="562">
        <v>70.93</v>
      </c>
      <c r="I210" s="569">
        <v>425.58</v>
      </c>
      <c r="J210" s="567">
        <f t="shared" ref="J210:J219" si="22">$I$626</f>
        <v>0</v>
      </c>
      <c r="K210" s="570">
        <f t="shared" ref="K210:K273" si="23">I210-(I210*J210)</f>
        <v>425.58</v>
      </c>
    </row>
    <row r="211" ht="51" spans="1:11">
      <c r="A211" s="559" t="s">
        <v>596</v>
      </c>
      <c r="B211" s="559" t="s">
        <v>597</v>
      </c>
      <c r="C211" s="559" t="s">
        <v>71</v>
      </c>
      <c r="D211" s="559" t="s">
        <v>598</v>
      </c>
      <c r="E211" s="560" t="s">
        <v>105</v>
      </c>
      <c r="F211" s="561">
        <v>1</v>
      </c>
      <c r="G211" s="562">
        <v>12.48</v>
      </c>
      <c r="H211" s="562">
        <v>15.55</v>
      </c>
      <c r="I211" s="569">
        <v>15.55</v>
      </c>
      <c r="J211" s="567">
        <f t="shared" si="22"/>
        <v>0</v>
      </c>
      <c r="K211" s="570">
        <f t="shared" si="23"/>
        <v>15.55</v>
      </c>
    </row>
    <row r="212" ht="38.25" spans="1:11">
      <c r="A212" s="559" t="s">
        <v>599</v>
      </c>
      <c r="B212" s="559" t="s">
        <v>600</v>
      </c>
      <c r="C212" s="559" t="s">
        <v>71</v>
      </c>
      <c r="D212" s="559" t="s">
        <v>601</v>
      </c>
      <c r="E212" s="560" t="s">
        <v>105</v>
      </c>
      <c r="F212" s="561">
        <v>2</v>
      </c>
      <c r="G212" s="562">
        <v>20.24</v>
      </c>
      <c r="H212" s="562">
        <v>25.23</v>
      </c>
      <c r="I212" s="569">
        <v>50.46</v>
      </c>
      <c r="J212" s="567">
        <f t="shared" si="22"/>
        <v>0</v>
      </c>
      <c r="K212" s="570">
        <f t="shared" si="23"/>
        <v>50.46</v>
      </c>
    </row>
    <row r="213" ht="38.25" spans="1:11">
      <c r="A213" s="559" t="s">
        <v>602</v>
      </c>
      <c r="B213" s="559" t="s">
        <v>603</v>
      </c>
      <c r="C213" s="559" t="s">
        <v>71</v>
      </c>
      <c r="D213" s="559" t="s">
        <v>604</v>
      </c>
      <c r="E213" s="560" t="s">
        <v>105</v>
      </c>
      <c r="F213" s="561">
        <v>6</v>
      </c>
      <c r="G213" s="562">
        <v>27.42</v>
      </c>
      <c r="H213" s="562">
        <v>34.18</v>
      </c>
      <c r="I213" s="569">
        <v>205.08</v>
      </c>
      <c r="J213" s="567">
        <f t="shared" si="22"/>
        <v>0</v>
      </c>
      <c r="K213" s="570">
        <f t="shared" si="23"/>
        <v>205.08</v>
      </c>
    </row>
    <row r="214" ht="38.25" spans="1:11">
      <c r="A214" s="559" t="s">
        <v>605</v>
      </c>
      <c r="B214" s="559" t="s">
        <v>606</v>
      </c>
      <c r="C214" s="559" t="s">
        <v>71</v>
      </c>
      <c r="D214" s="559" t="s">
        <v>607</v>
      </c>
      <c r="E214" s="560" t="s">
        <v>105</v>
      </c>
      <c r="F214" s="561">
        <v>7</v>
      </c>
      <c r="G214" s="562">
        <v>43.16</v>
      </c>
      <c r="H214" s="562">
        <v>53.8</v>
      </c>
      <c r="I214" s="569">
        <v>376.6</v>
      </c>
      <c r="J214" s="567">
        <f t="shared" si="22"/>
        <v>0</v>
      </c>
      <c r="K214" s="570">
        <f t="shared" si="23"/>
        <v>376.6</v>
      </c>
    </row>
    <row r="215" ht="38.25" spans="1:11">
      <c r="A215" s="559" t="s">
        <v>608</v>
      </c>
      <c r="B215" s="559" t="s">
        <v>609</v>
      </c>
      <c r="C215" s="559" t="s">
        <v>71</v>
      </c>
      <c r="D215" s="559" t="s">
        <v>610</v>
      </c>
      <c r="E215" s="560" t="s">
        <v>105</v>
      </c>
      <c r="F215" s="561">
        <v>4</v>
      </c>
      <c r="G215" s="562">
        <v>50.13</v>
      </c>
      <c r="H215" s="562">
        <v>62.49</v>
      </c>
      <c r="I215" s="569">
        <v>249.96</v>
      </c>
      <c r="J215" s="567">
        <f t="shared" si="22"/>
        <v>0</v>
      </c>
      <c r="K215" s="570">
        <f t="shared" si="23"/>
        <v>249.96</v>
      </c>
    </row>
    <row r="216" ht="38.25" spans="1:11">
      <c r="A216" s="559" t="s">
        <v>611</v>
      </c>
      <c r="B216" s="559" t="s">
        <v>612</v>
      </c>
      <c r="C216" s="559" t="s">
        <v>71</v>
      </c>
      <c r="D216" s="559" t="s">
        <v>613</v>
      </c>
      <c r="E216" s="560" t="s">
        <v>105</v>
      </c>
      <c r="F216" s="561">
        <v>1</v>
      </c>
      <c r="G216" s="562">
        <v>45.44</v>
      </c>
      <c r="H216" s="562">
        <v>56.64</v>
      </c>
      <c r="I216" s="569">
        <v>56.64</v>
      </c>
      <c r="J216" s="567">
        <f t="shared" si="22"/>
        <v>0</v>
      </c>
      <c r="K216" s="570">
        <f t="shared" si="23"/>
        <v>56.64</v>
      </c>
    </row>
    <row r="217" ht="38.25" spans="1:11">
      <c r="A217" s="559" t="s">
        <v>614</v>
      </c>
      <c r="B217" s="559" t="s">
        <v>615</v>
      </c>
      <c r="C217" s="559" t="s">
        <v>71</v>
      </c>
      <c r="D217" s="559" t="s">
        <v>616</v>
      </c>
      <c r="E217" s="560" t="s">
        <v>105</v>
      </c>
      <c r="F217" s="561">
        <v>1</v>
      </c>
      <c r="G217" s="562">
        <v>26.52</v>
      </c>
      <c r="H217" s="562">
        <v>33.05</v>
      </c>
      <c r="I217" s="569">
        <v>33.05</v>
      </c>
      <c r="J217" s="567">
        <f t="shared" si="22"/>
        <v>0</v>
      </c>
      <c r="K217" s="570">
        <f t="shared" si="23"/>
        <v>33.05</v>
      </c>
    </row>
    <row r="218" ht="38.25" spans="1:11">
      <c r="A218" s="559" t="s">
        <v>617</v>
      </c>
      <c r="B218" s="559" t="s">
        <v>618</v>
      </c>
      <c r="C218" s="559" t="s">
        <v>65</v>
      </c>
      <c r="D218" s="559" t="s">
        <v>619</v>
      </c>
      <c r="E218" s="560" t="s">
        <v>67</v>
      </c>
      <c r="F218" s="561">
        <v>3</v>
      </c>
      <c r="G218" s="562">
        <v>165.97</v>
      </c>
      <c r="H218" s="562">
        <v>206.89</v>
      </c>
      <c r="I218" s="569">
        <v>620.67</v>
      </c>
      <c r="J218" s="567">
        <f t="shared" si="22"/>
        <v>0</v>
      </c>
      <c r="K218" s="570">
        <f t="shared" si="23"/>
        <v>620.67</v>
      </c>
    </row>
    <row r="219" ht="38.25" spans="1:11">
      <c r="A219" s="559" t="s">
        <v>620</v>
      </c>
      <c r="B219" s="559" t="s">
        <v>621</v>
      </c>
      <c r="C219" s="559" t="s">
        <v>71</v>
      </c>
      <c r="D219" s="559" t="s">
        <v>622</v>
      </c>
      <c r="E219" s="560" t="s">
        <v>105</v>
      </c>
      <c r="F219" s="561">
        <v>1</v>
      </c>
      <c r="G219" s="562">
        <v>63.72</v>
      </c>
      <c r="H219" s="562">
        <v>79.43</v>
      </c>
      <c r="I219" s="569">
        <v>79.43</v>
      </c>
      <c r="J219" s="567">
        <f t="shared" si="22"/>
        <v>0</v>
      </c>
      <c r="K219" s="570">
        <f t="shared" si="23"/>
        <v>79.43</v>
      </c>
    </row>
    <row r="220" ht="38.25" spans="1:11">
      <c r="A220" s="559" t="s">
        <v>623</v>
      </c>
      <c r="B220" s="559" t="s">
        <v>624</v>
      </c>
      <c r="C220" s="559" t="s">
        <v>65</v>
      </c>
      <c r="D220" s="559" t="s">
        <v>625</v>
      </c>
      <c r="E220" s="560" t="s">
        <v>67</v>
      </c>
      <c r="F220" s="561">
        <v>3</v>
      </c>
      <c r="G220" s="562">
        <v>142.4</v>
      </c>
      <c r="H220" s="562">
        <v>177.51</v>
      </c>
      <c r="I220" s="569">
        <v>532.53</v>
      </c>
      <c r="J220" s="567">
        <f t="shared" ref="J220:J229" si="24">$I$626</f>
        <v>0</v>
      </c>
      <c r="K220" s="570">
        <f t="shared" si="23"/>
        <v>532.53</v>
      </c>
    </row>
    <row r="221" ht="51" spans="1:11">
      <c r="A221" s="559" t="s">
        <v>626</v>
      </c>
      <c r="B221" s="559" t="s">
        <v>627</v>
      </c>
      <c r="C221" s="559" t="s">
        <v>71</v>
      </c>
      <c r="D221" s="559" t="s">
        <v>628</v>
      </c>
      <c r="E221" s="560" t="s">
        <v>105</v>
      </c>
      <c r="F221" s="561">
        <v>3</v>
      </c>
      <c r="G221" s="562">
        <v>12.06</v>
      </c>
      <c r="H221" s="562">
        <v>15.03</v>
      </c>
      <c r="I221" s="569">
        <v>45.09</v>
      </c>
      <c r="J221" s="567">
        <f t="shared" si="24"/>
        <v>0</v>
      </c>
      <c r="K221" s="570">
        <f t="shared" si="23"/>
        <v>45.09</v>
      </c>
    </row>
    <row r="222" ht="51" spans="1:11">
      <c r="A222" s="559" t="s">
        <v>629</v>
      </c>
      <c r="B222" s="559" t="s">
        <v>630</v>
      </c>
      <c r="C222" s="559" t="s">
        <v>71</v>
      </c>
      <c r="D222" s="559" t="s">
        <v>631</v>
      </c>
      <c r="E222" s="560" t="s">
        <v>105</v>
      </c>
      <c r="F222" s="561">
        <v>3</v>
      </c>
      <c r="G222" s="562">
        <v>25.13</v>
      </c>
      <c r="H222" s="562">
        <v>31.32</v>
      </c>
      <c r="I222" s="569">
        <v>93.96</v>
      </c>
      <c r="J222" s="567">
        <f t="shared" si="24"/>
        <v>0</v>
      </c>
      <c r="K222" s="570">
        <f t="shared" si="23"/>
        <v>93.96</v>
      </c>
    </row>
    <row r="223" ht="25.5" spans="1:11">
      <c r="A223" s="559" t="s">
        <v>632</v>
      </c>
      <c r="B223" s="559" t="s">
        <v>633</v>
      </c>
      <c r="C223" s="559" t="s">
        <v>65</v>
      </c>
      <c r="D223" s="559" t="s">
        <v>634</v>
      </c>
      <c r="E223" s="560" t="s">
        <v>67</v>
      </c>
      <c r="F223" s="561">
        <v>0.8</v>
      </c>
      <c r="G223" s="562">
        <v>294.2</v>
      </c>
      <c r="H223" s="562">
        <v>366.74</v>
      </c>
      <c r="I223" s="569">
        <v>293.39</v>
      </c>
      <c r="J223" s="567">
        <f t="shared" si="24"/>
        <v>0</v>
      </c>
      <c r="K223" s="570">
        <f t="shared" si="23"/>
        <v>293.39</v>
      </c>
    </row>
    <row r="224" ht="102" spans="1:11">
      <c r="A224" s="559" t="s">
        <v>635</v>
      </c>
      <c r="B224" s="559" t="s">
        <v>636</v>
      </c>
      <c r="C224" s="559" t="s">
        <v>76</v>
      </c>
      <c r="D224" s="559" t="s">
        <v>637</v>
      </c>
      <c r="E224" s="560" t="s">
        <v>105</v>
      </c>
      <c r="F224" s="561">
        <v>10</v>
      </c>
      <c r="G224" s="562">
        <v>1144.41</v>
      </c>
      <c r="H224" s="562">
        <v>1426.62</v>
      </c>
      <c r="I224" s="569">
        <v>14266.2</v>
      </c>
      <c r="J224" s="567">
        <f t="shared" si="24"/>
        <v>0</v>
      </c>
      <c r="K224" s="570">
        <f t="shared" si="23"/>
        <v>14266.2</v>
      </c>
    </row>
    <row r="225" ht="38.25" spans="1:11">
      <c r="A225" s="559" t="s">
        <v>638</v>
      </c>
      <c r="B225" s="559" t="s">
        <v>639</v>
      </c>
      <c r="C225" s="559" t="s">
        <v>71</v>
      </c>
      <c r="D225" s="559" t="s">
        <v>640</v>
      </c>
      <c r="E225" s="560" t="s">
        <v>105</v>
      </c>
      <c r="F225" s="561">
        <v>2</v>
      </c>
      <c r="G225" s="562">
        <v>313.33</v>
      </c>
      <c r="H225" s="562">
        <v>390.59</v>
      </c>
      <c r="I225" s="569">
        <v>781.18</v>
      </c>
      <c r="J225" s="567">
        <f t="shared" si="24"/>
        <v>0</v>
      </c>
      <c r="K225" s="570">
        <f t="shared" si="23"/>
        <v>781.18</v>
      </c>
    </row>
    <row r="226" spans="1:11">
      <c r="A226" s="555" t="s">
        <v>641</v>
      </c>
      <c r="B226" s="555" t="s">
        <v>61</v>
      </c>
      <c r="C226" s="555"/>
      <c r="D226" s="555" t="s">
        <v>642</v>
      </c>
      <c r="E226" s="556"/>
      <c r="F226" s="557">
        <v>1</v>
      </c>
      <c r="G226" s="557" t="s">
        <v>62</v>
      </c>
      <c r="H226" s="558">
        <v>36710.9</v>
      </c>
      <c r="I226" s="566">
        <v>36710.9</v>
      </c>
      <c r="J226" s="575"/>
      <c r="K226" s="568">
        <f>SUM(K227:K245)</f>
        <v>36710.9</v>
      </c>
    </row>
    <row r="227" ht="25.5" spans="1:11">
      <c r="A227" s="559" t="s">
        <v>643</v>
      </c>
      <c r="B227" s="559" t="s">
        <v>644</v>
      </c>
      <c r="C227" s="559" t="s">
        <v>71</v>
      </c>
      <c r="D227" s="559" t="s">
        <v>645</v>
      </c>
      <c r="E227" s="560" t="s">
        <v>105</v>
      </c>
      <c r="F227" s="561">
        <v>9</v>
      </c>
      <c r="G227" s="562">
        <v>535.52</v>
      </c>
      <c r="H227" s="562">
        <v>667.57</v>
      </c>
      <c r="I227" s="569">
        <v>6008.13</v>
      </c>
      <c r="J227" s="567">
        <f t="shared" si="24"/>
        <v>0</v>
      </c>
      <c r="K227" s="570">
        <f t="shared" si="23"/>
        <v>6008.13</v>
      </c>
    </row>
    <row r="228" ht="25.5" spans="1:11">
      <c r="A228" s="559" t="s">
        <v>646</v>
      </c>
      <c r="B228" s="559" t="s">
        <v>647</v>
      </c>
      <c r="C228" s="559" t="s">
        <v>71</v>
      </c>
      <c r="D228" s="559" t="s">
        <v>648</v>
      </c>
      <c r="E228" s="560" t="s">
        <v>105</v>
      </c>
      <c r="F228" s="561">
        <v>2</v>
      </c>
      <c r="G228" s="562">
        <v>709.64</v>
      </c>
      <c r="H228" s="562">
        <v>884.63</v>
      </c>
      <c r="I228" s="569">
        <v>1769.26</v>
      </c>
      <c r="J228" s="567">
        <f t="shared" si="24"/>
        <v>0</v>
      </c>
      <c r="K228" s="570">
        <f t="shared" si="23"/>
        <v>1769.26</v>
      </c>
    </row>
    <row r="229" ht="25.5" spans="1:11">
      <c r="A229" s="559" t="s">
        <v>649</v>
      </c>
      <c r="B229" s="559" t="s">
        <v>650</v>
      </c>
      <c r="C229" s="559" t="s">
        <v>65</v>
      </c>
      <c r="D229" s="559" t="s">
        <v>651</v>
      </c>
      <c r="E229" s="560" t="s">
        <v>67</v>
      </c>
      <c r="F229" s="561">
        <v>7</v>
      </c>
      <c r="G229" s="562">
        <v>145.36</v>
      </c>
      <c r="H229" s="562">
        <v>181.2</v>
      </c>
      <c r="I229" s="569">
        <v>1268.4</v>
      </c>
      <c r="J229" s="567">
        <f t="shared" si="24"/>
        <v>0</v>
      </c>
      <c r="K229" s="570">
        <f t="shared" si="23"/>
        <v>1268.4</v>
      </c>
    </row>
    <row r="230" ht="38.25" spans="1:11">
      <c r="A230" s="559" t="s">
        <v>652</v>
      </c>
      <c r="B230" s="559" t="s">
        <v>653</v>
      </c>
      <c r="C230" s="559" t="s">
        <v>65</v>
      </c>
      <c r="D230" s="559" t="s">
        <v>654</v>
      </c>
      <c r="E230" s="560" t="s">
        <v>67</v>
      </c>
      <c r="F230" s="561">
        <v>2</v>
      </c>
      <c r="G230" s="562">
        <v>186.71</v>
      </c>
      <c r="H230" s="562">
        <v>232.75</v>
      </c>
      <c r="I230" s="569">
        <v>465.5</v>
      </c>
      <c r="J230" s="567">
        <f t="shared" ref="J230:J239" si="25">$I$626</f>
        <v>0</v>
      </c>
      <c r="K230" s="570">
        <f t="shared" si="23"/>
        <v>465.5</v>
      </c>
    </row>
    <row r="231" ht="38.25" spans="1:11">
      <c r="A231" s="559" t="s">
        <v>655</v>
      </c>
      <c r="B231" s="559" t="s">
        <v>656</v>
      </c>
      <c r="C231" s="559" t="s">
        <v>71</v>
      </c>
      <c r="D231" s="559" t="s">
        <v>657</v>
      </c>
      <c r="E231" s="560" t="s">
        <v>105</v>
      </c>
      <c r="F231" s="561">
        <v>2</v>
      </c>
      <c r="G231" s="562">
        <v>321.73</v>
      </c>
      <c r="H231" s="562">
        <v>401.06</v>
      </c>
      <c r="I231" s="569">
        <v>802.12</v>
      </c>
      <c r="J231" s="567">
        <f t="shared" si="25"/>
        <v>0</v>
      </c>
      <c r="K231" s="570">
        <f t="shared" si="23"/>
        <v>802.12</v>
      </c>
    </row>
    <row r="232" ht="140.25" spans="1:11">
      <c r="A232" s="559" t="s">
        <v>658</v>
      </c>
      <c r="B232" s="559" t="s">
        <v>659</v>
      </c>
      <c r="C232" s="559" t="s">
        <v>76</v>
      </c>
      <c r="D232" s="559" t="s">
        <v>660</v>
      </c>
      <c r="E232" s="560" t="s">
        <v>105</v>
      </c>
      <c r="F232" s="561">
        <v>1</v>
      </c>
      <c r="G232" s="562">
        <v>662.88</v>
      </c>
      <c r="H232" s="562">
        <v>826.34</v>
      </c>
      <c r="I232" s="569">
        <v>826.34</v>
      </c>
      <c r="J232" s="567">
        <f t="shared" si="25"/>
        <v>0</v>
      </c>
      <c r="K232" s="570">
        <f t="shared" si="23"/>
        <v>826.34</v>
      </c>
    </row>
    <row r="233" ht="51" spans="1:11">
      <c r="A233" s="559" t="s">
        <v>661</v>
      </c>
      <c r="B233" s="559" t="s">
        <v>662</v>
      </c>
      <c r="C233" s="559" t="s">
        <v>76</v>
      </c>
      <c r="D233" s="559" t="s">
        <v>663</v>
      </c>
      <c r="E233" s="560" t="s">
        <v>105</v>
      </c>
      <c r="F233" s="561">
        <v>9</v>
      </c>
      <c r="G233" s="562">
        <v>67.22</v>
      </c>
      <c r="H233" s="562">
        <v>83.79</v>
      </c>
      <c r="I233" s="569">
        <v>754.11</v>
      </c>
      <c r="J233" s="567">
        <f t="shared" si="25"/>
        <v>0</v>
      </c>
      <c r="K233" s="570">
        <f t="shared" si="23"/>
        <v>754.11</v>
      </c>
    </row>
    <row r="234" ht="25.5" spans="1:11">
      <c r="A234" s="559" t="s">
        <v>664</v>
      </c>
      <c r="B234" s="559" t="s">
        <v>665</v>
      </c>
      <c r="C234" s="559" t="s">
        <v>65</v>
      </c>
      <c r="D234" s="559" t="s">
        <v>666</v>
      </c>
      <c r="E234" s="560" t="s">
        <v>67</v>
      </c>
      <c r="F234" s="561">
        <v>2</v>
      </c>
      <c r="G234" s="562">
        <v>150.02</v>
      </c>
      <c r="H234" s="562">
        <v>187.01</v>
      </c>
      <c r="I234" s="569">
        <v>374.02</v>
      </c>
      <c r="J234" s="567">
        <f t="shared" si="25"/>
        <v>0</v>
      </c>
      <c r="K234" s="570">
        <f t="shared" si="23"/>
        <v>374.02</v>
      </c>
    </row>
    <row r="235" ht="38.25" spans="1:11">
      <c r="A235" s="559" t="s">
        <v>667</v>
      </c>
      <c r="B235" s="559" t="s">
        <v>668</v>
      </c>
      <c r="C235" s="559" t="s">
        <v>65</v>
      </c>
      <c r="D235" s="559" t="s">
        <v>669</v>
      </c>
      <c r="E235" s="560" t="s">
        <v>67</v>
      </c>
      <c r="F235" s="561">
        <v>1</v>
      </c>
      <c r="G235" s="562">
        <v>133.77</v>
      </c>
      <c r="H235" s="562">
        <v>166.75</v>
      </c>
      <c r="I235" s="569">
        <v>166.75</v>
      </c>
      <c r="J235" s="567">
        <f t="shared" si="25"/>
        <v>0</v>
      </c>
      <c r="K235" s="570">
        <f t="shared" si="23"/>
        <v>166.75</v>
      </c>
    </row>
    <row r="236" ht="25.5" spans="1:11">
      <c r="A236" s="559" t="s">
        <v>670</v>
      </c>
      <c r="B236" s="559" t="s">
        <v>671</v>
      </c>
      <c r="C236" s="559" t="s">
        <v>76</v>
      </c>
      <c r="D236" s="559" t="s">
        <v>672</v>
      </c>
      <c r="E236" s="560" t="s">
        <v>105</v>
      </c>
      <c r="F236" s="561">
        <v>2</v>
      </c>
      <c r="G236" s="562">
        <v>63.74</v>
      </c>
      <c r="H236" s="562">
        <v>79.45</v>
      </c>
      <c r="I236" s="569">
        <v>158.9</v>
      </c>
      <c r="J236" s="567">
        <f t="shared" si="25"/>
        <v>0</v>
      </c>
      <c r="K236" s="570">
        <f t="shared" si="23"/>
        <v>158.9</v>
      </c>
    </row>
    <row r="237" ht="38.25" spans="1:11">
      <c r="A237" s="559" t="s">
        <v>673</v>
      </c>
      <c r="B237" s="559" t="s">
        <v>674</v>
      </c>
      <c r="C237" s="559" t="s">
        <v>71</v>
      </c>
      <c r="D237" s="559" t="s">
        <v>675</v>
      </c>
      <c r="E237" s="560" t="s">
        <v>105</v>
      </c>
      <c r="F237" s="561">
        <v>4</v>
      </c>
      <c r="G237" s="562">
        <v>287.93</v>
      </c>
      <c r="H237" s="562">
        <v>358.93</v>
      </c>
      <c r="I237" s="569">
        <v>1435.72</v>
      </c>
      <c r="J237" s="567">
        <f t="shared" si="25"/>
        <v>0</v>
      </c>
      <c r="K237" s="570">
        <f t="shared" si="23"/>
        <v>1435.72</v>
      </c>
    </row>
    <row r="238" ht="38.25" spans="1:11">
      <c r="A238" s="559" t="s">
        <v>676</v>
      </c>
      <c r="B238" s="559" t="s">
        <v>677</v>
      </c>
      <c r="C238" s="559" t="s">
        <v>71</v>
      </c>
      <c r="D238" s="559" t="s">
        <v>678</v>
      </c>
      <c r="E238" s="560" t="s">
        <v>105</v>
      </c>
      <c r="F238" s="561">
        <v>6</v>
      </c>
      <c r="G238" s="562">
        <v>308.46</v>
      </c>
      <c r="H238" s="562">
        <v>384.52</v>
      </c>
      <c r="I238" s="569">
        <v>2307.12</v>
      </c>
      <c r="J238" s="567">
        <f t="shared" si="25"/>
        <v>0</v>
      </c>
      <c r="K238" s="570">
        <f t="shared" si="23"/>
        <v>2307.12</v>
      </c>
    </row>
    <row r="239" ht="25.5" spans="1:11">
      <c r="A239" s="559" t="s">
        <v>679</v>
      </c>
      <c r="B239" s="559" t="s">
        <v>680</v>
      </c>
      <c r="C239" s="559" t="s">
        <v>71</v>
      </c>
      <c r="D239" s="559" t="s">
        <v>681</v>
      </c>
      <c r="E239" s="560" t="s">
        <v>105</v>
      </c>
      <c r="F239" s="561">
        <v>10</v>
      </c>
      <c r="G239" s="562">
        <v>17.34</v>
      </c>
      <c r="H239" s="562">
        <v>21.61</v>
      </c>
      <c r="I239" s="569">
        <v>216.1</v>
      </c>
      <c r="J239" s="567">
        <f t="shared" si="25"/>
        <v>0</v>
      </c>
      <c r="K239" s="570">
        <f t="shared" si="23"/>
        <v>216.1</v>
      </c>
    </row>
    <row r="240" ht="25.5" spans="1:11">
      <c r="A240" s="559" t="s">
        <v>682</v>
      </c>
      <c r="B240" s="559" t="s">
        <v>683</v>
      </c>
      <c r="C240" s="559" t="s">
        <v>71</v>
      </c>
      <c r="D240" s="559" t="s">
        <v>684</v>
      </c>
      <c r="E240" s="560" t="s">
        <v>105</v>
      </c>
      <c r="F240" s="561">
        <v>2</v>
      </c>
      <c r="G240" s="562">
        <v>212.24</v>
      </c>
      <c r="H240" s="562">
        <v>264.57</v>
      </c>
      <c r="I240" s="569">
        <v>529.14</v>
      </c>
      <c r="J240" s="567">
        <f t="shared" ref="J240:J249" si="26">$I$626</f>
        <v>0</v>
      </c>
      <c r="K240" s="570">
        <f t="shared" si="23"/>
        <v>529.14</v>
      </c>
    </row>
    <row r="241" ht="25.5" spans="1:11">
      <c r="A241" s="559" t="s">
        <v>685</v>
      </c>
      <c r="B241" s="559" t="s">
        <v>686</v>
      </c>
      <c r="C241" s="559" t="s">
        <v>65</v>
      </c>
      <c r="D241" s="559" t="s">
        <v>687</v>
      </c>
      <c r="E241" s="560" t="s">
        <v>67</v>
      </c>
      <c r="F241" s="561">
        <v>13.1</v>
      </c>
      <c r="G241" s="562">
        <v>604.61</v>
      </c>
      <c r="H241" s="562">
        <v>753.7</v>
      </c>
      <c r="I241" s="569">
        <v>9873.47</v>
      </c>
      <c r="J241" s="567">
        <f t="shared" si="26"/>
        <v>0</v>
      </c>
      <c r="K241" s="570">
        <f t="shared" si="23"/>
        <v>9873.47</v>
      </c>
    </row>
    <row r="242" ht="25.5" spans="1:11">
      <c r="A242" s="559" t="s">
        <v>688</v>
      </c>
      <c r="B242" s="559" t="s">
        <v>689</v>
      </c>
      <c r="C242" s="559" t="s">
        <v>71</v>
      </c>
      <c r="D242" s="559" t="s">
        <v>690</v>
      </c>
      <c r="E242" s="560" t="s">
        <v>105</v>
      </c>
      <c r="F242" s="561">
        <v>6</v>
      </c>
      <c r="G242" s="562">
        <v>64.14</v>
      </c>
      <c r="H242" s="562">
        <v>79.95</v>
      </c>
      <c r="I242" s="569">
        <v>479.7</v>
      </c>
      <c r="J242" s="567">
        <f t="shared" si="26"/>
        <v>0</v>
      </c>
      <c r="K242" s="570">
        <f t="shared" si="23"/>
        <v>479.7</v>
      </c>
    </row>
    <row r="243" spans="1:11">
      <c r="A243" s="559" t="s">
        <v>691</v>
      </c>
      <c r="B243" s="559" t="s">
        <v>692</v>
      </c>
      <c r="C243" s="559" t="s">
        <v>99</v>
      </c>
      <c r="D243" s="559" t="s">
        <v>693</v>
      </c>
      <c r="E243" s="560" t="s">
        <v>105</v>
      </c>
      <c r="F243" s="561">
        <v>4</v>
      </c>
      <c r="G243" s="562">
        <v>257.82</v>
      </c>
      <c r="H243" s="562">
        <v>321.39</v>
      </c>
      <c r="I243" s="569">
        <v>1285.56</v>
      </c>
      <c r="J243" s="567">
        <f t="shared" si="26"/>
        <v>0</v>
      </c>
      <c r="K243" s="570">
        <f t="shared" si="23"/>
        <v>1285.56</v>
      </c>
    </row>
    <row r="244" ht="25.5" spans="1:11">
      <c r="A244" s="559" t="s">
        <v>694</v>
      </c>
      <c r="B244" s="559" t="s">
        <v>695</v>
      </c>
      <c r="C244" s="559" t="s">
        <v>65</v>
      </c>
      <c r="D244" s="559" t="s">
        <v>696</v>
      </c>
      <c r="E244" s="560" t="s">
        <v>67</v>
      </c>
      <c r="F244" s="561">
        <v>8</v>
      </c>
      <c r="G244" s="562">
        <v>210.84</v>
      </c>
      <c r="H244" s="562">
        <v>262.83</v>
      </c>
      <c r="I244" s="569">
        <v>2102.64</v>
      </c>
      <c r="J244" s="567">
        <f t="shared" si="26"/>
        <v>0</v>
      </c>
      <c r="K244" s="570">
        <f t="shared" si="23"/>
        <v>2102.64</v>
      </c>
    </row>
    <row r="245" ht="25.5" spans="1:11">
      <c r="A245" s="559" t="s">
        <v>697</v>
      </c>
      <c r="B245" s="559" t="s">
        <v>698</v>
      </c>
      <c r="C245" s="559" t="s">
        <v>65</v>
      </c>
      <c r="D245" s="559" t="s">
        <v>699</v>
      </c>
      <c r="E245" s="560" t="s">
        <v>67</v>
      </c>
      <c r="F245" s="561">
        <v>4.64</v>
      </c>
      <c r="G245" s="562">
        <v>1017.93</v>
      </c>
      <c r="H245" s="562">
        <v>1268.95</v>
      </c>
      <c r="I245" s="569">
        <v>5887.92</v>
      </c>
      <c r="J245" s="567">
        <f t="shared" si="26"/>
        <v>0</v>
      </c>
      <c r="K245" s="570">
        <f t="shared" si="23"/>
        <v>5887.92</v>
      </c>
    </row>
    <row r="246" spans="1:11">
      <c r="A246" s="555" t="s">
        <v>700</v>
      </c>
      <c r="B246" s="555" t="s">
        <v>61</v>
      </c>
      <c r="C246" s="555"/>
      <c r="D246" s="555" t="s">
        <v>30</v>
      </c>
      <c r="E246" s="556"/>
      <c r="F246" s="557">
        <v>1</v>
      </c>
      <c r="G246" s="557" t="s">
        <v>62</v>
      </c>
      <c r="H246" s="558">
        <v>112249.78</v>
      </c>
      <c r="I246" s="566">
        <v>112249.78</v>
      </c>
      <c r="J246" s="567"/>
      <c r="K246" s="568">
        <f>SUM(K247:K268)</f>
        <v>112249.78</v>
      </c>
    </row>
    <row r="247" ht="38.25" spans="1:11">
      <c r="A247" s="559" t="s">
        <v>701</v>
      </c>
      <c r="B247" s="559" t="s">
        <v>540</v>
      </c>
      <c r="C247" s="559" t="s">
        <v>71</v>
      </c>
      <c r="D247" s="559" t="s">
        <v>541</v>
      </c>
      <c r="E247" s="560" t="s">
        <v>78</v>
      </c>
      <c r="F247" s="561">
        <v>3</v>
      </c>
      <c r="G247" s="562">
        <v>33.01</v>
      </c>
      <c r="H247" s="562">
        <v>41.15</v>
      </c>
      <c r="I247" s="569">
        <v>123.45</v>
      </c>
      <c r="J247" s="567">
        <f t="shared" si="26"/>
        <v>0</v>
      </c>
      <c r="K247" s="570">
        <f t="shared" si="23"/>
        <v>123.45</v>
      </c>
    </row>
    <row r="248" ht="38.25" spans="1:11">
      <c r="A248" s="559" t="s">
        <v>702</v>
      </c>
      <c r="B248" s="559" t="s">
        <v>703</v>
      </c>
      <c r="C248" s="559" t="s">
        <v>71</v>
      </c>
      <c r="D248" s="559" t="s">
        <v>704</v>
      </c>
      <c r="E248" s="560" t="s">
        <v>78</v>
      </c>
      <c r="F248" s="561">
        <v>4</v>
      </c>
      <c r="G248" s="562">
        <v>29.25</v>
      </c>
      <c r="H248" s="562">
        <v>36.46</v>
      </c>
      <c r="I248" s="569">
        <v>145.84</v>
      </c>
      <c r="J248" s="567">
        <f t="shared" si="26"/>
        <v>0</v>
      </c>
      <c r="K248" s="570">
        <f t="shared" si="23"/>
        <v>145.84</v>
      </c>
    </row>
    <row r="249" ht="38.25" spans="1:11">
      <c r="A249" s="559" t="s">
        <v>705</v>
      </c>
      <c r="B249" s="559" t="s">
        <v>546</v>
      </c>
      <c r="C249" s="559" t="s">
        <v>71</v>
      </c>
      <c r="D249" s="559" t="s">
        <v>547</v>
      </c>
      <c r="E249" s="560" t="s">
        <v>78</v>
      </c>
      <c r="F249" s="561">
        <v>199</v>
      </c>
      <c r="G249" s="562">
        <v>45.99</v>
      </c>
      <c r="H249" s="562">
        <v>57.33</v>
      </c>
      <c r="I249" s="569">
        <v>11408.67</v>
      </c>
      <c r="J249" s="567">
        <f t="shared" si="26"/>
        <v>0</v>
      </c>
      <c r="K249" s="570">
        <f t="shared" si="23"/>
        <v>11408.67</v>
      </c>
    </row>
    <row r="250" ht="38.25" spans="1:11">
      <c r="A250" s="559" t="s">
        <v>706</v>
      </c>
      <c r="B250" s="559" t="s">
        <v>707</v>
      </c>
      <c r="C250" s="559" t="s">
        <v>71</v>
      </c>
      <c r="D250" s="559" t="s">
        <v>708</v>
      </c>
      <c r="E250" s="560" t="s">
        <v>78</v>
      </c>
      <c r="F250" s="561">
        <v>225</v>
      </c>
      <c r="G250" s="562">
        <v>64.81</v>
      </c>
      <c r="H250" s="562">
        <v>80.79</v>
      </c>
      <c r="I250" s="569">
        <v>18177.75</v>
      </c>
      <c r="J250" s="567">
        <f t="shared" ref="J250:J259" si="27">$I$626</f>
        <v>0</v>
      </c>
      <c r="K250" s="570">
        <f t="shared" si="23"/>
        <v>18177.75</v>
      </c>
    </row>
    <row r="251" ht="51" spans="1:11">
      <c r="A251" s="559" t="s">
        <v>709</v>
      </c>
      <c r="B251" s="559" t="s">
        <v>710</v>
      </c>
      <c r="C251" s="559" t="s">
        <v>76</v>
      </c>
      <c r="D251" s="559" t="s">
        <v>711</v>
      </c>
      <c r="E251" s="560" t="s">
        <v>78</v>
      </c>
      <c r="F251" s="561">
        <v>45</v>
      </c>
      <c r="G251" s="562">
        <v>96.12</v>
      </c>
      <c r="H251" s="562">
        <v>119.82</v>
      </c>
      <c r="I251" s="569">
        <v>5391.9</v>
      </c>
      <c r="J251" s="567">
        <f t="shared" si="27"/>
        <v>0</v>
      </c>
      <c r="K251" s="570">
        <f t="shared" si="23"/>
        <v>5391.9</v>
      </c>
    </row>
    <row r="252" ht="51" spans="1:11">
      <c r="A252" s="559" t="s">
        <v>712</v>
      </c>
      <c r="B252" s="559" t="s">
        <v>597</v>
      </c>
      <c r="C252" s="559" t="s">
        <v>71</v>
      </c>
      <c r="D252" s="559" t="s">
        <v>598</v>
      </c>
      <c r="E252" s="560" t="s">
        <v>105</v>
      </c>
      <c r="F252" s="561">
        <v>2</v>
      </c>
      <c r="G252" s="562">
        <v>12.48</v>
      </c>
      <c r="H252" s="562">
        <v>15.55</v>
      </c>
      <c r="I252" s="569">
        <v>31.1</v>
      </c>
      <c r="J252" s="567">
        <f t="shared" si="27"/>
        <v>0</v>
      </c>
      <c r="K252" s="570">
        <f t="shared" si="23"/>
        <v>31.1</v>
      </c>
    </row>
    <row r="253" ht="38.25" spans="1:11">
      <c r="A253" s="559" t="s">
        <v>713</v>
      </c>
      <c r="B253" s="559" t="s">
        <v>549</v>
      </c>
      <c r="C253" s="559" t="s">
        <v>71</v>
      </c>
      <c r="D253" s="559" t="s">
        <v>550</v>
      </c>
      <c r="E253" s="560" t="s">
        <v>105</v>
      </c>
      <c r="F253" s="561">
        <v>5</v>
      </c>
      <c r="G253" s="562">
        <v>11.06</v>
      </c>
      <c r="H253" s="562">
        <v>13.78</v>
      </c>
      <c r="I253" s="569">
        <v>68.9</v>
      </c>
      <c r="J253" s="567">
        <f t="shared" si="27"/>
        <v>0</v>
      </c>
      <c r="K253" s="570">
        <f t="shared" si="23"/>
        <v>68.9</v>
      </c>
    </row>
    <row r="254" ht="38.25" spans="1:11">
      <c r="A254" s="559" t="s">
        <v>714</v>
      </c>
      <c r="B254" s="559" t="s">
        <v>555</v>
      </c>
      <c r="C254" s="559" t="s">
        <v>71</v>
      </c>
      <c r="D254" s="559" t="s">
        <v>556</v>
      </c>
      <c r="E254" s="560" t="s">
        <v>105</v>
      </c>
      <c r="F254" s="561">
        <v>51</v>
      </c>
      <c r="G254" s="562">
        <v>37.79</v>
      </c>
      <c r="H254" s="562">
        <v>47.1</v>
      </c>
      <c r="I254" s="569">
        <v>2402.1</v>
      </c>
      <c r="J254" s="567">
        <f t="shared" si="27"/>
        <v>0</v>
      </c>
      <c r="K254" s="570">
        <f t="shared" si="23"/>
        <v>2402.1</v>
      </c>
    </row>
    <row r="255" ht="38.25" spans="1:11">
      <c r="A255" s="559" t="s">
        <v>715</v>
      </c>
      <c r="B255" s="559" t="s">
        <v>716</v>
      </c>
      <c r="C255" s="559" t="s">
        <v>71</v>
      </c>
      <c r="D255" s="559" t="s">
        <v>717</v>
      </c>
      <c r="E255" s="560" t="s">
        <v>105</v>
      </c>
      <c r="F255" s="561">
        <v>25</v>
      </c>
      <c r="G255" s="562">
        <v>102.87</v>
      </c>
      <c r="H255" s="562">
        <v>128.23</v>
      </c>
      <c r="I255" s="569">
        <v>3205.75</v>
      </c>
      <c r="J255" s="567">
        <f t="shared" si="27"/>
        <v>0</v>
      </c>
      <c r="K255" s="570">
        <f t="shared" si="23"/>
        <v>3205.75</v>
      </c>
    </row>
    <row r="256" ht="38.25" spans="1:11">
      <c r="A256" s="559" t="s">
        <v>718</v>
      </c>
      <c r="B256" s="559" t="s">
        <v>719</v>
      </c>
      <c r="C256" s="559" t="s">
        <v>71</v>
      </c>
      <c r="D256" s="559" t="s">
        <v>720</v>
      </c>
      <c r="E256" s="560" t="s">
        <v>105</v>
      </c>
      <c r="F256" s="561">
        <v>3</v>
      </c>
      <c r="G256" s="562">
        <v>11.2</v>
      </c>
      <c r="H256" s="562">
        <v>13.96</v>
      </c>
      <c r="I256" s="569">
        <v>41.88</v>
      </c>
      <c r="J256" s="567">
        <f t="shared" si="27"/>
        <v>0</v>
      </c>
      <c r="K256" s="570">
        <f t="shared" si="23"/>
        <v>41.88</v>
      </c>
    </row>
    <row r="257" ht="38.25" spans="1:11">
      <c r="A257" s="559" t="s">
        <v>721</v>
      </c>
      <c r="B257" s="559" t="s">
        <v>722</v>
      </c>
      <c r="C257" s="559" t="s">
        <v>71</v>
      </c>
      <c r="D257" s="559" t="s">
        <v>723</v>
      </c>
      <c r="E257" s="560" t="s">
        <v>105</v>
      </c>
      <c r="F257" s="561">
        <v>1</v>
      </c>
      <c r="G257" s="562">
        <v>49.28</v>
      </c>
      <c r="H257" s="562">
        <v>61.43</v>
      </c>
      <c r="I257" s="569">
        <v>61.43</v>
      </c>
      <c r="J257" s="567">
        <f t="shared" si="27"/>
        <v>0</v>
      </c>
      <c r="K257" s="570">
        <f t="shared" si="23"/>
        <v>61.43</v>
      </c>
    </row>
    <row r="258" ht="38.25" spans="1:11">
      <c r="A258" s="559" t="s">
        <v>724</v>
      </c>
      <c r="B258" s="559" t="s">
        <v>725</v>
      </c>
      <c r="C258" s="559" t="s">
        <v>71</v>
      </c>
      <c r="D258" s="559" t="s">
        <v>726</v>
      </c>
      <c r="E258" s="560" t="s">
        <v>105</v>
      </c>
      <c r="F258" s="561">
        <v>84</v>
      </c>
      <c r="G258" s="562">
        <v>33.49</v>
      </c>
      <c r="H258" s="562">
        <v>41.74</v>
      </c>
      <c r="I258" s="569">
        <v>3506.16</v>
      </c>
      <c r="J258" s="567">
        <f t="shared" si="27"/>
        <v>0</v>
      </c>
      <c r="K258" s="570">
        <f t="shared" si="23"/>
        <v>3506.16</v>
      </c>
    </row>
    <row r="259" ht="51" spans="1:11">
      <c r="A259" s="559" t="s">
        <v>727</v>
      </c>
      <c r="B259" s="559" t="s">
        <v>728</v>
      </c>
      <c r="C259" s="559" t="s">
        <v>71</v>
      </c>
      <c r="D259" s="559" t="s">
        <v>729</v>
      </c>
      <c r="E259" s="560" t="s">
        <v>105</v>
      </c>
      <c r="F259" s="561">
        <v>1</v>
      </c>
      <c r="G259" s="562">
        <v>41.4</v>
      </c>
      <c r="H259" s="562">
        <v>51.6</v>
      </c>
      <c r="I259" s="569">
        <v>51.6</v>
      </c>
      <c r="J259" s="567">
        <f t="shared" si="27"/>
        <v>0</v>
      </c>
      <c r="K259" s="570">
        <f t="shared" si="23"/>
        <v>51.6</v>
      </c>
    </row>
    <row r="260" ht="51" spans="1:11">
      <c r="A260" s="559" t="s">
        <v>730</v>
      </c>
      <c r="B260" s="559" t="s">
        <v>731</v>
      </c>
      <c r="C260" s="559" t="s">
        <v>71</v>
      </c>
      <c r="D260" s="559" t="s">
        <v>732</v>
      </c>
      <c r="E260" s="560" t="s">
        <v>105</v>
      </c>
      <c r="F260" s="561">
        <v>17</v>
      </c>
      <c r="G260" s="562">
        <v>48.85</v>
      </c>
      <c r="H260" s="562">
        <v>60.89</v>
      </c>
      <c r="I260" s="569">
        <v>1035.13</v>
      </c>
      <c r="J260" s="567">
        <f t="shared" ref="J260:J269" si="28">$I$626</f>
        <v>0</v>
      </c>
      <c r="K260" s="570">
        <f t="shared" si="23"/>
        <v>1035.13</v>
      </c>
    </row>
    <row r="261" ht="38.25" spans="1:11">
      <c r="A261" s="559" t="s">
        <v>733</v>
      </c>
      <c r="B261" s="559" t="s">
        <v>734</v>
      </c>
      <c r="C261" s="559" t="s">
        <v>71</v>
      </c>
      <c r="D261" s="559" t="s">
        <v>735</v>
      </c>
      <c r="E261" s="560" t="s">
        <v>105</v>
      </c>
      <c r="F261" s="561">
        <v>1</v>
      </c>
      <c r="G261" s="562">
        <v>86.83</v>
      </c>
      <c r="H261" s="562">
        <v>108.24</v>
      </c>
      <c r="I261" s="569">
        <v>108.24</v>
      </c>
      <c r="J261" s="567">
        <f t="shared" si="28"/>
        <v>0</v>
      </c>
      <c r="K261" s="570">
        <f t="shared" si="23"/>
        <v>108.24</v>
      </c>
    </row>
    <row r="262" ht="38.25" spans="1:11">
      <c r="A262" s="559" t="s">
        <v>736</v>
      </c>
      <c r="B262" s="559" t="s">
        <v>737</v>
      </c>
      <c r="C262" s="559" t="s">
        <v>71</v>
      </c>
      <c r="D262" s="559" t="s">
        <v>738</v>
      </c>
      <c r="E262" s="560" t="s">
        <v>105</v>
      </c>
      <c r="F262" s="561">
        <v>1</v>
      </c>
      <c r="G262" s="562">
        <v>98.11</v>
      </c>
      <c r="H262" s="562">
        <v>122.3</v>
      </c>
      <c r="I262" s="569">
        <v>122.3</v>
      </c>
      <c r="J262" s="567">
        <f t="shared" si="28"/>
        <v>0</v>
      </c>
      <c r="K262" s="570">
        <f t="shared" si="23"/>
        <v>122.3</v>
      </c>
    </row>
    <row r="263" ht="51" spans="1:11">
      <c r="A263" s="559" t="s">
        <v>739</v>
      </c>
      <c r="B263" s="559" t="s">
        <v>740</v>
      </c>
      <c r="C263" s="559" t="s">
        <v>65</v>
      </c>
      <c r="D263" s="559" t="s">
        <v>741</v>
      </c>
      <c r="E263" s="560" t="s">
        <v>67</v>
      </c>
      <c r="F263" s="561">
        <v>1</v>
      </c>
      <c r="G263" s="562">
        <v>47.28</v>
      </c>
      <c r="H263" s="562">
        <v>58.93</v>
      </c>
      <c r="I263" s="569">
        <v>58.93</v>
      </c>
      <c r="J263" s="567">
        <f t="shared" si="28"/>
        <v>0</v>
      </c>
      <c r="K263" s="570">
        <f t="shared" si="23"/>
        <v>58.93</v>
      </c>
    </row>
    <row r="264" ht="25.5" spans="1:11">
      <c r="A264" s="559" t="s">
        <v>742</v>
      </c>
      <c r="B264" s="559" t="s">
        <v>743</v>
      </c>
      <c r="C264" s="559" t="s">
        <v>512</v>
      </c>
      <c r="D264" s="559" t="s">
        <v>744</v>
      </c>
      <c r="E264" s="560" t="s">
        <v>67</v>
      </c>
      <c r="F264" s="561">
        <v>1</v>
      </c>
      <c r="G264" s="562">
        <v>77.98</v>
      </c>
      <c r="H264" s="562">
        <v>97.2</v>
      </c>
      <c r="I264" s="569">
        <v>97.2</v>
      </c>
      <c r="J264" s="567">
        <f t="shared" si="28"/>
        <v>0</v>
      </c>
      <c r="K264" s="570">
        <f t="shared" si="23"/>
        <v>97.2</v>
      </c>
    </row>
    <row r="265" ht="25.5" spans="1:11">
      <c r="A265" s="559" t="s">
        <v>745</v>
      </c>
      <c r="B265" s="559" t="s">
        <v>746</v>
      </c>
      <c r="C265" s="559" t="s">
        <v>512</v>
      </c>
      <c r="D265" s="559" t="s">
        <v>747</v>
      </c>
      <c r="E265" s="560" t="s">
        <v>67</v>
      </c>
      <c r="F265" s="561">
        <v>1</v>
      </c>
      <c r="G265" s="562">
        <v>67.06</v>
      </c>
      <c r="H265" s="562">
        <v>83.59</v>
      </c>
      <c r="I265" s="569">
        <v>83.59</v>
      </c>
      <c r="J265" s="567">
        <f t="shared" si="28"/>
        <v>0</v>
      </c>
      <c r="K265" s="570">
        <f t="shared" si="23"/>
        <v>83.59</v>
      </c>
    </row>
    <row r="266" ht="102" spans="1:11">
      <c r="A266" s="559" t="s">
        <v>748</v>
      </c>
      <c r="B266" s="559" t="s">
        <v>636</v>
      </c>
      <c r="C266" s="559" t="s">
        <v>76</v>
      </c>
      <c r="D266" s="559" t="s">
        <v>637</v>
      </c>
      <c r="E266" s="560" t="s">
        <v>105</v>
      </c>
      <c r="F266" s="561">
        <v>24</v>
      </c>
      <c r="G266" s="562">
        <v>1144.41</v>
      </c>
      <c r="H266" s="562">
        <v>1426.62</v>
      </c>
      <c r="I266" s="569">
        <v>34238.88</v>
      </c>
      <c r="J266" s="567">
        <f t="shared" si="28"/>
        <v>0</v>
      </c>
      <c r="K266" s="570">
        <f t="shared" si="23"/>
        <v>34238.88</v>
      </c>
    </row>
    <row r="267" ht="38.25" spans="1:11">
      <c r="A267" s="559" t="s">
        <v>749</v>
      </c>
      <c r="B267" s="559" t="s">
        <v>750</v>
      </c>
      <c r="C267" s="559" t="s">
        <v>71</v>
      </c>
      <c r="D267" s="559" t="s">
        <v>751</v>
      </c>
      <c r="E267" s="560" t="s">
        <v>105</v>
      </c>
      <c r="F267" s="561">
        <v>122</v>
      </c>
      <c r="G267" s="562">
        <v>209.39</v>
      </c>
      <c r="H267" s="562">
        <v>261.02</v>
      </c>
      <c r="I267" s="569">
        <v>31844.44</v>
      </c>
      <c r="J267" s="567">
        <f t="shared" si="28"/>
        <v>0</v>
      </c>
      <c r="K267" s="570">
        <f t="shared" si="23"/>
        <v>31844.44</v>
      </c>
    </row>
    <row r="268" ht="38.25" spans="1:11">
      <c r="A268" s="559" t="s">
        <v>752</v>
      </c>
      <c r="B268" s="559" t="s">
        <v>552</v>
      </c>
      <c r="C268" s="559" t="s">
        <v>71</v>
      </c>
      <c r="D268" s="559" t="s">
        <v>553</v>
      </c>
      <c r="E268" s="560" t="s">
        <v>105</v>
      </c>
      <c r="F268" s="561">
        <v>2</v>
      </c>
      <c r="G268" s="562">
        <v>17.87</v>
      </c>
      <c r="H268" s="562">
        <v>22.27</v>
      </c>
      <c r="I268" s="569">
        <v>44.54</v>
      </c>
      <c r="J268" s="567">
        <f t="shared" si="28"/>
        <v>0</v>
      </c>
      <c r="K268" s="570">
        <f t="shared" si="23"/>
        <v>44.54</v>
      </c>
    </row>
    <row r="269" spans="1:11">
      <c r="A269" s="555" t="s">
        <v>753</v>
      </c>
      <c r="B269" s="555" t="s">
        <v>61</v>
      </c>
      <c r="C269" s="555"/>
      <c r="D269" s="555" t="s">
        <v>31</v>
      </c>
      <c r="E269" s="556"/>
      <c r="F269" s="557">
        <v>1</v>
      </c>
      <c r="G269" s="557" t="s">
        <v>62</v>
      </c>
      <c r="H269" s="558">
        <v>540535.09</v>
      </c>
      <c r="I269" s="566">
        <v>540535.09</v>
      </c>
      <c r="J269" s="567"/>
      <c r="K269" s="568">
        <f>K270+K286+K292+K301+K312+K318+K320+K330+K338</f>
        <v>540535.09</v>
      </c>
    </row>
    <row r="270" spans="1:11">
      <c r="A270" s="555" t="s">
        <v>754</v>
      </c>
      <c r="B270" s="555" t="s">
        <v>61</v>
      </c>
      <c r="C270" s="555"/>
      <c r="D270" s="555" t="s">
        <v>755</v>
      </c>
      <c r="E270" s="556"/>
      <c r="F270" s="557">
        <v>1</v>
      </c>
      <c r="G270" s="557" t="s">
        <v>62</v>
      </c>
      <c r="H270" s="558">
        <v>237624.5</v>
      </c>
      <c r="I270" s="566">
        <v>237624.5</v>
      </c>
      <c r="J270" s="567"/>
      <c r="K270" s="568">
        <f>SUM(K271:K285)</f>
        <v>237624.5</v>
      </c>
    </row>
    <row r="271" spans="1:11">
      <c r="A271" s="559" t="s">
        <v>756</v>
      </c>
      <c r="B271" s="559" t="s">
        <v>757</v>
      </c>
      <c r="C271" s="559" t="s">
        <v>99</v>
      </c>
      <c r="D271" s="559" t="s">
        <v>758</v>
      </c>
      <c r="E271" s="560" t="s">
        <v>78</v>
      </c>
      <c r="F271" s="561">
        <v>100</v>
      </c>
      <c r="G271" s="562">
        <v>7.84</v>
      </c>
      <c r="H271" s="562">
        <v>9.77</v>
      </c>
      <c r="I271" s="569">
        <v>977</v>
      </c>
      <c r="J271" s="567">
        <f t="shared" ref="J270:J279" si="29">$I$626</f>
        <v>0</v>
      </c>
      <c r="K271" s="570">
        <f t="shared" si="23"/>
        <v>977</v>
      </c>
    </row>
    <row r="272" ht="38.25" spans="1:11">
      <c r="A272" s="559" t="s">
        <v>759</v>
      </c>
      <c r="B272" s="559" t="s">
        <v>760</v>
      </c>
      <c r="C272" s="559" t="s">
        <v>71</v>
      </c>
      <c r="D272" s="559" t="s">
        <v>761</v>
      </c>
      <c r="E272" s="560" t="s">
        <v>78</v>
      </c>
      <c r="F272" s="561">
        <v>7200</v>
      </c>
      <c r="G272" s="562">
        <v>4.98</v>
      </c>
      <c r="H272" s="562">
        <v>6.2</v>
      </c>
      <c r="I272" s="569">
        <v>44640</v>
      </c>
      <c r="J272" s="567">
        <f t="shared" si="29"/>
        <v>0</v>
      </c>
      <c r="K272" s="570">
        <f t="shared" si="23"/>
        <v>44640</v>
      </c>
    </row>
    <row r="273" ht="38.25" spans="1:11">
      <c r="A273" s="559" t="s">
        <v>762</v>
      </c>
      <c r="B273" s="559" t="s">
        <v>763</v>
      </c>
      <c r="C273" s="559" t="s">
        <v>71</v>
      </c>
      <c r="D273" s="559" t="s">
        <v>764</v>
      </c>
      <c r="E273" s="560" t="s">
        <v>78</v>
      </c>
      <c r="F273" s="561">
        <v>5500</v>
      </c>
      <c r="G273" s="562">
        <v>7.62</v>
      </c>
      <c r="H273" s="562">
        <v>9.49</v>
      </c>
      <c r="I273" s="569">
        <v>52195</v>
      </c>
      <c r="J273" s="567">
        <f t="shared" si="29"/>
        <v>0</v>
      </c>
      <c r="K273" s="570">
        <f t="shared" si="23"/>
        <v>52195</v>
      </c>
    </row>
    <row r="274" ht="38.25" spans="1:11">
      <c r="A274" s="559" t="s">
        <v>765</v>
      </c>
      <c r="B274" s="559" t="s">
        <v>766</v>
      </c>
      <c r="C274" s="559" t="s">
        <v>71</v>
      </c>
      <c r="D274" s="559" t="s">
        <v>767</v>
      </c>
      <c r="E274" s="560" t="s">
        <v>78</v>
      </c>
      <c r="F274" s="561">
        <v>200</v>
      </c>
      <c r="G274" s="562">
        <v>5.54</v>
      </c>
      <c r="H274" s="562">
        <v>6.9</v>
      </c>
      <c r="I274" s="569">
        <v>1380</v>
      </c>
      <c r="J274" s="567">
        <f t="shared" si="29"/>
        <v>0</v>
      </c>
      <c r="K274" s="570">
        <f t="shared" ref="K274:K337" si="30">I274-(I274*J274)</f>
        <v>1380</v>
      </c>
    </row>
    <row r="275" ht="38.25" spans="1:11">
      <c r="A275" s="559" t="s">
        <v>768</v>
      </c>
      <c r="B275" s="559" t="s">
        <v>769</v>
      </c>
      <c r="C275" s="559" t="s">
        <v>71</v>
      </c>
      <c r="D275" s="559" t="s">
        <v>770</v>
      </c>
      <c r="E275" s="560" t="s">
        <v>78</v>
      </c>
      <c r="F275" s="561">
        <v>1100</v>
      </c>
      <c r="G275" s="562">
        <v>8.1</v>
      </c>
      <c r="H275" s="562">
        <v>10.09</v>
      </c>
      <c r="I275" s="569">
        <v>11099</v>
      </c>
      <c r="J275" s="567">
        <f t="shared" si="29"/>
        <v>0</v>
      </c>
      <c r="K275" s="570">
        <f t="shared" si="30"/>
        <v>11099</v>
      </c>
    </row>
    <row r="276" ht="38.25" spans="1:11">
      <c r="A276" s="559" t="s">
        <v>771</v>
      </c>
      <c r="B276" s="559" t="s">
        <v>772</v>
      </c>
      <c r="C276" s="559" t="s">
        <v>71</v>
      </c>
      <c r="D276" s="559" t="s">
        <v>773</v>
      </c>
      <c r="E276" s="560" t="s">
        <v>78</v>
      </c>
      <c r="F276" s="561">
        <v>150</v>
      </c>
      <c r="G276" s="562">
        <v>11.36</v>
      </c>
      <c r="H276" s="562">
        <v>14.16</v>
      </c>
      <c r="I276" s="569">
        <v>2124</v>
      </c>
      <c r="J276" s="567">
        <f t="shared" si="29"/>
        <v>0</v>
      </c>
      <c r="K276" s="570">
        <f t="shared" si="30"/>
        <v>2124</v>
      </c>
    </row>
    <row r="277" ht="38.25" spans="1:11">
      <c r="A277" s="559" t="s">
        <v>774</v>
      </c>
      <c r="B277" s="559" t="s">
        <v>775</v>
      </c>
      <c r="C277" s="559" t="s">
        <v>71</v>
      </c>
      <c r="D277" s="559" t="s">
        <v>776</v>
      </c>
      <c r="E277" s="560" t="s">
        <v>78</v>
      </c>
      <c r="F277" s="561">
        <v>30</v>
      </c>
      <c r="G277" s="562">
        <v>28.25</v>
      </c>
      <c r="H277" s="562">
        <v>35.21</v>
      </c>
      <c r="I277" s="569">
        <v>1056.3</v>
      </c>
      <c r="J277" s="567">
        <f t="shared" si="29"/>
        <v>0</v>
      </c>
      <c r="K277" s="570">
        <f t="shared" si="30"/>
        <v>1056.3</v>
      </c>
    </row>
    <row r="278" ht="38.25" spans="1:11">
      <c r="A278" s="559" t="s">
        <v>777</v>
      </c>
      <c r="B278" s="559" t="s">
        <v>778</v>
      </c>
      <c r="C278" s="559" t="s">
        <v>71</v>
      </c>
      <c r="D278" s="559" t="s">
        <v>779</v>
      </c>
      <c r="E278" s="560" t="s">
        <v>78</v>
      </c>
      <c r="F278" s="561">
        <v>200</v>
      </c>
      <c r="G278" s="562">
        <v>30.11</v>
      </c>
      <c r="H278" s="562">
        <v>37.53</v>
      </c>
      <c r="I278" s="569">
        <v>7506</v>
      </c>
      <c r="J278" s="567">
        <f t="shared" si="29"/>
        <v>0</v>
      </c>
      <c r="K278" s="570">
        <f t="shared" si="30"/>
        <v>7506</v>
      </c>
    </row>
    <row r="279" ht="38.25" spans="1:11">
      <c r="A279" s="559" t="s">
        <v>780</v>
      </c>
      <c r="B279" s="559" t="s">
        <v>781</v>
      </c>
      <c r="C279" s="559" t="s">
        <v>71</v>
      </c>
      <c r="D279" s="559" t="s">
        <v>782</v>
      </c>
      <c r="E279" s="560" t="s">
        <v>78</v>
      </c>
      <c r="F279" s="561">
        <v>345</v>
      </c>
      <c r="G279" s="562">
        <v>59.86</v>
      </c>
      <c r="H279" s="562">
        <v>74.62</v>
      </c>
      <c r="I279" s="569">
        <v>25743.9</v>
      </c>
      <c r="J279" s="567">
        <f t="shared" si="29"/>
        <v>0</v>
      </c>
      <c r="K279" s="570">
        <f t="shared" si="30"/>
        <v>25743.9</v>
      </c>
    </row>
    <row r="280" ht="38.25" spans="1:11">
      <c r="A280" s="559" t="s">
        <v>783</v>
      </c>
      <c r="B280" s="559" t="s">
        <v>784</v>
      </c>
      <c r="C280" s="559" t="s">
        <v>71</v>
      </c>
      <c r="D280" s="559" t="s">
        <v>785</v>
      </c>
      <c r="E280" s="560" t="s">
        <v>78</v>
      </c>
      <c r="F280" s="561">
        <v>40</v>
      </c>
      <c r="G280" s="562">
        <v>106.78</v>
      </c>
      <c r="H280" s="562">
        <v>133.11</v>
      </c>
      <c r="I280" s="569">
        <v>5324.4</v>
      </c>
      <c r="J280" s="567">
        <f t="shared" ref="J280:J289" si="31">$I$626</f>
        <v>0</v>
      </c>
      <c r="K280" s="570">
        <f t="shared" si="30"/>
        <v>5324.4</v>
      </c>
    </row>
    <row r="281" ht="38.25" spans="1:11">
      <c r="A281" s="559" t="s">
        <v>786</v>
      </c>
      <c r="B281" s="559" t="s">
        <v>787</v>
      </c>
      <c r="C281" s="559" t="s">
        <v>71</v>
      </c>
      <c r="D281" s="559" t="s">
        <v>788</v>
      </c>
      <c r="E281" s="560" t="s">
        <v>78</v>
      </c>
      <c r="F281" s="561">
        <v>70</v>
      </c>
      <c r="G281" s="562">
        <v>205.27</v>
      </c>
      <c r="H281" s="562">
        <v>255.88</v>
      </c>
      <c r="I281" s="569">
        <v>17911.6</v>
      </c>
      <c r="J281" s="567">
        <f t="shared" si="31"/>
        <v>0</v>
      </c>
      <c r="K281" s="570">
        <f t="shared" si="30"/>
        <v>17911.6</v>
      </c>
    </row>
    <row r="282" ht="25.5" spans="1:11">
      <c r="A282" s="559" t="s">
        <v>789</v>
      </c>
      <c r="B282" s="559" t="s">
        <v>790</v>
      </c>
      <c r="C282" s="559" t="s">
        <v>65</v>
      </c>
      <c r="D282" s="559" t="s">
        <v>791</v>
      </c>
      <c r="E282" s="560" t="s">
        <v>67</v>
      </c>
      <c r="F282" s="561">
        <v>130</v>
      </c>
      <c r="G282" s="562">
        <v>73.92</v>
      </c>
      <c r="H282" s="562">
        <v>92.14</v>
      </c>
      <c r="I282" s="569">
        <v>11978.2</v>
      </c>
      <c r="J282" s="567">
        <f t="shared" si="31"/>
        <v>0</v>
      </c>
      <c r="K282" s="570">
        <f t="shared" si="30"/>
        <v>11978.2</v>
      </c>
    </row>
    <row r="283" ht="38.25" spans="1:11">
      <c r="A283" s="559" t="s">
        <v>792</v>
      </c>
      <c r="B283" s="559" t="s">
        <v>793</v>
      </c>
      <c r="C283" s="559" t="s">
        <v>65</v>
      </c>
      <c r="D283" s="559" t="s">
        <v>794</v>
      </c>
      <c r="E283" s="560" t="s">
        <v>535</v>
      </c>
      <c r="F283" s="561">
        <v>90</v>
      </c>
      <c r="G283" s="562">
        <v>28.83</v>
      </c>
      <c r="H283" s="562">
        <v>35.93</v>
      </c>
      <c r="I283" s="569">
        <v>3233.7</v>
      </c>
      <c r="J283" s="567">
        <f t="shared" si="31"/>
        <v>0</v>
      </c>
      <c r="K283" s="570">
        <f t="shared" si="30"/>
        <v>3233.7</v>
      </c>
    </row>
    <row r="284" ht="38.25" spans="1:11">
      <c r="A284" s="559" t="s">
        <v>795</v>
      </c>
      <c r="B284" s="559" t="s">
        <v>796</v>
      </c>
      <c r="C284" s="559" t="s">
        <v>71</v>
      </c>
      <c r="D284" s="559" t="s">
        <v>797</v>
      </c>
      <c r="E284" s="560" t="s">
        <v>78</v>
      </c>
      <c r="F284" s="561">
        <v>90</v>
      </c>
      <c r="G284" s="562">
        <v>82.68</v>
      </c>
      <c r="H284" s="562">
        <v>103.06</v>
      </c>
      <c r="I284" s="569">
        <v>9275.4</v>
      </c>
      <c r="J284" s="567">
        <f t="shared" si="31"/>
        <v>0</v>
      </c>
      <c r="K284" s="570">
        <f t="shared" si="30"/>
        <v>9275.4</v>
      </c>
    </row>
    <row r="285" ht="38.25" spans="1:11">
      <c r="A285" s="559" t="s">
        <v>798</v>
      </c>
      <c r="B285" s="559" t="s">
        <v>799</v>
      </c>
      <c r="C285" s="559" t="s">
        <v>71</v>
      </c>
      <c r="D285" s="559" t="s">
        <v>800</v>
      </c>
      <c r="E285" s="560" t="s">
        <v>78</v>
      </c>
      <c r="F285" s="561">
        <v>250</v>
      </c>
      <c r="G285" s="562">
        <v>138.56</v>
      </c>
      <c r="H285" s="562">
        <v>172.72</v>
      </c>
      <c r="I285" s="569">
        <v>43180</v>
      </c>
      <c r="J285" s="567">
        <f t="shared" si="31"/>
        <v>0</v>
      </c>
      <c r="K285" s="570">
        <f t="shared" si="30"/>
        <v>43180</v>
      </c>
    </row>
    <row r="286" spans="1:11">
      <c r="A286" s="555" t="s">
        <v>801</v>
      </c>
      <c r="B286" s="555" t="s">
        <v>61</v>
      </c>
      <c r="C286" s="555"/>
      <c r="D286" s="555" t="s">
        <v>802</v>
      </c>
      <c r="E286" s="556"/>
      <c r="F286" s="557">
        <v>1</v>
      </c>
      <c r="G286" s="557" t="s">
        <v>62</v>
      </c>
      <c r="H286" s="558">
        <v>11138.74</v>
      </c>
      <c r="I286" s="566">
        <v>11138.74</v>
      </c>
      <c r="J286" s="567"/>
      <c r="K286" s="568">
        <f>SUM(K287:K291)</f>
        <v>11138.74</v>
      </c>
    </row>
    <row r="287" ht="51" spans="1:11">
      <c r="A287" s="559" t="s">
        <v>803</v>
      </c>
      <c r="B287" s="559" t="s">
        <v>804</v>
      </c>
      <c r="C287" s="559" t="s">
        <v>76</v>
      </c>
      <c r="D287" s="559" t="s">
        <v>805</v>
      </c>
      <c r="E287" s="560" t="s">
        <v>78</v>
      </c>
      <c r="F287" s="561">
        <v>140</v>
      </c>
      <c r="G287" s="562">
        <v>24.16</v>
      </c>
      <c r="H287" s="562">
        <v>30.11</v>
      </c>
      <c r="I287" s="569">
        <v>4215.4</v>
      </c>
      <c r="J287" s="567">
        <f t="shared" si="31"/>
        <v>0</v>
      </c>
      <c r="K287" s="570">
        <f t="shared" si="30"/>
        <v>4215.4</v>
      </c>
    </row>
    <row r="288" ht="25.5" spans="1:11">
      <c r="A288" s="559" t="s">
        <v>806</v>
      </c>
      <c r="B288" s="559" t="s">
        <v>807</v>
      </c>
      <c r="C288" s="559" t="s">
        <v>71</v>
      </c>
      <c r="D288" s="559" t="s">
        <v>808</v>
      </c>
      <c r="E288" s="560" t="s">
        <v>78</v>
      </c>
      <c r="F288" s="561">
        <v>10</v>
      </c>
      <c r="G288" s="562">
        <v>78.29</v>
      </c>
      <c r="H288" s="562">
        <v>97.59</v>
      </c>
      <c r="I288" s="569">
        <v>975.9</v>
      </c>
      <c r="J288" s="567">
        <f t="shared" si="31"/>
        <v>0</v>
      </c>
      <c r="K288" s="570">
        <f t="shared" si="30"/>
        <v>975.9</v>
      </c>
    </row>
    <row r="289" ht="25.5" spans="1:11">
      <c r="A289" s="559" t="s">
        <v>809</v>
      </c>
      <c r="B289" s="559" t="s">
        <v>810</v>
      </c>
      <c r="C289" s="559" t="s">
        <v>71</v>
      </c>
      <c r="D289" s="559" t="s">
        <v>811</v>
      </c>
      <c r="E289" s="560" t="s">
        <v>78</v>
      </c>
      <c r="F289" s="561">
        <v>40</v>
      </c>
      <c r="G289" s="562">
        <v>61.15</v>
      </c>
      <c r="H289" s="562">
        <v>76.22</v>
      </c>
      <c r="I289" s="569">
        <v>3048.8</v>
      </c>
      <c r="J289" s="567">
        <f t="shared" si="31"/>
        <v>0</v>
      </c>
      <c r="K289" s="570">
        <f t="shared" si="30"/>
        <v>3048.8</v>
      </c>
    </row>
    <row r="290" ht="25.5" spans="1:11">
      <c r="A290" s="559" t="s">
        <v>812</v>
      </c>
      <c r="B290" s="559" t="s">
        <v>813</v>
      </c>
      <c r="C290" s="559" t="s">
        <v>512</v>
      </c>
      <c r="D290" s="559" t="s">
        <v>814</v>
      </c>
      <c r="E290" s="560" t="s">
        <v>535</v>
      </c>
      <c r="F290" s="561">
        <v>20</v>
      </c>
      <c r="G290" s="562">
        <v>26.84</v>
      </c>
      <c r="H290" s="562">
        <v>33.45</v>
      </c>
      <c r="I290" s="569">
        <v>669</v>
      </c>
      <c r="J290" s="567">
        <f t="shared" ref="J290:J299" si="32">$I$626</f>
        <v>0</v>
      </c>
      <c r="K290" s="570">
        <f t="shared" si="30"/>
        <v>669</v>
      </c>
    </row>
    <row r="291" spans="1:11">
      <c r="A291" s="559" t="s">
        <v>815</v>
      </c>
      <c r="B291" s="559" t="s">
        <v>816</v>
      </c>
      <c r="C291" s="559" t="s">
        <v>99</v>
      </c>
      <c r="D291" s="559" t="s">
        <v>817</v>
      </c>
      <c r="E291" s="560" t="s">
        <v>105</v>
      </c>
      <c r="F291" s="561">
        <v>28</v>
      </c>
      <c r="G291" s="562">
        <v>63.88</v>
      </c>
      <c r="H291" s="562">
        <v>79.63</v>
      </c>
      <c r="I291" s="569">
        <v>2229.64</v>
      </c>
      <c r="J291" s="567">
        <f t="shared" si="32"/>
        <v>0</v>
      </c>
      <c r="K291" s="570">
        <f t="shared" si="30"/>
        <v>2229.64</v>
      </c>
    </row>
    <row r="292" spans="1:11">
      <c r="A292" s="555" t="s">
        <v>818</v>
      </c>
      <c r="B292" s="555" t="s">
        <v>61</v>
      </c>
      <c r="C292" s="555"/>
      <c r="D292" s="555" t="s">
        <v>819</v>
      </c>
      <c r="E292" s="556"/>
      <c r="F292" s="557">
        <v>1</v>
      </c>
      <c r="G292" s="557" t="s">
        <v>62</v>
      </c>
      <c r="H292" s="558">
        <v>46944.62</v>
      </c>
      <c r="I292" s="566">
        <v>46944.62</v>
      </c>
      <c r="J292" s="567"/>
      <c r="K292" s="568">
        <f>SUM(K293:K300)</f>
        <v>46944.62</v>
      </c>
    </row>
    <row r="293" ht="38.25" spans="1:11">
      <c r="A293" s="559" t="s">
        <v>820</v>
      </c>
      <c r="B293" s="559" t="s">
        <v>821</v>
      </c>
      <c r="C293" s="559" t="s">
        <v>71</v>
      </c>
      <c r="D293" s="559" t="s">
        <v>822</v>
      </c>
      <c r="E293" s="560" t="s">
        <v>105</v>
      </c>
      <c r="F293" s="561">
        <v>2</v>
      </c>
      <c r="G293" s="562">
        <v>27.08</v>
      </c>
      <c r="H293" s="562">
        <v>33.75</v>
      </c>
      <c r="I293" s="569">
        <v>67.5</v>
      </c>
      <c r="J293" s="567">
        <f t="shared" si="32"/>
        <v>0</v>
      </c>
      <c r="K293" s="570">
        <f t="shared" si="30"/>
        <v>67.5</v>
      </c>
    </row>
    <row r="294" ht="25.5" spans="1:11">
      <c r="A294" s="559" t="s">
        <v>823</v>
      </c>
      <c r="B294" s="559" t="s">
        <v>824</v>
      </c>
      <c r="C294" s="559" t="s">
        <v>71</v>
      </c>
      <c r="D294" s="559" t="s">
        <v>825</v>
      </c>
      <c r="E294" s="560" t="s">
        <v>105</v>
      </c>
      <c r="F294" s="561">
        <v>3</v>
      </c>
      <c r="G294" s="562">
        <v>20.37</v>
      </c>
      <c r="H294" s="562">
        <v>25.39</v>
      </c>
      <c r="I294" s="569">
        <v>76.17</v>
      </c>
      <c r="J294" s="567">
        <f t="shared" si="32"/>
        <v>0</v>
      </c>
      <c r="K294" s="570">
        <f t="shared" si="30"/>
        <v>76.17</v>
      </c>
    </row>
    <row r="295" ht="25.5" spans="1:11">
      <c r="A295" s="559" t="s">
        <v>826</v>
      </c>
      <c r="B295" s="559" t="s">
        <v>827</v>
      </c>
      <c r="C295" s="559" t="s">
        <v>512</v>
      </c>
      <c r="D295" s="559" t="s">
        <v>828</v>
      </c>
      <c r="E295" s="560" t="s">
        <v>67</v>
      </c>
      <c r="F295" s="561">
        <v>12</v>
      </c>
      <c r="G295" s="562">
        <v>130.75</v>
      </c>
      <c r="H295" s="562">
        <v>162.99</v>
      </c>
      <c r="I295" s="569">
        <v>1955.88</v>
      </c>
      <c r="J295" s="567">
        <f t="shared" si="32"/>
        <v>0</v>
      </c>
      <c r="K295" s="570">
        <f t="shared" si="30"/>
        <v>1955.88</v>
      </c>
    </row>
    <row r="296" ht="25.5" spans="1:11">
      <c r="A296" s="559" t="s">
        <v>829</v>
      </c>
      <c r="B296" s="559" t="s">
        <v>830</v>
      </c>
      <c r="C296" s="559" t="s">
        <v>512</v>
      </c>
      <c r="D296" s="559" t="s">
        <v>831</v>
      </c>
      <c r="E296" s="560" t="s">
        <v>67</v>
      </c>
      <c r="F296" s="561">
        <v>1</v>
      </c>
      <c r="G296" s="562">
        <v>132.79</v>
      </c>
      <c r="H296" s="562">
        <v>165.53</v>
      </c>
      <c r="I296" s="569">
        <v>165.53</v>
      </c>
      <c r="J296" s="567">
        <f t="shared" si="32"/>
        <v>0</v>
      </c>
      <c r="K296" s="570">
        <f t="shared" si="30"/>
        <v>165.53</v>
      </c>
    </row>
    <row r="297" ht="127.5" spans="1:11">
      <c r="A297" s="559" t="s">
        <v>832</v>
      </c>
      <c r="B297" s="559" t="s">
        <v>833</v>
      </c>
      <c r="C297" s="559" t="s">
        <v>76</v>
      </c>
      <c r="D297" s="559" t="s">
        <v>834</v>
      </c>
      <c r="E297" s="560" t="s">
        <v>105</v>
      </c>
      <c r="F297" s="561">
        <v>21</v>
      </c>
      <c r="G297" s="562">
        <v>772.54</v>
      </c>
      <c r="H297" s="562">
        <v>963.04</v>
      </c>
      <c r="I297" s="569">
        <v>20223.84</v>
      </c>
      <c r="J297" s="567">
        <f t="shared" si="32"/>
        <v>0</v>
      </c>
      <c r="K297" s="570">
        <f t="shared" si="30"/>
        <v>20223.84</v>
      </c>
    </row>
    <row r="298" ht="102" spans="1:11">
      <c r="A298" s="559" t="s">
        <v>835</v>
      </c>
      <c r="B298" s="559" t="s">
        <v>636</v>
      </c>
      <c r="C298" s="559" t="s">
        <v>76</v>
      </c>
      <c r="D298" s="559" t="s">
        <v>637</v>
      </c>
      <c r="E298" s="560" t="s">
        <v>105</v>
      </c>
      <c r="F298" s="561">
        <v>3</v>
      </c>
      <c r="G298" s="562">
        <v>1144.41</v>
      </c>
      <c r="H298" s="562">
        <v>1426.62</v>
      </c>
      <c r="I298" s="569">
        <v>4279.86</v>
      </c>
      <c r="J298" s="567">
        <f t="shared" si="32"/>
        <v>0</v>
      </c>
      <c r="K298" s="570">
        <f t="shared" si="30"/>
        <v>4279.86</v>
      </c>
    </row>
    <row r="299" ht="127.5" spans="1:11">
      <c r="A299" s="559" t="s">
        <v>836</v>
      </c>
      <c r="B299" s="559" t="s">
        <v>837</v>
      </c>
      <c r="C299" s="559" t="s">
        <v>76</v>
      </c>
      <c r="D299" s="559" t="s">
        <v>838</v>
      </c>
      <c r="E299" s="560" t="s">
        <v>105</v>
      </c>
      <c r="F299" s="561">
        <v>3</v>
      </c>
      <c r="G299" s="562">
        <v>2697.45</v>
      </c>
      <c r="H299" s="562">
        <v>3362.64</v>
      </c>
      <c r="I299" s="569">
        <v>10087.92</v>
      </c>
      <c r="J299" s="567">
        <f t="shared" si="32"/>
        <v>0</v>
      </c>
      <c r="K299" s="570">
        <f t="shared" si="30"/>
        <v>10087.92</v>
      </c>
    </row>
    <row r="300" ht="127.5" spans="1:11">
      <c r="A300" s="559" t="s">
        <v>839</v>
      </c>
      <c r="B300" s="559" t="s">
        <v>837</v>
      </c>
      <c r="C300" s="559" t="s">
        <v>76</v>
      </c>
      <c r="D300" s="559" t="s">
        <v>838</v>
      </c>
      <c r="E300" s="560" t="s">
        <v>105</v>
      </c>
      <c r="F300" s="561">
        <v>3</v>
      </c>
      <c r="G300" s="562">
        <v>2697.45</v>
      </c>
      <c r="H300" s="562">
        <v>3362.64</v>
      </c>
      <c r="I300" s="569">
        <v>10087.92</v>
      </c>
      <c r="J300" s="567">
        <f t="shared" ref="J300:J309" si="33">$I$626</f>
        <v>0</v>
      </c>
      <c r="K300" s="570">
        <f t="shared" si="30"/>
        <v>10087.92</v>
      </c>
    </row>
    <row r="301" spans="1:11">
      <c r="A301" s="555" t="s">
        <v>840</v>
      </c>
      <c r="B301" s="555" t="s">
        <v>61</v>
      </c>
      <c r="C301" s="555"/>
      <c r="D301" s="555" t="s">
        <v>841</v>
      </c>
      <c r="E301" s="556"/>
      <c r="F301" s="557">
        <v>1</v>
      </c>
      <c r="G301" s="557" t="s">
        <v>62</v>
      </c>
      <c r="H301" s="558">
        <v>30445.84</v>
      </c>
      <c r="I301" s="566">
        <v>30445.84</v>
      </c>
      <c r="J301" s="567"/>
      <c r="K301" s="568">
        <f>SUM(K302:K311)</f>
        <v>30445.84</v>
      </c>
    </row>
    <row r="302" ht="38.25" spans="1:11">
      <c r="A302" s="559" t="s">
        <v>842</v>
      </c>
      <c r="B302" s="559" t="s">
        <v>843</v>
      </c>
      <c r="C302" s="559" t="s">
        <v>512</v>
      </c>
      <c r="D302" s="559" t="s">
        <v>844</v>
      </c>
      <c r="E302" s="560" t="s">
        <v>535</v>
      </c>
      <c r="F302" s="561">
        <v>450</v>
      </c>
      <c r="G302" s="562">
        <v>20.39</v>
      </c>
      <c r="H302" s="562">
        <v>25.41</v>
      </c>
      <c r="I302" s="569">
        <v>11434.5</v>
      </c>
      <c r="J302" s="567">
        <f t="shared" si="33"/>
        <v>0</v>
      </c>
      <c r="K302" s="570">
        <f t="shared" si="30"/>
        <v>11434.5</v>
      </c>
    </row>
    <row r="303" ht="38.25" spans="1:11">
      <c r="A303" s="559" t="s">
        <v>845</v>
      </c>
      <c r="B303" s="559" t="s">
        <v>846</v>
      </c>
      <c r="C303" s="559" t="s">
        <v>512</v>
      </c>
      <c r="D303" s="559" t="s">
        <v>847</v>
      </c>
      <c r="E303" s="560" t="s">
        <v>535</v>
      </c>
      <c r="F303" s="561">
        <v>6</v>
      </c>
      <c r="G303" s="562">
        <v>26.61</v>
      </c>
      <c r="H303" s="562">
        <v>33.17</v>
      </c>
      <c r="I303" s="569">
        <v>199.02</v>
      </c>
      <c r="J303" s="567">
        <f t="shared" si="33"/>
        <v>0</v>
      </c>
      <c r="K303" s="570">
        <f t="shared" si="30"/>
        <v>199.02</v>
      </c>
    </row>
    <row r="304" ht="38.25" spans="1:11">
      <c r="A304" s="559" t="s">
        <v>848</v>
      </c>
      <c r="B304" s="559" t="s">
        <v>849</v>
      </c>
      <c r="C304" s="559" t="s">
        <v>512</v>
      </c>
      <c r="D304" s="559" t="s">
        <v>850</v>
      </c>
      <c r="E304" s="560" t="s">
        <v>535</v>
      </c>
      <c r="F304" s="561">
        <v>6</v>
      </c>
      <c r="G304" s="562">
        <v>120.91</v>
      </c>
      <c r="H304" s="562">
        <v>150.72</v>
      </c>
      <c r="I304" s="569">
        <v>904.32</v>
      </c>
      <c r="J304" s="567">
        <f t="shared" si="33"/>
        <v>0</v>
      </c>
      <c r="K304" s="570">
        <f t="shared" si="30"/>
        <v>904.32</v>
      </c>
    </row>
    <row r="305" ht="25.5" spans="1:11">
      <c r="A305" s="559" t="s">
        <v>851</v>
      </c>
      <c r="B305" s="559" t="s">
        <v>852</v>
      </c>
      <c r="C305" s="559" t="s">
        <v>512</v>
      </c>
      <c r="D305" s="559" t="s">
        <v>853</v>
      </c>
      <c r="E305" s="560" t="s">
        <v>535</v>
      </c>
      <c r="F305" s="561">
        <v>15</v>
      </c>
      <c r="G305" s="562">
        <v>76.99</v>
      </c>
      <c r="H305" s="562">
        <v>95.97</v>
      </c>
      <c r="I305" s="569">
        <v>1439.55</v>
      </c>
      <c r="J305" s="567">
        <f t="shared" si="33"/>
        <v>0</v>
      </c>
      <c r="K305" s="570">
        <f t="shared" si="30"/>
        <v>1439.55</v>
      </c>
    </row>
    <row r="306" ht="25.5" spans="1:11">
      <c r="A306" s="559" t="s">
        <v>854</v>
      </c>
      <c r="B306" s="559" t="s">
        <v>855</v>
      </c>
      <c r="C306" s="559" t="s">
        <v>71</v>
      </c>
      <c r="D306" s="559" t="s">
        <v>856</v>
      </c>
      <c r="E306" s="560" t="s">
        <v>78</v>
      </c>
      <c r="F306" s="561">
        <v>135</v>
      </c>
      <c r="G306" s="562">
        <v>24.01</v>
      </c>
      <c r="H306" s="562">
        <v>29.93</v>
      </c>
      <c r="I306" s="569">
        <v>4040.55</v>
      </c>
      <c r="J306" s="567">
        <f t="shared" si="33"/>
        <v>0</v>
      </c>
      <c r="K306" s="570">
        <f t="shared" si="30"/>
        <v>4040.55</v>
      </c>
    </row>
    <row r="307" ht="38.25" spans="1:11">
      <c r="A307" s="559" t="s">
        <v>857</v>
      </c>
      <c r="B307" s="559" t="s">
        <v>858</v>
      </c>
      <c r="C307" s="559" t="s">
        <v>71</v>
      </c>
      <c r="D307" s="559" t="s">
        <v>859</v>
      </c>
      <c r="E307" s="560" t="s">
        <v>78</v>
      </c>
      <c r="F307" s="561">
        <v>80</v>
      </c>
      <c r="G307" s="562">
        <v>10.4</v>
      </c>
      <c r="H307" s="562">
        <v>12.96</v>
      </c>
      <c r="I307" s="569">
        <v>1036.8</v>
      </c>
      <c r="J307" s="567">
        <f t="shared" si="33"/>
        <v>0</v>
      </c>
      <c r="K307" s="570">
        <f t="shared" si="30"/>
        <v>1036.8</v>
      </c>
    </row>
    <row r="308" ht="38.25" spans="1:11">
      <c r="A308" s="559" t="s">
        <v>860</v>
      </c>
      <c r="B308" s="559" t="s">
        <v>861</v>
      </c>
      <c r="C308" s="559" t="s">
        <v>71</v>
      </c>
      <c r="D308" s="559" t="s">
        <v>862</v>
      </c>
      <c r="E308" s="560" t="s">
        <v>78</v>
      </c>
      <c r="F308" s="561">
        <v>250</v>
      </c>
      <c r="G308" s="562">
        <v>14.8</v>
      </c>
      <c r="H308" s="562">
        <v>18.44</v>
      </c>
      <c r="I308" s="569">
        <v>4610</v>
      </c>
      <c r="J308" s="567">
        <f t="shared" si="33"/>
        <v>0</v>
      </c>
      <c r="K308" s="570">
        <f t="shared" si="30"/>
        <v>4610</v>
      </c>
    </row>
    <row r="309" ht="38.25" spans="1:11">
      <c r="A309" s="559" t="s">
        <v>863</v>
      </c>
      <c r="B309" s="559" t="s">
        <v>864</v>
      </c>
      <c r="C309" s="559" t="s">
        <v>71</v>
      </c>
      <c r="D309" s="559" t="s">
        <v>865</v>
      </c>
      <c r="E309" s="560" t="s">
        <v>78</v>
      </c>
      <c r="F309" s="561">
        <v>30</v>
      </c>
      <c r="G309" s="562">
        <v>22.01</v>
      </c>
      <c r="H309" s="562">
        <v>27.43</v>
      </c>
      <c r="I309" s="569">
        <v>822.9</v>
      </c>
      <c r="J309" s="567">
        <f t="shared" si="33"/>
        <v>0</v>
      </c>
      <c r="K309" s="570">
        <f t="shared" si="30"/>
        <v>822.9</v>
      </c>
    </row>
    <row r="310" ht="38.25" spans="1:11">
      <c r="A310" s="559" t="s">
        <v>866</v>
      </c>
      <c r="B310" s="559" t="s">
        <v>867</v>
      </c>
      <c r="C310" s="559" t="s">
        <v>71</v>
      </c>
      <c r="D310" s="559" t="s">
        <v>868</v>
      </c>
      <c r="E310" s="560" t="s">
        <v>78</v>
      </c>
      <c r="F310" s="561">
        <v>80</v>
      </c>
      <c r="G310" s="562">
        <v>28.07</v>
      </c>
      <c r="H310" s="562">
        <v>34.99</v>
      </c>
      <c r="I310" s="569">
        <v>2799.2</v>
      </c>
      <c r="J310" s="567">
        <f t="shared" ref="J310:J319" si="34">$I$626</f>
        <v>0</v>
      </c>
      <c r="K310" s="570">
        <f t="shared" si="30"/>
        <v>2799.2</v>
      </c>
    </row>
    <row r="311" ht="38.25" spans="1:11">
      <c r="A311" s="559" t="s">
        <v>869</v>
      </c>
      <c r="B311" s="559" t="s">
        <v>870</v>
      </c>
      <c r="C311" s="559" t="s">
        <v>65</v>
      </c>
      <c r="D311" s="559" t="s">
        <v>871</v>
      </c>
      <c r="E311" s="560" t="s">
        <v>67</v>
      </c>
      <c r="F311" s="561">
        <v>300</v>
      </c>
      <c r="G311" s="562">
        <v>8.45</v>
      </c>
      <c r="H311" s="562">
        <v>10.53</v>
      </c>
      <c r="I311" s="569">
        <v>3159</v>
      </c>
      <c r="J311" s="567">
        <f t="shared" si="34"/>
        <v>0</v>
      </c>
      <c r="K311" s="570">
        <f t="shared" si="30"/>
        <v>3159</v>
      </c>
    </row>
    <row r="312" spans="1:11">
      <c r="A312" s="555" t="s">
        <v>872</v>
      </c>
      <c r="B312" s="555" t="s">
        <v>61</v>
      </c>
      <c r="C312" s="555"/>
      <c r="D312" s="555" t="s">
        <v>873</v>
      </c>
      <c r="E312" s="556"/>
      <c r="F312" s="557">
        <v>1</v>
      </c>
      <c r="G312" s="557" t="s">
        <v>62</v>
      </c>
      <c r="H312" s="558">
        <v>30708.72</v>
      </c>
      <c r="I312" s="566">
        <v>30708.72</v>
      </c>
      <c r="J312" s="567"/>
      <c r="K312" s="568">
        <f>SUM(K313:K317)</f>
        <v>30708.72</v>
      </c>
    </row>
    <row r="313" ht="76.5" spans="1:11">
      <c r="A313" s="559" t="s">
        <v>874</v>
      </c>
      <c r="B313" s="559" t="s">
        <v>875</v>
      </c>
      <c r="C313" s="559" t="s">
        <v>76</v>
      </c>
      <c r="D313" s="559" t="s">
        <v>876</v>
      </c>
      <c r="E313" s="560" t="s">
        <v>78</v>
      </c>
      <c r="F313" s="561">
        <v>120</v>
      </c>
      <c r="G313" s="562">
        <v>86.07</v>
      </c>
      <c r="H313" s="562">
        <v>107.29</v>
      </c>
      <c r="I313" s="569">
        <v>12874.8</v>
      </c>
      <c r="J313" s="567">
        <f t="shared" si="34"/>
        <v>0</v>
      </c>
      <c r="K313" s="570">
        <f t="shared" si="30"/>
        <v>12874.8</v>
      </c>
    </row>
    <row r="314" ht="51" spans="1:11">
      <c r="A314" s="559" t="s">
        <v>877</v>
      </c>
      <c r="B314" s="559" t="s">
        <v>878</v>
      </c>
      <c r="C314" s="559" t="s">
        <v>76</v>
      </c>
      <c r="D314" s="559" t="s">
        <v>879</v>
      </c>
      <c r="E314" s="560" t="s">
        <v>105</v>
      </c>
      <c r="F314" s="561">
        <v>7</v>
      </c>
      <c r="G314" s="562">
        <v>63.29</v>
      </c>
      <c r="H314" s="562">
        <v>78.89</v>
      </c>
      <c r="I314" s="569">
        <v>552.23</v>
      </c>
      <c r="J314" s="567">
        <f t="shared" si="34"/>
        <v>0</v>
      </c>
      <c r="K314" s="570">
        <f t="shared" si="30"/>
        <v>552.23</v>
      </c>
    </row>
    <row r="315" ht="51" spans="1:11">
      <c r="A315" s="559" t="s">
        <v>880</v>
      </c>
      <c r="B315" s="559" t="s">
        <v>881</v>
      </c>
      <c r="C315" s="559" t="s">
        <v>76</v>
      </c>
      <c r="D315" s="559" t="s">
        <v>882</v>
      </c>
      <c r="E315" s="560" t="s">
        <v>105</v>
      </c>
      <c r="F315" s="561">
        <v>1</v>
      </c>
      <c r="G315" s="562">
        <v>86.84</v>
      </c>
      <c r="H315" s="562">
        <v>108.25</v>
      </c>
      <c r="I315" s="569">
        <v>108.25</v>
      </c>
      <c r="J315" s="567">
        <f t="shared" si="34"/>
        <v>0</v>
      </c>
      <c r="K315" s="570">
        <f t="shared" si="30"/>
        <v>108.25</v>
      </c>
    </row>
    <row r="316" ht="51" spans="1:11">
      <c r="A316" s="559" t="s">
        <v>883</v>
      </c>
      <c r="B316" s="559" t="s">
        <v>884</v>
      </c>
      <c r="C316" s="559" t="s">
        <v>76</v>
      </c>
      <c r="D316" s="559" t="s">
        <v>885</v>
      </c>
      <c r="E316" s="560" t="s">
        <v>105</v>
      </c>
      <c r="F316" s="561">
        <v>2</v>
      </c>
      <c r="G316" s="562">
        <v>54.23</v>
      </c>
      <c r="H316" s="562">
        <v>67.6</v>
      </c>
      <c r="I316" s="569">
        <v>135.2</v>
      </c>
      <c r="J316" s="567">
        <f t="shared" si="34"/>
        <v>0</v>
      </c>
      <c r="K316" s="570">
        <f t="shared" si="30"/>
        <v>135.2</v>
      </c>
    </row>
    <row r="317" ht="38.25" spans="1:11">
      <c r="A317" s="559" t="s">
        <v>886</v>
      </c>
      <c r="B317" s="559" t="s">
        <v>887</v>
      </c>
      <c r="C317" s="559" t="s">
        <v>71</v>
      </c>
      <c r="D317" s="559" t="s">
        <v>888</v>
      </c>
      <c r="E317" s="560" t="s">
        <v>105</v>
      </c>
      <c r="F317" s="561">
        <v>166</v>
      </c>
      <c r="G317" s="562">
        <v>82.34</v>
      </c>
      <c r="H317" s="562">
        <v>102.64</v>
      </c>
      <c r="I317" s="569">
        <v>17038.24</v>
      </c>
      <c r="J317" s="567">
        <f t="shared" si="34"/>
        <v>0</v>
      </c>
      <c r="K317" s="570">
        <f t="shared" si="30"/>
        <v>17038.24</v>
      </c>
    </row>
    <row r="318" spans="1:11">
      <c r="A318" s="555" t="s">
        <v>889</v>
      </c>
      <c r="B318" s="555" t="s">
        <v>61</v>
      </c>
      <c r="C318" s="555"/>
      <c r="D318" s="555" t="s">
        <v>890</v>
      </c>
      <c r="E318" s="556"/>
      <c r="F318" s="557">
        <v>1</v>
      </c>
      <c r="G318" s="557" t="s">
        <v>62</v>
      </c>
      <c r="H318" s="558">
        <v>22034.7</v>
      </c>
      <c r="I318" s="566">
        <v>22034.7</v>
      </c>
      <c r="J318" s="567"/>
      <c r="K318" s="568">
        <f>K319</f>
        <v>22034.7</v>
      </c>
    </row>
    <row r="319" ht="63.75" spans="1:11">
      <c r="A319" s="559" t="s">
        <v>891</v>
      </c>
      <c r="B319" s="559" t="s">
        <v>892</v>
      </c>
      <c r="C319" s="559" t="s">
        <v>76</v>
      </c>
      <c r="D319" s="559" t="s">
        <v>893</v>
      </c>
      <c r="E319" s="560" t="s">
        <v>78</v>
      </c>
      <c r="F319" s="561">
        <v>270</v>
      </c>
      <c r="G319" s="562">
        <v>65.47</v>
      </c>
      <c r="H319" s="562">
        <v>81.61</v>
      </c>
      <c r="I319" s="569">
        <v>22034.7</v>
      </c>
      <c r="J319" s="567">
        <f t="shared" si="34"/>
        <v>0</v>
      </c>
      <c r="K319" s="570">
        <f t="shared" si="30"/>
        <v>22034.7</v>
      </c>
    </row>
    <row r="320" spans="1:11">
      <c r="A320" s="555" t="s">
        <v>894</v>
      </c>
      <c r="B320" s="555" t="s">
        <v>61</v>
      </c>
      <c r="C320" s="555"/>
      <c r="D320" s="555" t="s">
        <v>895</v>
      </c>
      <c r="E320" s="556"/>
      <c r="F320" s="557">
        <v>1</v>
      </c>
      <c r="G320" s="557" t="s">
        <v>62</v>
      </c>
      <c r="H320" s="558">
        <v>28564.73</v>
      </c>
      <c r="I320" s="566">
        <v>28564.73</v>
      </c>
      <c r="J320" s="567"/>
      <c r="K320" s="568">
        <f>SUM(K321:K329)</f>
        <v>28564.73</v>
      </c>
    </row>
    <row r="321" ht="63.75" spans="1:11">
      <c r="A321" s="559" t="s">
        <v>896</v>
      </c>
      <c r="B321" s="559" t="s">
        <v>897</v>
      </c>
      <c r="C321" s="559" t="s">
        <v>76</v>
      </c>
      <c r="D321" s="559" t="s">
        <v>898</v>
      </c>
      <c r="E321" s="560" t="s">
        <v>105</v>
      </c>
      <c r="F321" s="561">
        <v>19</v>
      </c>
      <c r="G321" s="562">
        <v>154.6</v>
      </c>
      <c r="H321" s="562">
        <v>192.72</v>
      </c>
      <c r="I321" s="569">
        <v>3661.68</v>
      </c>
      <c r="J321" s="567">
        <f t="shared" ref="J320:J329" si="35">$I$626</f>
        <v>0</v>
      </c>
      <c r="K321" s="570">
        <f t="shared" si="30"/>
        <v>3661.68</v>
      </c>
    </row>
    <row r="322" ht="89.25" spans="1:11">
      <c r="A322" s="559" t="s">
        <v>899</v>
      </c>
      <c r="B322" s="559" t="s">
        <v>900</v>
      </c>
      <c r="C322" s="559" t="s">
        <v>76</v>
      </c>
      <c r="D322" s="559" t="s">
        <v>901</v>
      </c>
      <c r="E322" s="560" t="s">
        <v>105</v>
      </c>
      <c r="F322" s="561">
        <v>13</v>
      </c>
      <c r="G322" s="562">
        <v>102.68</v>
      </c>
      <c r="H322" s="562">
        <v>128</v>
      </c>
      <c r="I322" s="569">
        <v>1664</v>
      </c>
      <c r="J322" s="567">
        <f t="shared" si="35"/>
        <v>0</v>
      </c>
      <c r="K322" s="570">
        <f t="shared" si="30"/>
        <v>1664</v>
      </c>
    </row>
    <row r="323" ht="51" spans="1:11">
      <c r="A323" s="559" t="s">
        <v>902</v>
      </c>
      <c r="B323" s="559" t="s">
        <v>903</v>
      </c>
      <c r="C323" s="559" t="s">
        <v>512</v>
      </c>
      <c r="D323" s="559" t="s">
        <v>904</v>
      </c>
      <c r="E323" s="560" t="s">
        <v>67</v>
      </c>
      <c r="F323" s="561">
        <v>5</v>
      </c>
      <c r="G323" s="562">
        <v>123.73</v>
      </c>
      <c r="H323" s="562">
        <v>154.24</v>
      </c>
      <c r="I323" s="569">
        <v>771.2</v>
      </c>
      <c r="J323" s="567">
        <f t="shared" si="35"/>
        <v>0</v>
      </c>
      <c r="K323" s="570">
        <f t="shared" si="30"/>
        <v>771.2</v>
      </c>
    </row>
    <row r="324" ht="25.5" spans="1:11">
      <c r="A324" s="559" t="s">
        <v>905</v>
      </c>
      <c r="B324" s="559" t="s">
        <v>906</v>
      </c>
      <c r="C324" s="559" t="s">
        <v>99</v>
      </c>
      <c r="D324" s="559" t="s">
        <v>907</v>
      </c>
      <c r="E324" s="560" t="s">
        <v>105</v>
      </c>
      <c r="F324" s="561">
        <v>2</v>
      </c>
      <c r="G324" s="562">
        <v>116.1</v>
      </c>
      <c r="H324" s="562">
        <v>144.73</v>
      </c>
      <c r="I324" s="569">
        <v>289.46</v>
      </c>
      <c r="J324" s="567">
        <f t="shared" si="35"/>
        <v>0</v>
      </c>
      <c r="K324" s="570">
        <f t="shared" si="30"/>
        <v>289.46</v>
      </c>
    </row>
    <row r="325" ht="25.5" spans="1:11">
      <c r="A325" s="559" t="s">
        <v>908</v>
      </c>
      <c r="B325" s="559" t="s">
        <v>909</v>
      </c>
      <c r="C325" s="559" t="s">
        <v>99</v>
      </c>
      <c r="D325" s="559" t="s">
        <v>910</v>
      </c>
      <c r="E325" s="560" t="s">
        <v>105</v>
      </c>
      <c r="F325" s="561">
        <v>3</v>
      </c>
      <c r="G325" s="562">
        <v>634.06</v>
      </c>
      <c r="H325" s="562">
        <v>790.41</v>
      </c>
      <c r="I325" s="569">
        <v>2371.23</v>
      </c>
      <c r="J325" s="567">
        <f t="shared" si="35"/>
        <v>0</v>
      </c>
      <c r="K325" s="570">
        <f t="shared" si="30"/>
        <v>2371.23</v>
      </c>
    </row>
    <row r="326" ht="25.5" spans="1:11">
      <c r="A326" s="559" t="s">
        <v>911</v>
      </c>
      <c r="B326" s="559" t="s">
        <v>912</v>
      </c>
      <c r="C326" s="559" t="s">
        <v>71</v>
      </c>
      <c r="D326" s="559" t="s">
        <v>913</v>
      </c>
      <c r="E326" s="560" t="s">
        <v>105</v>
      </c>
      <c r="F326" s="561">
        <v>365</v>
      </c>
      <c r="G326" s="562">
        <v>31.16</v>
      </c>
      <c r="H326" s="562">
        <v>38.84</v>
      </c>
      <c r="I326" s="569">
        <v>14176.6</v>
      </c>
      <c r="J326" s="567">
        <f t="shared" si="35"/>
        <v>0</v>
      </c>
      <c r="K326" s="570">
        <f t="shared" si="30"/>
        <v>14176.6</v>
      </c>
    </row>
    <row r="327" ht="25.5" spans="1:11">
      <c r="A327" s="559" t="s">
        <v>914</v>
      </c>
      <c r="B327" s="559" t="s">
        <v>915</v>
      </c>
      <c r="C327" s="559" t="s">
        <v>65</v>
      </c>
      <c r="D327" s="559" t="s">
        <v>916</v>
      </c>
      <c r="E327" s="560" t="s">
        <v>67</v>
      </c>
      <c r="F327" s="561">
        <v>365</v>
      </c>
      <c r="G327" s="562">
        <v>4.41</v>
      </c>
      <c r="H327" s="562">
        <v>5.49</v>
      </c>
      <c r="I327" s="569">
        <v>2003.85</v>
      </c>
      <c r="J327" s="567">
        <f t="shared" si="35"/>
        <v>0</v>
      </c>
      <c r="K327" s="570">
        <f t="shared" si="30"/>
        <v>2003.85</v>
      </c>
    </row>
    <row r="328" ht="51" spans="1:11">
      <c r="A328" s="559" t="s">
        <v>917</v>
      </c>
      <c r="B328" s="559" t="s">
        <v>918</v>
      </c>
      <c r="C328" s="559" t="s">
        <v>76</v>
      </c>
      <c r="D328" s="559" t="s">
        <v>919</v>
      </c>
      <c r="E328" s="560" t="s">
        <v>105</v>
      </c>
      <c r="F328" s="561">
        <v>22</v>
      </c>
      <c r="G328" s="562">
        <v>34.04</v>
      </c>
      <c r="H328" s="562">
        <v>42.43</v>
      </c>
      <c r="I328" s="569">
        <v>933.46</v>
      </c>
      <c r="J328" s="567">
        <f t="shared" si="35"/>
        <v>0</v>
      </c>
      <c r="K328" s="570">
        <f t="shared" si="30"/>
        <v>933.46</v>
      </c>
    </row>
    <row r="329" ht="25.5" spans="1:11">
      <c r="A329" s="559" t="s">
        <v>920</v>
      </c>
      <c r="B329" s="559" t="s">
        <v>921</v>
      </c>
      <c r="C329" s="559" t="s">
        <v>65</v>
      </c>
      <c r="D329" s="559" t="s">
        <v>922</v>
      </c>
      <c r="E329" s="560" t="s">
        <v>67</v>
      </c>
      <c r="F329" s="561">
        <v>175</v>
      </c>
      <c r="G329" s="562">
        <v>12.35</v>
      </c>
      <c r="H329" s="562">
        <v>15.39</v>
      </c>
      <c r="I329" s="569">
        <v>2693.25</v>
      </c>
      <c r="J329" s="567">
        <f t="shared" si="35"/>
        <v>0</v>
      </c>
      <c r="K329" s="570">
        <f t="shared" si="30"/>
        <v>2693.25</v>
      </c>
    </row>
    <row r="330" spans="1:11">
      <c r="A330" s="555" t="s">
        <v>923</v>
      </c>
      <c r="B330" s="555" t="s">
        <v>61</v>
      </c>
      <c r="C330" s="555"/>
      <c r="D330" s="555" t="s">
        <v>924</v>
      </c>
      <c r="E330" s="556"/>
      <c r="F330" s="557">
        <v>1</v>
      </c>
      <c r="G330" s="557" t="s">
        <v>62</v>
      </c>
      <c r="H330" s="558">
        <v>14695.31</v>
      </c>
      <c r="I330" s="566">
        <v>14695.31</v>
      </c>
      <c r="J330" s="567"/>
      <c r="K330" s="568">
        <f>SUM(K331:K337)</f>
        <v>14695.31</v>
      </c>
    </row>
    <row r="331" ht="25.5" spans="1:11">
      <c r="A331" s="559" t="s">
        <v>925</v>
      </c>
      <c r="B331" s="559" t="s">
        <v>926</v>
      </c>
      <c r="C331" s="559" t="s">
        <v>71</v>
      </c>
      <c r="D331" s="559" t="s">
        <v>927</v>
      </c>
      <c r="E331" s="560" t="s">
        <v>105</v>
      </c>
      <c r="F331" s="561">
        <v>11</v>
      </c>
      <c r="G331" s="562">
        <v>54.97</v>
      </c>
      <c r="H331" s="562">
        <v>68.52</v>
      </c>
      <c r="I331" s="569">
        <v>753.72</v>
      </c>
      <c r="J331" s="567">
        <f t="shared" ref="J330:J339" si="36">$I$626</f>
        <v>0</v>
      </c>
      <c r="K331" s="570">
        <f t="shared" si="30"/>
        <v>753.72</v>
      </c>
    </row>
    <row r="332" ht="25.5" spans="1:11">
      <c r="A332" s="559" t="s">
        <v>928</v>
      </c>
      <c r="B332" s="559" t="s">
        <v>929</v>
      </c>
      <c r="C332" s="559" t="s">
        <v>71</v>
      </c>
      <c r="D332" s="559" t="s">
        <v>930</v>
      </c>
      <c r="E332" s="560" t="s">
        <v>105</v>
      </c>
      <c r="F332" s="561">
        <v>1</v>
      </c>
      <c r="G332" s="562">
        <v>91.38</v>
      </c>
      <c r="H332" s="562">
        <v>113.91</v>
      </c>
      <c r="I332" s="569">
        <v>113.91</v>
      </c>
      <c r="J332" s="567">
        <f t="shared" si="36"/>
        <v>0</v>
      </c>
      <c r="K332" s="570">
        <f t="shared" si="30"/>
        <v>113.91</v>
      </c>
    </row>
    <row r="333" ht="25.5" spans="1:11">
      <c r="A333" s="559" t="s">
        <v>931</v>
      </c>
      <c r="B333" s="559" t="s">
        <v>932</v>
      </c>
      <c r="C333" s="559" t="s">
        <v>71</v>
      </c>
      <c r="D333" s="559" t="s">
        <v>933</v>
      </c>
      <c r="E333" s="560" t="s">
        <v>105</v>
      </c>
      <c r="F333" s="561">
        <v>16</v>
      </c>
      <c r="G333" s="562">
        <v>51.45</v>
      </c>
      <c r="H333" s="562">
        <v>64.13</v>
      </c>
      <c r="I333" s="569">
        <v>1026.08</v>
      </c>
      <c r="J333" s="567">
        <f t="shared" si="36"/>
        <v>0</v>
      </c>
      <c r="K333" s="570">
        <f t="shared" si="30"/>
        <v>1026.08</v>
      </c>
    </row>
    <row r="334" ht="25.5" spans="1:11">
      <c r="A334" s="559" t="s">
        <v>934</v>
      </c>
      <c r="B334" s="559" t="s">
        <v>926</v>
      </c>
      <c r="C334" s="559" t="s">
        <v>71</v>
      </c>
      <c r="D334" s="559" t="s">
        <v>927</v>
      </c>
      <c r="E334" s="560" t="s">
        <v>105</v>
      </c>
      <c r="F334" s="561">
        <v>5</v>
      </c>
      <c r="G334" s="562">
        <v>54.97</v>
      </c>
      <c r="H334" s="562">
        <v>68.52</v>
      </c>
      <c r="I334" s="569">
        <v>342.6</v>
      </c>
      <c r="J334" s="567">
        <f t="shared" si="36"/>
        <v>0</v>
      </c>
      <c r="K334" s="570">
        <f t="shared" si="30"/>
        <v>342.6</v>
      </c>
    </row>
    <row r="335" ht="38.25" spans="1:11">
      <c r="A335" s="559" t="s">
        <v>935</v>
      </c>
      <c r="B335" s="559" t="s">
        <v>936</v>
      </c>
      <c r="C335" s="559" t="s">
        <v>76</v>
      </c>
      <c r="D335" s="559" t="s">
        <v>937</v>
      </c>
      <c r="E335" s="560" t="s">
        <v>105</v>
      </c>
      <c r="F335" s="561">
        <v>105</v>
      </c>
      <c r="G335" s="562">
        <v>9.54</v>
      </c>
      <c r="H335" s="562">
        <v>11.89</v>
      </c>
      <c r="I335" s="569">
        <v>1248.45</v>
      </c>
      <c r="J335" s="567">
        <f t="shared" si="36"/>
        <v>0</v>
      </c>
      <c r="K335" s="570">
        <f t="shared" si="30"/>
        <v>1248.45</v>
      </c>
    </row>
    <row r="336" ht="38.25" spans="1:11">
      <c r="A336" s="559" t="s">
        <v>938</v>
      </c>
      <c r="B336" s="559" t="s">
        <v>939</v>
      </c>
      <c r="C336" s="559" t="s">
        <v>76</v>
      </c>
      <c r="D336" s="559" t="s">
        <v>940</v>
      </c>
      <c r="E336" s="560" t="s">
        <v>105</v>
      </c>
      <c r="F336" s="561">
        <v>11</v>
      </c>
      <c r="G336" s="562">
        <v>11.73</v>
      </c>
      <c r="H336" s="562">
        <v>14.62</v>
      </c>
      <c r="I336" s="569">
        <v>160.82</v>
      </c>
      <c r="J336" s="567">
        <f t="shared" si="36"/>
        <v>0</v>
      </c>
      <c r="K336" s="570">
        <f t="shared" si="30"/>
        <v>160.82</v>
      </c>
    </row>
    <row r="337" ht="38.25" spans="1:11">
      <c r="A337" s="559" t="s">
        <v>941</v>
      </c>
      <c r="B337" s="559" t="s">
        <v>942</v>
      </c>
      <c r="C337" s="559" t="s">
        <v>71</v>
      </c>
      <c r="D337" s="559" t="s">
        <v>943</v>
      </c>
      <c r="E337" s="560" t="s">
        <v>105</v>
      </c>
      <c r="F337" s="561">
        <v>197</v>
      </c>
      <c r="G337" s="562">
        <v>45</v>
      </c>
      <c r="H337" s="562">
        <v>56.09</v>
      </c>
      <c r="I337" s="569">
        <v>11049.73</v>
      </c>
      <c r="J337" s="567">
        <f t="shared" si="36"/>
        <v>0</v>
      </c>
      <c r="K337" s="570">
        <f t="shared" si="30"/>
        <v>11049.73</v>
      </c>
    </row>
    <row r="338" spans="1:11">
      <c r="A338" s="555" t="s">
        <v>944</v>
      </c>
      <c r="B338" s="555" t="s">
        <v>61</v>
      </c>
      <c r="C338" s="555"/>
      <c r="D338" s="555" t="s">
        <v>945</v>
      </c>
      <c r="E338" s="556"/>
      <c r="F338" s="557">
        <v>1</v>
      </c>
      <c r="G338" s="557" t="s">
        <v>62</v>
      </c>
      <c r="H338" s="558">
        <v>118377.93</v>
      </c>
      <c r="I338" s="566">
        <v>118377.93</v>
      </c>
      <c r="J338" s="567"/>
      <c r="K338" s="568">
        <f>SUM(K339:K352)</f>
        <v>118377.93</v>
      </c>
    </row>
    <row r="339" ht="38.25" spans="1:11">
      <c r="A339" s="559" t="s">
        <v>946</v>
      </c>
      <c r="B339" s="559" t="s">
        <v>947</v>
      </c>
      <c r="C339" s="559" t="s">
        <v>76</v>
      </c>
      <c r="D339" s="559" t="s">
        <v>948</v>
      </c>
      <c r="E339" s="560" t="s">
        <v>105</v>
      </c>
      <c r="F339" s="561">
        <v>9</v>
      </c>
      <c r="G339" s="562">
        <v>397.94</v>
      </c>
      <c r="H339" s="562">
        <v>496.07</v>
      </c>
      <c r="I339" s="569">
        <v>4464.63</v>
      </c>
      <c r="J339" s="567">
        <f t="shared" si="36"/>
        <v>0</v>
      </c>
      <c r="K339" s="570">
        <f t="shared" ref="K338:K401" si="37">I339-(I339*J339)</f>
        <v>4464.63</v>
      </c>
    </row>
    <row r="340" ht="76.5" spans="1:11">
      <c r="A340" s="559" t="s">
        <v>949</v>
      </c>
      <c r="B340" s="559" t="s">
        <v>950</v>
      </c>
      <c r="C340" s="559" t="s">
        <v>76</v>
      </c>
      <c r="D340" s="559" t="s">
        <v>951</v>
      </c>
      <c r="E340" s="560" t="s">
        <v>105</v>
      </c>
      <c r="F340" s="561">
        <v>4</v>
      </c>
      <c r="G340" s="562">
        <v>47.71</v>
      </c>
      <c r="H340" s="562">
        <v>59.47</v>
      </c>
      <c r="I340" s="569">
        <v>237.88</v>
      </c>
      <c r="J340" s="567">
        <f t="shared" ref="J340:J349" si="38">$I$626</f>
        <v>0</v>
      </c>
      <c r="K340" s="570">
        <f t="shared" si="37"/>
        <v>237.88</v>
      </c>
    </row>
    <row r="341" ht="51" spans="1:11">
      <c r="A341" s="559" t="s">
        <v>952</v>
      </c>
      <c r="B341" s="559" t="s">
        <v>953</v>
      </c>
      <c r="C341" s="559" t="s">
        <v>76</v>
      </c>
      <c r="D341" s="559" t="s">
        <v>954</v>
      </c>
      <c r="E341" s="560" t="s">
        <v>105</v>
      </c>
      <c r="F341" s="561">
        <v>3</v>
      </c>
      <c r="G341" s="562">
        <v>446.68</v>
      </c>
      <c r="H341" s="562">
        <v>556.83</v>
      </c>
      <c r="I341" s="569">
        <v>1670.49</v>
      </c>
      <c r="J341" s="567">
        <f t="shared" si="38"/>
        <v>0</v>
      </c>
      <c r="K341" s="570">
        <f t="shared" si="37"/>
        <v>1670.49</v>
      </c>
    </row>
    <row r="342" ht="25.5" spans="1:11">
      <c r="A342" s="559" t="s">
        <v>955</v>
      </c>
      <c r="B342" s="559" t="s">
        <v>956</v>
      </c>
      <c r="C342" s="559" t="s">
        <v>76</v>
      </c>
      <c r="D342" s="559" t="s">
        <v>957</v>
      </c>
      <c r="E342" s="560" t="s">
        <v>105</v>
      </c>
      <c r="F342" s="561">
        <v>4</v>
      </c>
      <c r="G342" s="562">
        <v>53.84</v>
      </c>
      <c r="H342" s="562">
        <v>67.11</v>
      </c>
      <c r="I342" s="569">
        <v>268.44</v>
      </c>
      <c r="J342" s="567">
        <f t="shared" si="38"/>
        <v>0</v>
      </c>
      <c r="K342" s="570">
        <f t="shared" si="37"/>
        <v>268.44</v>
      </c>
    </row>
    <row r="343" ht="25.5" spans="1:11">
      <c r="A343" s="559" t="s">
        <v>958</v>
      </c>
      <c r="B343" s="559" t="s">
        <v>633</v>
      </c>
      <c r="C343" s="559" t="s">
        <v>65</v>
      </c>
      <c r="D343" s="559" t="s">
        <v>634</v>
      </c>
      <c r="E343" s="560" t="s">
        <v>67</v>
      </c>
      <c r="F343" s="561">
        <v>10</v>
      </c>
      <c r="G343" s="562">
        <v>294.2</v>
      </c>
      <c r="H343" s="562">
        <v>366.74</v>
      </c>
      <c r="I343" s="569">
        <v>3667.4</v>
      </c>
      <c r="J343" s="567">
        <f t="shared" si="38"/>
        <v>0</v>
      </c>
      <c r="K343" s="570">
        <f t="shared" si="37"/>
        <v>3667.4</v>
      </c>
    </row>
    <row r="344" ht="25.5" spans="1:11">
      <c r="A344" s="559" t="s">
        <v>959</v>
      </c>
      <c r="B344" s="559" t="s">
        <v>960</v>
      </c>
      <c r="C344" s="559" t="s">
        <v>65</v>
      </c>
      <c r="D344" s="559" t="s">
        <v>961</v>
      </c>
      <c r="E344" s="560" t="s">
        <v>67</v>
      </c>
      <c r="F344" s="561">
        <v>2</v>
      </c>
      <c r="G344" s="562">
        <v>201.21</v>
      </c>
      <c r="H344" s="562">
        <v>250.82</v>
      </c>
      <c r="I344" s="569">
        <v>501.64</v>
      </c>
      <c r="J344" s="567">
        <f t="shared" si="38"/>
        <v>0</v>
      </c>
      <c r="K344" s="570">
        <f t="shared" si="37"/>
        <v>501.64</v>
      </c>
    </row>
    <row r="345" ht="25.5" spans="1:11">
      <c r="A345" s="559" t="s">
        <v>962</v>
      </c>
      <c r="B345" s="559" t="s">
        <v>963</v>
      </c>
      <c r="C345" s="559" t="s">
        <v>65</v>
      </c>
      <c r="D345" s="559" t="s">
        <v>964</v>
      </c>
      <c r="E345" s="560" t="s">
        <v>67</v>
      </c>
      <c r="F345" s="561">
        <v>19</v>
      </c>
      <c r="G345" s="562">
        <v>2856.27</v>
      </c>
      <c r="H345" s="562">
        <v>3560.62</v>
      </c>
      <c r="I345" s="569">
        <v>67651.78</v>
      </c>
      <c r="J345" s="567">
        <f t="shared" si="38"/>
        <v>0</v>
      </c>
      <c r="K345" s="570">
        <f t="shared" si="37"/>
        <v>67651.78</v>
      </c>
    </row>
    <row r="346" ht="25.5" spans="1:11">
      <c r="A346" s="559" t="s">
        <v>965</v>
      </c>
      <c r="B346" s="559" t="s">
        <v>966</v>
      </c>
      <c r="C346" s="559" t="s">
        <v>71</v>
      </c>
      <c r="D346" s="559" t="s">
        <v>967</v>
      </c>
      <c r="E346" s="560" t="s">
        <v>105</v>
      </c>
      <c r="F346" s="561">
        <v>12</v>
      </c>
      <c r="G346" s="562">
        <v>91.34</v>
      </c>
      <c r="H346" s="562">
        <v>113.86</v>
      </c>
      <c r="I346" s="569">
        <v>1366.32</v>
      </c>
      <c r="J346" s="567">
        <f t="shared" si="38"/>
        <v>0</v>
      </c>
      <c r="K346" s="570">
        <f t="shared" si="37"/>
        <v>1366.32</v>
      </c>
    </row>
    <row r="347" ht="25.5" spans="1:11">
      <c r="A347" s="559" t="s">
        <v>968</v>
      </c>
      <c r="B347" s="559" t="s">
        <v>969</v>
      </c>
      <c r="C347" s="559" t="s">
        <v>99</v>
      </c>
      <c r="D347" s="559" t="s">
        <v>970</v>
      </c>
      <c r="E347" s="560" t="s">
        <v>105</v>
      </c>
      <c r="F347" s="561">
        <v>16</v>
      </c>
      <c r="G347" s="562">
        <v>197.4</v>
      </c>
      <c r="H347" s="562">
        <v>246.07</v>
      </c>
      <c r="I347" s="569">
        <v>3937.12</v>
      </c>
      <c r="J347" s="567">
        <f t="shared" si="38"/>
        <v>0</v>
      </c>
      <c r="K347" s="570">
        <f t="shared" si="37"/>
        <v>3937.12</v>
      </c>
    </row>
    <row r="348" ht="25.5" spans="1:11">
      <c r="A348" s="559" t="s">
        <v>971</v>
      </c>
      <c r="B348" s="559" t="s">
        <v>972</v>
      </c>
      <c r="C348" s="559" t="s">
        <v>99</v>
      </c>
      <c r="D348" s="559" t="s">
        <v>973</v>
      </c>
      <c r="E348" s="560" t="s">
        <v>105</v>
      </c>
      <c r="F348" s="561">
        <v>3</v>
      </c>
      <c r="G348" s="562">
        <v>356.69</v>
      </c>
      <c r="H348" s="562">
        <v>444.64</v>
      </c>
      <c r="I348" s="569">
        <v>1333.92</v>
      </c>
      <c r="J348" s="567">
        <f t="shared" si="38"/>
        <v>0</v>
      </c>
      <c r="K348" s="570">
        <f t="shared" si="37"/>
        <v>1333.92</v>
      </c>
    </row>
    <row r="349" ht="63.75" spans="1:11">
      <c r="A349" s="559" t="s">
        <v>974</v>
      </c>
      <c r="B349" s="559" t="s">
        <v>975</v>
      </c>
      <c r="C349" s="559" t="s">
        <v>512</v>
      </c>
      <c r="D349" s="559" t="s">
        <v>976</v>
      </c>
      <c r="E349" s="560" t="s">
        <v>67</v>
      </c>
      <c r="F349" s="561">
        <v>3</v>
      </c>
      <c r="G349" s="562">
        <v>6016.85</v>
      </c>
      <c r="H349" s="562">
        <v>7500.6</v>
      </c>
      <c r="I349" s="569">
        <v>22501.8</v>
      </c>
      <c r="J349" s="567">
        <f t="shared" si="38"/>
        <v>0</v>
      </c>
      <c r="K349" s="570">
        <f t="shared" si="37"/>
        <v>22501.8</v>
      </c>
    </row>
    <row r="350" ht="25.5" spans="1:11">
      <c r="A350" s="559" t="s">
        <v>977</v>
      </c>
      <c r="B350" s="559" t="s">
        <v>978</v>
      </c>
      <c r="C350" s="559" t="s">
        <v>512</v>
      </c>
      <c r="D350" s="559" t="s">
        <v>979</v>
      </c>
      <c r="E350" s="560" t="s">
        <v>67</v>
      </c>
      <c r="F350" s="561">
        <v>3</v>
      </c>
      <c r="G350" s="562">
        <v>309.53</v>
      </c>
      <c r="H350" s="562">
        <v>385.86</v>
      </c>
      <c r="I350" s="569">
        <v>1157.58</v>
      </c>
      <c r="J350" s="567">
        <f t="shared" ref="J350:J359" si="39">$I$626</f>
        <v>0</v>
      </c>
      <c r="K350" s="570">
        <f t="shared" si="37"/>
        <v>1157.58</v>
      </c>
    </row>
    <row r="351" ht="25.5" spans="1:11">
      <c r="A351" s="559" t="s">
        <v>980</v>
      </c>
      <c r="B351" s="559" t="s">
        <v>981</v>
      </c>
      <c r="C351" s="559" t="s">
        <v>65</v>
      </c>
      <c r="D351" s="559" t="s">
        <v>982</v>
      </c>
      <c r="E351" s="560" t="s">
        <v>67</v>
      </c>
      <c r="F351" s="561">
        <v>1</v>
      </c>
      <c r="G351" s="562">
        <v>1116.23</v>
      </c>
      <c r="H351" s="562">
        <v>1391.49</v>
      </c>
      <c r="I351" s="569">
        <v>1391.49</v>
      </c>
      <c r="J351" s="567">
        <f t="shared" si="39"/>
        <v>0</v>
      </c>
      <c r="K351" s="570">
        <f t="shared" si="37"/>
        <v>1391.49</v>
      </c>
    </row>
    <row r="352" ht="38.25" spans="1:11">
      <c r="A352" s="559" t="s">
        <v>983</v>
      </c>
      <c r="B352" s="559" t="s">
        <v>984</v>
      </c>
      <c r="C352" s="559" t="s">
        <v>512</v>
      </c>
      <c r="D352" s="559" t="s">
        <v>985</v>
      </c>
      <c r="E352" s="560" t="s">
        <v>67</v>
      </c>
      <c r="F352" s="561">
        <v>24</v>
      </c>
      <c r="G352" s="562">
        <v>275</v>
      </c>
      <c r="H352" s="562">
        <v>342.81</v>
      </c>
      <c r="I352" s="569">
        <v>8227.44</v>
      </c>
      <c r="J352" s="567">
        <f t="shared" si="39"/>
        <v>0</v>
      </c>
      <c r="K352" s="570">
        <f t="shared" si="37"/>
        <v>8227.44</v>
      </c>
    </row>
    <row r="353" spans="1:11">
      <c r="A353" s="555" t="s">
        <v>986</v>
      </c>
      <c r="B353" s="555" t="s">
        <v>61</v>
      </c>
      <c r="C353" s="555"/>
      <c r="D353" s="555" t="s">
        <v>32</v>
      </c>
      <c r="E353" s="556"/>
      <c r="F353" s="557">
        <v>1</v>
      </c>
      <c r="G353" s="557" t="s">
        <v>62</v>
      </c>
      <c r="H353" s="558">
        <v>52484.08</v>
      </c>
      <c r="I353" s="566">
        <v>52484.08</v>
      </c>
      <c r="J353" s="567"/>
      <c r="K353" s="568">
        <f>SUM(K354:K363)</f>
        <v>52484.08</v>
      </c>
    </row>
    <row r="354" ht="25.5" spans="1:11">
      <c r="A354" s="559" t="s">
        <v>987</v>
      </c>
      <c r="B354" s="559" t="s">
        <v>988</v>
      </c>
      <c r="C354" s="559" t="s">
        <v>65</v>
      </c>
      <c r="D354" s="559" t="s">
        <v>989</v>
      </c>
      <c r="E354" s="560" t="s">
        <v>535</v>
      </c>
      <c r="F354" s="561">
        <v>153</v>
      </c>
      <c r="G354" s="562">
        <v>34.33</v>
      </c>
      <c r="H354" s="562">
        <v>42.79</v>
      </c>
      <c r="I354" s="569">
        <v>6546.87</v>
      </c>
      <c r="J354" s="567">
        <f t="shared" si="39"/>
        <v>0</v>
      </c>
      <c r="K354" s="570">
        <f t="shared" si="37"/>
        <v>6546.87</v>
      </c>
    </row>
    <row r="355" ht="25.5" spans="1:11">
      <c r="A355" s="559" t="s">
        <v>990</v>
      </c>
      <c r="B355" s="559" t="s">
        <v>991</v>
      </c>
      <c r="C355" s="559" t="s">
        <v>65</v>
      </c>
      <c r="D355" s="559" t="s">
        <v>992</v>
      </c>
      <c r="E355" s="560" t="s">
        <v>67</v>
      </c>
      <c r="F355" s="561">
        <v>391</v>
      </c>
      <c r="G355" s="562">
        <v>76.17</v>
      </c>
      <c r="H355" s="562">
        <v>94.95</v>
      </c>
      <c r="I355" s="569">
        <v>37125.45</v>
      </c>
      <c r="J355" s="567">
        <f t="shared" si="39"/>
        <v>0</v>
      </c>
      <c r="K355" s="570">
        <f t="shared" si="37"/>
        <v>37125.45</v>
      </c>
    </row>
    <row r="356" ht="25.5" spans="1:11">
      <c r="A356" s="559" t="s">
        <v>993</v>
      </c>
      <c r="B356" s="559" t="s">
        <v>807</v>
      </c>
      <c r="C356" s="559" t="s">
        <v>71</v>
      </c>
      <c r="D356" s="559" t="s">
        <v>808</v>
      </c>
      <c r="E356" s="560" t="s">
        <v>78</v>
      </c>
      <c r="F356" s="561">
        <v>20</v>
      </c>
      <c r="G356" s="562">
        <v>78.29</v>
      </c>
      <c r="H356" s="562">
        <v>97.59</v>
      </c>
      <c r="I356" s="569">
        <v>1951.8</v>
      </c>
      <c r="J356" s="567">
        <f t="shared" si="39"/>
        <v>0</v>
      </c>
      <c r="K356" s="570">
        <f t="shared" si="37"/>
        <v>1951.8</v>
      </c>
    </row>
    <row r="357" ht="25.5" spans="1:11">
      <c r="A357" s="559" t="s">
        <v>994</v>
      </c>
      <c r="B357" s="559" t="s">
        <v>810</v>
      </c>
      <c r="C357" s="559" t="s">
        <v>71</v>
      </c>
      <c r="D357" s="559" t="s">
        <v>811</v>
      </c>
      <c r="E357" s="560" t="s">
        <v>78</v>
      </c>
      <c r="F357" s="561">
        <v>5</v>
      </c>
      <c r="G357" s="562">
        <v>61.15</v>
      </c>
      <c r="H357" s="562">
        <v>76.22</v>
      </c>
      <c r="I357" s="569">
        <v>381.1</v>
      </c>
      <c r="J357" s="567">
        <f t="shared" si="39"/>
        <v>0</v>
      </c>
      <c r="K357" s="570">
        <f t="shared" si="37"/>
        <v>381.1</v>
      </c>
    </row>
    <row r="358" ht="25.5" spans="1:11">
      <c r="A358" s="559" t="s">
        <v>995</v>
      </c>
      <c r="B358" s="559" t="s">
        <v>996</v>
      </c>
      <c r="C358" s="559" t="s">
        <v>512</v>
      </c>
      <c r="D358" s="559" t="s">
        <v>997</v>
      </c>
      <c r="E358" s="560" t="s">
        <v>67</v>
      </c>
      <c r="F358" s="561">
        <v>153</v>
      </c>
      <c r="G358" s="562">
        <v>1.85</v>
      </c>
      <c r="H358" s="562">
        <v>2.3</v>
      </c>
      <c r="I358" s="569">
        <v>351.9</v>
      </c>
      <c r="J358" s="567">
        <f t="shared" si="39"/>
        <v>0</v>
      </c>
      <c r="K358" s="570">
        <f t="shared" si="37"/>
        <v>351.9</v>
      </c>
    </row>
    <row r="359" spans="1:11">
      <c r="A359" s="559" t="s">
        <v>998</v>
      </c>
      <c r="B359" s="559" t="s">
        <v>999</v>
      </c>
      <c r="C359" s="559" t="s">
        <v>65</v>
      </c>
      <c r="D359" s="559" t="s">
        <v>1000</v>
      </c>
      <c r="E359" s="560" t="s">
        <v>67</v>
      </c>
      <c r="F359" s="561">
        <v>24</v>
      </c>
      <c r="G359" s="562">
        <v>17.66</v>
      </c>
      <c r="H359" s="562">
        <v>22.01</v>
      </c>
      <c r="I359" s="569">
        <v>528.24</v>
      </c>
      <c r="J359" s="567">
        <f t="shared" si="39"/>
        <v>0</v>
      </c>
      <c r="K359" s="570">
        <f t="shared" si="37"/>
        <v>528.24</v>
      </c>
    </row>
    <row r="360" ht="25.5" spans="1:11">
      <c r="A360" s="559" t="s">
        <v>1001</v>
      </c>
      <c r="B360" s="559" t="s">
        <v>1002</v>
      </c>
      <c r="C360" s="559" t="s">
        <v>99</v>
      </c>
      <c r="D360" s="559" t="s">
        <v>1003</v>
      </c>
      <c r="E360" s="560" t="s">
        <v>105</v>
      </c>
      <c r="F360" s="561">
        <v>690</v>
      </c>
      <c r="G360" s="562">
        <v>3.87</v>
      </c>
      <c r="H360" s="562">
        <v>4.82</v>
      </c>
      <c r="I360" s="569">
        <v>3325.8</v>
      </c>
      <c r="J360" s="567">
        <f t="shared" ref="J360:J369" si="40">$I$626</f>
        <v>0</v>
      </c>
      <c r="K360" s="570">
        <f t="shared" si="37"/>
        <v>3325.8</v>
      </c>
    </row>
    <row r="361" spans="1:11">
      <c r="A361" s="559" t="s">
        <v>1004</v>
      </c>
      <c r="B361" s="559" t="s">
        <v>1005</v>
      </c>
      <c r="C361" s="559" t="s">
        <v>99</v>
      </c>
      <c r="D361" s="559" t="s">
        <v>1006</v>
      </c>
      <c r="E361" s="560" t="s">
        <v>105</v>
      </c>
      <c r="F361" s="561">
        <v>10</v>
      </c>
      <c r="G361" s="562">
        <v>4.01</v>
      </c>
      <c r="H361" s="562">
        <v>4.99</v>
      </c>
      <c r="I361" s="569">
        <v>49.9</v>
      </c>
      <c r="J361" s="567">
        <f t="shared" si="40"/>
        <v>0</v>
      </c>
      <c r="K361" s="570">
        <f t="shared" si="37"/>
        <v>49.9</v>
      </c>
    </row>
    <row r="362" spans="1:11">
      <c r="A362" s="559" t="s">
        <v>1007</v>
      </c>
      <c r="B362" s="559" t="s">
        <v>1008</v>
      </c>
      <c r="C362" s="559" t="s">
        <v>65</v>
      </c>
      <c r="D362" s="559" t="s">
        <v>1009</v>
      </c>
      <c r="E362" s="560" t="s">
        <v>67</v>
      </c>
      <c r="F362" s="561">
        <v>25</v>
      </c>
      <c r="G362" s="562">
        <v>65</v>
      </c>
      <c r="H362" s="562">
        <v>81.02</v>
      </c>
      <c r="I362" s="569">
        <v>2025.5</v>
      </c>
      <c r="J362" s="567">
        <f t="shared" si="40"/>
        <v>0</v>
      </c>
      <c r="K362" s="570">
        <f t="shared" si="37"/>
        <v>2025.5</v>
      </c>
    </row>
    <row r="363" spans="1:11">
      <c r="A363" s="559" t="s">
        <v>1010</v>
      </c>
      <c r="B363" s="559" t="s">
        <v>1011</v>
      </c>
      <c r="C363" s="559" t="s">
        <v>99</v>
      </c>
      <c r="D363" s="559" t="s">
        <v>1012</v>
      </c>
      <c r="E363" s="560" t="s">
        <v>105</v>
      </c>
      <c r="F363" s="561">
        <v>3</v>
      </c>
      <c r="G363" s="562">
        <v>52.82</v>
      </c>
      <c r="H363" s="562">
        <v>65.84</v>
      </c>
      <c r="I363" s="569">
        <v>197.52</v>
      </c>
      <c r="J363" s="567">
        <f t="shared" si="40"/>
        <v>0</v>
      </c>
      <c r="K363" s="570">
        <f t="shared" si="37"/>
        <v>197.52</v>
      </c>
    </row>
    <row r="364" spans="1:11">
      <c r="A364" s="555" t="s">
        <v>1013</v>
      </c>
      <c r="B364" s="555" t="s">
        <v>61</v>
      </c>
      <c r="C364" s="555"/>
      <c r="D364" s="555" t="s">
        <v>33</v>
      </c>
      <c r="E364" s="556"/>
      <c r="F364" s="557">
        <v>1</v>
      </c>
      <c r="G364" s="557" t="s">
        <v>62</v>
      </c>
      <c r="H364" s="558">
        <v>164933.41</v>
      </c>
      <c r="I364" s="566">
        <v>164933.41</v>
      </c>
      <c r="J364" s="567"/>
      <c r="K364" s="568">
        <f t="shared" si="37"/>
        <v>164933.41</v>
      </c>
    </row>
    <row r="365" spans="1:11">
      <c r="A365" s="555" t="s">
        <v>1014</v>
      </c>
      <c r="B365" s="555" t="s">
        <v>61</v>
      </c>
      <c r="C365" s="555"/>
      <c r="D365" s="555" t="s">
        <v>841</v>
      </c>
      <c r="E365" s="556"/>
      <c r="F365" s="557">
        <v>1</v>
      </c>
      <c r="G365" s="557" t="s">
        <v>62</v>
      </c>
      <c r="H365" s="558">
        <v>12872.56</v>
      </c>
      <c r="I365" s="566">
        <v>12872.56</v>
      </c>
      <c r="J365" s="567"/>
      <c r="K365" s="568">
        <f>SUM(K366:K369)</f>
        <v>12872.56</v>
      </c>
    </row>
    <row r="366" ht="25.5" spans="1:11">
      <c r="A366" s="559" t="s">
        <v>1015</v>
      </c>
      <c r="B366" s="559" t="s">
        <v>855</v>
      </c>
      <c r="C366" s="559" t="s">
        <v>71</v>
      </c>
      <c r="D366" s="559" t="s">
        <v>856</v>
      </c>
      <c r="E366" s="560" t="s">
        <v>78</v>
      </c>
      <c r="F366" s="561">
        <v>132</v>
      </c>
      <c r="G366" s="562">
        <v>24.01</v>
      </c>
      <c r="H366" s="562">
        <v>29.93</v>
      </c>
      <c r="I366" s="569">
        <v>3950.76</v>
      </c>
      <c r="J366" s="567">
        <f t="shared" si="40"/>
        <v>0</v>
      </c>
      <c r="K366" s="570">
        <f t="shared" si="37"/>
        <v>3950.76</v>
      </c>
    </row>
    <row r="367" ht="38.25" spans="1:11">
      <c r="A367" s="559" t="s">
        <v>1016</v>
      </c>
      <c r="B367" s="559" t="s">
        <v>858</v>
      </c>
      <c r="C367" s="559" t="s">
        <v>71</v>
      </c>
      <c r="D367" s="559" t="s">
        <v>859</v>
      </c>
      <c r="E367" s="560" t="s">
        <v>78</v>
      </c>
      <c r="F367" s="561">
        <v>40</v>
      </c>
      <c r="G367" s="562">
        <v>10.4</v>
      </c>
      <c r="H367" s="562">
        <v>12.96</v>
      </c>
      <c r="I367" s="569">
        <v>518.4</v>
      </c>
      <c r="J367" s="567">
        <f t="shared" si="40"/>
        <v>0</v>
      </c>
      <c r="K367" s="570">
        <f t="shared" si="37"/>
        <v>518.4</v>
      </c>
    </row>
    <row r="368" ht="38.25" spans="1:11">
      <c r="A368" s="559" t="s">
        <v>1017</v>
      </c>
      <c r="B368" s="559" t="s">
        <v>861</v>
      </c>
      <c r="C368" s="559" t="s">
        <v>71</v>
      </c>
      <c r="D368" s="559" t="s">
        <v>862</v>
      </c>
      <c r="E368" s="560" t="s">
        <v>78</v>
      </c>
      <c r="F368" s="561">
        <v>125</v>
      </c>
      <c r="G368" s="562">
        <v>14.8</v>
      </c>
      <c r="H368" s="562">
        <v>18.44</v>
      </c>
      <c r="I368" s="569">
        <v>2305</v>
      </c>
      <c r="J368" s="567">
        <f t="shared" si="40"/>
        <v>0</v>
      </c>
      <c r="K368" s="570">
        <f t="shared" si="37"/>
        <v>2305</v>
      </c>
    </row>
    <row r="369" ht="38.25" spans="1:11">
      <c r="A369" s="559" t="s">
        <v>1018</v>
      </c>
      <c r="B369" s="559" t="s">
        <v>843</v>
      </c>
      <c r="C369" s="559" t="s">
        <v>512</v>
      </c>
      <c r="D369" s="559" t="s">
        <v>844</v>
      </c>
      <c r="E369" s="560" t="s">
        <v>535</v>
      </c>
      <c r="F369" s="561">
        <v>240</v>
      </c>
      <c r="G369" s="562">
        <v>20.39</v>
      </c>
      <c r="H369" s="562">
        <v>25.41</v>
      </c>
      <c r="I369" s="569">
        <v>6098.4</v>
      </c>
      <c r="J369" s="567">
        <f t="shared" si="40"/>
        <v>0</v>
      </c>
      <c r="K369" s="570">
        <f t="shared" si="37"/>
        <v>6098.4</v>
      </c>
    </row>
    <row r="370" spans="1:11">
      <c r="A370" s="555" t="s">
        <v>1019</v>
      </c>
      <c r="B370" s="555" t="s">
        <v>61</v>
      </c>
      <c r="C370" s="555"/>
      <c r="D370" s="555" t="s">
        <v>873</v>
      </c>
      <c r="E370" s="556"/>
      <c r="F370" s="557">
        <v>1</v>
      </c>
      <c r="G370" s="557" t="s">
        <v>62</v>
      </c>
      <c r="H370" s="558">
        <v>11304.89</v>
      </c>
      <c r="I370" s="566">
        <v>11304.89</v>
      </c>
      <c r="J370" s="567"/>
      <c r="K370" s="568">
        <f>SUM(K371:K373)</f>
        <v>11304.89</v>
      </c>
    </row>
    <row r="371" ht="63.75" spans="1:11">
      <c r="A371" s="559" t="s">
        <v>1020</v>
      </c>
      <c r="B371" s="559" t="s">
        <v>1021</v>
      </c>
      <c r="C371" s="559" t="s">
        <v>76</v>
      </c>
      <c r="D371" s="559" t="s">
        <v>1022</v>
      </c>
      <c r="E371" s="560" t="s">
        <v>78</v>
      </c>
      <c r="F371" s="561">
        <v>72</v>
      </c>
      <c r="G371" s="562">
        <v>61.23</v>
      </c>
      <c r="H371" s="562">
        <v>76.32</v>
      </c>
      <c r="I371" s="569">
        <v>5495.04</v>
      </c>
      <c r="J371" s="567">
        <f t="shared" ref="J370:J379" si="41">$I$626</f>
        <v>0</v>
      </c>
      <c r="K371" s="570">
        <f t="shared" si="37"/>
        <v>5495.04</v>
      </c>
    </row>
    <row r="372" ht="25.5" spans="1:11">
      <c r="A372" s="559" t="s">
        <v>1023</v>
      </c>
      <c r="B372" s="559" t="s">
        <v>1024</v>
      </c>
      <c r="C372" s="559" t="s">
        <v>65</v>
      </c>
      <c r="D372" s="559" t="s">
        <v>1025</v>
      </c>
      <c r="E372" s="560" t="s">
        <v>67</v>
      </c>
      <c r="F372" s="561">
        <v>38</v>
      </c>
      <c r="G372" s="562">
        <v>5.02</v>
      </c>
      <c r="H372" s="562">
        <v>6.25</v>
      </c>
      <c r="I372" s="569">
        <v>237.5</v>
      </c>
      <c r="J372" s="567">
        <f t="shared" si="41"/>
        <v>0</v>
      </c>
      <c r="K372" s="570">
        <f t="shared" si="37"/>
        <v>237.5</v>
      </c>
    </row>
    <row r="373" ht="63.75" spans="1:11">
      <c r="A373" s="559" t="s">
        <v>1026</v>
      </c>
      <c r="B373" s="559" t="s">
        <v>1027</v>
      </c>
      <c r="C373" s="559" t="s">
        <v>76</v>
      </c>
      <c r="D373" s="559" t="s">
        <v>1028</v>
      </c>
      <c r="E373" s="560" t="s">
        <v>78</v>
      </c>
      <c r="F373" s="561">
        <v>63</v>
      </c>
      <c r="G373" s="562">
        <v>70.96</v>
      </c>
      <c r="H373" s="562">
        <v>88.45</v>
      </c>
      <c r="I373" s="569">
        <v>5572.35</v>
      </c>
      <c r="J373" s="567">
        <f t="shared" si="41"/>
        <v>0</v>
      </c>
      <c r="K373" s="570">
        <f t="shared" si="37"/>
        <v>5572.35</v>
      </c>
    </row>
    <row r="374" spans="1:11">
      <c r="A374" s="555" t="s">
        <v>1029</v>
      </c>
      <c r="B374" s="555" t="s">
        <v>61</v>
      </c>
      <c r="C374" s="555"/>
      <c r="D374" s="555" t="s">
        <v>1030</v>
      </c>
      <c r="E374" s="556"/>
      <c r="F374" s="557">
        <v>1</v>
      </c>
      <c r="G374" s="557" t="s">
        <v>62</v>
      </c>
      <c r="H374" s="558">
        <v>6422.15</v>
      </c>
      <c r="I374" s="566">
        <v>6422.15</v>
      </c>
      <c r="J374" s="567"/>
      <c r="K374" s="568">
        <f>SUM(K375:K376)</f>
        <v>6422.15</v>
      </c>
    </row>
    <row r="375" ht="51" spans="1:11">
      <c r="A375" s="559" t="s">
        <v>1031</v>
      </c>
      <c r="B375" s="559" t="s">
        <v>1032</v>
      </c>
      <c r="C375" s="559" t="s">
        <v>76</v>
      </c>
      <c r="D375" s="559" t="s">
        <v>1033</v>
      </c>
      <c r="E375" s="560" t="s">
        <v>105</v>
      </c>
      <c r="F375" s="561">
        <v>46</v>
      </c>
      <c r="G375" s="562">
        <v>38.86</v>
      </c>
      <c r="H375" s="562">
        <v>48.44</v>
      </c>
      <c r="I375" s="569">
        <v>2228.24</v>
      </c>
      <c r="J375" s="567">
        <f t="shared" si="41"/>
        <v>0</v>
      </c>
      <c r="K375" s="570">
        <f t="shared" si="37"/>
        <v>2228.24</v>
      </c>
    </row>
    <row r="376" ht="38.25" spans="1:11">
      <c r="A376" s="559" t="s">
        <v>1034</v>
      </c>
      <c r="B376" s="559" t="s">
        <v>1035</v>
      </c>
      <c r="C376" s="559" t="s">
        <v>65</v>
      </c>
      <c r="D376" s="559" t="s">
        <v>1036</v>
      </c>
      <c r="E376" s="560" t="s">
        <v>67</v>
      </c>
      <c r="F376" s="561">
        <v>49</v>
      </c>
      <c r="G376" s="562">
        <v>68.66</v>
      </c>
      <c r="H376" s="562">
        <v>85.59</v>
      </c>
      <c r="I376" s="569">
        <v>4193.91</v>
      </c>
      <c r="J376" s="567">
        <f t="shared" si="41"/>
        <v>0</v>
      </c>
      <c r="K376" s="570">
        <f t="shared" si="37"/>
        <v>4193.91</v>
      </c>
    </row>
    <row r="377" spans="1:11">
      <c r="A377" s="555" t="s">
        <v>1037</v>
      </c>
      <c r="B377" s="555" t="s">
        <v>61</v>
      </c>
      <c r="C377" s="555"/>
      <c r="D377" s="555" t="s">
        <v>43</v>
      </c>
      <c r="E377" s="556"/>
      <c r="F377" s="557">
        <v>1</v>
      </c>
      <c r="G377" s="557" t="s">
        <v>62</v>
      </c>
      <c r="H377" s="558">
        <v>37988.46</v>
      </c>
      <c r="I377" s="566">
        <v>37988.46</v>
      </c>
      <c r="J377" s="567"/>
      <c r="K377" s="568">
        <f>SUM(K378:K386)</f>
        <v>37988.46</v>
      </c>
    </row>
    <row r="378" ht="25.5" spans="1:11">
      <c r="A378" s="559" t="s">
        <v>1038</v>
      </c>
      <c r="B378" s="559" t="s">
        <v>1039</v>
      </c>
      <c r="C378" s="559" t="s">
        <v>71</v>
      </c>
      <c r="D378" s="559" t="s">
        <v>1040</v>
      </c>
      <c r="E378" s="560" t="s">
        <v>105</v>
      </c>
      <c r="F378" s="561">
        <v>1</v>
      </c>
      <c r="G378" s="562">
        <v>2843.1</v>
      </c>
      <c r="H378" s="562">
        <v>3544.2</v>
      </c>
      <c r="I378" s="569">
        <v>3544.2</v>
      </c>
      <c r="J378" s="567">
        <f t="shared" si="41"/>
        <v>0</v>
      </c>
      <c r="K378" s="570">
        <f t="shared" si="37"/>
        <v>3544.2</v>
      </c>
    </row>
    <row r="379" ht="25.5" spans="1:11">
      <c r="A379" s="559" t="s">
        <v>1041</v>
      </c>
      <c r="B379" s="559" t="s">
        <v>1042</v>
      </c>
      <c r="C379" s="559" t="s">
        <v>71</v>
      </c>
      <c r="D379" s="559" t="s">
        <v>1043</v>
      </c>
      <c r="E379" s="560" t="s">
        <v>105</v>
      </c>
      <c r="F379" s="561">
        <v>8</v>
      </c>
      <c r="G379" s="562">
        <v>1330.92</v>
      </c>
      <c r="H379" s="562">
        <v>1659.12</v>
      </c>
      <c r="I379" s="569">
        <v>13272.96</v>
      </c>
      <c r="J379" s="567">
        <f t="shared" si="41"/>
        <v>0</v>
      </c>
      <c r="K379" s="570">
        <f t="shared" si="37"/>
        <v>13272.96</v>
      </c>
    </row>
    <row r="380" ht="25.5" spans="1:11">
      <c r="A380" s="559" t="s">
        <v>1044</v>
      </c>
      <c r="B380" s="559" t="s">
        <v>1045</v>
      </c>
      <c r="C380" s="559" t="s">
        <v>65</v>
      </c>
      <c r="D380" s="559" t="s">
        <v>1046</v>
      </c>
      <c r="E380" s="560" t="s">
        <v>67</v>
      </c>
      <c r="F380" s="561">
        <v>1</v>
      </c>
      <c r="G380" s="562">
        <v>2301.99</v>
      </c>
      <c r="H380" s="562">
        <v>2869.66</v>
      </c>
      <c r="I380" s="569">
        <v>2869.66</v>
      </c>
      <c r="J380" s="567">
        <f t="shared" ref="J380:J389" si="42">$I$626</f>
        <v>0</v>
      </c>
      <c r="K380" s="570">
        <f t="shared" si="37"/>
        <v>2869.66</v>
      </c>
    </row>
    <row r="381" spans="1:11">
      <c r="A381" s="559" t="s">
        <v>1047</v>
      </c>
      <c r="B381" s="559" t="s">
        <v>1048</v>
      </c>
      <c r="C381" s="559" t="s">
        <v>99</v>
      </c>
      <c r="D381" s="559" t="s">
        <v>1049</v>
      </c>
      <c r="E381" s="560" t="s">
        <v>105</v>
      </c>
      <c r="F381" s="561">
        <v>13</v>
      </c>
      <c r="G381" s="562">
        <v>42.25</v>
      </c>
      <c r="H381" s="562">
        <v>52.66</v>
      </c>
      <c r="I381" s="569">
        <v>684.58</v>
      </c>
      <c r="J381" s="567">
        <f t="shared" si="42"/>
        <v>0</v>
      </c>
      <c r="K381" s="570">
        <f t="shared" si="37"/>
        <v>684.58</v>
      </c>
    </row>
    <row r="382" ht="25.5" spans="1:11">
      <c r="A382" s="559" t="s">
        <v>1050</v>
      </c>
      <c r="B382" s="559" t="s">
        <v>1051</v>
      </c>
      <c r="C382" s="559" t="s">
        <v>65</v>
      </c>
      <c r="D382" s="559" t="s">
        <v>1052</v>
      </c>
      <c r="E382" s="560" t="s">
        <v>67</v>
      </c>
      <c r="F382" s="561">
        <v>2</v>
      </c>
      <c r="G382" s="562">
        <v>81.89</v>
      </c>
      <c r="H382" s="562">
        <v>102.08</v>
      </c>
      <c r="I382" s="569">
        <v>204.16</v>
      </c>
      <c r="J382" s="567">
        <f t="shared" si="42"/>
        <v>0</v>
      </c>
      <c r="K382" s="570">
        <f t="shared" si="37"/>
        <v>204.16</v>
      </c>
    </row>
    <row r="383" spans="1:11">
      <c r="A383" s="559" t="s">
        <v>1053</v>
      </c>
      <c r="B383" s="559" t="s">
        <v>1054</v>
      </c>
      <c r="C383" s="559" t="s">
        <v>99</v>
      </c>
      <c r="D383" s="559" t="s">
        <v>1055</v>
      </c>
      <c r="E383" s="560" t="s">
        <v>105</v>
      </c>
      <c r="F383" s="561">
        <v>5</v>
      </c>
      <c r="G383" s="562">
        <v>1712.73</v>
      </c>
      <c r="H383" s="562">
        <v>2135.08</v>
      </c>
      <c r="I383" s="569">
        <v>10675.4</v>
      </c>
      <c r="J383" s="567">
        <f t="shared" si="42"/>
        <v>0</v>
      </c>
      <c r="K383" s="570">
        <f t="shared" si="37"/>
        <v>10675.4</v>
      </c>
    </row>
    <row r="384" spans="1:11">
      <c r="A384" s="559" t="s">
        <v>1056</v>
      </c>
      <c r="B384" s="559" t="s">
        <v>1057</v>
      </c>
      <c r="C384" s="559" t="s">
        <v>99</v>
      </c>
      <c r="D384" s="559" t="s">
        <v>1058</v>
      </c>
      <c r="E384" s="560" t="s">
        <v>105</v>
      </c>
      <c r="F384" s="561">
        <v>172</v>
      </c>
      <c r="G384" s="562">
        <v>27.32</v>
      </c>
      <c r="H384" s="562">
        <v>34.05</v>
      </c>
      <c r="I384" s="569">
        <v>5856.6</v>
      </c>
      <c r="J384" s="567">
        <f t="shared" si="42"/>
        <v>0</v>
      </c>
      <c r="K384" s="570">
        <f t="shared" si="37"/>
        <v>5856.6</v>
      </c>
    </row>
    <row r="385" spans="1:11">
      <c r="A385" s="559" t="s">
        <v>1059</v>
      </c>
      <c r="B385" s="559" t="s">
        <v>1060</v>
      </c>
      <c r="C385" s="559" t="s">
        <v>99</v>
      </c>
      <c r="D385" s="559" t="s">
        <v>1061</v>
      </c>
      <c r="E385" s="560" t="s">
        <v>105</v>
      </c>
      <c r="F385" s="561">
        <v>1</v>
      </c>
      <c r="G385" s="562">
        <v>445.83</v>
      </c>
      <c r="H385" s="562">
        <v>555.77</v>
      </c>
      <c r="I385" s="569">
        <v>555.77</v>
      </c>
      <c r="J385" s="567">
        <f t="shared" si="42"/>
        <v>0</v>
      </c>
      <c r="K385" s="570">
        <f t="shared" si="37"/>
        <v>555.77</v>
      </c>
    </row>
    <row r="386" ht="25.5" spans="1:11">
      <c r="A386" s="571" t="s">
        <v>1062</v>
      </c>
      <c r="B386" s="571" t="s">
        <v>1063</v>
      </c>
      <c r="C386" s="571" t="s">
        <v>99</v>
      </c>
      <c r="D386" s="571" t="s">
        <v>1064</v>
      </c>
      <c r="E386" s="572" t="s">
        <v>105</v>
      </c>
      <c r="F386" s="573">
        <v>1</v>
      </c>
      <c r="G386" s="574">
        <v>260.82</v>
      </c>
      <c r="H386" s="574">
        <v>325.13</v>
      </c>
      <c r="I386" s="576">
        <v>325.13</v>
      </c>
      <c r="J386" s="567">
        <f t="shared" si="42"/>
        <v>0</v>
      </c>
      <c r="K386" s="570">
        <f t="shared" si="37"/>
        <v>325.13</v>
      </c>
    </row>
    <row r="387" spans="1:11">
      <c r="A387" s="555" t="s">
        <v>1065</v>
      </c>
      <c r="B387" s="555" t="s">
        <v>61</v>
      </c>
      <c r="C387" s="555"/>
      <c r="D387" s="555" t="s">
        <v>1066</v>
      </c>
      <c r="E387" s="556"/>
      <c r="F387" s="557">
        <v>1</v>
      </c>
      <c r="G387" s="557" t="s">
        <v>62</v>
      </c>
      <c r="H387" s="558">
        <v>87382.68</v>
      </c>
      <c r="I387" s="566">
        <v>87382.68</v>
      </c>
      <c r="J387" s="567"/>
      <c r="K387" s="568">
        <f>SUM(K388:K391)</f>
        <v>87382.68</v>
      </c>
    </row>
    <row r="388" ht="25.5" spans="1:11">
      <c r="A388" s="559" t="s">
        <v>1067</v>
      </c>
      <c r="B388" s="559" t="s">
        <v>1068</v>
      </c>
      <c r="C388" s="559" t="s">
        <v>71</v>
      </c>
      <c r="D388" s="559" t="s">
        <v>1069</v>
      </c>
      <c r="E388" s="560" t="s">
        <v>78</v>
      </c>
      <c r="F388" s="561">
        <v>7320</v>
      </c>
      <c r="G388" s="562">
        <v>8.3</v>
      </c>
      <c r="H388" s="562">
        <v>10.34</v>
      </c>
      <c r="I388" s="569">
        <v>75688.8</v>
      </c>
      <c r="J388" s="567">
        <f t="shared" si="42"/>
        <v>0</v>
      </c>
      <c r="K388" s="570">
        <f t="shared" si="37"/>
        <v>75688.8</v>
      </c>
    </row>
    <row r="389" spans="1:11">
      <c r="A389" s="559" t="s">
        <v>1070</v>
      </c>
      <c r="B389" s="559" t="s">
        <v>1071</v>
      </c>
      <c r="C389" s="559" t="s">
        <v>99</v>
      </c>
      <c r="D389" s="559" t="s">
        <v>1072</v>
      </c>
      <c r="E389" s="560" t="s">
        <v>78</v>
      </c>
      <c r="F389" s="561">
        <v>180</v>
      </c>
      <c r="G389" s="562">
        <v>15.34</v>
      </c>
      <c r="H389" s="562">
        <v>19.12</v>
      </c>
      <c r="I389" s="569">
        <v>3441.6</v>
      </c>
      <c r="J389" s="567">
        <f t="shared" si="42"/>
        <v>0</v>
      </c>
      <c r="K389" s="570">
        <f t="shared" si="37"/>
        <v>3441.6</v>
      </c>
    </row>
    <row r="390" spans="1:11">
      <c r="A390" s="559" t="s">
        <v>1073</v>
      </c>
      <c r="B390" s="559" t="s">
        <v>1074</v>
      </c>
      <c r="C390" s="559" t="s">
        <v>65</v>
      </c>
      <c r="D390" s="559" t="s">
        <v>1075</v>
      </c>
      <c r="E390" s="560" t="s">
        <v>67</v>
      </c>
      <c r="F390" s="561">
        <v>172</v>
      </c>
      <c r="G390" s="562">
        <v>35</v>
      </c>
      <c r="H390" s="562">
        <v>43.63</v>
      </c>
      <c r="I390" s="569">
        <v>7504.36</v>
      </c>
      <c r="J390" s="567">
        <f t="shared" ref="J390:J399" si="43">$I$626</f>
        <v>0</v>
      </c>
      <c r="K390" s="570">
        <f t="shared" si="37"/>
        <v>7504.36</v>
      </c>
    </row>
    <row r="391" spans="1:11">
      <c r="A391" s="559" t="s">
        <v>1076</v>
      </c>
      <c r="B391" s="559" t="s">
        <v>1077</v>
      </c>
      <c r="C391" s="559" t="s">
        <v>99</v>
      </c>
      <c r="D391" s="559" t="s">
        <v>1078</v>
      </c>
      <c r="E391" s="560" t="s">
        <v>1079</v>
      </c>
      <c r="F391" s="561">
        <v>8</v>
      </c>
      <c r="G391" s="562">
        <v>75</v>
      </c>
      <c r="H391" s="562">
        <v>93.49</v>
      </c>
      <c r="I391" s="569">
        <v>747.92</v>
      </c>
      <c r="J391" s="567">
        <f t="shared" si="43"/>
        <v>0</v>
      </c>
      <c r="K391" s="570">
        <f t="shared" si="37"/>
        <v>747.92</v>
      </c>
    </row>
    <row r="392" spans="1:11">
      <c r="A392" s="555" t="s">
        <v>1080</v>
      </c>
      <c r="B392" s="555" t="s">
        <v>61</v>
      </c>
      <c r="C392" s="555"/>
      <c r="D392" s="555" t="s">
        <v>1081</v>
      </c>
      <c r="E392" s="556"/>
      <c r="F392" s="557">
        <v>1</v>
      </c>
      <c r="G392" s="557" t="s">
        <v>62</v>
      </c>
      <c r="H392" s="558">
        <v>8962.67</v>
      </c>
      <c r="I392" s="566">
        <v>8962.67</v>
      </c>
      <c r="J392" s="567"/>
      <c r="K392" s="568">
        <f>SUM(K393:K397)</f>
        <v>8962.67</v>
      </c>
    </row>
    <row r="393" ht="25.5" spans="1:11">
      <c r="A393" s="559" t="s">
        <v>1082</v>
      </c>
      <c r="B393" s="559" t="s">
        <v>827</v>
      </c>
      <c r="C393" s="559" t="s">
        <v>512</v>
      </c>
      <c r="D393" s="559" t="s">
        <v>828</v>
      </c>
      <c r="E393" s="560" t="s">
        <v>67</v>
      </c>
      <c r="F393" s="561">
        <v>10</v>
      </c>
      <c r="G393" s="562">
        <v>130.75</v>
      </c>
      <c r="H393" s="562">
        <v>162.99</v>
      </c>
      <c r="I393" s="569">
        <v>1629.9</v>
      </c>
      <c r="J393" s="567">
        <f t="shared" si="43"/>
        <v>0</v>
      </c>
      <c r="K393" s="570">
        <f t="shared" si="37"/>
        <v>1629.9</v>
      </c>
    </row>
    <row r="394" ht="51" spans="1:11">
      <c r="A394" s="559" t="s">
        <v>1083</v>
      </c>
      <c r="B394" s="559" t="s">
        <v>1084</v>
      </c>
      <c r="C394" s="559" t="s">
        <v>76</v>
      </c>
      <c r="D394" s="559" t="s">
        <v>1085</v>
      </c>
      <c r="E394" s="560" t="s">
        <v>105</v>
      </c>
      <c r="F394" s="561">
        <v>2</v>
      </c>
      <c r="G394" s="562">
        <v>111.31</v>
      </c>
      <c r="H394" s="562">
        <v>138.75</v>
      </c>
      <c r="I394" s="569">
        <v>277.5</v>
      </c>
      <c r="J394" s="567">
        <f t="shared" si="43"/>
        <v>0</v>
      </c>
      <c r="K394" s="570">
        <f t="shared" si="37"/>
        <v>277.5</v>
      </c>
    </row>
    <row r="395" ht="25.5" spans="1:11">
      <c r="A395" s="559" t="s">
        <v>1086</v>
      </c>
      <c r="B395" s="559" t="s">
        <v>1087</v>
      </c>
      <c r="C395" s="559" t="s">
        <v>512</v>
      </c>
      <c r="D395" s="559" t="s">
        <v>1088</v>
      </c>
      <c r="E395" s="560" t="s">
        <v>67</v>
      </c>
      <c r="F395" s="561">
        <v>1</v>
      </c>
      <c r="G395" s="562">
        <v>18.25</v>
      </c>
      <c r="H395" s="562">
        <v>22.75</v>
      </c>
      <c r="I395" s="569">
        <v>22.75</v>
      </c>
      <c r="J395" s="567">
        <f t="shared" si="43"/>
        <v>0</v>
      </c>
      <c r="K395" s="570">
        <f t="shared" si="37"/>
        <v>22.75</v>
      </c>
    </row>
    <row r="396" ht="51" spans="1:11">
      <c r="A396" s="559" t="s">
        <v>1089</v>
      </c>
      <c r="B396" s="559" t="s">
        <v>1090</v>
      </c>
      <c r="C396" s="559" t="s">
        <v>76</v>
      </c>
      <c r="D396" s="559" t="s">
        <v>1091</v>
      </c>
      <c r="E396" s="560" t="s">
        <v>105</v>
      </c>
      <c r="F396" s="561">
        <v>1</v>
      </c>
      <c r="G396" s="562">
        <v>233.63</v>
      </c>
      <c r="H396" s="562">
        <v>291.24</v>
      </c>
      <c r="I396" s="569">
        <v>291.24</v>
      </c>
      <c r="J396" s="567">
        <f t="shared" si="43"/>
        <v>0</v>
      </c>
      <c r="K396" s="570">
        <f t="shared" si="37"/>
        <v>291.24</v>
      </c>
    </row>
    <row r="397" ht="127.5" spans="1:11">
      <c r="A397" s="559" t="s">
        <v>1092</v>
      </c>
      <c r="B397" s="559" t="s">
        <v>833</v>
      </c>
      <c r="C397" s="559" t="s">
        <v>76</v>
      </c>
      <c r="D397" s="559" t="s">
        <v>834</v>
      </c>
      <c r="E397" s="560" t="s">
        <v>105</v>
      </c>
      <c r="F397" s="561">
        <v>7</v>
      </c>
      <c r="G397" s="562">
        <v>772.54</v>
      </c>
      <c r="H397" s="562">
        <v>963.04</v>
      </c>
      <c r="I397" s="569">
        <v>6741.28</v>
      </c>
      <c r="J397" s="567">
        <f t="shared" si="43"/>
        <v>0</v>
      </c>
      <c r="K397" s="570">
        <f t="shared" si="37"/>
        <v>6741.28</v>
      </c>
    </row>
    <row r="398" spans="1:11">
      <c r="A398" s="555" t="s">
        <v>1093</v>
      </c>
      <c r="B398" s="555" t="s">
        <v>61</v>
      </c>
      <c r="C398" s="555"/>
      <c r="D398" s="555" t="s">
        <v>34</v>
      </c>
      <c r="E398" s="556"/>
      <c r="F398" s="557">
        <v>1</v>
      </c>
      <c r="G398" s="557" t="s">
        <v>62</v>
      </c>
      <c r="H398" s="558">
        <v>13854.74</v>
      </c>
      <c r="I398" s="566">
        <v>13854.74</v>
      </c>
      <c r="J398" s="567"/>
      <c r="K398" s="568">
        <f>SUM(K399:K408)</f>
        <v>13854.74</v>
      </c>
    </row>
    <row r="399" ht="25.5" spans="1:11">
      <c r="A399" s="559" t="s">
        <v>1094</v>
      </c>
      <c r="B399" s="559" t="s">
        <v>1095</v>
      </c>
      <c r="C399" s="559" t="s">
        <v>99</v>
      </c>
      <c r="D399" s="559" t="s">
        <v>1096</v>
      </c>
      <c r="E399" s="560" t="s">
        <v>105</v>
      </c>
      <c r="F399" s="561">
        <v>28</v>
      </c>
      <c r="G399" s="562">
        <v>255.66</v>
      </c>
      <c r="H399" s="562">
        <v>318.7</v>
      </c>
      <c r="I399" s="569">
        <v>8923.6</v>
      </c>
      <c r="J399" s="567">
        <f t="shared" si="43"/>
        <v>0</v>
      </c>
      <c r="K399" s="570">
        <f t="shared" si="37"/>
        <v>8923.6</v>
      </c>
    </row>
    <row r="400" ht="25.5" spans="1:11">
      <c r="A400" s="559" t="s">
        <v>1097</v>
      </c>
      <c r="B400" s="559" t="s">
        <v>1098</v>
      </c>
      <c r="C400" s="559" t="s">
        <v>99</v>
      </c>
      <c r="D400" s="559" t="s">
        <v>1099</v>
      </c>
      <c r="E400" s="560" t="s">
        <v>105</v>
      </c>
      <c r="F400" s="561">
        <v>2</v>
      </c>
      <c r="G400" s="562">
        <v>111.23</v>
      </c>
      <c r="H400" s="562">
        <v>138.65</v>
      </c>
      <c r="I400" s="569">
        <v>277.3</v>
      </c>
      <c r="J400" s="567">
        <f t="shared" ref="J400:J409" si="44">$I$626</f>
        <v>0</v>
      </c>
      <c r="K400" s="570">
        <f t="shared" si="37"/>
        <v>277.3</v>
      </c>
    </row>
    <row r="401" spans="1:11">
      <c r="A401" s="559" t="s">
        <v>1100</v>
      </c>
      <c r="B401" s="559" t="s">
        <v>1101</v>
      </c>
      <c r="C401" s="559" t="s">
        <v>65</v>
      </c>
      <c r="D401" s="559" t="s">
        <v>1102</v>
      </c>
      <c r="E401" s="560" t="s">
        <v>67</v>
      </c>
      <c r="F401" s="561">
        <v>8</v>
      </c>
      <c r="G401" s="562">
        <v>155.18</v>
      </c>
      <c r="H401" s="562">
        <v>193.44</v>
      </c>
      <c r="I401" s="569">
        <v>1547.52</v>
      </c>
      <c r="J401" s="567">
        <f t="shared" si="44"/>
        <v>0</v>
      </c>
      <c r="K401" s="570">
        <f t="shared" si="37"/>
        <v>1547.52</v>
      </c>
    </row>
    <row r="402" ht="25.5" spans="1:11">
      <c r="A402" s="559" t="s">
        <v>1103</v>
      </c>
      <c r="B402" s="559" t="s">
        <v>1104</v>
      </c>
      <c r="C402" s="559" t="s">
        <v>71</v>
      </c>
      <c r="D402" s="559" t="s">
        <v>1105</v>
      </c>
      <c r="E402" s="560" t="s">
        <v>105</v>
      </c>
      <c r="F402" s="561">
        <v>2</v>
      </c>
      <c r="G402" s="562">
        <v>901.47</v>
      </c>
      <c r="H402" s="562">
        <v>1123.77</v>
      </c>
      <c r="I402" s="569">
        <v>2247.54</v>
      </c>
      <c r="J402" s="567">
        <f t="shared" si="44"/>
        <v>0</v>
      </c>
      <c r="K402" s="570">
        <f t="shared" ref="K402:K465" si="45">I402-(I402*J402)</f>
        <v>2247.54</v>
      </c>
    </row>
    <row r="403" spans="1:11">
      <c r="A403" s="559" t="s">
        <v>1106</v>
      </c>
      <c r="B403" s="559" t="s">
        <v>1107</v>
      </c>
      <c r="C403" s="559" t="s">
        <v>65</v>
      </c>
      <c r="D403" s="559" t="s">
        <v>1108</v>
      </c>
      <c r="E403" s="560" t="s">
        <v>67</v>
      </c>
      <c r="F403" s="561">
        <v>10</v>
      </c>
      <c r="G403" s="562">
        <v>23.98</v>
      </c>
      <c r="H403" s="562">
        <v>29.89</v>
      </c>
      <c r="I403" s="569">
        <v>298.9</v>
      </c>
      <c r="J403" s="567">
        <f t="shared" si="44"/>
        <v>0</v>
      </c>
      <c r="K403" s="570">
        <f t="shared" si="45"/>
        <v>298.9</v>
      </c>
    </row>
    <row r="404" ht="38.25" spans="1:11">
      <c r="A404" s="559" t="s">
        <v>1109</v>
      </c>
      <c r="B404" s="559" t="s">
        <v>1110</v>
      </c>
      <c r="C404" s="559" t="s">
        <v>65</v>
      </c>
      <c r="D404" s="559" t="s">
        <v>1111</v>
      </c>
      <c r="E404" s="560" t="s">
        <v>67</v>
      </c>
      <c r="F404" s="561">
        <v>1</v>
      </c>
      <c r="G404" s="562">
        <v>5.83</v>
      </c>
      <c r="H404" s="562">
        <v>7.26</v>
      </c>
      <c r="I404" s="569">
        <v>7.26</v>
      </c>
      <c r="J404" s="567">
        <f t="shared" si="44"/>
        <v>0</v>
      </c>
      <c r="K404" s="570">
        <f t="shared" si="45"/>
        <v>7.26</v>
      </c>
    </row>
    <row r="405" ht="25.5" spans="1:11">
      <c r="A405" s="559" t="s">
        <v>1112</v>
      </c>
      <c r="B405" s="559" t="s">
        <v>1113</v>
      </c>
      <c r="C405" s="559" t="s">
        <v>65</v>
      </c>
      <c r="D405" s="559" t="s">
        <v>1114</v>
      </c>
      <c r="E405" s="560" t="s">
        <v>67</v>
      </c>
      <c r="F405" s="561">
        <v>1</v>
      </c>
      <c r="G405" s="562">
        <v>30.13</v>
      </c>
      <c r="H405" s="562">
        <v>37.56</v>
      </c>
      <c r="I405" s="569">
        <v>37.56</v>
      </c>
      <c r="J405" s="567">
        <f t="shared" si="44"/>
        <v>0</v>
      </c>
      <c r="K405" s="570">
        <f t="shared" si="45"/>
        <v>37.56</v>
      </c>
    </row>
    <row r="406" ht="76.5" spans="1:11">
      <c r="A406" s="559" t="s">
        <v>1115</v>
      </c>
      <c r="B406" s="559" t="s">
        <v>1116</v>
      </c>
      <c r="C406" s="559" t="s">
        <v>76</v>
      </c>
      <c r="D406" s="559" t="s">
        <v>1117</v>
      </c>
      <c r="E406" s="560" t="s">
        <v>105</v>
      </c>
      <c r="F406" s="561">
        <v>25</v>
      </c>
      <c r="G406" s="562">
        <v>10.67</v>
      </c>
      <c r="H406" s="562">
        <v>13.3</v>
      </c>
      <c r="I406" s="569">
        <v>332.5</v>
      </c>
      <c r="J406" s="567">
        <f t="shared" si="44"/>
        <v>0</v>
      </c>
      <c r="K406" s="570">
        <f t="shared" si="45"/>
        <v>332.5</v>
      </c>
    </row>
    <row r="407" ht="76.5" spans="1:11">
      <c r="A407" s="559" t="s">
        <v>1118</v>
      </c>
      <c r="B407" s="559" t="s">
        <v>1119</v>
      </c>
      <c r="C407" s="559" t="s">
        <v>76</v>
      </c>
      <c r="D407" s="559" t="s">
        <v>1120</v>
      </c>
      <c r="E407" s="560" t="s">
        <v>105</v>
      </c>
      <c r="F407" s="561">
        <v>8</v>
      </c>
      <c r="G407" s="562">
        <v>11.38</v>
      </c>
      <c r="H407" s="562">
        <v>14.18</v>
      </c>
      <c r="I407" s="569">
        <v>113.44</v>
      </c>
      <c r="J407" s="567">
        <f t="shared" si="44"/>
        <v>0</v>
      </c>
      <c r="K407" s="570">
        <f t="shared" si="45"/>
        <v>113.44</v>
      </c>
    </row>
    <row r="408" ht="25.5" spans="1:11">
      <c r="A408" s="559" t="s">
        <v>1121</v>
      </c>
      <c r="B408" s="559" t="s">
        <v>1122</v>
      </c>
      <c r="C408" s="559" t="s">
        <v>65</v>
      </c>
      <c r="D408" s="559" t="s">
        <v>1123</v>
      </c>
      <c r="E408" s="560" t="s">
        <v>67</v>
      </c>
      <c r="F408" s="561">
        <v>2</v>
      </c>
      <c r="G408" s="562">
        <v>27.73</v>
      </c>
      <c r="H408" s="562">
        <v>34.56</v>
      </c>
      <c r="I408" s="569">
        <v>69.12</v>
      </c>
      <c r="J408" s="567">
        <f t="shared" si="44"/>
        <v>0</v>
      </c>
      <c r="K408" s="570">
        <f t="shared" si="45"/>
        <v>69.12</v>
      </c>
    </row>
    <row r="409" spans="1:11">
      <c r="A409" s="555" t="s">
        <v>1124</v>
      </c>
      <c r="B409" s="555" t="s">
        <v>61</v>
      </c>
      <c r="C409" s="555"/>
      <c r="D409" s="555" t="s">
        <v>35</v>
      </c>
      <c r="E409" s="556"/>
      <c r="F409" s="557">
        <v>1</v>
      </c>
      <c r="G409" s="557" t="s">
        <v>62</v>
      </c>
      <c r="H409" s="558">
        <v>52263.88</v>
      </c>
      <c r="I409" s="566">
        <v>52263.88</v>
      </c>
      <c r="J409" s="567"/>
      <c r="K409" s="568">
        <f>K410+K415+K422</f>
        <v>52263.88</v>
      </c>
    </row>
    <row r="410" spans="1:11">
      <c r="A410" s="555" t="s">
        <v>1125</v>
      </c>
      <c r="B410" s="555" t="s">
        <v>61</v>
      </c>
      <c r="C410" s="555"/>
      <c r="D410" s="555" t="s">
        <v>43</v>
      </c>
      <c r="E410" s="556"/>
      <c r="F410" s="557">
        <v>1</v>
      </c>
      <c r="G410" s="557" t="s">
        <v>62</v>
      </c>
      <c r="H410" s="558">
        <v>36805.03</v>
      </c>
      <c r="I410" s="566">
        <v>36805.03</v>
      </c>
      <c r="J410" s="567"/>
      <c r="K410" s="568">
        <f>SUM(K411:K414)</f>
        <v>36805.03</v>
      </c>
    </row>
    <row r="411" spans="1:11">
      <c r="A411" s="559" t="s">
        <v>1126</v>
      </c>
      <c r="B411" s="559" t="s">
        <v>1127</v>
      </c>
      <c r="C411" s="559" t="s">
        <v>65</v>
      </c>
      <c r="D411" s="559" t="s">
        <v>1128</v>
      </c>
      <c r="E411" s="560" t="s">
        <v>67</v>
      </c>
      <c r="F411" s="561">
        <v>14</v>
      </c>
      <c r="G411" s="562">
        <v>221.8</v>
      </c>
      <c r="H411" s="562">
        <v>276.49</v>
      </c>
      <c r="I411" s="569">
        <v>3870.86</v>
      </c>
      <c r="J411" s="567">
        <f t="shared" ref="J410:J419" si="46">$I$626</f>
        <v>0</v>
      </c>
      <c r="K411" s="570">
        <f t="shared" si="45"/>
        <v>3870.86</v>
      </c>
    </row>
    <row r="412" ht="25.5" spans="1:11">
      <c r="A412" s="559" t="s">
        <v>1129</v>
      </c>
      <c r="B412" s="559" t="s">
        <v>1130</v>
      </c>
      <c r="C412" s="559" t="s">
        <v>99</v>
      </c>
      <c r="D412" s="559" t="s">
        <v>1131</v>
      </c>
      <c r="E412" s="560" t="s">
        <v>105</v>
      </c>
      <c r="F412" s="561">
        <v>11</v>
      </c>
      <c r="G412" s="562">
        <v>428.28</v>
      </c>
      <c r="H412" s="562">
        <v>533.89</v>
      </c>
      <c r="I412" s="569">
        <v>5872.79</v>
      </c>
      <c r="J412" s="567">
        <f t="shared" si="46"/>
        <v>0</v>
      </c>
      <c r="K412" s="570">
        <f t="shared" si="45"/>
        <v>5872.79</v>
      </c>
    </row>
    <row r="413" ht="25.5" spans="1:11">
      <c r="A413" s="559" t="s">
        <v>1132</v>
      </c>
      <c r="B413" s="559" t="s">
        <v>1133</v>
      </c>
      <c r="C413" s="559" t="s">
        <v>71</v>
      </c>
      <c r="D413" s="559" t="s">
        <v>1134</v>
      </c>
      <c r="E413" s="560" t="s">
        <v>105</v>
      </c>
      <c r="F413" s="561">
        <v>1</v>
      </c>
      <c r="G413" s="562">
        <v>1432.39</v>
      </c>
      <c r="H413" s="562">
        <v>1785.61</v>
      </c>
      <c r="I413" s="569">
        <v>1785.61</v>
      </c>
      <c r="J413" s="567">
        <f t="shared" si="46"/>
        <v>0</v>
      </c>
      <c r="K413" s="570">
        <f t="shared" si="45"/>
        <v>1785.61</v>
      </c>
    </row>
    <row r="414" ht="38.25" spans="1:11">
      <c r="A414" s="559" t="s">
        <v>1135</v>
      </c>
      <c r="B414" s="559" t="s">
        <v>1136</v>
      </c>
      <c r="C414" s="559" t="s">
        <v>99</v>
      </c>
      <c r="D414" s="559" t="s">
        <v>1137</v>
      </c>
      <c r="E414" s="560" t="s">
        <v>105</v>
      </c>
      <c r="F414" s="561">
        <v>1</v>
      </c>
      <c r="G414" s="562">
        <v>20275.77</v>
      </c>
      <c r="H414" s="562">
        <v>25275.77</v>
      </c>
      <c r="I414" s="569">
        <v>25275.77</v>
      </c>
      <c r="J414" s="567">
        <f t="shared" si="46"/>
        <v>0</v>
      </c>
      <c r="K414" s="570">
        <f t="shared" si="45"/>
        <v>25275.77</v>
      </c>
    </row>
    <row r="415" spans="1:11">
      <c r="A415" s="555" t="s">
        <v>1138</v>
      </c>
      <c r="B415" s="555" t="s">
        <v>61</v>
      </c>
      <c r="C415" s="555"/>
      <c r="D415" s="555" t="s">
        <v>1139</v>
      </c>
      <c r="E415" s="556"/>
      <c r="F415" s="557">
        <v>1</v>
      </c>
      <c r="G415" s="557" t="s">
        <v>62</v>
      </c>
      <c r="H415" s="558">
        <v>4446.75</v>
      </c>
      <c r="I415" s="566">
        <v>4446.75</v>
      </c>
      <c r="J415" s="567"/>
      <c r="K415" s="568">
        <f>SUM(K416:K421)</f>
        <v>4446.75</v>
      </c>
    </row>
    <row r="416" ht="38.25" spans="1:11">
      <c r="A416" s="559" t="s">
        <v>1140</v>
      </c>
      <c r="B416" s="559" t="s">
        <v>942</v>
      </c>
      <c r="C416" s="559" t="s">
        <v>71</v>
      </c>
      <c r="D416" s="559" t="s">
        <v>943</v>
      </c>
      <c r="E416" s="560" t="s">
        <v>105</v>
      </c>
      <c r="F416" s="561">
        <v>24</v>
      </c>
      <c r="G416" s="562">
        <v>45</v>
      </c>
      <c r="H416" s="562">
        <v>56.09</v>
      </c>
      <c r="I416" s="569">
        <v>1346.16</v>
      </c>
      <c r="J416" s="567">
        <f t="shared" si="46"/>
        <v>0</v>
      </c>
      <c r="K416" s="570">
        <f t="shared" si="45"/>
        <v>1346.16</v>
      </c>
    </row>
    <row r="417" ht="38.25" spans="1:11">
      <c r="A417" s="559" t="s">
        <v>1141</v>
      </c>
      <c r="B417" s="559" t="s">
        <v>843</v>
      </c>
      <c r="C417" s="559" t="s">
        <v>512</v>
      </c>
      <c r="D417" s="559" t="s">
        <v>844</v>
      </c>
      <c r="E417" s="560" t="s">
        <v>535</v>
      </c>
      <c r="F417" s="561">
        <v>60</v>
      </c>
      <c r="G417" s="562">
        <v>20.39</v>
      </c>
      <c r="H417" s="562">
        <v>25.41</v>
      </c>
      <c r="I417" s="569">
        <v>1524.6</v>
      </c>
      <c r="J417" s="567">
        <f t="shared" si="46"/>
        <v>0</v>
      </c>
      <c r="K417" s="570">
        <f t="shared" si="45"/>
        <v>1524.6</v>
      </c>
    </row>
    <row r="418" ht="38.25" spans="1:11">
      <c r="A418" s="559" t="s">
        <v>1142</v>
      </c>
      <c r="B418" s="559" t="s">
        <v>858</v>
      </c>
      <c r="C418" s="559" t="s">
        <v>71</v>
      </c>
      <c r="D418" s="559" t="s">
        <v>859</v>
      </c>
      <c r="E418" s="560" t="s">
        <v>78</v>
      </c>
      <c r="F418" s="561">
        <v>40</v>
      </c>
      <c r="G418" s="562">
        <v>10.4</v>
      </c>
      <c r="H418" s="562">
        <v>12.96</v>
      </c>
      <c r="I418" s="569">
        <v>518.4</v>
      </c>
      <c r="J418" s="567">
        <f t="shared" si="46"/>
        <v>0</v>
      </c>
      <c r="K418" s="570">
        <f t="shared" si="45"/>
        <v>518.4</v>
      </c>
    </row>
    <row r="419" ht="25.5" spans="1:11">
      <c r="A419" s="559" t="s">
        <v>1143</v>
      </c>
      <c r="B419" s="559" t="s">
        <v>855</v>
      </c>
      <c r="C419" s="559" t="s">
        <v>71</v>
      </c>
      <c r="D419" s="559" t="s">
        <v>856</v>
      </c>
      <c r="E419" s="560" t="s">
        <v>78</v>
      </c>
      <c r="F419" s="561">
        <v>12</v>
      </c>
      <c r="G419" s="562">
        <v>24.01</v>
      </c>
      <c r="H419" s="562">
        <v>29.93</v>
      </c>
      <c r="I419" s="569">
        <v>359.16</v>
      </c>
      <c r="J419" s="567">
        <f t="shared" si="46"/>
        <v>0</v>
      </c>
      <c r="K419" s="570">
        <f t="shared" si="45"/>
        <v>359.16</v>
      </c>
    </row>
    <row r="420" spans="1:11">
      <c r="A420" s="559" t="s">
        <v>1144</v>
      </c>
      <c r="B420" s="559" t="s">
        <v>1145</v>
      </c>
      <c r="C420" s="559" t="s">
        <v>65</v>
      </c>
      <c r="D420" s="559" t="s">
        <v>1146</v>
      </c>
      <c r="E420" s="560" t="s">
        <v>105</v>
      </c>
      <c r="F420" s="561">
        <v>2</v>
      </c>
      <c r="G420" s="562">
        <v>31.36</v>
      </c>
      <c r="H420" s="562">
        <v>39.09</v>
      </c>
      <c r="I420" s="569">
        <v>78.18</v>
      </c>
      <c r="J420" s="567">
        <f t="shared" ref="J420:J429" si="47">$I$626</f>
        <v>0</v>
      </c>
      <c r="K420" s="570">
        <f t="shared" si="45"/>
        <v>78.18</v>
      </c>
    </row>
    <row r="421" spans="1:11">
      <c r="A421" s="559" t="s">
        <v>1147</v>
      </c>
      <c r="B421" s="559" t="s">
        <v>1148</v>
      </c>
      <c r="C421" s="559" t="s">
        <v>99</v>
      </c>
      <c r="D421" s="559" t="s">
        <v>1149</v>
      </c>
      <c r="E421" s="560" t="s">
        <v>105</v>
      </c>
      <c r="F421" s="561">
        <v>25</v>
      </c>
      <c r="G421" s="562">
        <v>19.91</v>
      </c>
      <c r="H421" s="562">
        <v>24.81</v>
      </c>
      <c r="I421" s="569">
        <v>620.25</v>
      </c>
      <c r="J421" s="567">
        <f t="shared" si="47"/>
        <v>0</v>
      </c>
      <c r="K421" s="570">
        <f t="shared" si="45"/>
        <v>620.25</v>
      </c>
    </row>
    <row r="422" spans="1:11">
      <c r="A422" s="555" t="s">
        <v>1150</v>
      </c>
      <c r="B422" s="555" t="s">
        <v>61</v>
      </c>
      <c r="C422" s="555"/>
      <c r="D422" s="555" t="s">
        <v>1151</v>
      </c>
      <c r="E422" s="556"/>
      <c r="F422" s="557">
        <v>1</v>
      </c>
      <c r="G422" s="557" t="s">
        <v>62</v>
      </c>
      <c r="H422" s="558">
        <v>11012.1</v>
      </c>
      <c r="I422" s="566">
        <v>11012.1</v>
      </c>
      <c r="J422" s="567"/>
      <c r="K422" s="568">
        <f>K423</f>
        <v>11012.1</v>
      </c>
    </row>
    <row r="423" ht="25.5" spans="1:11">
      <c r="A423" s="559" t="s">
        <v>1152</v>
      </c>
      <c r="B423" s="559" t="s">
        <v>1068</v>
      </c>
      <c r="C423" s="559" t="s">
        <v>71</v>
      </c>
      <c r="D423" s="559" t="s">
        <v>1069</v>
      </c>
      <c r="E423" s="560" t="s">
        <v>78</v>
      </c>
      <c r="F423" s="561">
        <v>1065</v>
      </c>
      <c r="G423" s="562">
        <v>8.3</v>
      </c>
      <c r="H423" s="562">
        <v>10.34</v>
      </c>
      <c r="I423" s="569">
        <v>11012.1</v>
      </c>
      <c r="J423" s="567">
        <f t="shared" si="47"/>
        <v>0</v>
      </c>
      <c r="K423" s="570">
        <f t="shared" si="45"/>
        <v>11012.1</v>
      </c>
    </row>
    <row r="424" spans="1:11">
      <c r="A424" s="555" t="s">
        <v>1153</v>
      </c>
      <c r="B424" s="555" t="s">
        <v>61</v>
      </c>
      <c r="C424" s="555"/>
      <c r="D424" s="555" t="s">
        <v>36</v>
      </c>
      <c r="E424" s="556"/>
      <c r="F424" s="557">
        <v>1</v>
      </c>
      <c r="G424" s="557" t="s">
        <v>62</v>
      </c>
      <c r="H424" s="558">
        <v>460513.61</v>
      </c>
      <c r="I424" s="566">
        <v>460513.61</v>
      </c>
      <c r="J424" s="567"/>
      <c r="K424" s="568">
        <f>K425+K431+K435+K444</f>
        <v>460513.61</v>
      </c>
    </row>
    <row r="425" spans="1:11">
      <c r="A425" s="555" t="s">
        <v>1154</v>
      </c>
      <c r="B425" s="555" t="s">
        <v>61</v>
      </c>
      <c r="C425" s="555"/>
      <c r="D425" s="555" t="s">
        <v>43</v>
      </c>
      <c r="E425" s="556"/>
      <c r="F425" s="557">
        <v>1</v>
      </c>
      <c r="G425" s="557" t="s">
        <v>62</v>
      </c>
      <c r="H425" s="558">
        <v>299802.12</v>
      </c>
      <c r="I425" s="566">
        <v>299802.12</v>
      </c>
      <c r="J425" s="567"/>
      <c r="K425" s="568">
        <f>SUM(K426:K430)</f>
        <v>299802.12</v>
      </c>
    </row>
    <row r="426" ht="76.5" spans="1:11">
      <c r="A426" s="559" t="s">
        <v>1155</v>
      </c>
      <c r="B426" s="559" t="s">
        <v>1156</v>
      </c>
      <c r="C426" s="559" t="s">
        <v>76</v>
      </c>
      <c r="D426" s="559" t="s">
        <v>1157</v>
      </c>
      <c r="E426" s="560" t="s">
        <v>105</v>
      </c>
      <c r="F426" s="561">
        <v>1</v>
      </c>
      <c r="G426" s="562">
        <v>595.01</v>
      </c>
      <c r="H426" s="562">
        <v>741.73</v>
      </c>
      <c r="I426" s="569">
        <v>741.73</v>
      </c>
      <c r="J426" s="567">
        <f t="shared" si="47"/>
        <v>0</v>
      </c>
      <c r="K426" s="570">
        <f t="shared" si="45"/>
        <v>741.73</v>
      </c>
    </row>
    <row r="427" ht="25.5" spans="1:11">
      <c r="A427" s="559" t="s">
        <v>1158</v>
      </c>
      <c r="B427" s="559" t="s">
        <v>1159</v>
      </c>
      <c r="C427" s="559" t="s">
        <v>65</v>
      </c>
      <c r="D427" s="559" t="s">
        <v>1160</v>
      </c>
      <c r="E427" s="560" t="s">
        <v>67</v>
      </c>
      <c r="F427" s="561">
        <v>1</v>
      </c>
      <c r="G427" s="562">
        <v>61512.95</v>
      </c>
      <c r="H427" s="562">
        <v>76682.04</v>
      </c>
      <c r="I427" s="569">
        <v>76682.04</v>
      </c>
      <c r="J427" s="567">
        <f t="shared" si="47"/>
        <v>0</v>
      </c>
      <c r="K427" s="570">
        <f t="shared" si="45"/>
        <v>76682.04</v>
      </c>
    </row>
    <row r="428" ht="25.5" spans="1:11">
      <c r="A428" s="559" t="s">
        <v>1161</v>
      </c>
      <c r="B428" s="559" t="s">
        <v>1162</v>
      </c>
      <c r="C428" s="559" t="s">
        <v>65</v>
      </c>
      <c r="D428" s="559" t="s">
        <v>1163</v>
      </c>
      <c r="E428" s="560" t="s">
        <v>67</v>
      </c>
      <c r="F428" s="561">
        <v>1</v>
      </c>
      <c r="G428" s="562">
        <v>53354.61</v>
      </c>
      <c r="H428" s="562">
        <v>66511.85</v>
      </c>
      <c r="I428" s="569">
        <v>66511.85</v>
      </c>
      <c r="J428" s="567">
        <f t="shared" si="47"/>
        <v>0</v>
      </c>
      <c r="K428" s="570">
        <f t="shared" si="45"/>
        <v>66511.85</v>
      </c>
    </row>
    <row r="429" ht="25.5" spans="1:11">
      <c r="A429" s="559" t="s">
        <v>1164</v>
      </c>
      <c r="B429" s="559" t="s">
        <v>1165</v>
      </c>
      <c r="C429" s="559" t="s">
        <v>65</v>
      </c>
      <c r="D429" s="559" t="s">
        <v>1166</v>
      </c>
      <c r="E429" s="560" t="s">
        <v>67</v>
      </c>
      <c r="F429" s="561">
        <v>10</v>
      </c>
      <c r="G429" s="562">
        <v>5350.26</v>
      </c>
      <c r="H429" s="562">
        <v>6669.63</v>
      </c>
      <c r="I429" s="569">
        <v>66696.3</v>
      </c>
      <c r="J429" s="567">
        <f t="shared" si="47"/>
        <v>0</v>
      </c>
      <c r="K429" s="570">
        <f t="shared" si="45"/>
        <v>66696.3</v>
      </c>
    </row>
    <row r="430" ht="25.5" spans="1:11">
      <c r="A430" s="559" t="s">
        <v>1167</v>
      </c>
      <c r="B430" s="559" t="s">
        <v>1168</v>
      </c>
      <c r="C430" s="559" t="s">
        <v>65</v>
      </c>
      <c r="D430" s="559" t="s">
        <v>1169</v>
      </c>
      <c r="E430" s="560" t="s">
        <v>67</v>
      </c>
      <c r="F430" s="561">
        <v>12</v>
      </c>
      <c r="G430" s="562">
        <v>5960.9</v>
      </c>
      <c r="H430" s="562">
        <v>7430.85</v>
      </c>
      <c r="I430" s="569">
        <v>89170.2</v>
      </c>
      <c r="J430" s="567">
        <f t="shared" ref="J430:J439" si="48">$I$626</f>
        <v>0</v>
      </c>
      <c r="K430" s="570">
        <f t="shared" si="45"/>
        <v>89170.2</v>
      </c>
    </row>
    <row r="431" spans="1:11">
      <c r="A431" s="555" t="s">
        <v>1170</v>
      </c>
      <c r="B431" s="555" t="s">
        <v>61</v>
      </c>
      <c r="C431" s="555"/>
      <c r="D431" s="555" t="s">
        <v>1171</v>
      </c>
      <c r="E431" s="556"/>
      <c r="F431" s="557">
        <v>1</v>
      </c>
      <c r="G431" s="557" t="s">
        <v>62</v>
      </c>
      <c r="H431" s="558">
        <v>5441.06</v>
      </c>
      <c r="I431" s="566">
        <v>5441.06</v>
      </c>
      <c r="J431" s="567"/>
      <c r="K431" s="568">
        <f>SUM(K432:K434)</f>
        <v>5441.06</v>
      </c>
    </row>
    <row r="432" ht="25.5" spans="1:11">
      <c r="A432" s="559" t="s">
        <v>1172</v>
      </c>
      <c r="B432" s="559" t="s">
        <v>1173</v>
      </c>
      <c r="C432" s="559" t="s">
        <v>65</v>
      </c>
      <c r="D432" s="559" t="s">
        <v>1174</v>
      </c>
      <c r="E432" s="560" t="s">
        <v>67</v>
      </c>
      <c r="F432" s="561">
        <v>2</v>
      </c>
      <c r="G432" s="562">
        <v>271.72</v>
      </c>
      <c r="H432" s="562">
        <v>338.72</v>
      </c>
      <c r="I432" s="569">
        <v>677.44</v>
      </c>
      <c r="J432" s="567">
        <f t="shared" si="48"/>
        <v>0</v>
      </c>
      <c r="K432" s="570">
        <f t="shared" si="45"/>
        <v>677.44</v>
      </c>
    </row>
    <row r="433" ht="25.5" spans="1:11">
      <c r="A433" s="559" t="s">
        <v>1175</v>
      </c>
      <c r="B433" s="559" t="s">
        <v>1176</v>
      </c>
      <c r="C433" s="559" t="s">
        <v>65</v>
      </c>
      <c r="D433" s="559" t="s">
        <v>1177</v>
      </c>
      <c r="E433" s="560" t="s">
        <v>67</v>
      </c>
      <c r="F433" s="561">
        <v>6</v>
      </c>
      <c r="G433" s="562">
        <v>309.22</v>
      </c>
      <c r="H433" s="562">
        <v>385.47</v>
      </c>
      <c r="I433" s="569">
        <v>2312.82</v>
      </c>
      <c r="J433" s="567">
        <f t="shared" si="48"/>
        <v>0</v>
      </c>
      <c r="K433" s="570">
        <f t="shared" si="45"/>
        <v>2312.82</v>
      </c>
    </row>
    <row r="434" ht="25.5" spans="1:11">
      <c r="A434" s="559" t="s">
        <v>1178</v>
      </c>
      <c r="B434" s="559" t="s">
        <v>1179</v>
      </c>
      <c r="C434" s="559" t="s">
        <v>65</v>
      </c>
      <c r="D434" s="559" t="s">
        <v>1180</v>
      </c>
      <c r="E434" s="560" t="s">
        <v>67</v>
      </c>
      <c r="F434" s="561">
        <v>10</v>
      </c>
      <c r="G434" s="562">
        <v>196.6</v>
      </c>
      <c r="H434" s="562">
        <v>245.08</v>
      </c>
      <c r="I434" s="569">
        <v>2450.8</v>
      </c>
      <c r="J434" s="567">
        <f t="shared" si="48"/>
        <v>0</v>
      </c>
      <c r="K434" s="570">
        <f t="shared" si="45"/>
        <v>2450.8</v>
      </c>
    </row>
    <row r="435" spans="1:11">
      <c r="A435" s="555" t="s">
        <v>1181</v>
      </c>
      <c r="B435" s="555" t="s">
        <v>61</v>
      </c>
      <c r="C435" s="555"/>
      <c r="D435" s="555" t="s">
        <v>1182</v>
      </c>
      <c r="E435" s="556"/>
      <c r="F435" s="557">
        <v>1</v>
      </c>
      <c r="G435" s="557" t="s">
        <v>62</v>
      </c>
      <c r="H435" s="558">
        <v>149260.89</v>
      </c>
      <c r="I435" s="566">
        <v>149260.89</v>
      </c>
      <c r="J435" s="567"/>
      <c r="K435" s="568">
        <f>SUM(K436:K443)</f>
        <v>149260.89</v>
      </c>
    </row>
    <row r="436" ht="51" spans="1:11">
      <c r="A436" s="559" t="s">
        <v>1183</v>
      </c>
      <c r="B436" s="559" t="s">
        <v>1184</v>
      </c>
      <c r="C436" s="559" t="s">
        <v>71</v>
      </c>
      <c r="D436" s="559" t="s">
        <v>1185</v>
      </c>
      <c r="E436" s="560" t="s">
        <v>78</v>
      </c>
      <c r="F436" s="561">
        <v>2</v>
      </c>
      <c r="G436" s="562">
        <v>29.38</v>
      </c>
      <c r="H436" s="562">
        <v>36.62</v>
      </c>
      <c r="I436" s="569">
        <v>73.24</v>
      </c>
      <c r="J436" s="567">
        <f t="shared" si="48"/>
        <v>0</v>
      </c>
      <c r="K436" s="570">
        <f t="shared" si="45"/>
        <v>73.24</v>
      </c>
    </row>
    <row r="437" ht="51" spans="1:11">
      <c r="A437" s="559" t="s">
        <v>1186</v>
      </c>
      <c r="B437" s="559" t="s">
        <v>1187</v>
      </c>
      <c r="C437" s="559" t="s">
        <v>71</v>
      </c>
      <c r="D437" s="559" t="s">
        <v>1188</v>
      </c>
      <c r="E437" s="560" t="s">
        <v>78</v>
      </c>
      <c r="F437" s="561">
        <v>101</v>
      </c>
      <c r="G437" s="562">
        <v>47.95</v>
      </c>
      <c r="H437" s="562">
        <v>59.77</v>
      </c>
      <c r="I437" s="569">
        <v>6036.77</v>
      </c>
      <c r="J437" s="567">
        <f t="shared" si="48"/>
        <v>0</v>
      </c>
      <c r="K437" s="570">
        <f t="shared" si="45"/>
        <v>6036.77</v>
      </c>
    </row>
    <row r="438" ht="51" spans="1:11">
      <c r="A438" s="559" t="s">
        <v>1189</v>
      </c>
      <c r="B438" s="559" t="s">
        <v>1190</v>
      </c>
      <c r="C438" s="559" t="s">
        <v>71</v>
      </c>
      <c r="D438" s="559" t="s">
        <v>1191</v>
      </c>
      <c r="E438" s="560" t="s">
        <v>78</v>
      </c>
      <c r="F438" s="561">
        <v>23</v>
      </c>
      <c r="G438" s="562">
        <v>60.99</v>
      </c>
      <c r="H438" s="562">
        <v>76.03</v>
      </c>
      <c r="I438" s="569">
        <v>1748.69</v>
      </c>
      <c r="J438" s="567">
        <f t="shared" si="48"/>
        <v>0</v>
      </c>
      <c r="K438" s="570">
        <f t="shared" si="45"/>
        <v>1748.69</v>
      </c>
    </row>
    <row r="439" ht="51" spans="1:11">
      <c r="A439" s="559" t="s">
        <v>1192</v>
      </c>
      <c r="B439" s="559" t="s">
        <v>1193</v>
      </c>
      <c r="C439" s="559" t="s">
        <v>71</v>
      </c>
      <c r="D439" s="559" t="s">
        <v>1194</v>
      </c>
      <c r="E439" s="560" t="s">
        <v>78</v>
      </c>
      <c r="F439" s="561">
        <v>110</v>
      </c>
      <c r="G439" s="562">
        <v>74.4</v>
      </c>
      <c r="H439" s="562">
        <v>92.74</v>
      </c>
      <c r="I439" s="569">
        <v>10201.4</v>
      </c>
      <c r="J439" s="567">
        <f t="shared" si="48"/>
        <v>0</v>
      </c>
      <c r="K439" s="570">
        <f t="shared" si="45"/>
        <v>10201.4</v>
      </c>
    </row>
    <row r="440" spans="1:11">
      <c r="A440" s="559" t="s">
        <v>1195</v>
      </c>
      <c r="B440" s="559" t="s">
        <v>1196</v>
      </c>
      <c r="C440" s="559" t="s">
        <v>99</v>
      </c>
      <c r="D440" s="559" t="s">
        <v>1197</v>
      </c>
      <c r="E440" s="560" t="s">
        <v>78</v>
      </c>
      <c r="F440" s="561">
        <v>78</v>
      </c>
      <c r="G440" s="562">
        <v>87.06</v>
      </c>
      <c r="H440" s="562">
        <v>108.52</v>
      </c>
      <c r="I440" s="569">
        <v>8464.56</v>
      </c>
      <c r="J440" s="567">
        <f t="shared" ref="J440:J449" si="49">$I$626</f>
        <v>0</v>
      </c>
      <c r="K440" s="570">
        <f t="shared" si="45"/>
        <v>8464.56</v>
      </c>
    </row>
    <row r="441" ht="38.25" spans="1:11">
      <c r="A441" s="559" t="s">
        <v>1198</v>
      </c>
      <c r="B441" s="559" t="s">
        <v>1199</v>
      </c>
      <c r="C441" s="559" t="s">
        <v>65</v>
      </c>
      <c r="D441" s="559" t="s">
        <v>1200</v>
      </c>
      <c r="E441" s="560" t="s">
        <v>67</v>
      </c>
      <c r="F441" s="561">
        <v>88</v>
      </c>
      <c r="G441" s="562">
        <v>107.75</v>
      </c>
      <c r="H441" s="562">
        <v>134.32</v>
      </c>
      <c r="I441" s="569">
        <v>11820.16</v>
      </c>
      <c r="J441" s="567">
        <f t="shared" si="49"/>
        <v>0</v>
      </c>
      <c r="K441" s="570">
        <f t="shared" si="45"/>
        <v>11820.16</v>
      </c>
    </row>
    <row r="442" ht="25.5" spans="1:11">
      <c r="A442" s="559" t="s">
        <v>1201</v>
      </c>
      <c r="B442" s="559" t="s">
        <v>1202</v>
      </c>
      <c r="C442" s="559" t="s">
        <v>99</v>
      </c>
      <c r="D442" s="559" t="s">
        <v>1203</v>
      </c>
      <c r="E442" s="560" t="s">
        <v>78</v>
      </c>
      <c r="F442" s="561">
        <v>116.89</v>
      </c>
      <c r="G442" s="562">
        <v>203.34</v>
      </c>
      <c r="H442" s="562">
        <v>253.48</v>
      </c>
      <c r="I442" s="569">
        <v>29629.27</v>
      </c>
      <c r="J442" s="567">
        <f t="shared" si="49"/>
        <v>0</v>
      </c>
      <c r="K442" s="570">
        <f t="shared" si="45"/>
        <v>29629.27</v>
      </c>
    </row>
    <row r="443" ht="25.5" spans="1:11">
      <c r="A443" s="571" t="s">
        <v>1204</v>
      </c>
      <c r="B443" s="571" t="s">
        <v>1205</v>
      </c>
      <c r="C443" s="571" t="s">
        <v>76</v>
      </c>
      <c r="D443" s="571" t="s">
        <v>1206</v>
      </c>
      <c r="E443" s="572" t="s">
        <v>105</v>
      </c>
      <c r="F443" s="573">
        <v>70</v>
      </c>
      <c r="G443" s="574">
        <v>931.53</v>
      </c>
      <c r="H443" s="574">
        <v>1161.24</v>
      </c>
      <c r="I443" s="576">
        <v>81286.8</v>
      </c>
      <c r="J443" s="567">
        <f t="shared" si="49"/>
        <v>0</v>
      </c>
      <c r="K443" s="570">
        <f t="shared" si="45"/>
        <v>81286.8</v>
      </c>
    </row>
    <row r="444" spans="1:11">
      <c r="A444" s="555" t="s">
        <v>1207</v>
      </c>
      <c r="B444" s="555" t="s">
        <v>61</v>
      </c>
      <c r="C444" s="555"/>
      <c r="D444" s="555" t="s">
        <v>1208</v>
      </c>
      <c r="E444" s="556"/>
      <c r="F444" s="557">
        <v>1</v>
      </c>
      <c r="G444" s="557" t="s">
        <v>62</v>
      </c>
      <c r="H444" s="558">
        <v>6009.54</v>
      </c>
      <c r="I444" s="566">
        <v>6009.54</v>
      </c>
      <c r="J444" s="567"/>
      <c r="K444" s="568">
        <f>SUM(K445:K451)</f>
        <v>6009.54</v>
      </c>
    </row>
    <row r="445" ht="38.25" spans="1:11">
      <c r="A445" s="559" t="s">
        <v>1209</v>
      </c>
      <c r="B445" s="559" t="s">
        <v>1210</v>
      </c>
      <c r="C445" s="559" t="s">
        <v>71</v>
      </c>
      <c r="D445" s="559" t="s">
        <v>1211</v>
      </c>
      <c r="E445" s="560" t="s">
        <v>78</v>
      </c>
      <c r="F445" s="561">
        <v>154</v>
      </c>
      <c r="G445" s="562">
        <v>23.21</v>
      </c>
      <c r="H445" s="562">
        <v>28.93</v>
      </c>
      <c r="I445" s="569">
        <v>4455.22</v>
      </c>
      <c r="J445" s="567">
        <f t="shared" si="49"/>
        <v>0</v>
      </c>
      <c r="K445" s="570">
        <f t="shared" si="45"/>
        <v>4455.22</v>
      </c>
    </row>
    <row r="446" ht="38.25" spans="1:11">
      <c r="A446" s="559" t="s">
        <v>1212</v>
      </c>
      <c r="B446" s="559" t="s">
        <v>1213</v>
      </c>
      <c r="C446" s="559" t="s">
        <v>71</v>
      </c>
      <c r="D446" s="559" t="s">
        <v>1214</v>
      </c>
      <c r="E446" s="560" t="s">
        <v>78</v>
      </c>
      <c r="F446" s="561">
        <v>6</v>
      </c>
      <c r="G446" s="562">
        <v>28.04</v>
      </c>
      <c r="H446" s="562">
        <v>34.95</v>
      </c>
      <c r="I446" s="569">
        <v>209.7</v>
      </c>
      <c r="J446" s="567">
        <f t="shared" si="49"/>
        <v>0</v>
      </c>
      <c r="K446" s="570">
        <f t="shared" si="45"/>
        <v>209.7</v>
      </c>
    </row>
    <row r="447" ht="38.25" spans="1:11">
      <c r="A447" s="559" t="s">
        <v>1215</v>
      </c>
      <c r="B447" s="559" t="s">
        <v>1216</v>
      </c>
      <c r="C447" s="559" t="s">
        <v>71</v>
      </c>
      <c r="D447" s="559" t="s">
        <v>1217</v>
      </c>
      <c r="E447" s="560" t="s">
        <v>105</v>
      </c>
      <c r="F447" s="561">
        <v>12</v>
      </c>
      <c r="G447" s="562">
        <v>9.79</v>
      </c>
      <c r="H447" s="562">
        <v>12.2</v>
      </c>
      <c r="I447" s="569">
        <v>146.4</v>
      </c>
      <c r="J447" s="567">
        <f t="shared" si="49"/>
        <v>0</v>
      </c>
      <c r="K447" s="570">
        <f t="shared" si="45"/>
        <v>146.4</v>
      </c>
    </row>
    <row r="448" ht="38.25" spans="1:11">
      <c r="A448" s="559" t="s">
        <v>1218</v>
      </c>
      <c r="B448" s="559" t="s">
        <v>1219</v>
      </c>
      <c r="C448" s="559" t="s">
        <v>71</v>
      </c>
      <c r="D448" s="559" t="s">
        <v>1220</v>
      </c>
      <c r="E448" s="560" t="s">
        <v>105</v>
      </c>
      <c r="F448" s="561">
        <v>42</v>
      </c>
      <c r="G448" s="562">
        <v>12.62</v>
      </c>
      <c r="H448" s="562">
        <v>15.73</v>
      </c>
      <c r="I448" s="569">
        <v>660.66</v>
      </c>
      <c r="J448" s="567">
        <f t="shared" si="49"/>
        <v>0</v>
      </c>
      <c r="K448" s="570">
        <f t="shared" si="45"/>
        <v>660.66</v>
      </c>
    </row>
    <row r="449" ht="38.25" spans="1:11">
      <c r="A449" s="559" t="s">
        <v>1221</v>
      </c>
      <c r="B449" s="559" t="s">
        <v>1222</v>
      </c>
      <c r="C449" s="559" t="s">
        <v>71</v>
      </c>
      <c r="D449" s="559" t="s">
        <v>1223</v>
      </c>
      <c r="E449" s="560" t="s">
        <v>105</v>
      </c>
      <c r="F449" s="561">
        <v>18</v>
      </c>
      <c r="G449" s="562">
        <v>15.96</v>
      </c>
      <c r="H449" s="562">
        <v>19.89</v>
      </c>
      <c r="I449" s="569">
        <v>358.02</v>
      </c>
      <c r="J449" s="567">
        <f t="shared" si="49"/>
        <v>0</v>
      </c>
      <c r="K449" s="570">
        <f t="shared" si="45"/>
        <v>358.02</v>
      </c>
    </row>
    <row r="450" ht="38.25" spans="1:11">
      <c r="A450" s="559" t="s">
        <v>1224</v>
      </c>
      <c r="B450" s="559" t="s">
        <v>1225</v>
      </c>
      <c r="C450" s="559" t="s">
        <v>71</v>
      </c>
      <c r="D450" s="559" t="s">
        <v>1226</v>
      </c>
      <c r="E450" s="560" t="s">
        <v>105</v>
      </c>
      <c r="F450" s="561">
        <v>6</v>
      </c>
      <c r="G450" s="562">
        <v>19.53</v>
      </c>
      <c r="H450" s="562">
        <v>24.34</v>
      </c>
      <c r="I450" s="569">
        <v>146.04</v>
      </c>
      <c r="J450" s="567">
        <f t="shared" ref="J450:J459" si="50">$I$626</f>
        <v>0</v>
      </c>
      <c r="K450" s="570">
        <f t="shared" si="45"/>
        <v>146.04</v>
      </c>
    </row>
    <row r="451" ht="38.25" spans="1:11">
      <c r="A451" s="559" t="s">
        <v>1227</v>
      </c>
      <c r="B451" s="559" t="s">
        <v>1228</v>
      </c>
      <c r="C451" s="559" t="s">
        <v>71</v>
      </c>
      <c r="D451" s="559" t="s">
        <v>1229</v>
      </c>
      <c r="E451" s="560" t="s">
        <v>105</v>
      </c>
      <c r="F451" s="561">
        <v>1</v>
      </c>
      <c r="G451" s="562">
        <v>26.88</v>
      </c>
      <c r="H451" s="562">
        <v>33.5</v>
      </c>
      <c r="I451" s="569">
        <v>33.5</v>
      </c>
      <c r="J451" s="567">
        <f t="shared" si="50"/>
        <v>0</v>
      </c>
      <c r="K451" s="570">
        <f t="shared" si="45"/>
        <v>33.5</v>
      </c>
    </row>
    <row r="452" spans="1:11">
      <c r="A452" s="555" t="s">
        <v>1230</v>
      </c>
      <c r="B452" s="555" t="s">
        <v>61</v>
      </c>
      <c r="C452" s="555"/>
      <c r="D452" s="555" t="s">
        <v>37</v>
      </c>
      <c r="E452" s="556"/>
      <c r="F452" s="557">
        <v>1</v>
      </c>
      <c r="G452" s="557" t="s">
        <v>62</v>
      </c>
      <c r="H452" s="558">
        <v>47648.79</v>
      </c>
      <c r="I452" s="566">
        <v>47648.79</v>
      </c>
      <c r="J452" s="567"/>
      <c r="K452" s="568">
        <f>K453</f>
        <v>47648.79</v>
      </c>
    </row>
    <row r="453" ht="25.5" spans="1:11">
      <c r="A453" s="559" t="s">
        <v>1231</v>
      </c>
      <c r="B453" s="559" t="s">
        <v>1232</v>
      </c>
      <c r="C453" s="559" t="s">
        <v>65</v>
      </c>
      <c r="D453" s="559" t="s">
        <v>1233</v>
      </c>
      <c r="E453" s="560" t="s">
        <v>1234</v>
      </c>
      <c r="F453" s="561">
        <v>3</v>
      </c>
      <c r="G453" s="562">
        <v>12741</v>
      </c>
      <c r="H453" s="562">
        <v>15882.93</v>
      </c>
      <c r="I453" s="569">
        <v>47648.79</v>
      </c>
      <c r="J453" s="567">
        <f t="shared" si="50"/>
        <v>0</v>
      </c>
      <c r="K453" s="570">
        <f t="shared" si="45"/>
        <v>47648.79</v>
      </c>
    </row>
    <row r="454" spans="1:11">
      <c r="A454" s="555" t="s">
        <v>1235</v>
      </c>
      <c r="B454" s="555" t="s">
        <v>61</v>
      </c>
      <c r="C454" s="555"/>
      <c r="D454" s="555" t="s">
        <v>38</v>
      </c>
      <c r="E454" s="556"/>
      <c r="F454" s="557">
        <v>1</v>
      </c>
      <c r="G454" s="557" t="s">
        <v>62</v>
      </c>
      <c r="H454" s="558">
        <v>110181.61</v>
      </c>
      <c r="I454" s="566">
        <v>110181.61</v>
      </c>
      <c r="J454" s="567"/>
      <c r="K454" s="568">
        <f>K455+K461+K469</f>
        <v>110181.61</v>
      </c>
    </row>
    <row r="455" spans="1:11">
      <c r="A455" s="555" t="s">
        <v>1236</v>
      </c>
      <c r="B455" s="555" t="s">
        <v>61</v>
      </c>
      <c r="C455" s="555"/>
      <c r="D455" s="555" t="s">
        <v>1237</v>
      </c>
      <c r="E455" s="556"/>
      <c r="F455" s="557">
        <v>1</v>
      </c>
      <c r="G455" s="557" t="s">
        <v>62</v>
      </c>
      <c r="H455" s="558">
        <v>57140.17</v>
      </c>
      <c r="I455" s="566">
        <v>57140.17</v>
      </c>
      <c r="J455" s="567"/>
      <c r="K455" s="568">
        <f>SUM(K456:K460)</f>
        <v>57140.17</v>
      </c>
    </row>
    <row r="456" ht="51" spans="1:11">
      <c r="A456" s="559" t="s">
        <v>1238</v>
      </c>
      <c r="B456" s="559" t="s">
        <v>1239</v>
      </c>
      <c r="C456" s="559" t="s">
        <v>71</v>
      </c>
      <c r="D456" s="559" t="s">
        <v>1240</v>
      </c>
      <c r="E456" s="560" t="s">
        <v>73</v>
      </c>
      <c r="F456" s="561">
        <v>494.33</v>
      </c>
      <c r="G456" s="562">
        <v>5.79</v>
      </c>
      <c r="H456" s="562">
        <v>7.21</v>
      </c>
      <c r="I456" s="569">
        <v>3564.11</v>
      </c>
      <c r="J456" s="567">
        <f t="shared" si="50"/>
        <v>0</v>
      </c>
      <c r="K456" s="570">
        <f t="shared" si="45"/>
        <v>3564.11</v>
      </c>
    </row>
    <row r="457" ht="51" spans="1:11">
      <c r="A457" s="559" t="s">
        <v>1241</v>
      </c>
      <c r="B457" s="559" t="s">
        <v>1242</v>
      </c>
      <c r="C457" s="559" t="s">
        <v>71</v>
      </c>
      <c r="D457" s="559" t="s">
        <v>1243</v>
      </c>
      <c r="E457" s="560" t="s">
        <v>73</v>
      </c>
      <c r="F457" s="561">
        <v>70.42</v>
      </c>
      <c r="G457" s="562">
        <v>42.11</v>
      </c>
      <c r="H457" s="562">
        <v>52.49</v>
      </c>
      <c r="I457" s="569">
        <v>3696.34</v>
      </c>
      <c r="J457" s="567">
        <f t="shared" si="50"/>
        <v>0</v>
      </c>
      <c r="K457" s="570">
        <f t="shared" si="45"/>
        <v>3696.34</v>
      </c>
    </row>
    <row r="458" ht="51" spans="1:11">
      <c r="A458" s="559" t="s">
        <v>1244</v>
      </c>
      <c r="B458" s="559" t="s">
        <v>1245</v>
      </c>
      <c r="C458" s="559" t="s">
        <v>71</v>
      </c>
      <c r="D458" s="559" t="s">
        <v>1246</v>
      </c>
      <c r="E458" s="560" t="s">
        <v>73</v>
      </c>
      <c r="F458" s="561">
        <v>413.11</v>
      </c>
      <c r="G458" s="562">
        <v>38.71</v>
      </c>
      <c r="H458" s="562">
        <v>48.25</v>
      </c>
      <c r="I458" s="569">
        <v>19932.55</v>
      </c>
      <c r="J458" s="567">
        <f t="shared" si="50"/>
        <v>0</v>
      </c>
      <c r="K458" s="570">
        <f t="shared" si="45"/>
        <v>19932.55</v>
      </c>
    </row>
    <row r="459" ht="51" spans="1:11">
      <c r="A459" s="559" t="s">
        <v>1247</v>
      </c>
      <c r="B459" s="559" t="s">
        <v>1248</v>
      </c>
      <c r="C459" s="559" t="s">
        <v>71</v>
      </c>
      <c r="D459" s="559" t="s">
        <v>1249</v>
      </c>
      <c r="E459" s="560" t="s">
        <v>73</v>
      </c>
      <c r="F459" s="561">
        <v>312.21</v>
      </c>
      <c r="G459" s="562">
        <v>9.89</v>
      </c>
      <c r="H459" s="562">
        <v>12.32</v>
      </c>
      <c r="I459" s="569">
        <v>3846.42</v>
      </c>
      <c r="J459" s="567">
        <f t="shared" si="50"/>
        <v>0</v>
      </c>
      <c r="K459" s="570">
        <f t="shared" si="45"/>
        <v>3846.42</v>
      </c>
    </row>
    <row r="460" ht="51" spans="1:11">
      <c r="A460" s="559" t="s">
        <v>1250</v>
      </c>
      <c r="B460" s="559" t="s">
        <v>1251</v>
      </c>
      <c r="C460" s="559" t="s">
        <v>71</v>
      </c>
      <c r="D460" s="559" t="s">
        <v>1252</v>
      </c>
      <c r="E460" s="560" t="s">
        <v>73</v>
      </c>
      <c r="F460" s="561">
        <v>312.21</v>
      </c>
      <c r="G460" s="562">
        <v>67.07</v>
      </c>
      <c r="H460" s="562">
        <v>83.6</v>
      </c>
      <c r="I460" s="569">
        <v>26100.75</v>
      </c>
      <c r="J460" s="567">
        <f t="shared" ref="J460:J469" si="51">$I$626</f>
        <v>0</v>
      </c>
      <c r="K460" s="570">
        <f t="shared" si="45"/>
        <v>26100.75</v>
      </c>
    </row>
    <row r="461" spans="1:11">
      <c r="A461" s="555" t="s">
        <v>1253</v>
      </c>
      <c r="B461" s="555" t="s">
        <v>61</v>
      </c>
      <c r="C461" s="555"/>
      <c r="D461" s="555" t="s">
        <v>1254</v>
      </c>
      <c r="E461" s="556"/>
      <c r="F461" s="557">
        <v>1</v>
      </c>
      <c r="G461" s="557" t="s">
        <v>62</v>
      </c>
      <c r="H461" s="558">
        <v>35964.06</v>
      </c>
      <c r="I461" s="566">
        <v>35964.06</v>
      </c>
      <c r="J461" s="567"/>
      <c r="K461" s="568">
        <f>SUM(K462:K468)</f>
        <v>35964.06</v>
      </c>
    </row>
    <row r="462" ht="25.5" spans="1:11">
      <c r="A462" s="559" t="s">
        <v>1255</v>
      </c>
      <c r="B462" s="559" t="s">
        <v>1256</v>
      </c>
      <c r="C462" s="559" t="s">
        <v>71</v>
      </c>
      <c r="D462" s="559" t="s">
        <v>1257</v>
      </c>
      <c r="E462" s="560" t="s">
        <v>73</v>
      </c>
      <c r="F462" s="561">
        <v>483.12</v>
      </c>
      <c r="G462" s="562">
        <v>5.46</v>
      </c>
      <c r="H462" s="562">
        <v>6.8</v>
      </c>
      <c r="I462" s="569">
        <v>3285.21</v>
      </c>
      <c r="J462" s="567">
        <f t="shared" si="51"/>
        <v>0</v>
      </c>
      <c r="K462" s="570">
        <f t="shared" si="45"/>
        <v>3285.21</v>
      </c>
    </row>
    <row r="463" ht="25.5" spans="1:11">
      <c r="A463" s="559" t="s">
        <v>1258</v>
      </c>
      <c r="B463" s="559" t="s">
        <v>1259</v>
      </c>
      <c r="C463" s="559" t="s">
        <v>71</v>
      </c>
      <c r="D463" s="559" t="s">
        <v>1260</v>
      </c>
      <c r="E463" s="560" t="s">
        <v>73</v>
      </c>
      <c r="F463" s="561">
        <v>483.12</v>
      </c>
      <c r="G463" s="562">
        <v>22.13</v>
      </c>
      <c r="H463" s="562">
        <v>27.58</v>
      </c>
      <c r="I463" s="569">
        <v>13324.44</v>
      </c>
      <c r="J463" s="567">
        <f t="shared" si="51"/>
        <v>0</v>
      </c>
      <c r="K463" s="570">
        <f t="shared" si="45"/>
        <v>13324.44</v>
      </c>
    </row>
    <row r="464" ht="25.5" spans="1:11">
      <c r="A464" s="559" t="s">
        <v>1261</v>
      </c>
      <c r="B464" s="559" t="s">
        <v>1262</v>
      </c>
      <c r="C464" s="559" t="s">
        <v>71</v>
      </c>
      <c r="D464" s="559" t="s">
        <v>1263</v>
      </c>
      <c r="E464" s="560" t="s">
        <v>73</v>
      </c>
      <c r="F464" s="561">
        <v>483.12</v>
      </c>
      <c r="G464" s="562">
        <v>15.19</v>
      </c>
      <c r="H464" s="562">
        <v>18.93</v>
      </c>
      <c r="I464" s="569">
        <v>9145.46</v>
      </c>
      <c r="J464" s="567">
        <f t="shared" si="51"/>
        <v>0</v>
      </c>
      <c r="K464" s="570">
        <f t="shared" si="45"/>
        <v>9145.46</v>
      </c>
    </row>
    <row r="465" ht="38.25" spans="1:11">
      <c r="A465" s="559" t="s">
        <v>1264</v>
      </c>
      <c r="B465" s="559" t="s">
        <v>1265</v>
      </c>
      <c r="C465" s="559" t="s">
        <v>71</v>
      </c>
      <c r="D465" s="559" t="s">
        <v>1266</v>
      </c>
      <c r="E465" s="560" t="s">
        <v>73</v>
      </c>
      <c r="F465" s="561">
        <v>68.54</v>
      </c>
      <c r="G465" s="562">
        <v>5.24</v>
      </c>
      <c r="H465" s="562">
        <v>6.53</v>
      </c>
      <c r="I465" s="569">
        <v>447.56</v>
      </c>
      <c r="J465" s="567">
        <f t="shared" si="51"/>
        <v>0</v>
      </c>
      <c r="K465" s="570">
        <f t="shared" si="45"/>
        <v>447.56</v>
      </c>
    </row>
    <row r="466" ht="38.25" spans="1:11">
      <c r="A466" s="559" t="s">
        <v>1267</v>
      </c>
      <c r="B466" s="559" t="s">
        <v>1268</v>
      </c>
      <c r="C466" s="559" t="s">
        <v>71</v>
      </c>
      <c r="D466" s="559" t="s">
        <v>1269</v>
      </c>
      <c r="E466" s="560" t="s">
        <v>73</v>
      </c>
      <c r="F466" s="561">
        <v>49.67</v>
      </c>
      <c r="G466" s="562">
        <v>13.43</v>
      </c>
      <c r="H466" s="562">
        <v>16.74</v>
      </c>
      <c r="I466" s="569">
        <v>831.47</v>
      </c>
      <c r="J466" s="567">
        <f t="shared" si="51"/>
        <v>0</v>
      </c>
      <c r="K466" s="570">
        <f t="shared" ref="K466:K529" si="52">I466-(I466*J466)</f>
        <v>831.47</v>
      </c>
    </row>
    <row r="467" ht="38.25" spans="1:11">
      <c r="A467" s="559" t="s">
        <v>1270</v>
      </c>
      <c r="B467" s="559" t="s">
        <v>1271</v>
      </c>
      <c r="C467" s="559" t="s">
        <v>71</v>
      </c>
      <c r="D467" s="559" t="s">
        <v>1272</v>
      </c>
      <c r="E467" s="560" t="s">
        <v>73</v>
      </c>
      <c r="F467" s="561">
        <v>68.54</v>
      </c>
      <c r="G467" s="562">
        <v>12.22</v>
      </c>
      <c r="H467" s="562">
        <v>15.23</v>
      </c>
      <c r="I467" s="569">
        <v>1043.86</v>
      </c>
      <c r="J467" s="567">
        <f t="shared" si="51"/>
        <v>0</v>
      </c>
      <c r="K467" s="570">
        <f t="shared" si="52"/>
        <v>1043.86</v>
      </c>
    </row>
    <row r="468" ht="25.5" spans="1:11">
      <c r="A468" s="559" t="s">
        <v>1273</v>
      </c>
      <c r="B468" s="559" t="s">
        <v>1274</v>
      </c>
      <c r="C468" s="559" t="s">
        <v>71</v>
      </c>
      <c r="D468" s="559" t="s">
        <v>1275</v>
      </c>
      <c r="E468" s="560" t="s">
        <v>73</v>
      </c>
      <c r="F468" s="561">
        <v>184.34</v>
      </c>
      <c r="G468" s="562">
        <v>34.32</v>
      </c>
      <c r="H468" s="562">
        <v>42.78</v>
      </c>
      <c r="I468" s="569">
        <v>7886.06</v>
      </c>
      <c r="J468" s="567">
        <f t="shared" si="51"/>
        <v>0</v>
      </c>
      <c r="K468" s="570">
        <f t="shared" si="52"/>
        <v>7886.06</v>
      </c>
    </row>
    <row r="469" spans="1:11">
      <c r="A469" s="555" t="s">
        <v>1276</v>
      </c>
      <c r="B469" s="555" t="s">
        <v>61</v>
      </c>
      <c r="C469" s="555"/>
      <c r="D469" s="555" t="s">
        <v>1277</v>
      </c>
      <c r="E469" s="556"/>
      <c r="F469" s="557">
        <v>1</v>
      </c>
      <c r="G469" s="557" t="s">
        <v>62</v>
      </c>
      <c r="H469" s="558">
        <v>17077.38</v>
      </c>
      <c r="I469" s="566">
        <v>17077.38</v>
      </c>
      <c r="J469" s="567">
        <f t="shared" si="51"/>
        <v>0</v>
      </c>
      <c r="K469" s="568">
        <f>K470</f>
        <v>17077.38</v>
      </c>
    </row>
    <row r="470" ht="38.25" spans="1:11">
      <c r="A470" s="559" t="s">
        <v>1278</v>
      </c>
      <c r="B470" s="559" t="s">
        <v>1279</v>
      </c>
      <c r="C470" s="559" t="s">
        <v>71</v>
      </c>
      <c r="D470" s="559" t="s">
        <v>1280</v>
      </c>
      <c r="E470" s="560" t="s">
        <v>73</v>
      </c>
      <c r="F470" s="561">
        <v>135.32</v>
      </c>
      <c r="G470" s="562">
        <v>101.24</v>
      </c>
      <c r="H470" s="562">
        <v>126.2</v>
      </c>
      <c r="I470" s="569">
        <v>17077.38</v>
      </c>
      <c r="J470" s="567">
        <f t="shared" ref="J470:J479" si="53">$I$626</f>
        <v>0</v>
      </c>
      <c r="K470" s="570">
        <f t="shared" si="52"/>
        <v>17077.38</v>
      </c>
    </row>
    <row r="471" spans="1:11">
      <c r="A471" s="555" t="s">
        <v>1281</v>
      </c>
      <c r="B471" s="555" t="s">
        <v>61</v>
      </c>
      <c r="C471" s="555"/>
      <c r="D471" s="555" t="s">
        <v>39</v>
      </c>
      <c r="E471" s="556"/>
      <c r="F471" s="557">
        <v>1</v>
      </c>
      <c r="G471" s="557" t="s">
        <v>62</v>
      </c>
      <c r="H471" s="558">
        <v>301019.98</v>
      </c>
      <c r="I471" s="566">
        <v>301019.98</v>
      </c>
      <c r="J471" s="567"/>
      <c r="K471" s="568">
        <f>SUM(K472:K476)</f>
        <v>301019.98</v>
      </c>
    </row>
    <row r="472" ht="38.25" spans="1:11">
      <c r="A472" s="559" t="s">
        <v>1282</v>
      </c>
      <c r="B472" s="559" t="s">
        <v>1283</v>
      </c>
      <c r="C472" s="559" t="s">
        <v>71</v>
      </c>
      <c r="D472" s="559" t="s">
        <v>1284</v>
      </c>
      <c r="E472" s="560" t="s">
        <v>73</v>
      </c>
      <c r="F472" s="561">
        <v>814.17</v>
      </c>
      <c r="G472" s="562">
        <v>146.13</v>
      </c>
      <c r="H472" s="562">
        <v>182.16</v>
      </c>
      <c r="I472" s="569">
        <v>148309.2</v>
      </c>
      <c r="J472" s="567">
        <f t="shared" si="53"/>
        <v>0</v>
      </c>
      <c r="K472" s="570">
        <f t="shared" si="52"/>
        <v>148309.2</v>
      </c>
    </row>
    <row r="473" ht="51" spans="1:11">
      <c r="A473" s="559" t="s">
        <v>1285</v>
      </c>
      <c r="B473" s="559" t="s">
        <v>1286</v>
      </c>
      <c r="C473" s="559" t="s">
        <v>71</v>
      </c>
      <c r="D473" s="559" t="s">
        <v>1287</v>
      </c>
      <c r="E473" s="560" t="s">
        <v>73</v>
      </c>
      <c r="F473" s="561">
        <v>814.17</v>
      </c>
      <c r="G473" s="562">
        <v>114.95</v>
      </c>
      <c r="H473" s="562">
        <v>143.29</v>
      </c>
      <c r="I473" s="569">
        <v>116662.41</v>
      </c>
      <c r="J473" s="567">
        <f t="shared" si="53"/>
        <v>0</v>
      </c>
      <c r="K473" s="570">
        <f t="shared" si="52"/>
        <v>116662.41</v>
      </c>
    </row>
    <row r="474" ht="25.5" spans="1:11">
      <c r="A474" s="559" t="s">
        <v>1288</v>
      </c>
      <c r="B474" s="559" t="s">
        <v>1289</v>
      </c>
      <c r="C474" s="559" t="s">
        <v>71</v>
      </c>
      <c r="D474" s="559" t="s">
        <v>1290</v>
      </c>
      <c r="E474" s="560" t="s">
        <v>73</v>
      </c>
      <c r="F474" s="561">
        <v>125.95</v>
      </c>
      <c r="G474" s="562">
        <v>57.11</v>
      </c>
      <c r="H474" s="562">
        <v>71.19</v>
      </c>
      <c r="I474" s="569">
        <v>8966.38</v>
      </c>
      <c r="J474" s="567">
        <f t="shared" si="53"/>
        <v>0</v>
      </c>
      <c r="K474" s="570">
        <f t="shared" si="52"/>
        <v>8966.38</v>
      </c>
    </row>
    <row r="475" ht="25.5" spans="1:11">
      <c r="A475" s="559" t="s">
        <v>1291</v>
      </c>
      <c r="B475" s="559" t="s">
        <v>1292</v>
      </c>
      <c r="C475" s="559" t="s">
        <v>65</v>
      </c>
      <c r="D475" s="559" t="s">
        <v>1293</v>
      </c>
      <c r="E475" s="560" t="s">
        <v>67</v>
      </c>
      <c r="F475" s="561">
        <v>134.4</v>
      </c>
      <c r="G475" s="562">
        <v>144.17</v>
      </c>
      <c r="H475" s="562">
        <v>179.72</v>
      </c>
      <c r="I475" s="569">
        <v>24154.36</v>
      </c>
      <c r="J475" s="567">
        <f t="shared" si="53"/>
        <v>0</v>
      </c>
      <c r="K475" s="570">
        <f t="shared" si="52"/>
        <v>24154.36</v>
      </c>
    </row>
    <row r="476" ht="38.25" spans="1:11">
      <c r="A476" s="559" t="s">
        <v>1294</v>
      </c>
      <c r="B476" s="559" t="s">
        <v>1295</v>
      </c>
      <c r="C476" s="559" t="s">
        <v>65</v>
      </c>
      <c r="D476" s="559" t="s">
        <v>1296</v>
      </c>
      <c r="E476" s="560" t="s">
        <v>67</v>
      </c>
      <c r="F476" s="561">
        <v>16.29</v>
      </c>
      <c r="G476" s="562">
        <v>144.17</v>
      </c>
      <c r="H476" s="562">
        <v>179.72</v>
      </c>
      <c r="I476" s="569">
        <v>2927.63</v>
      </c>
      <c r="J476" s="567">
        <f t="shared" si="53"/>
        <v>0</v>
      </c>
      <c r="K476" s="570">
        <f t="shared" si="52"/>
        <v>2927.63</v>
      </c>
    </row>
    <row r="477" spans="1:11">
      <c r="A477" s="555" t="s">
        <v>1297</v>
      </c>
      <c r="B477" s="555" t="s">
        <v>61</v>
      </c>
      <c r="C477" s="555"/>
      <c r="D477" s="555" t="s">
        <v>40</v>
      </c>
      <c r="E477" s="556"/>
      <c r="F477" s="557">
        <v>1</v>
      </c>
      <c r="G477" s="557" t="s">
        <v>62</v>
      </c>
      <c r="H477" s="558">
        <v>403233.6</v>
      </c>
      <c r="I477" s="566">
        <v>403233.6</v>
      </c>
      <c r="J477" s="575"/>
      <c r="K477" s="568">
        <f>K478+K487</f>
        <v>403233.6</v>
      </c>
    </row>
    <row r="478" spans="1:11">
      <c r="A478" s="555" t="s">
        <v>1298</v>
      </c>
      <c r="B478" s="555" t="s">
        <v>61</v>
      </c>
      <c r="C478" s="555"/>
      <c r="D478" s="555" t="s">
        <v>1299</v>
      </c>
      <c r="E478" s="556"/>
      <c r="F478" s="557">
        <v>1</v>
      </c>
      <c r="G478" s="557" t="s">
        <v>62</v>
      </c>
      <c r="H478" s="558">
        <v>394052.04</v>
      </c>
      <c r="I478" s="566">
        <v>394052.04</v>
      </c>
      <c r="J478" s="575"/>
      <c r="K478" s="568">
        <f>SUM(K479:K486)</f>
        <v>394052.04</v>
      </c>
    </row>
    <row r="479" ht="38.25" spans="1:11">
      <c r="A479" s="559" t="s">
        <v>1300</v>
      </c>
      <c r="B479" s="559" t="s">
        <v>1301</v>
      </c>
      <c r="C479" s="559" t="s">
        <v>65</v>
      </c>
      <c r="D479" s="559" t="s">
        <v>1302</v>
      </c>
      <c r="E479" s="560" t="s">
        <v>67</v>
      </c>
      <c r="F479" s="561">
        <v>81.8</v>
      </c>
      <c r="G479" s="562">
        <v>480.31</v>
      </c>
      <c r="H479" s="562">
        <v>598.75</v>
      </c>
      <c r="I479" s="569">
        <v>48977.75</v>
      </c>
      <c r="J479" s="567">
        <f t="shared" si="53"/>
        <v>0</v>
      </c>
      <c r="K479" s="570">
        <f t="shared" si="52"/>
        <v>48977.75</v>
      </c>
    </row>
    <row r="480" ht="25.5" spans="1:11">
      <c r="A480" s="559" t="s">
        <v>1303</v>
      </c>
      <c r="B480" s="559" t="s">
        <v>1304</v>
      </c>
      <c r="C480" s="559" t="s">
        <v>65</v>
      </c>
      <c r="D480" s="559" t="s">
        <v>1305</v>
      </c>
      <c r="E480" s="560" t="s">
        <v>67</v>
      </c>
      <c r="F480" s="561">
        <v>461.63</v>
      </c>
      <c r="G480" s="562">
        <v>220.3</v>
      </c>
      <c r="H480" s="562">
        <v>274.62</v>
      </c>
      <c r="I480" s="569">
        <v>126772.83</v>
      </c>
      <c r="J480" s="567">
        <f t="shared" ref="J480:J489" si="54">$I$626</f>
        <v>0</v>
      </c>
      <c r="K480" s="570">
        <f t="shared" si="52"/>
        <v>126772.83</v>
      </c>
    </row>
    <row r="481" ht="38.25" spans="1:11">
      <c r="A481" s="559" t="s">
        <v>1306</v>
      </c>
      <c r="B481" s="559" t="s">
        <v>1307</v>
      </c>
      <c r="C481" s="559" t="s">
        <v>71</v>
      </c>
      <c r="D481" s="559" t="s">
        <v>1308</v>
      </c>
      <c r="E481" s="560" t="s">
        <v>73</v>
      </c>
      <c r="F481" s="561">
        <v>57.16</v>
      </c>
      <c r="G481" s="562">
        <v>117.7</v>
      </c>
      <c r="H481" s="562">
        <v>146.72</v>
      </c>
      <c r="I481" s="569">
        <v>8386.51</v>
      </c>
      <c r="J481" s="567">
        <f t="shared" si="54"/>
        <v>0</v>
      </c>
      <c r="K481" s="570">
        <f t="shared" si="52"/>
        <v>8386.51</v>
      </c>
    </row>
    <row r="482" ht="25.5" spans="1:11">
      <c r="A482" s="559" t="s">
        <v>1309</v>
      </c>
      <c r="B482" s="559" t="s">
        <v>1310</v>
      </c>
      <c r="C482" s="559" t="s">
        <v>65</v>
      </c>
      <c r="D482" s="559" t="s">
        <v>1311</v>
      </c>
      <c r="E482" s="560" t="s">
        <v>67</v>
      </c>
      <c r="F482" s="561">
        <v>88.51</v>
      </c>
      <c r="G482" s="562">
        <v>248.47</v>
      </c>
      <c r="H482" s="562">
        <v>309.74</v>
      </c>
      <c r="I482" s="569">
        <v>27415.08</v>
      </c>
      <c r="J482" s="567">
        <f t="shared" si="54"/>
        <v>0</v>
      </c>
      <c r="K482" s="570">
        <f t="shared" si="52"/>
        <v>27415.08</v>
      </c>
    </row>
    <row r="483" ht="25.5" spans="1:11">
      <c r="A483" s="559" t="s">
        <v>1312</v>
      </c>
      <c r="B483" s="559" t="s">
        <v>1313</v>
      </c>
      <c r="C483" s="559" t="s">
        <v>65</v>
      </c>
      <c r="D483" s="559" t="s">
        <v>1314</v>
      </c>
      <c r="E483" s="560" t="s">
        <v>67</v>
      </c>
      <c r="F483" s="561">
        <v>797.46</v>
      </c>
      <c r="G483" s="562">
        <v>177.69</v>
      </c>
      <c r="H483" s="562">
        <v>221.5</v>
      </c>
      <c r="I483" s="569">
        <v>176637.39</v>
      </c>
      <c r="J483" s="567">
        <f t="shared" si="54"/>
        <v>0</v>
      </c>
      <c r="K483" s="570">
        <f t="shared" si="52"/>
        <v>176637.39</v>
      </c>
    </row>
    <row r="484" ht="38.25" spans="1:11">
      <c r="A484" s="559" t="s">
        <v>1315</v>
      </c>
      <c r="B484" s="559" t="s">
        <v>1316</v>
      </c>
      <c r="C484" s="559" t="s">
        <v>71</v>
      </c>
      <c r="D484" s="559" t="s">
        <v>1317</v>
      </c>
      <c r="E484" s="560" t="s">
        <v>73</v>
      </c>
      <c r="F484" s="561">
        <v>11.4</v>
      </c>
      <c r="G484" s="562">
        <v>146.66</v>
      </c>
      <c r="H484" s="562">
        <v>182.82</v>
      </c>
      <c r="I484" s="569">
        <v>2084.14</v>
      </c>
      <c r="J484" s="567">
        <f t="shared" si="54"/>
        <v>0</v>
      </c>
      <c r="K484" s="570">
        <f t="shared" si="52"/>
        <v>2084.14</v>
      </c>
    </row>
    <row r="485" ht="25.5" spans="1:11">
      <c r="A485" s="559" t="s">
        <v>1318</v>
      </c>
      <c r="B485" s="559" t="s">
        <v>1319</v>
      </c>
      <c r="C485" s="559" t="s">
        <v>71</v>
      </c>
      <c r="D485" s="559" t="s">
        <v>1320</v>
      </c>
      <c r="E485" s="560" t="s">
        <v>78</v>
      </c>
      <c r="F485" s="561">
        <v>1.73</v>
      </c>
      <c r="G485" s="562">
        <v>135.2</v>
      </c>
      <c r="H485" s="562">
        <v>168.54</v>
      </c>
      <c r="I485" s="569">
        <v>291.57</v>
      </c>
      <c r="J485" s="567">
        <f t="shared" si="54"/>
        <v>0</v>
      </c>
      <c r="K485" s="570">
        <f t="shared" si="52"/>
        <v>291.57</v>
      </c>
    </row>
    <row r="486" ht="25.5" spans="1:11">
      <c r="A486" s="559" t="s">
        <v>1321</v>
      </c>
      <c r="B486" s="559" t="s">
        <v>1322</v>
      </c>
      <c r="C486" s="559" t="s">
        <v>71</v>
      </c>
      <c r="D486" s="559" t="s">
        <v>1323</v>
      </c>
      <c r="E486" s="560" t="s">
        <v>73</v>
      </c>
      <c r="F486" s="561">
        <v>15.88</v>
      </c>
      <c r="G486" s="562">
        <v>176.14</v>
      </c>
      <c r="H486" s="562">
        <v>219.57</v>
      </c>
      <c r="I486" s="569">
        <v>3486.77</v>
      </c>
      <c r="J486" s="567">
        <f t="shared" si="54"/>
        <v>0</v>
      </c>
      <c r="K486" s="570">
        <f t="shared" si="52"/>
        <v>3486.77</v>
      </c>
    </row>
    <row r="487" spans="1:11">
      <c r="A487" s="555" t="s">
        <v>1324</v>
      </c>
      <c r="B487" s="555" t="s">
        <v>61</v>
      </c>
      <c r="C487" s="555"/>
      <c r="D487" s="555" t="s">
        <v>1325</v>
      </c>
      <c r="E487" s="556"/>
      <c r="F487" s="557">
        <v>1</v>
      </c>
      <c r="G487" s="557" t="s">
        <v>62</v>
      </c>
      <c r="H487" s="558">
        <v>9181.56</v>
      </c>
      <c r="I487" s="566">
        <v>9181.56</v>
      </c>
      <c r="J487" s="567"/>
      <c r="K487" s="568">
        <f>SUM(K488:K489)</f>
        <v>9181.56</v>
      </c>
    </row>
    <row r="488" ht="25.5" spans="1:11">
      <c r="A488" s="559" t="s">
        <v>1326</v>
      </c>
      <c r="B488" s="559" t="s">
        <v>1327</v>
      </c>
      <c r="C488" s="559" t="s">
        <v>71</v>
      </c>
      <c r="D488" s="559" t="s">
        <v>1328</v>
      </c>
      <c r="E488" s="560" t="s">
        <v>73</v>
      </c>
      <c r="F488" s="561">
        <v>60.29</v>
      </c>
      <c r="G488" s="562">
        <v>44.16</v>
      </c>
      <c r="H488" s="562">
        <v>55.04</v>
      </c>
      <c r="I488" s="569">
        <v>3318.36</v>
      </c>
      <c r="J488" s="567">
        <f t="shared" si="54"/>
        <v>0</v>
      </c>
      <c r="K488" s="570">
        <f t="shared" si="52"/>
        <v>3318.36</v>
      </c>
    </row>
    <row r="489" ht="38.25" spans="1:11">
      <c r="A489" s="559" t="s">
        <v>1329</v>
      </c>
      <c r="B489" s="559" t="s">
        <v>1330</v>
      </c>
      <c r="C489" s="559" t="s">
        <v>71</v>
      </c>
      <c r="D489" s="559" t="s">
        <v>1331</v>
      </c>
      <c r="E489" s="560" t="s">
        <v>73</v>
      </c>
      <c r="F489" s="561">
        <v>60.29</v>
      </c>
      <c r="G489" s="562">
        <v>78.02</v>
      </c>
      <c r="H489" s="562">
        <v>97.25</v>
      </c>
      <c r="I489" s="569">
        <v>5863.2</v>
      </c>
      <c r="J489" s="567">
        <f t="shared" si="54"/>
        <v>0</v>
      </c>
      <c r="K489" s="570">
        <f t="shared" si="52"/>
        <v>5863.2</v>
      </c>
    </row>
    <row r="490" spans="1:11">
      <c r="A490" s="555" t="s">
        <v>1332</v>
      </c>
      <c r="B490" s="555" t="s">
        <v>61</v>
      </c>
      <c r="C490" s="555"/>
      <c r="D490" s="555" t="s">
        <v>41</v>
      </c>
      <c r="E490" s="556"/>
      <c r="F490" s="557">
        <v>1</v>
      </c>
      <c r="G490" s="557" t="s">
        <v>62</v>
      </c>
      <c r="H490" s="558">
        <v>82712.58</v>
      </c>
      <c r="I490" s="566">
        <v>82712.58</v>
      </c>
      <c r="J490" s="575"/>
      <c r="K490" s="568">
        <f>SUM(K491:K494)</f>
        <v>82712.58</v>
      </c>
    </row>
    <row r="491" ht="38.25" spans="1:11">
      <c r="A491" s="559" t="s">
        <v>1333</v>
      </c>
      <c r="B491" s="559" t="s">
        <v>1334</v>
      </c>
      <c r="C491" s="559" t="s">
        <v>512</v>
      </c>
      <c r="D491" s="559" t="s">
        <v>1335</v>
      </c>
      <c r="E491" s="560" t="s">
        <v>73</v>
      </c>
      <c r="F491" s="561">
        <v>117.51</v>
      </c>
      <c r="G491" s="562">
        <v>108.93</v>
      </c>
      <c r="H491" s="562">
        <v>135.79</v>
      </c>
      <c r="I491" s="569">
        <v>15956.68</v>
      </c>
      <c r="J491" s="567">
        <f t="shared" ref="J490:J499" si="55">$I$626</f>
        <v>0</v>
      </c>
      <c r="K491" s="570">
        <f t="shared" si="52"/>
        <v>15956.68</v>
      </c>
    </row>
    <row r="492" ht="25.5" spans="1:11">
      <c r="A492" s="559" t="s">
        <v>1336</v>
      </c>
      <c r="B492" s="559" t="s">
        <v>1337</v>
      </c>
      <c r="C492" s="559" t="s">
        <v>65</v>
      </c>
      <c r="D492" s="559" t="s">
        <v>1338</v>
      </c>
      <c r="E492" s="560" t="s">
        <v>67</v>
      </c>
      <c r="F492" s="561">
        <v>416.52</v>
      </c>
      <c r="G492" s="562">
        <v>91.13</v>
      </c>
      <c r="H492" s="562">
        <v>113.6</v>
      </c>
      <c r="I492" s="569">
        <v>47316.67</v>
      </c>
      <c r="J492" s="567">
        <f t="shared" si="55"/>
        <v>0</v>
      </c>
      <c r="K492" s="570">
        <f t="shared" si="52"/>
        <v>47316.67</v>
      </c>
    </row>
    <row r="493" ht="25.5" spans="1:11">
      <c r="A493" s="559" t="s">
        <v>1339</v>
      </c>
      <c r="B493" s="559" t="s">
        <v>1340</v>
      </c>
      <c r="C493" s="559" t="s">
        <v>71</v>
      </c>
      <c r="D493" s="559" t="s">
        <v>1341</v>
      </c>
      <c r="E493" s="560" t="s">
        <v>73</v>
      </c>
      <c r="F493" s="561">
        <v>39.47</v>
      </c>
      <c r="G493" s="562">
        <v>56.68</v>
      </c>
      <c r="H493" s="562">
        <v>70.65</v>
      </c>
      <c r="I493" s="569">
        <v>2788.55</v>
      </c>
      <c r="J493" s="567">
        <f t="shared" si="55"/>
        <v>0</v>
      </c>
      <c r="K493" s="570">
        <f t="shared" si="52"/>
        <v>2788.55</v>
      </c>
    </row>
    <row r="494" ht="25.5" spans="1:11">
      <c r="A494" s="559" t="s">
        <v>1342</v>
      </c>
      <c r="B494" s="559" t="s">
        <v>1343</v>
      </c>
      <c r="C494" s="559" t="s">
        <v>65</v>
      </c>
      <c r="D494" s="559" t="s">
        <v>1344</v>
      </c>
      <c r="E494" s="560" t="s">
        <v>67</v>
      </c>
      <c r="F494" s="561">
        <v>30.43</v>
      </c>
      <c r="G494" s="562">
        <v>438.94</v>
      </c>
      <c r="H494" s="562">
        <v>547.18</v>
      </c>
      <c r="I494" s="569">
        <v>16650.68</v>
      </c>
      <c r="J494" s="567">
        <f t="shared" si="55"/>
        <v>0</v>
      </c>
      <c r="K494" s="570">
        <f t="shared" si="52"/>
        <v>16650.68</v>
      </c>
    </row>
    <row r="495" spans="1:11">
      <c r="A495" s="555" t="s">
        <v>1345</v>
      </c>
      <c r="B495" s="555" t="s">
        <v>61</v>
      </c>
      <c r="C495" s="555"/>
      <c r="D495" s="555" t="s">
        <v>42</v>
      </c>
      <c r="E495" s="556"/>
      <c r="F495" s="557">
        <v>1</v>
      </c>
      <c r="G495" s="557" t="s">
        <v>62</v>
      </c>
      <c r="H495" s="558">
        <v>784405.43</v>
      </c>
      <c r="I495" s="566">
        <v>784405.43</v>
      </c>
      <c r="J495" s="567"/>
      <c r="K495" s="568">
        <f>K496+K503+K515</f>
        <v>784405.43</v>
      </c>
    </row>
    <row r="496" spans="1:11">
      <c r="A496" s="555" t="s">
        <v>1346</v>
      </c>
      <c r="B496" s="555" t="s">
        <v>61</v>
      </c>
      <c r="C496" s="555"/>
      <c r="D496" s="555" t="s">
        <v>1347</v>
      </c>
      <c r="E496" s="556"/>
      <c r="F496" s="557">
        <v>1</v>
      </c>
      <c r="G496" s="557" t="s">
        <v>62</v>
      </c>
      <c r="H496" s="558">
        <v>41652.19</v>
      </c>
      <c r="I496" s="566">
        <v>41652.19</v>
      </c>
      <c r="J496" s="567"/>
      <c r="K496" s="568">
        <f>SUM(K497:K502)</f>
        <v>41652.19</v>
      </c>
    </row>
    <row r="497" ht="51" spans="1:11">
      <c r="A497" s="559" t="s">
        <v>1348</v>
      </c>
      <c r="B497" s="559" t="s">
        <v>1349</v>
      </c>
      <c r="C497" s="559" t="s">
        <v>76</v>
      </c>
      <c r="D497" s="559" t="s">
        <v>1350</v>
      </c>
      <c r="E497" s="560" t="s">
        <v>105</v>
      </c>
      <c r="F497" s="561">
        <v>1</v>
      </c>
      <c r="G497" s="562">
        <v>169.14</v>
      </c>
      <c r="H497" s="562">
        <v>210.84</v>
      </c>
      <c r="I497" s="569">
        <v>210.84</v>
      </c>
      <c r="J497" s="567">
        <f t="shared" si="55"/>
        <v>0</v>
      </c>
      <c r="K497" s="570">
        <f t="shared" si="52"/>
        <v>210.84</v>
      </c>
    </row>
    <row r="498" ht="51" spans="1:11">
      <c r="A498" s="559" t="s">
        <v>1351</v>
      </c>
      <c r="B498" s="559" t="s">
        <v>1352</v>
      </c>
      <c r="C498" s="559" t="s">
        <v>76</v>
      </c>
      <c r="D498" s="559" t="s">
        <v>1353</v>
      </c>
      <c r="E498" s="560" t="s">
        <v>105</v>
      </c>
      <c r="F498" s="561">
        <v>4</v>
      </c>
      <c r="G498" s="562">
        <v>195.72</v>
      </c>
      <c r="H498" s="562">
        <v>243.98</v>
      </c>
      <c r="I498" s="569">
        <v>975.92</v>
      </c>
      <c r="J498" s="567">
        <f t="shared" si="55"/>
        <v>0</v>
      </c>
      <c r="K498" s="570">
        <f t="shared" si="52"/>
        <v>975.92</v>
      </c>
    </row>
    <row r="499" ht="51" spans="1:11">
      <c r="A499" s="559" t="s">
        <v>1354</v>
      </c>
      <c r="B499" s="559" t="s">
        <v>1355</v>
      </c>
      <c r="C499" s="559" t="s">
        <v>76</v>
      </c>
      <c r="D499" s="559" t="s">
        <v>1356</v>
      </c>
      <c r="E499" s="560" t="s">
        <v>73</v>
      </c>
      <c r="F499" s="561">
        <v>1968.07</v>
      </c>
      <c r="G499" s="562">
        <v>15.42</v>
      </c>
      <c r="H499" s="562">
        <v>19.22</v>
      </c>
      <c r="I499" s="569">
        <v>37826.3</v>
      </c>
      <c r="J499" s="567">
        <f t="shared" si="55"/>
        <v>0</v>
      </c>
      <c r="K499" s="570">
        <f t="shared" si="52"/>
        <v>37826.3</v>
      </c>
    </row>
    <row r="500" ht="25.5" spans="1:11">
      <c r="A500" s="559" t="s">
        <v>1357</v>
      </c>
      <c r="B500" s="559" t="s">
        <v>1358</v>
      </c>
      <c r="C500" s="559" t="s">
        <v>71</v>
      </c>
      <c r="D500" s="559" t="s">
        <v>1359</v>
      </c>
      <c r="E500" s="560" t="s">
        <v>105</v>
      </c>
      <c r="F500" s="561">
        <v>3</v>
      </c>
      <c r="G500" s="562">
        <v>288.3</v>
      </c>
      <c r="H500" s="562">
        <v>359.39</v>
      </c>
      <c r="I500" s="569">
        <v>1078.17</v>
      </c>
      <c r="J500" s="567">
        <f t="shared" ref="J500:J509" si="56">$I$626</f>
        <v>0</v>
      </c>
      <c r="K500" s="570">
        <f t="shared" si="52"/>
        <v>1078.17</v>
      </c>
    </row>
    <row r="501" ht="153" spans="1:11">
      <c r="A501" s="559" t="s">
        <v>1360</v>
      </c>
      <c r="B501" s="559" t="s">
        <v>1361</v>
      </c>
      <c r="C501" s="559" t="s">
        <v>512</v>
      </c>
      <c r="D501" s="559" t="s">
        <v>1362</v>
      </c>
      <c r="E501" s="560" t="s">
        <v>67</v>
      </c>
      <c r="F501" s="561">
        <v>16</v>
      </c>
      <c r="G501" s="562">
        <v>26.5</v>
      </c>
      <c r="H501" s="562">
        <v>33.03</v>
      </c>
      <c r="I501" s="569">
        <v>528.48</v>
      </c>
      <c r="J501" s="567">
        <f t="shared" si="56"/>
        <v>0</v>
      </c>
      <c r="K501" s="570">
        <f t="shared" si="52"/>
        <v>528.48</v>
      </c>
    </row>
    <row r="502" spans="1:11">
      <c r="A502" s="559" t="s">
        <v>1363</v>
      </c>
      <c r="B502" s="559" t="s">
        <v>1364</v>
      </c>
      <c r="C502" s="559" t="s">
        <v>65</v>
      </c>
      <c r="D502" s="559" t="s">
        <v>1365</v>
      </c>
      <c r="E502" s="560" t="s">
        <v>67</v>
      </c>
      <c r="F502" s="561">
        <v>6</v>
      </c>
      <c r="G502" s="562">
        <v>138.04</v>
      </c>
      <c r="H502" s="562">
        <v>172.08</v>
      </c>
      <c r="I502" s="569">
        <v>1032.48</v>
      </c>
      <c r="J502" s="567">
        <f t="shared" si="56"/>
        <v>0</v>
      </c>
      <c r="K502" s="570">
        <f t="shared" si="52"/>
        <v>1032.48</v>
      </c>
    </row>
    <row r="503" spans="1:11">
      <c r="A503" s="555" t="s">
        <v>1366</v>
      </c>
      <c r="B503" s="555" t="s">
        <v>61</v>
      </c>
      <c r="C503" s="555"/>
      <c r="D503" s="555" t="s">
        <v>1367</v>
      </c>
      <c r="E503" s="556"/>
      <c r="F503" s="557">
        <v>1</v>
      </c>
      <c r="G503" s="557" t="s">
        <v>62</v>
      </c>
      <c r="H503" s="558">
        <v>723244.73</v>
      </c>
      <c r="I503" s="566">
        <v>723244.73</v>
      </c>
      <c r="J503" s="567"/>
      <c r="K503" s="568">
        <f>SUM(K504:K514)</f>
        <v>723244.73</v>
      </c>
    </row>
    <row r="504" ht="38.25" spans="1:11">
      <c r="A504" s="559" t="s">
        <v>1368</v>
      </c>
      <c r="B504" s="559" t="s">
        <v>1369</v>
      </c>
      <c r="C504" s="559" t="s">
        <v>71</v>
      </c>
      <c r="D504" s="559" t="s">
        <v>1370</v>
      </c>
      <c r="E504" s="560" t="s">
        <v>73</v>
      </c>
      <c r="F504" s="561">
        <v>1113.82</v>
      </c>
      <c r="G504" s="562">
        <v>114.02</v>
      </c>
      <c r="H504" s="562">
        <v>142.13</v>
      </c>
      <c r="I504" s="569">
        <v>158307.23</v>
      </c>
      <c r="J504" s="567">
        <f t="shared" si="56"/>
        <v>0</v>
      </c>
      <c r="K504" s="570">
        <f t="shared" si="52"/>
        <v>158307.23</v>
      </c>
    </row>
    <row r="505" ht="38.25" spans="1:11">
      <c r="A505" s="559" t="s">
        <v>1371</v>
      </c>
      <c r="B505" s="559" t="s">
        <v>1301</v>
      </c>
      <c r="C505" s="559" t="s">
        <v>65</v>
      </c>
      <c r="D505" s="559" t="s">
        <v>1302</v>
      </c>
      <c r="E505" s="560" t="s">
        <v>67</v>
      </c>
      <c r="F505" s="561">
        <v>796.05</v>
      </c>
      <c r="G505" s="562">
        <v>480.31</v>
      </c>
      <c r="H505" s="562">
        <v>598.75</v>
      </c>
      <c r="I505" s="569">
        <v>476634.93</v>
      </c>
      <c r="J505" s="567">
        <f t="shared" si="56"/>
        <v>0</v>
      </c>
      <c r="K505" s="570">
        <f t="shared" si="52"/>
        <v>476634.93</v>
      </c>
    </row>
    <row r="506" ht="38.25" spans="1:11">
      <c r="A506" s="559" t="s">
        <v>1372</v>
      </c>
      <c r="B506" s="559" t="s">
        <v>1330</v>
      </c>
      <c r="C506" s="559" t="s">
        <v>71</v>
      </c>
      <c r="D506" s="559" t="s">
        <v>1331</v>
      </c>
      <c r="E506" s="560" t="s">
        <v>73</v>
      </c>
      <c r="F506" s="561">
        <v>28.88</v>
      </c>
      <c r="G506" s="562">
        <v>78.02</v>
      </c>
      <c r="H506" s="562">
        <v>97.25</v>
      </c>
      <c r="I506" s="569">
        <v>2808.58</v>
      </c>
      <c r="J506" s="567">
        <f t="shared" si="56"/>
        <v>0</v>
      </c>
      <c r="K506" s="570">
        <f t="shared" si="52"/>
        <v>2808.58</v>
      </c>
    </row>
    <row r="507" ht="25.5" spans="1:11">
      <c r="A507" s="559" t="s">
        <v>1373</v>
      </c>
      <c r="B507" s="559" t="s">
        <v>1322</v>
      </c>
      <c r="C507" s="559" t="s">
        <v>71</v>
      </c>
      <c r="D507" s="559" t="s">
        <v>1323</v>
      </c>
      <c r="E507" s="560" t="s">
        <v>73</v>
      </c>
      <c r="F507" s="561">
        <v>17.19</v>
      </c>
      <c r="G507" s="562">
        <v>176.14</v>
      </c>
      <c r="H507" s="562">
        <v>219.57</v>
      </c>
      <c r="I507" s="569">
        <v>3774.4</v>
      </c>
      <c r="J507" s="567">
        <f t="shared" si="56"/>
        <v>0</v>
      </c>
      <c r="K507" s="570">
        <f t="shared" si="52"/>
        <v>3774.4</v>
      </c>
    </row>
    <row r="508" ht="25.5" spans="1:11">
      <c r="A508" s="559" t="s">
        <v>1374</v>
      </c>
      <c r="B508" s="559" t="s">
        <v>1375</v>
      </c>
      <c r="C508" s="559" t="s">
        <v>71</v>
      </c>
      <c r="D508" s="559" t="s">
        <v>1376</v>
      </c>
      <c r="E508" s="560" t="s">
        <v>78</v>
      </c>
      <c r="F508" s="561">
        <v>314.44</v>
      </c>
      <c r="G508" s="562">
        <v>5.6</v>
      </c>
      <c r="H508" s="562">
        <v>6.98</v>
      </c>
      <c r="I508" s="569">
        <v>2194.79</v>
      </c>
      <c r="J508" s="567">
        <f t="shared" si="56"/>
        <v>0</v>
      </c>
      <c r="K508" s="570">
        <f t="shared" si="52"/>
        <v>2194.79</v>
      </c>
    </row>
    <row r="509" ht="76.5" spans="1:11">
      <c r="A509" s="559" t="s">
        <v>1377</v>
      </c>
      <c r="B509" s="559" t="s">
        <v>1378</v>
      </c>
      <c r="C509" s="559" t="s">
        <v>76</v>
      </c>
      <c r="D509" s="559" t="s">
        <v>1379</v>
      </c>
      <c r="E509" s="560" t="s">
        <v>1380</v>
      </c>
      <c r="F509" s="561">
        <v>3</v>
      </c>
      <c r="G509" s="562">
        <v>427.39</v>
      </c>
      <c r="H509" s="562">
        <v>532.78</v>
      </c>
      <c r="I509" s="569">
        <v>1598.34</v>
      </c>
      <c r="J509" s="567">
        <f t="shared" si="56"/>
        <v>0</v>
      </c>
      <c r="K509" s="570">
        <f t="shared" si="52"/>
        <v>1598.34</v>
      </c>
    </row>
    <row r="510" ht="76.5" spans="1:11">
      <c r="A510" s="559" t="s">
        <v>1381</v>
      </c>
      <c r="B510" s="559" t="s">
        <v>1382</v>
      </c>
      <c r="C510" s="559" t="s">
        <v>76</v>
      </c>
      <c r="D510" s="559" t="s">
        <v>1383</v>
      </c>
      <c r="E510" s="560" t="s">
        <v>105</v>
      </c>
      <c r="F510" s="561">
        <v>17</v>
      </c>
      <c r="G510" s="562">
        <v>301.39</v>
      </c>
      <c r="H510" s="562">
        <v>375.71</v>
      </c>
      <c r="I510" s="569">
        <v>6387.07</v>
      </c>
      <c r="J510" s="567">
        <f t="shared" ref="J510:J519" si="57">$I$626</f>
        <v>0</v>
      </c>
      <c r="K510" s="570">
        <f t="shared" si="52"/>
        <v>6387.07</v>
      </c>
    </row>
    <row r="511" ht="63.75" spans="1:11">
      <c r="A511" s="559" t="s">
        <v>1384</v>
      </c>
      <c r="B511" s="559" t="s">
        <v>1385</v>
      </c>
      <c r="C511" s="559" t="s">
        <v>76</v>
      </c>
      <c r="D511" s="559" t="s">
        <v>1386</v>
      </c>
      <c r="E511" s="560" t="s">
        <v>78</v>
      </c>
      <c r="F511" s="561">
        <v>36.7</v>
      </c>
      <c r="G511" s="562">
        <v>266.83</v>
      </c>
      <c r="H511" s="562">
        <v>332.63</v>
      </c>
      <c r="I511" s="569">
        <v>12207.52</v>
      </c>
      <c r="J511" s="567">
        <f t="shared" si="57"/>
        <v>0</v>
      </c>
      <c r="K511" s="570">
        <f t="shared" si="52"/>
        <v>12207.52</v>
      </c>
    </row>
    <row r="512" ht="38.25" spans="1:11">
      <c r="A512" s="559" t="s">
        <v>1387</v>
      </c>
      <c r="B512" s="559" t="s">
        <v>1388</v>
      </c>
      <c r="C512" s="559" t="s">
        <v>65</v>
      </c>
      <c r="D512" s="559" t="s">
        <v>1389</v>
      </c>
      <c r="E512" s="560" t="s">
        <v>67</v>
      </c>
      <c r="F512" s="561">
        <v>26</v>
      </c>
      <c r="G512" s="562">
        <v>590.23</v>
      </c>
      <c r="H512" s="562">
        <v>735.78</v>
      </c>
      <c r="I512" s="569">
        <v>19130.28</v>
      </c>
      <c r="J512" s="567">
        <f t="shared" si="57"/>
        <v>0</v>
      </c>
      <c r="K512" s="570">
        <f t="shared" si="52"/>
        <v>19130.28</v>
      </c>
    </row>
    <row r="513" ht="25.5" spans="1:11">
      <c r="A513" s="559" t="s">
        <v>1390</v>
      </c>
      <c r="B513" s="559" t="s">
        <v>1391</v>
      </c>
      <c r="C513" s="559" t="s">
        <v>65</v>
      </c>
      <c r="D513" s="559" t="s">
        <v>1392</v>
      </c>
      <c r="E513" s="560" t="s">
        <v>535</v>
      </c>
      <c r="F513" s="561">
        <v>55.53</v>
      </c>
      <c r="G513" s="562">
        <v>520.41</v>
      </c>
      <c r="H513" s="562">
        <v>648.74</v>
      </c>
      <c r="I513" s="569">
        <v>36024.53</v>
      </c>
      <c r="J513" s="567">
        <f t="shared" si="57"/>
        <v>0</v>
      </c>
      <c r="K513" s="570">
        <f t="shared" si="52"/>
        <v>36024.53</v>
      </c>
    </row>
    <row r="514" ht="25.5" spans="1:11">
      <c r="A514" s="559" t="s">
        <v>1393</v>
      </c>
      <c r="B514" s="559" t="s">
        <v>1394</v>
      </c>
      <c r="C514" s="559" t="s">
        <v>65</v>
      </c>
      <c r="D514" s="559" t="s">
        <v>1395</v>
      </c>
      <c r="E514" s="560" t="s">
        <v>535</v>
      </c>
      <c r="F514" s="561">
        <v>10.82</v>
      </c>
      <c r="G514" s="562">
        <v>309.69</v>
      </c>
      <c r="H514" s="562">
        <v>386.05</v>
      </c>
      <c r="I514" s="569">
        <v>4177.06</v>
      </c>
      <c r="J514" s="567">
        <f t="shared" si="57"/>
        <v>0</v>
      </c>
      <c r="K514" s="570">
        <f t="shared" si="52"/>
        <v>4177.06</v>
      </c>
    </row>
    <row r="515" spans="1:11">
      <c r="A515" s="555" t="s">
        <v>1396</v>
      </c>
      <c r="B515" s="555" t="s">
        <v>61</v>
      </c>
      <c r="C515" s="555"/>
      <c r="D515" s="555" t="s">
        <v>1397</v>
      </c>
      <c r="E515" s="556"/>
      <c r="F515" s="557">
        <v>1</v>
      </c>
      <c r="G515" s="557" t="s">
        <v>62</v>
      </c>
      <c r="H515" s="558">
        <v>19508.51</v>
      </c>
      <c r="I515" s="566">
        <v>19508.51</v>
      </c>
      <c r="J515" s="567"/>
      <c r="K515" s="568">
        <f>K516</f>
        <v>19508.51</v>
      </c>
    </row>
    <row r="516" ht="76.5" spans="1:11">
      <c r="A516" s="559" t="s">
        <v>1398</v>
      </c>
      <c r="B516" s="559" t="s">
        <v>1399</v>
      </c>
      <c r="C516" s="559" t="s">
        <v>76</v>
      </c>
      <c r="D516" s="559" t="s">
        <v>1400</v>
      </c>
      <c r="E516" s="560" t="s">
        <v>78</v>
      </c>
      <c r="F516" s="561">
        <v>61.92</v>
      </c>
      <c r="G516" s="562">
        <v>252.74</v>
      </c>
      <c r="H516" s="562">
        <v>315.06</v>
      </c>
      <c r="I516" s="569">
        <v>19508.51</v>
      </c>
      <c r="J516" s="567">
        <f t="shared" si="57"/>
        <v>0</v>
      </c>
      <c r="K516" s="570">
        <f t="shared" si="52"/>
        <v>19508.51</v>
      </c>
    </row>
    <row r="517" spans="1:11">
      <c r="A517" s="555" t="s">
        <v>1401</v>
      </c>
      <c r="B517" s="555" t="s">
        <v>61</v>
      </c>
      <c r="C517" s="555"/>
      <c r="D517" s="555" t="s">
        <v>43</v>
      </c>
      <c r="E517" s="556"/>
      <c r="F517" s="557">
        <v>1</v>
      </c>
      <c r="G517" s="557" t="s">
        <v>62</v>
      </c>
      <c r="H517" s="558">
        <v>193118</v>
      </c>
      <c r="I517" s="566">
        <v>193118</v>
      </c>
      <c r="J517" s="567"/>
      <c r="K517" s="568">
        <f t="shared" si="52"/>
        <v>193118</v>
      </c>
    </row>
    <row r="518" ht="25.5" spans="1:11">
      <c r="A518" s="559" t="s">
        <v>1402</v>
      </c>
      <c r="B518" s="559" t="s">
        <v>1403</v>
      </c>
      <c r="C518" s="559" t="s">
        <v>512</v>
      </c>
      <c r="D518" s="559" t="s">
        <v>1404</v>
      </c>
      <c r="E518" s="560" t="s">
        <v>67</v>
      </c>
      <c r="F518" s="561">
        <v>1</v>
      </c>
      <c r="G518" s="562">
        <v>1389.3</v>
      </c>
      <c r="H518" s="562">
        <v>1731.9</v>
      </c>
      <c r="I518" s="569">
        <v>1731.9</v>
      </c>
      <c r="J518" s="567">
        <f t="shared" si="57"/>
        <v>0</v>
      </c>
      <c r="K518" s="570">
        <f t="shared" si="52"/>
        <v>1731.9</v>
      </c>
    </row>
    <row r="519" ht="25.5" spans="1:11">
      <c r="A519" s="559" t="s">
        <v>1405</v>
      </c>
      <c r="B519" s="559" t="s">
        <v>1406</v>
      </c>
      <c r="C519" s="559" t="s">
        <v>65</v>
      </c>
      <c r="D519" s="559" t="s">
        <v>1407</v>
      </c>
      <c r="E519" s="560" t="s">
        <v>67</v>
      </c>
      <c r="F519" s="561">
        <v>1</v>
      </c>
      <c r="G519" s="562">
        <v>143.53</v>
      </c>
      <c r="H519" s="562">
        <v>178.92</v>
      </c>
      <c r="I519" s="569">
        <v>178.92</v>
      </c>
      <c r="J519" s="567">
        <f t="shared" si="57"/>
        <v>0</v>
      </c>
      <c r="K519" s="570">
        <f t="shared" si="52"/>
        <v>178.92</v>
      </c>
    </row>
    <row r="520" ht="25.5" spans="1:11">
      <c r="A520" s="559" t="s">
        <v>1408</v>
      </c>
      <c r="B520" s="559" t="s">
        <v>1409</v>
      </c>
      <c r="C520" s="559" t="s">
        <v>65</v>
      </c>
      <c r="D520" s="559" t="s">
        <v>1410</v>
      </c>
      <c r="E520" s="560" t="s">
        <v>67</v>
      </c>
      <c r="F520" s="561">
        <v>48</v>
      </c>
      <c r="G520" s="562">
        <v>2761.29</v>
      </c>
      <c r="H520" s="562">
        <v>3442.22</v>
      </c>
      <c r="I520" s="569">
        <v>165226.56</v>
      </c>
      <c r="J520" s="567">
        <f t="shared" ref="J520:J529" si="58">$I$626</f>
        <v>0</v>
      </c>
      <c r="K520" s="570">
        <f t="shared" si="52"/>
        <v>165226.56</v>
      </c>
    </row>
    <row r="521" ht="25.5" spans="1:11">
      <c r="A521" s="559" t="s">
        <v>1411</v>
      </c>
      <c r="B521" s="559" t="s">
        <v>1412</v>
      </c>
      <c r="C521" s="559" t="s">
        <v>65</v>
      </c>
      <c r="D521" s="559" t="s">
        <v>1413</v>
      </c>
      <c r="E521" s="560" t="s">
        <v>67</v>
      </c>
      <c r="F521" s="561">
        <v>13.83</v>
      </c>
      <c r="G521" s="562">
        <v>1449.51</v>
      </c>
      <c r="H521" s="562">
        <v>1806.95</v>
      </c>
      <c r="I521" s="569">
        <v>24990.11</v>
      </c>
      <c r="J521" s="567">
        <f t="shared" si="58"/>
        <v>0</v>
      </c>
      <c r="K521" s="570">
        <f t="shared" si="52"/>
        <v>24990.11</v>
      </c>
    </row>
    <row r="522" spans="1:11">
      <c r="A522" s="559" t="s">
        <v>1414</v>
      </c>
      <c r="B522" s="559" t="s">
        <v>1415</v>
      </c>
      <c r="C522" s="559" t="s">
        <v>65</v>
      </c>
      <c r="D522" s="559" t="s">
        <v>1416</v>
      </c>
      <c r="E522" s="560" t="s">
        <v>67</v>
      </c>
      <c r="F522" s="561">
        <v>1</v>
      </c>
      <c r="G522" s="562">
        <v>794.57</v>
      </c>
      <c r="H522" s="562">
        <v>990.51</v>
      </c>
      <c r="I522" s="569">
        <v>990.51</v>
      </c>
      <c r="J522" s="567">
        <f t="shared" si="58"/>
        <v>0</v>
      </c>
      <c r="K522" s="570">
        <f t="shared" si="52"/>
        <v>990.51</v>
      </c>
    </row>
    <row r="523" spans="1:11">
      <c r="A523" s="555" t="s">
        <v>1417</v>
      </c>
      <c r="B523" s="555" t="s">
        <v>61</v>
      </c>
      <c r="C523" s="555"/>
      <c r="D523" s="555" t="s">
        <v>44</v>
      </c>
      <c r="E523" s="556"/>
      <c r="F523" s="557">
        <v>1</v>
      </c>
      <c r="G523" s="557" t="s">
        <v>62</v>
      </c>
      <c r="H523" s="558">
        <v>19177.99</v>
      </c>
      <c r="I523" s="566">
        <v>19177.99</v>
      </c>
      <c r="J523" s="575"/>
      <c r="K523" s="568">
        <f>SUM(K524:K533)</f>
        <v>19177.99</v>
      </c>
    </row>
    <row r="524" spans="1:11">
      <c r="A524" s="559" t="s">
        <v>1418</v>
      </c>
      <c r="B524" s="559" t="s">
        <v>1419</v>
      </c>
      <c r="C524" s="559" t="s">
        <v>65</v>
      </c>
      <c r="D524" s="559" t="s">
        <v>1420</v>
      </c>
      <c r="E524" s="560" t="s">
        <v>67</v>
      </c>
      <c r="F524" s="561">
        <v>8</v>
      </c>
      <c r="G524" s="562">
        <v>37.27</v>
      </c>
      <c r="H524" s="562">
        <v>46.46</v>
      </c>
      <c r="I524" s="569">
        <v>371.68</v>
      </c>
      <c r="J524" s="567">
        <f t="shared" si="58"/>
        <v>0</v>
      </c>
      <c r="K524" s="570">
        <f t="shared" si="52"/>
        <v>371.68</v>
      </c>
    </row>
    <row r="525" spans="1:11">
      <c r="A525" s="559" t="s">
        <v>1421</v>
      </c>
      <c r="B525" s="559" t="s">
        <v>1422</v>
      </c>
      <c r="C525" s="559" t="s">
        <v>65</v>
      </c>
      <c r="D525" s="559" t="s">
        <v>1423</v>
      </c>
      <c r="E525" s="560" t="s">
        <v>67</v>
      </c>
      <c r="F525" s="561">
        <v>17</v>
      </c>
      <c r="G525" s="562">
        <v>36.88</v>
      </c>
      <c r="H525" s="562">
        <v>45.97</v>
      </c>
      <c r="I525" s="569">
        <v>781.49</v>
      </c>
      <c r="J525" s="567">
        <f t="shared" si="58"/>
        <v>0</v>
      </c>
      <c r="K525" s="570">
        <f t="shared" si="52"/>
        <v>781.49</v>
      </c>
    </row>
    <row r="526" spans="1:11">
      <c r="A526" s="559" t="s">
        <v>1424</v>
      </c>
      <c r="B526" s="559" t="s">
        <v>1425</v>
      </c>
      <c r="C526" s="559" t="s">
        <v>65</v>
      </c>
      <c r="D526" s="559" t="s">
        <v>1426</v>
      </c>
      <c r="E526" s="560" t="s">
        <v>67</v>
      </c>
      <c r="F526" s="561">
        <v>1</v>
      </c>
      <c r="G526" s="562">
        <v>38.41</v>
      </c>
      <c r="H526" s="562">
        <v>47.88</v>
      </c>
      <c r="I526" s="569">
        <v>47.88</v>
      </c>
      <c r="J526" s="567">
        <f t="shared" si="58"/>
        <v>0</v>
      </c>
      <c r="K526" s="570">
        <f t="shared" si="52"/>
        <v>47.88</v>
      </c>
    </row>
    <row r="527" spans="1:11">
      <c r="A527" s="559" t="s">
        <v>1427</v>
      </c>
      <c r="B527" s="559" t="s">
        <v>1428</v>
      </c>
      <c r="C527" s="559" t="s">
        <v>65</v>
      </c>
      <c r="D527" s="559" t="s">
        <v>1429</v>
      </c>
      <c r="E527" s="560" t="s">
        <v>67</v>
      </c>
      <c r="F527" s="561">
        <v>1</v>
      </c>
      <c r="G527" s="562">
        <v>38.41</v>
      </c>
      <c r="H527" s="562">
        <v>47.88</v>
      </c>
      <c r="I527" s="569">
        <v>47.88</v>
      </c>
      <c r="J527" s="567">
        <f t="shared" si="58"/>
        <v>0</v>
      </c>
      <c r="K527" s="570">
        <f t="shared" si="52"/>
        <v>47.88</v>
      </c>
    </row>
    <row r="528" spans="1:11">
      <c r="A528" s="559" t="s">
        <v>1430</v>
      </c>
      <c r="B528" s="559" t="s">
        <v>1431</v>
      </c>
      <c r="C528" s="559" t="s">
        <v>65</v>
      </c>
      <c r="D528" s="559" t="s">
        <v>1432</v>
      </c>
      <c r="E528" s="560" t="s">
        <v>67</v>
      </c>
      <c r="F528" s="561">
        <v>1</v>
      </c>
      <c r="G528" s="562">
        <v>42.31</v>
      </c>
      <c r="H528" s="562">
        <v>52.74</v>
      </c>
      <c r="I528" s="569">
        <v>52.74</v>
      </c>
      <c r="J528" s="567">
        <f t="shared" si="58"/>
        <v>0</v>
      </c>
      <c r="K528" s="570">
        <f t="shared" si="52"/>
        <v>52.74</v>
      </c>
    </row>
    <row r="529" spans="1:11">
      <c r="A529" s="559" t="s">
        <v>1433</v>
      </c>
      <c r="B529" s="559" t="s">
        <v>1434</v>
      </c>
      <c r="C529" s="559" t="s">
        <v>65</v>
      </c>
      <c r="D529" s="559" t="s">
        <v>1435</v>
      </c>
      <c r="E529" s="560" t="s">
        <v>67</v>
      </c>
      <c r="F529" s="561">
        <v>1</v>
      </c>
      <c r="G529" s="562">
        <v>42.18</v>
      </c>
      <c r="H529" s="562">
        <v>52.58</v>
      </c>
      <c r="I529" s="569">
        <v>52.58</v>
      </c>
      <c r="J529" s="567">
        <f t="shared" si="58"/>
        <v>0</v>
      </c>
      <c r="K529" s="570">
        <f t="shared" si="52"/>
        <v>52.58</v>
      </c>
    </row>
    <row r="530" spans="1:11">
      <c r="A530" s="559" t="s">
        <v>1436</v>
      </c>
      <c r="B530" s="559" t="s">
        <v>1437</v>
      </c>
      <c r="C530" s="559" t="s">
        <v>65</v>
      </c>
      <c r="D530" s="559" t="s">
        <v>1438</v>
      </c>
      <c r="E530" s="560" t="s">
        <v>67</v>
      </c>
      <c r="F530" s="561">
        <v>1</v>
      </c>
      <c r="G530" s="562">
        <v>36.63</v>
      </c>
      <c r="H530" s="562">
        <v>45.66</v>
      </c>
      <c r="I530" s="569">
        <v>45.66</v>
      </c>
      <c r="J530" s="567">
        <f t="shared" ref="J530:J539" si="59">$I$626</f>
        <v>0</v>
      </c>
      <c r="K530" s="570">
        <f t="shared" ref="K530:K593" si="60">I530-(I530*J530)</f>
        <v>45.66</v>
      </c>
    </row>
    <row r="531" spans="1:11">
      <c r="A531" s="559" t="s">
        <v>1439</v>
      </c>
      <c r="B531" s="559" t="s">
        <v>1440</v>
      </c>
      <c r="C531" s="559" t="s">
        <v>65</v>
      </c>
      <c r="D531" s="559" t="s">
        <v>1441</v>
      </c>
      <c r="E531" s="560" t="s">
        <v>67</v>
      </c>
      <c r="F531" s="561">
        <v>2</v>
      </c>
      <c r="G531" s="562">
        <v>44.07</v>
      </c>
      <c r="H531" s="562">
        <v>54.93</v>
      </c>
      <c r="I531" s="569">
        <v>109.86</v>
      </c>
      <c r="J531" s="567">
        <f t="shared" si="59"/>
        <v>0</v>
      </c>
      <c r="K531" s="570">
        <f t="shared" si="60"/>
        <v>109.86</v>
      </c>
    </row>
    <row r="532" spans="1:11">
      <c r="A532" s="559" t="s">
        <v>1442</v>
      </c>
      <c r="B532" s="559" t="s">
        <v>1443</v>
      </c>
      <c r="C532" s="559" t="s">
        <v>65</v>
      </c>
      <c r="D532" s="559" t="s">
        <v>1444</v>
      </c>
      <c r="E532" s="560" t="s">
        <v>67</v>
      </c>
      <c r="F532" s="561">
        <v>2</v>
      </c>
      <c r="G532" s="562">
        <v>44.07</v>
      </c>
      <c r="H532" s="562">
        <v>54.93</v>
      </c>
      <c r="I532" s="569">
        <v>109.86</v>
      </c>
      <c r="J532" s="567">
        <f t="shared" si="59"/>
        <v>0</v>
      </c>
      <c r="K532" s="570">
        <f t="shared" si="60"/>
        <v>109.86</v>
      </c>
    </row>
    <row r="533" ht="25.5" spans="1:11">
      <c r="A533" s="559" t="s">
        <v>1445</v>
      </c>
      <c r="B533" s="559" t="s">
        <v>1446</v>
      </c>
      <c r="C533" s="559" t="s">
        <v>65</v>
      </c>
      <c r="D533" s="559" t="s">
        <v>1447</v>
      </c>
      <c r="E533" s="560" t="s">
        <v>67</v>
      </c>
      <c r="F533" s="561">
        <v>1</v>
      </c>
      <c r="G533" s="562">
        <v>14085</v>
      </c>
      <c r="H533" s="562">
        <v>17558.36</v>
      </c>
      <c r="I533" s="569">
        <v>17558.36</v>
      </c>
      <c r="J533" s="567">
        <f t="shared" si="59"/>
        <v>0</v>
      </c>
      <c r="K533" s="570">
        <f t="shared" si="60"/>
        <v>17558.36</v>
      </c>
    </row>
    <row r="534" spans="1:11">
      <c r="A534" s="555" t="s">
        <v>1448</v>
      </c>
      <c r="B534" s="555" t="s">
        <v>61</v>
      </c>
      <c r="C534" s="555"/>
      <c r="D534" s="555" t="s">
        <v>45</v>
      </c>
      <c r="E534" s="556"/>
      <c r="F534" s="557">
        <v>1</v>
      </c>
      <c r="G534" s="557" t="s">
        <v>62</v>
      </c>
      <c r="H534" s="558">
        <v>291787</v>
      </c>
      <c r="I534" s="566">
        <v>291787</v>
      </c>
      <c r="J534" s="567"/>
      <c r="K534" s="568">
        <f>K535+K559+K563+K566</f>
        <v>291787</v>
      </c>
    </row>
    <row r="535" spans="1:11">
      <c r="A535" s="555" t="s">
        <v>1449</v>
      </c>
      <c r="B535" s="555" t="s">
        <v>61</v>
      </c>
      <c r="C535" s="555"/>
      <c r="D535" s="555" t="s">
        <v>1450</v>
      </c>
      <c r="E535" s="556"/>
      <c r="F535" s="557">
        <v>1</v>
      </c>
      <c r="G535" s="557" t="s">
        <v>62</v>
      </c>
      <c r="H535" s="558">
        <v>68146.29</v>
      </c>
      <c r="I535" s="566">
        <v>68146.29</v>
      </c>
      <c r="J535" s="567"/>
      <c r="K535" s="568">
        <f>K536+K543+K551</f>
        <v>68146.29</v>
      </c>
    </row>
    <row r="536" spans="1:11">
      <c r="A536" s="555" t="s">
        <v>1451</v>
      </c>
      <c r="B536" s="555" t="s">
        <v>61</v>
      </c>
      <c r="C536" s="555"/>
      <c r="D536" s="555" t="s">
        <v>1452</v>
      </c>
      <c r="E536" s="556"/>
      <c r="F536" s="557">
        <v>1</v>
      </c>
      <c r="G536" s="557" t="s">
        <v>62</v>
      </c>
      <c r="H536" s="558">
        <v>17587.23</v>
      </c>
      <c r="I536" s="566">
        <v>17587.23</v>
      </c>
      <c r="J536" s="567"/>
      <c r="K536" s="568">
        <f>SUM(K537:K542)</f>
        <v>17587.23</v>
      </c>
    </row>
    <row r="537" ht="38.25" spans="1:11">
      <c r="A537" s="559" t="s">
        <v>1453</v>
      </c>
      <c r="B537" s="559" t="s">
        <v>147</v>
      </c>
      <c r="C537" s="559" t="s">
        <v>71</v>
      </c>
      <c r="D537" s="559" t="s">
        <v>148</v>
      </c>
      <c r="E537" s="560" t="s">
        <v>129</v>
      </c>
      <c r="F537" s="561">
        <v>15.25</v>
      </c>
      <c r="G537" s="562">
        <v>126.82</v>
      </c>
      <c r="H537" s="562">
        <v>158.09</v>
      </c>
      <c r="I537" s="569">
        <v>2410.87</v>
      </c>
      <c r="J537" s="567">
        <f t="shared" si="59"/>
        <v>0</v>
      </c>
      <c r="K537" s="570">
        <f t="shared" si="60"/>
        <v>2410.87</v>
      </c>
    </row>
    <row r="538" ht="38.25" spans="1:11">
      <c r="A538" s="559" t="s">
        <v>1454</v>
      </c>
      <c r="B538" s="559" t="s">
        <v>1455</v>
      </c>
      <c r="C538" s="559" t="s">
        <v>71</v>
      </c>
      <c r="D538" s="559" t="s">
        <v>1456</v>
      </c>
      <c r="E538" s="560" t="s">
        <v>73</v>
      </c>
      <c r="F538" s="561">
        <v>12.6</v>
      </c>
      <c r="G538" s="562">
        <v>223.64</v>
      </c>
      <c r="H538" s="562">
        <v>278.78</v>
      </c>
      <c r="I538" s="569">
        <v>3512.62</v>
      </c>
      <c r="J538" s="567">
        <f t="shared" si="59"/>
        <v>0</v>
      </c>
      <c r="K538" s="570">
        <f t="shared" si="60"/>
        <v>3512.62</v>
      </c>
    </row>
    <row r="539" ht="38.25" spans="1:11">
      <c r="A539" s="559" t="s">
        <v>1457</v>
      </c>
      <c r="B539" s="559" t="s">
        <v>169</v>
      </c>
      <c r="C539" s="559" t="s">
        <v>71</v>
      </c>
      <c r="D539" s="559" t="s">
        <v>170</v>
      </c>
      <c r="E539" s="560" t="s">
        <v>158</v>
      </c>
      <c r="F539" s="561">
        <v>152.3</v>
      </c>
      <c r="G539" s="562">
        <v>14.25</v>
      </c>
      <c r="H539" s="562">
        <v>17.76</v>
      </c>
      <c r="I539" s="569">
        <v>2704.84</v>
      </c>
      <c r="J539" s="567">
        <f t="shared" si="59"/>
        <v>0</v>
      </c>
      <c r="K539" s="570">
        <f t="shared" si="60"/>
        <v>2704.84</v>
      </c>
    </row>
    <row r="540" ht="38.25" spans="1:11">
      <c r="A540" s="559" t="s">
        <v>1458</v>
      </c>
      <c r="B540" s="559" t="s">
        <v>172</v>
      </c>
      <c r="C540" s="559" t="s">
        <v>71</v>
      </c>
      <c r="D540" s="559" t="s">
        <v>173</v>
      </c>
      <c r="E540" s="560" t="s">
        <v>158</v>
      </c>
      <c r="F540" s="561">
        <v>108.2</v>
      </c>
      <c r="G540" s="562">
        <v>12.01</v>
      </c>
      <c r="H540" s="562">
        <v>14.97</v>
      </c>
      <c r="I540" s="569">
        <v>1619.75</v>
      </c>
      <c r="J540" s="567">
        <f t="shared" ref="J540:J549" si="61">$I$626</f>
        <v>0</v>
      </c>
      <c r="K540" s="570">
        <f t="shared" si="60"/>
        <v>1619.75</v>
      </c>
    </row>
    <row r="541" ht="76.5" spans="1:11">
      <c r="A541" s="559" t="s">
        <v>1459</v>
      </c>
      <c r="B541" s="559" t="s">
        <v>1460</v>
      </c>
      <c r="C541" s="559" t="s">
        <v>76</v>
      </c>
      <c r="D541" s="559" t="s">
        <v>1461</v>
      </c>
      <c r="E541" s="560" t="s">
        <v>129</v>
      </c>
      <c r="F541" s="561">
        <v>6.3</v>
      </c>
      <c r="G541" s="562">
        <v>808.65</v>
      </c>
      <c r="H541" s="562">
        <v>1008.06</v>
      </c>
      <c r="I541" s="569">
        <v>6350.77</v>
      </c>
      <c r="J541" s="567">
        <f t="shared" si="61"/>
        <v>0</v>
      </c>
      <c r="K541" s="570">
        <f t="shared" si="60"/>
        <v>6350.77</v>
      </c>
    </row>
    <row r="542" ht="25.5" spans="1:11">
      <c r="A542" s="559" t="s">
        <v>1462</v>
      </c>
      <c r="B542" s="559" t="s">
        <v>1463</v>
      </c>
      <c r="C542" s="559" t="s">
        <v>71</v>
      </c>
      <c r="D542" s="559" t="s">
        <v>1464</v>
      </c>
      <c r="E542" s="560" t="s">
        <v>129</v>
      </c>
      <c r="F542" s="561">
        <v>9</v>
      </c>
      <c r="G542" s="562">
        <v>88.1</v>
      </c>
      <c r="H542" s="562">
        <v>109.82</v>
      </c>
      <c r="I542" s="569">
        <v>988.38</v>
      </c>
      <c r="J542" s="567">
        <f t="shared" si="61"/>
        <v>0</v>
      </c>
      <c r="K542" s="570">
        <f t="shared" si="60"/>
        <v>988.38</v>
      </c>
    </row>
    <row r="543" spans="1:11">
      <c r="A543" s="555" t="s">
        <v>1465</v>
      </c>
      <c r="B543" s="555" t="s">
        <v>61</v>
      </c>
      <c r="C543" s="555"/>
      <c r="D543" s="555" t="s">
        <v>1466</v>
      </c>
      <c r="E543" s="556"/>
      <c r="F543" s="557">
        <v>1</v>
      </c>
      <c r="G543" s="557" t="s">
        <v>62</v>
      </c>
      <c r="H543" s="558">
        <v>23561.85</v>
      </c>
      <c r="I543" s="566">
        <v>23561.85</v>
      </c>
      <c r="J543" s="575"/>
      <c r="K543" s="568">
        <f>SUM(K544:K550)</f>
        <v>23561.85</v>
      </c>
    </row>
    <row r="544" ht="38.25" spans="1:11">
      <c r="A544" s="559" t="s">
        <v>1467</v>
      </c>
      <c r="B544" s="559" t="s">
        <v>209</v>
      </c>
      <c r="C544" s="559" t="s">
        <v>71</v>
      </c>
      <c r="D544" s="559" t="s">
        <v>210</v>
      </c>
      <c r="E544" s="560" t="s">
        <v>73</v>
      </c>
      <c r="F544" s="561">
        <v>27</v>
      </c>
      <c r="G544" s="562">
        <v>129.51</v>
      </c>
      <c r="H544" s="562">
        <v>161.44</v>
      </c>
      <c r="I544" s="569">
        <v>4358.88</v>
      </c>
      <c r="J544" s="567">
        <f t="shared" si="61"/>
        <v>0</v>
      </c>
      <c r="K544" s="570">
        <f t="shared" si="60"/>
        <v>4358.88</v>
      </c>
    </row>
    <row r="545" ht="38.25" spans="1:11">
      <c r="A545" s="559" t="s">
        <v>1468</v>
      </c>
      <c r="B545" s="559" t="s">
        <v>235</v>
      </c>
      <c r="C545" s="559" t="s">
        <v>71</v>
      </c>
      <c r="D545" s="559" t="s">
        <v>236</v>
      </c>
      <c r="E545" s="560" t="s">
        <v>73</v>
      </c>
      <c r="F545" s="561">
        <v>33</v>
      </c>
      <c r="G545" s="562">
        <v>175.44</v>
      </c>
      <c r="H545" s="562">
        <v>218.7</v>
      </c>
      <c r="I545" s="569">
        <v>7217.1</v>
      </c>
      <c r="J545" s="567">
        <f t="shared" si="61"/>
        <v>0</v>
      </c>
      <c r="K545" s="570">
        <f t="shared" si="60"/>
        <v>7217.1</v>
      </c>
    </row>
    <row r="546" ht="38.25" spans="1:11">
      <c r="A546" s="559" t="s">
        <v>1469</v>
      </c>
      <c r="B546" s="559" t="s">
        <v>212</v>
      </c>
      <c r="C546" s="559" t="s">
        <v>71</v>
      </c>
      <c r="D546" s="559" t="s">
        <v>213</v>
      </c>
      <c r="E546" s="560" t="s">
        <v>158</v>
      </c>
      <c r="F546" s="561">
        <v>97.1</v>
      </c>
      <c r="G546" s="562">
        <v>16.13</v>
      </c>
      <c r="H546" s="562">
        <v>20.1</v>
      </c>
      <c r="I546" s="569">
        <v>1951.71</v>
      </c>
      <c r="J546" s="567">
        <f t="shared" si="61"/>
        <v>0</v>
      </c>
      <c r="K546" s="570">
        <f t="shared" si="60"/>
        <v>1951.71</v>
      </c>
    </row>
    <row r="547" ht="38.25" spans="1:11">
      <c r="A547" s="559" t="s">
        <v>1470</v>
      </c>
      <c r="B547" s="559" t="s">
        <v>218</v>
      </c>
      <c r="C547" s="559" t="s">
        <v>71</v>
      </c>
      <c r="D547" s="559" t="s">
        <v>219</v>
      </c>
      <c r="E547" s="560" t="s">
        <v>158</v>
      </c>
      <c r="F547" s="561">
        <v>11.6</v>
      </c>
      <c r="G547" s="562">
        <v>13.64</v>
      </c>
      <c r="H547" s="562">
        <v>17</v>
      </c>
      <c r="I547" s="569">
        <v>197.2</v>
      </c>
      <c r="J547" s="567">
        <f t="shared" si="61"/>
        <v>0</v>
      </c>
      <c r="K547" s="570">
        <f t="shared" si="60"/>
        <v>197.2</v>
      </c>
    </row>
    <row r="548" ht="38.25" spans="1:11">
      <c r="A548" s="559" t="s">
        <v>1471</v>
      </c>
      <c r="B548" s="559" t="s">
        <v>221</v>
      </c>
      <c r="C548" s="559" t="s">
        <v>71</v>
      </c>
      <c r="D548" s="559" t="s">
        <v>222</v>
      </c>
      <c r="E548" s="560" t="s">
        <v>158</v>
      </c>
      <c r="F548" s="561">
        <v>111.2</v>
      </c>
      <c r="G548" s="562">
        <v>12.03</v>
      </c>
      <c r="H548" s="562">
        <v>14.99</v>
      </c>
      <c r="I548" s="569">
        <v>1666.88</v>
      </c>
      <c r="J548" s="567">
        <f t="shared" si="61"/>
        <v>0</v>
      </c>
      <c r="K548" s="570">
        <f t="shared" si="60"/>
        <v>1666.88</v>
      </c>
    </row>
    <row r="549" ht="38.25" spans="1:11">
      <c r="A549" s="559" t="s">
        <v>1472</v>
      </c>
      <c r="B549" s="559" t="s">
        <v>224</v>
      </c>
      <c r="C549" s="559" t="s">
        <v>71</v>
      </c>
      <c r="D549" s="559" t="s">
        <v>225</v>
      </c>
      <c r="E549" s="560" t="s">
        <v>158</v>
      </c>
      <c r="F549" s="561">
        <v>218.3</v>
      </c>
      <c r="G549" s="562">
        <v>10.02</v>
      </c>
      <c r="H549" s="562">
        <v>12.49</v>
      </c>
      <c r="I549" s="569">
        <v>2726.56</v>
      </c>
      <c r="J549" s="567">
        <f t="shared" si="61"/>
        <v>0</v>
      </c>
      <c r="K549" s="570">
        <f t="shared" si="60"/>
        <v>2726.56</v>
      </c>
    </row>
    <row r="550" ht="76.5" spans="1:11">
      <c r="A550" s="559" t="s">
        <v>1473</v>
      </c>
      <c r="B550" s="559" t="s">
        <v>1460</v>
      </c>
      <c r="C550" s="559" t="s">
        <v>76</v>
      </c>
      <c r="D550" s="559" t="s">
        <v>1461</v>
      </c>
      <c r="E550" s="560" t="s">
        <v>129</v>
      </c>
      <c r="F550" s="561">
        <v>5.4</v>
      </c>
      <c r="G550" s="562">
        <v>808.65</v>
      </c>
      <c r="H550" s="562">
        <v>1008.06</v>
      </c>
      <c r="I550" s="569">
        <v>5443.52</v>
      </c>
      <c r="J550" s="567">
        <f t="shared" ref="J550:J559" si="62">$I$626</f>
        <v>0</v>
      </c>
      <c r="K550" s="570">
        <f t="shared" si="60"/>
        <v>5443.52</v>
      </c>
    </row>
    <row r="551" spans="1:11">
      <c r="A551" s="555" t="s">
        <v>1474</v>
      </c>
      <c r="B551" s="555" t="s">
        <v>61</v>
      </c>
      <c r="C551" s="555"/>
      <c r="D551" s="555" t="s">
        <v>247</v>
      </c>
      <c r="E551" s="556"/>
      <c r="F551" s="557">
        <v>1</v>
      </c>
      <c r="G551" s="557" t="s">
        <v>62</v>
      </c>
      <c r="H551" s="558">
        <v>26997.21</v>
      </c>
      <c r="I551" s="566">
        <v>26997.21</v>
      </c>
      <c r="J551" s="575"/>
      <c r="K551" s="568">
        <f>SUM(K552:K558)</f>
        <v>26997.21</v>
      </c>
    </row>
    <row r="552" ht="38.25" spans="1:11">
      <c r="A552" s="559" t="s">
        <v>1475</v>
      </c>
      <c r="B552" s="559" t="s">
        <v>249</v>
      </c>
      <c r="C552" s="559" t="s">
        <v>71</v>
      </c>
      <c r="D552" s="559" t="s">
        <v>250</v>
      </c>
      <c r="E552" s="560" t="s">
        <v>73</v>
      </c>
      <c r="F552" s="561">
        <v>50.2</v>
      </c>
      <c r="G552" s="562">
        <v>73.76</v>
      </c>
      <c r="H552" s="562">
        <v>91.94</v>
      </c>
      <c r="I552" s="569">
        <v>4615.38</v>
      </c>
      <c r="J552" s="567">
        <f t="shared" si="62"/>
        <v>0</v>
      </c>
      <c r="K552" s="570">
        <f t="shared" si="60"/>
        <v>4615.38</v>
      </c>
    </row>
    <row r="553" ht="38.25" spans="1:11">
      <c r="A553" s="559" t="s">
        <v>1476</v>
      </c>
      <c r="B553" s="559" t="s">
        <v>252</v>
      </c>
      <c r="C553" s="559" t="s">
        <v>71</v>
      </c>
      <c r="D553" s="559" t="s">
        <v>253</v>
      </c>
      <c r="E553" s="560" t="s">
        <v>158</v>
      </c>
      <c r="F553" s="561">
        <v>1.1</v>
      </c>
      <c r="G553" s="562">
        <v>15.37</v>
      </c>
      <c r="H553" s="562">
        <v>19.16</v>
      </c>
      <c r="I553" s="569">
        <v>21.07</v>
      </c>
      <c r="J553" s="567">
        <f t="shared" si="62"/>
        <v>0</v>
      </c>
      <c r="K553" s="570">
        <f t="shared" si="60"/>
        <v>21.07</v>
      </c>
    </row>
    <row r="554" ht="38.25" spans="1:11">
      <c r="A554" s="559" t="s">
        <v>1477</v>
      </c>
      <c r="B554" s="559" t="s">
        <v>258</v>
      </c>
      <c r="C554" s="559" t="s">
        <v>71</v>
      </c>
      <c r="D554" s="559" t="s">
        <v>259</v>
      </c>
      <c r="E554" s="560" t="s">
        <v>158</v>
      </c>
      <c r="F554" s="561">
        <v>247.4</v>
      </c>
      <c r="G554" s="562">
        <v>12.99</v>
      </c>
      <c r="H554" s="562">
        <v>16.19</v>
      </c>
      <c r="I554" s="569">
        <v>4005.4</v>
      </c>
      <c r="J554" s="567">
        <f t="shared" si="62"/>
        <v>0</v>
      </c>
      <c r="K554" s="570">
        <f t="shared" si="60"/>
        <v>4005.4</v>
      </c>
    </row>
    <row r="555" ht="38.25" spans="1:11">
      <c r="A555" s="559" t="s">
        <v>1478</v>
      </c>
      <c r="B555" s="559" t="s">
        <v>261</v>
      </c>
      <c r="C555" s="559" t="s">
        <v>71</v>
      </c>
      <c r="D555" s="559" t="s">
        <v>262</v>
      </c>
      <c r="E555" s="560" t="s">
        <v>158</v>
      </c>
      <c r="F555" s="561">
        <v>142.5</v>
      </c>
      <c r="G555" s="562">
        <v>11.45</v>
      </c>
      <c r="H555" s="562">
        <v>14.27</v>
      </c>
      <c r="I555" s="569">
        <v>2033.47</v>
      </c>
      <c r="J555" s="567">
        <f t="shared" si="62"/>
        <v>0</v>
      </c>
      <c r="K555" s="570">
        <f t="shared" si="60"/>
        <v>2033.47</v>
      </c>
    </row>
    <row r="556" ht="38.25" spans="1:11">
      <c r="A556" s="559" t="s">
        <v>1479</v>
      </c>
      <c r="B556" s="559" t="s">
        <v>264</v>
      </c>
      <c r="C556" s="559" t="s">
        <v>71</v>
      </c>
      <c r="D556" s="559" t="s">
        <v>265</v>
      </c>
      <c r="E556" s="560" t="s">
        <v>158</v>
      </c>
      <c r="F556" s="561">
        <v>125.6</v>
      </c>
      <c r="G556" s="562">
        <v>9.5</v>
      </c>
      <c r="H556" s="562">
        <v>11.84</v>
      </c>
      <c r="I556" s="569">
        <v>1487.1</v>
      </c>
      <c r="J556" s="567">
        <f t="shared" si="62"/>
        <v>0</v>
      </c>
      <c r="K556" s="570">
        <f t="shared" si="60"/>
        <v>1487.1</v>
      </c>
    </row>
    <row r="557" ht="38.25" spans="1:11">
      <c r="A557" s="559" t="s">
        <v>1480</v>
      </c>
      <c r="B557" s="559" t="s">
        <v>267</v>
      </c>
      <c r="C557" s="559" t="s">
        <v>71</v>
      </c>
      <c r="D557" s="559" t="s">
        <v>268</v>
      </c>
      <c r="E557" s="560" t="s">
        <v>158</v>
      </c>
      <c r="F557" s="561">
        <v>297.9</v>
      </c>
      <c r="G557" s="562">
        <v>9.28</v>
      </c>
      <c r="H557" s="562">
        <v>11.56</v>
      </c>
      <c r="I557" s="569">
        <v>3443.72</v>
      </c>
      <c r="J557" s="567">
        <f t="shared" si="62"/>
        <v>0</v>
      </c>
      <c r="K557" s="570">
        <f t="shared" si="60"/>
        <v>3443.72</v>
      </c>
    </row>
    <row r="558" ht="76.5" spans="1:11">
      <c r="A558" s="559" t="s">
        <v>1481</v>
      </c>
      <c r="B558" s="559" t="s">
        <v>1460</v>
      </c>
      <c r="C558" s="559" t="s">
        <v>76</v>
      </c>
      <c r="D558" s="559" t="s">
        <v>1461</v>
      </c>
      <c r="E558" s="560" t="s">
        <v>129</v>
      </c>
      <c r="F558" s="561">
        <v>11.3</v>
      </c>
      <c r="G558" s="562">
        <v>808.65</v>
      </c>
      <c r="H558" s="562">
        <v>1008.06</v>
      </c>
      <c r="I558" s="569">
        <v>11391.07</v>
      </c>
      <c r="J558" s="567">
        <f t="shared" si="62"/>
        <v>0</v>
      </c>
      <c r="K558" s="570">
        <f t="shared" si="60"/>
        <v>11391.07</v>
      </c>
    </row>
    <row r="559" spans="1:11">
      <c r="A559" s="555" t="s">
        <v>1482</v>
      </c>
      <c r="B559" s="555" t="s">
        <v>61</v>
      </c>
      <c r="C559" s="555"/>
      <c r="D559" s="555" t="s">
        <v>1483</v>
      </c>
      <c r="E559" s="556"/>
      <c r="F559" s="557">
        <v>1</v>
      </c>
      <c r="G559" s="557" t="s">
        <v>62</v>
      </c>
      <c r="H559" s="558">
        <v>1532.14</v>
      </c>
      <c r="I559" s="566">
        <v>1532.14</v>
      </c>
      <c r="J559" s="575"/>
      <c r="K559" s="568">
        <f>SUM(K560:K562)</f>
        <v>1532.14</v>
      </c>
    </row>
    <row r="560" ht="89.25" spans="1:11">
      <c r="A560" s="559" t="s">
        <v>1484</v>
      </c>
      <c r="B560" s="559" t="s">
        <v>1485</v>
      </c>
      <c r="C560" s="559" t="s">
        <v>76</v>
      </c>
      <c r="D560" s="559" t="s">
        <v>1486</v>
      </c>
      <c r="E560" s="560" t="s">
        <v>73</v>
      </c>
      <c r="F560" s="561">
        <v>0.14</v>
      </c>
      <c r="G560" s="562">
        <v>628.92</v>
      </c>
      <c r="H560" s="562">
        <v>784.01</v>
      </c>
      <c r="I560" s="569">
        <v>109.76</v>
      </c>
      <c r="J560" s="567">
        <f t="shared" ref="J560:J569" si="63">$I$626</f>
        <v>0</v>
      </c>
      <c r="K560" s="570">
        <f t="shared" si="60"/>
        <v>109.76</v>
      </c>
    </row>
    <row r="561" ht="25.5" spans="1:11">
      <c r="A561" s="559" t="s">
        <v>1487</v>
      </c>
      <c r="B561" s="559" t="s">
        <v>1488</v>
      </c>
      <c r="C561" s="559" t="s">
        <v>65</v>
      </c>
      <c r="D561" s="559" t="s">
        <v>1489</v>
      </c>
      <c r="E561" s="560" t="s">
        <v>67</v>
      </c>
      <c r="F561" s="561">
        <v>2</v>
      </c>
      <c r="G561" s="562">
        <v>155.18</v>
      </c>
      <c r="H561" s="562">
        <v>193.44</v>
      </c>
      <c r="I561" s="569">
        <v>386.88</v>
      </c>
      <c r="J561" s="567">
        <f t="shared" si="63"/>
        <v>0</v>
      </c>
      <c r="K561" s="570">
        <f t="shared" si="60"/>
        <v>386.88</v>
      </c>
    </row>
    <row r="562" ht="25.5" spans="1:11">
      <c r="A562" s="559" t="s">
        <v>1490</v>
      </c>
      <c r="B562" s="559" t="s">
        <v>1491</v>
      </c>
      <c r="C562" s="559" t="s">
        <v>76</v>
      </c>
      <c r="D562" s="559" t="s">
        <v>1492</v>
      </c>
      <c r="E562" s="560" t="s">
        <v>105</v>
      </c>
      <c r="F562" s="561">
        <v>10</v>
      </c>
      <c r="G562" s="562">
        <v>83.07</v>
      </c>
      <c r="H562" s="562">
        <v>103.55</v>
      </c>
      <c r="I562" s="569">
        <v>1035.5</v>
      </c>
      <c r="J562" s="567">
        <f t="shared" si="63"/>
        <v>0</v>
      </c>
      <c r="K562" s="570">
        <f t="shared" si="60"/>
        <v>1035.5</v>
      </c>
    </row>
    <row r="563" customHeight="1" spans="1:11">
      <c r="A563" s="555" t="s">
        <v>1493</v>
      </c>
      <c r="B563" s="555" t="s">
        <v>61</v>
      </c>
      <c r="C563" s="555"/>
      <c r="D563" s="555" t="s">
        <v>43</v>
      </c>
      <c r="E563" s="556"/>
      <c r="F563" s="557">
        <v>1</v>
      </c>
      <c r="G563" s="557" t="s">
        <v>62</v>
      </c>
      <c r="H563" s="558">
        <v>210932.45</v>
      </c>
      <c r="I563" s="566">
        <v>210932.45</v>
      </c>
      <c r="J563" s="575"/>
      <c r="K563" s="568">
        <f>SUM(K564:K565)</f>
        <v>210932.45</v>
      </c>
    </row>
    <row r="564" customHeight="1" spans="1:11">
      <c r="A564" s="559" t="s">
        <v>1494</v>
      </c>
      <c r="B564" s="559" t="s">
        <v>1495</v>
      </c>
      <c r="C564" s="559" t="s">
        <v>76</v>
      </c>
      <c r="D564" s="559" t="s">
        <v>1496</v>
      </c>
      <c r="E564" s="560" t="s">
        <v>105</v>
      </c>
      <c r="F564" s="561">
        <v>1</v>
      </c>
      <c r="G564" s="562">
        <v>57164.67</v>
      </c>
      <c r="H564" s="562">
        <v>71261.47</v>
      </c>
      <c r="I564" s="569">
        <v>71261.47</v>
      </c>
      <c r="J564" s="567">
        <f t="shared" si="63"/>
        <v>0</v>
      </c>
      <c r="K564" s="570">
        <f t="shared" si="60"/>
        <v>71261.47</v>
      </c>
    </row>
    <row r="565" customHeight="1" spans="1:11">
      <c r="A565" s="559" t="s">
        <v>1497</v>
      </c>
      <c r="B565" s="559" t="s">
        <v>1498</v>
      </c>
      <c r="C565" s="559" t="s">
        <v>65</v>
      </c>
      <c r="D565" s="559" t="s">
        <v>1499</v>
      </c>
      <c r="E565" s="560" t="s">
        <v>1079</v>
      </c>
      <c r="F565" s="561">
        <v>1</v>
      </c>
      <c r="G565" s="562">
        <v>112041.54</v>
      </c>
      <c r="H565" s="562">
        <v>139670.98</v>
      </c>
      <c r="I565" s="569">
        <v>139670.98</v>
      </c>
      <c r="J565" s="567">
        <f t="shared" si="63"/>
        <v>0</v>
      </c>
      <c r="K565" s="570">
        <f t="shared" si="60"/>
        <v>139670.98</v>
      </c>
    </row>
    <row r="566" customHeight="1" spans="1:11">
      <c r="A566" s="555" t="s">
        <v>1500</v>
      </c>
      <c r="B566" s="555" t="s">
        <v>61</v>
      </c>
      <c r="C566" s="555"/>
      <c r="D566" s="555" t="s">
        <v>1501</v>
      </c>
      <c r="E566" s="556"/>
      <c r="F566" s="557">
        <v>1</v>
      </c>
      <c r="G566" s="557" t="s">
        <v>62</v>
      </c>
      <c r="H566" s="558">
        <v>11176.12</v>
      </c>
      <c r="I566" s="566">
        <v>11176.12</v>
      </c>
      <c r="J566" s="575"/>
      <c r="K566" s="568">
        <f>SUM(K567:K580)</f>
        <v>11176.12</v>
      </c>
    </row>
    <row r="567" customHeight="1" spans="1:11">
      <c r="A567" s="559" t="s">
        <v>1502</v>
      </c>
      <c r="B567" s="559" t="s">
        <v>1503</v>
      </c>
      <c r="C567" s="559" t="s">
        <v>71</v>
      </c>
      <c r="D567" s="559" t="s">
        <v>1504</v>
      </c>
      <c r="E567" s="560" t="s">
        <v>105</v>
      </c>
      <c r="F567" s="561">
        <v>14</v>
      </c>
      <c r="G567" s="562">
        <v>51.58</v>
      </c>
      <c r="H567" s="562">
        <v>64.29</v>
      </c>
      <c r="I567" s="569">
        <v>900.06</v>
      </c>
      <c r="J567" s="567">
        <f t="shared" si="63"/>
        <v>0</v>
      </c>
      <c r="K567" s="570">
        <f t="shared" si="60"/>
        <v>900.06</v>
      </c>
    </row>
    <row r="568" customHeight="1" spans="1:11">
      <c r="A568" s="559" t="s">
        <v>1505</v>
      </c>
      <c r="B568" s="559" t="s">
        <v>1506</v>
      </c>
      <c r="C568" s="559" t="s">
        <v>71</v>
      </c>
      <c r="D568" s="559" t="s">
        <v>1507</v>
      </c>
      <c r="E568" s="560" t="s">
        <v>105</v>
      </c>
      <c r="F568" s="561">
        <v>1</v>
      </c>
      <c r="G568" s="562">
        <v>11.24</v>
      </c>
      <c r="H568" s="562">
        <v>14.01</v>
      </c>
      <c r="I568" s="569">
        <v>14.01</v>
      </c>
      <c r="J568" s="567">
        <f t="shared" si="63"/>
        <v>0</v>
      </c>
      <c r="K568" s="570">
        <f t="shared" si="60"/>
        <v>14.01</v>
      </c>
    </row>
    <row r="569" customHeight="1" spans="1:11">
      <c r="A569" s="559" t="s">
        <v>1508</v>
      </c>
      <c r="B569" s="559" t="s">
        <v>1509</v>
      </c>
      <c r="C569" s="559" t="s">
        <v>71</v>
      </c>
      <c r="D569" s="559" t="s">
        <v>1510</v>
      </c>
      <c r="E569" s="560" t="s">
        <v>105</v>
      </c>
      <c r="F569" s="561">
        <v>35</v>
      </c>
      <c r="G569" s="562">
        <v>11.24</v>
      </c>
      <c r="H569" s="562">
        <v>14.01</v>
      </c>
      <c r="I569" s="569">
        <v>490.35</v>
      </c>
      <c r="J569" s="567">
        <f t="shared" si="63"/>
        <v>0</v>
      </c>
      <c r="K569" s="570">
        <f t="shared" si="60"/>
        <v>490.35</v>
      </c>
    </row>
    <row r="570" customHeight="1" spans="1:11">
      <c r="A570" s="559" t="s">
        <v>1511</v>
      </c>
      <c r="B570" s="559" t="s">
        <v>1512</v>
      </c>
      <c r="C570" s="559" t="s">
        <v>71</v>
      </c>
      <c r="D570" s="559" t="s">
        <v>1513</v>
      </c>
      <c r="E570" s="560" t="s">
        <v>105</v>
      </c>
      <c r="F570" s="561">
        <v>7</v>
      </c>
      <c r="G570" s="562">
        <v>51.58</v>
      </c>
      <c r="H570" s="562">
        <v>64.29</v>
      </c>
      <c r="I570" s="569">
        <v>450.03</v>
      </c>
      <c r="J570" s="567">
        <f t="shared" ref="J570:J579" si="64">$I$626</f>
        <v>0</v>
      </c>
      <c r="K570" s="570">
        <f t="shared" si="60"/>
        <v>450.03</v>
      </c>
    </row>
    <row r="571" customHeight="1" spans="1:11">
      <c r="A571" s="559" t="s">
        <v>1514</v>
      </c>
      <c r="B571" s="559" t="s">
        <v>1515</v>
      </c>
      <c r="C571" s="559" t="s">
        <v>76</v>
      </c>
      <c r="D571" s="559" t="s">
        <v>1516</v>
      </c>
      <c r="E571" s="560" t="s">
        <v>105</v>
      </c>
      <c r="F571" s="561">
        <v>1</v>
      </c>
      <c r="G571" s="562">
        <v>151.47</v>
      </c>
      <c r="H571" s="562">
        <v>188.82</v>
      </c>
      <c r="I571" s="569">
        <v>188.82</v>
      </c>
      <c r="J571" s="567">
        <f t="shared" si="64"/>
        <v>0</v>
      </c>
      <c r="K571" s="570">
        <f t="shared" si="60"/>
        <v>188.82</v>
      </c>
    </row>
    <row r="572" customHeight="1" spans="1:11">
      <c r="A572" s="559" t="s">
        <v>1517</v>
      </c>
      <c r="B572" s="559" t="s">
        <v>1518</v>
      </c>
      <c r="C572" s="559" t="s">
        <v>71</v>
      </c>
      <c r="D572" s="559" t="s">
        <v>1519</v>
      </c>
      <c r="E572" s="560" t="s">
        <v>105</v>
      </c>
      <c r="F572" s="561">
        <v>3</v>
      </c>
      <c r="G572" s="562">
        <v>398.35</v>
      </c>
      <c r="H572" s="562">
        <v>496.58</v>
      </c>
      <c r="I572" s="569">
        <v>1489.74</v>
      </c>
      <c r="J572" s="567">
        <f t="shared" si="64"/>
        <v>0</v>
      </c>
      <c r="K572" s="570">
        <f t="shared" si="60"/>
        <v>1489.74</v>
      </c>
    </row>
    <row r="573" customHeight="1" spans="1:11">
      <c r="A573" s="559" t="s">
        <v>1520</v>
      </c>
      <c r="B573" s="559" t="s">
        <v>1521</v>
      </c>
      <c r="C573" s="559" t="s">
        <v>512</v>
      </c>
      <c r="D573" s="559" t="s">
        <v>1522</v>
      </c>
      <c r="E573" s="560" t="s">
        <v>67</v>
      </c>
      <c r="F573" s="561">
        <v>2</v>
      </c>
      <c r="G573" s="562">
        <v>114.93</v>
      </c>
      <c r="H573" s="562">
        <v>143.27</v>
      </c>
      <c r="I573" s="569">
        <v>286.54</v>
      </c>
      <c r="J573" s="567">
        <f t="shared" si="64"/>
        <v>0</v>
      </c>
      <c r="K573" s="570">
        <f t="shared" si="60"/>
        <v>286.54</v>
      </c>
    </row>
    <row r="574" customHeight="1" spans="1:11">
      <c r="A574" s="559" t="s">
        <v>1523</v>
      </c>
      <c r="B574" s="559" t="s">
        <v>1524</v>
      </c>
      <c r="C574" s="559" t="s">
        <v>71</v>
      </c>
      <c r="D574" s="559" t="s">
        <v>1525</v>
      </c>
      <c r="E574" s="560" t="s">
        <v>105</v>
      </c>
      <c r="F574" s="561">
        <v>2</v>
      </c>
      <c r="G574" s="562">
        <v>77.25</v>
      </c>
      <c r="H574" s="562">
        <v>96.29</v>
      </c>
      <c r="I574" s="569">
        <v>192.58</v>
      </c>
      <c r="J574" s="567">
        <f t="shared" si="64"/>
        <v>0</v>
      </c>
      <c r="K574" s="570">
        <f t="shared" si="60"/>
        <v>192.58</v>
      </c>
    </row>
    <row r="575" customHeight="1" spans="1:11">
      <c r="A575" s="559" t="s">
        <v>1526</v>
      </c>
      <c r="B575" s="559" t="s">
        <v>1527</v>
      </c>
      <c r="C575" s="559" t="s">
        <v>71</v>
      </c>
      <c r="D575" s="559" t="s">
        <v>1528</v>
      </c>
      <c r="E575" s="560" t="s">
        <v>105</v>
      </c>
      <c r="F575" s="561">
        <v>2</v>
      </c>
      <c r="G575" s="562">
        <v>584.45</v>
      </c>
      <c r="H575" s="562">
        <v>728.57</v>
      </c>
      <c r="I575" s="569">
        <v>1457.14</v>
      </c>
      <c r="J575" s="567">
        <f t="shared" si="64"/>
        <v>0</v>
      </c>
      <c r="K575" s="570">
        <f t="shared" si="60"/>
        <v>1457.14</v>
      </c>
    </row>
    <row r="576" customHeight="1" spans="1:11">
      <c r="A576" s="559" t="s">
        <v>1529</v>
      </c>
      <c r="B576" s="559" t="s">
        <v>1530</v>
      </c>
      <c r="C576" s="559" t="s">
        <v>71</v>
      </c>
      <c r="D576" s="559" t="s">
        <v>1531</v>
      </c>
      <c r="E576" s="560" t="s">
        <v>105</v>
      </c>
      <c r="F576" s="561">
        <v>1</v>
      </c>
      <c r="G576" s="562">
        <v>1213.65</v>
      </c>
      <c r="H576" s="562">
        <v>1512.93</v>
      </c>
      <c r="I576" s="569">
        <v>1512.93</v>
      </c>
      <c r="J576" s="567">
        <f t="shared" si="64"/>
        <v>0</v>
      </c>
      <c r="K576" s="570">
        <f t="shared" si="60"/>
        <v>1512.93</v>
      </c>
    </row>
    <row r="577" customHeight="1" spans="1:11">
      <c r="A577" s="559" t="s">
        <v>1532</v>
      </c>
      <c r="B577" s="559" t="s">
        <v>1533</v>
      </c>
      <c r="C577" s="559" t="s">
        <v>76</v>
      </c>
      <c r="D577" s="559" t="s">
        <v>1534</v>
      </c>
      <c r="E577" s="560" t="s">
        <v>105</v>
      </c>
      <c r="F577" s="561">
        <v>3</v>
      </c>
      <c r="G577" s="562">
        <v>53.7</v>
      </c>
      <c r="H577" s="562">
        <v>66.94</v>
      </c>
      <c r="I577" s="569">
        <v>200.82</v>
      </c>
      <c r="J577" s="567">
        <f t="shared" si="64"/>
        <v>0</v>
      </c>
      <c r="K577" s="570">
        <f t="shared" si="60"/>
        <v>200.82</v>
      </c>
    </row>
    <row r="578" customHeight="1" spans="1:11">
      <c r="A578" s="559" t="s">
        <v>1535</v>
      </c>
      <c r="B578" s="559" t="s">
        <v>1536</v>
      </c>
      <c r="C578" s="559" t="s">
        <v>71</v>
      </c>
      <c r="D578" s="559" t="s">
        <v>1537</v>
      </c>
      <c r="E578" s="560" t="s">
        <v>105</v>
      </c>
      <c r="F578" s="561">
        <v>2</v>
      </c>
      <c r="G578" s="562">
        <v>449.14</v>
      </c>
      <c r="H578" s="562">
        <v>559.89</v>
      </c>
      <c r="I578" s="569">
        <v>1119.78</v>
      </c>
      <c r="J578" s="567">
        <f t="shared" si="64"/>
        <v>0</v>
      </c>
      <c r="K578" s="570">
        <f t="shared" si="60"/>
        <v>1119.78</v>
      </c>
    </row>
    <row r="579" customHeight="1" spans="1:11">
      <c r="A579" s="559" t="s">
        <v>1538</v>
      </c>
      <c r="B579" s="559" t="s">
        <v>1539</v>
      </c>
      <c r="C579" s="559" t="s">
        <v>71</v>
      </c>
      <c r="D579" s="559" t="s">
        <v>1540</v>
      </c>
      <c r="E579" s="560" t="s">
        <v>105</v>
      </c>
      <c r="F579" s="561">
        <v>2</v>
      </c>
      <c r="G579" s="562">
        <v>1001.38</v>
      </c>
      <c r="H579" s="562">
        <v>1248.32</v>
      </c>
      <c r="I579" s="569">
        <v>2496.64</v>
      </c>
      <c r="J579" s="567">
        <f t="shared" si="64"/>
        <v>0</v>
      </c>
      <c r="K579" s="570">
        <f t="shared" si="60"/>
        <v>2496.64</v>
      </c>
    </row>
    <row r="580" customHeight="1" spans="1:11">
      <c r="A580" s="559" t="s">
        <v>1541</v>
      </c>
      <c r="B580" s="559" t="s">
        <v>1542</v>
      </c>
      <c r="C580" s="559" t="s">
        <v>65</v>
      </c>
      <c r="D580" s="559" t="s">
        <v>1543</v>
      </c>
      <c r="E580" s="560" t="s">
        <v>67</v>
      </c>
      <c r="F580" s="561">
        <v>1</v>
      </c>
      <c r="G580" s="562">
        <v>302.17</v>
      </c>
      <c r="H580" s="562">
        <v>376.68</v>
      </c>
      <c r="I580" s="569">
        <v>376.68</v>
      </c>
      <c r="J580" s="567">
        <f t="shared" ref="J580:J589" si="65">$I$626</f>
        <v>0</v>
      </c>
      <c r="K580" s="570">
        <f t="shared" si="60"/>
        <v>376.68</v>
      </c>
    </row>
    <row r="581" customHeight="1" spans="1:11">
      <c r="A581" s="555" t="s">
        <v>1544</v>
      </c>
      <c r="B581" s="555" t="s">
        <v>61</v>
      </c>
      <c r="C581" s="555"/>
      <c r="D581" s="555" t="s">
        <v>46</v>
      </c>
      <c r="E581" s="556"/>
      <c r="F581" s="557">
        <v>1</v>
      </c>
      <c r="G581" s="557" t="s">
        <v>62</v>
      </c>
      <c r="H581" s="558">
        <v>21393.63</v>
      </c>
      <c r="I581" s="566">
        <v>21393.63</v>
      </c>
      <c r="J581" s="575"/>
      <c r="K581" s="568">
        <f>K582+K588+K594+K601</f>
        <v>21393.63</v>
      </c>
    </row>
    <row r="582" customHeight="1" spans="1:11">
      <c r="A582" s="555" t="s">
        <v>1545</v>
      </c>
      <c r="B582" s="555" t="s">
        <v>61</v>
      </c>
      <c r="C582" s="555"/>
      <c r="D582" s="555" t="s">
        <v>1546</v>
      </c>
      <c r="E582" s="556"/>
      <c r="F582" s="557">
        <v>1</v>
      </c>
      <c r="G582" s="557" t="s">
        <v>62</v>
      </c>
      <c r="H582" s="558">
        <v>5459.75</v>
      </c>
      <c r="I582" s="566">
        <v>5459.75</v>
      </c>
      <c r="J582" s="575"/>
      <c r="K582" s="568">
        <f>SUM(K583:K587)</f>
        <v>5459.75</v>
      </c>
    </row>
    <row r="583" customHeight="1" spans="1:11">
      <c r="A583" s="559" t="s">
        <v>1547</v>
      </c>
      <c r="B583" s="559" t="s">
        <v>147</v>
      </c>
      <c r="C583" s="559" t="s">
        <v>71</v>
      </c>
      <c r="D583" s="559" t="s">
        <v>148</v>
      </c>
      <c r="E583" s="560" t="s">
        <v>129</v>
      </c>
      <c r="F583" s="561">
        <v>1.76</v>
      </c>
      <c r="G583" s="562">
        <v>126.82</v>
      </c>
      <c r="H583" s="562">
        <v>158.09</v>
      </c>
      <c r="I583" s="569">
        <v>278.23</v>
      </c>
      <c r="J583" s="567">
        <f t="shared" si="65"/>
        <v>0</v>
      </c>
      <c r="K583" s="570">
        <f t="shared" si="60"/>
        <v>278.23</v>
      </c>
    </row>
    <row r="584" customHeight="1" spans="1:11">
      <c r="A584" s="559" t="s">
        <v>1548</v>
      </c>
      <c r="B584" s="559" t="s">
        <v>1455</v>
      </c>
      <c r="C584" s="559" t="s">
        <v>71</v>
      </c>
      <c r="D584" s="559" t="s">
        <v>1456</v>
      </c>
      <c r="E584" s="560" t="s">
        <v>73</v>
      </c>
      <c r="F584" s="561">
        <v>6.78</v>
      </c>
      <c r="G584" s="562">
        <v>223.64</v>
      </c>
      <c r="H584" s="562">
        <v>278.78</v>
      </c>
      <c r="I584" s="569">
        <v>1890.12</v>
      </c>
      <c r="J584" s="567">
        <f t="shared" si="65"/>
        <v>0</v>
      </c>
      <c r="K584" s="570">
        <f t="shared" si="60"/>
        <v>1890.12</v>
      </c>
    </row>
    <row r="585" customHeight="1" spans="1:11">
      <c r="A585" s="559" t="s">
        <v>1549</v>
      </c>
      <c r="B585" s="559" t="s">
        <v>169</v>
      </c>
      <c r="C585" s="559" t="s">
        <v>71</v>
      </c>
      <c r="D585" s="559" t="s">
        <v>170</v>
      </c>
      <c r="E585" s="560" t="s">
        <v>158</v>
      </c>
      <c r="F585" s="561">
        <v>77</v>
      </c>
      <c r="G585" s="562">
        <v>14.25</v>
      </c>
      <c r="H585" s="562">
        <v>17.76</v>
      </c>
      <c r="I585" s="569">
        <v>1367.52</v>
      </c>
      <c r="J585" s="567">
        <f t="shared" si="65"/>
        <v>0</v>
      </c>
      <c r="K585" s="570">
        <f t="shared" si="60"/>
        <v>1367.52</v>
      </c>
    </row>
    <row r="586" customHeight="1" spans="1:11">
      <c r="A586" s="559" t="s">
        <v>1550</v>
      </c>
      <c r="B586" s="559" t="s">
        <v>172</v>
      </c>
      <c r="C586" s="559" t="s">
        <v>71</v>
      </c>
      <c r="D586" s="559" t="s">
        <v>173</v>
      </c>
      <c r="E586" s="560" t="s">
        <v>158</v>
      </c>
      <c r="F586" s="561">
        <v>10</v>
      </c>
      <c r="G586" s="562">
        <v>12.01</v>
      </c>
      <c r="H586" s="562">
        <v>14.97</v>
      </c>
      <c r="I586" s="569">
        <v>149.7</v>
      </c>
      <c r="J586" s="567">
        <f t="shared" si="65"/>
        <v>0</v>
      </c>
      <c r="K586" s="570">
        <f t="shared" si="60"/>
        <v>149.7</v>
      </c>
    </row>
    <row r="587" customHeight="1" spans="1:11">
      <c r="A587" s="559" t="s">
        <v>1551</v>
      </c>
      <c r="B587" s="559" t="s">
        <v>1460</v>
      </c>
      <c r="C587" s="559" t="s">
        <v>76</v>
      </c>
      <c r="D587" s="559" t="s">
        <v>1461</v>
      </c>
      <c r="E587" s="560" t="s">
        <v>129</v>
      </c>
      <c r="F587" s="561">
        <v>1.76</v>
      </c>
      <c r="G587" s="562">
        <v>808.65</v>
      </c>
      <c r="H587" s="562">
        <v>1008.06</v>
      </c>
      <c r="I587" s="569">
        <v>1774.18</v>
      </c>
      <c r="J587" s="567">
        <f t="shared" si="65"/>
        <v>0</v>
      </c>
      <c r="K587" s="570">
        <f t="shared" si="60"/>
        <v>1774.18</v>
      </c>
    </row>
    <row r="588" customHeight="1" spans="1:11">
      <c r="A588" s="555" t="s">
        <v>1552</v>
      </c>
      <c r="B588" s="555" t="s">
        <v>61</v>
      </c>
      <c r="C588" s="555"/>
      <c r="D588" s="555" t="s">
        <v>247</v>
      </c>
      <c r="E588" s="556"/>
      <c r="F588" s="557">
        <v>1</v>
      </c>
      <c r="G588" s="557" t="s">
        <v>62</v>
      </c>
      <c r="H588" s="558">
        <v>4519.82</v>
      </c>
      <c r="I588" s="566">
        <v>4519.82</v>
      </c>
      <c r="J588" s="575"/>
      <c r="K588" s="568">
        <f>SUM(K589:K593)</f>
        <v>4519.82</v>
      </c>
    </row>
    <row r="589" customHeight="1" spans="1:11">
      <c r="A589" s="559" t="s">
        <v>1553</v>
      </c>
      <c r="B589" s="559" t="s">
        <v>249</v>
      </c>
      <c r="C589" s="559" t="s">
        <v>71</v>
      </c>
      <c r="D589" s="559" t="s">
        <v>250</v>
      </c>
      <c r="E589" s="560" t="s">
        <v>73</v>
      </c>
      <c r="F589" s="561">
        <v>7.22</v>
      </c>
      <c r="G589" s="562">
        <v>73.76</v>
      </c>
      <c r="H589" s="562">
        <v>91.94</v>
      </c>
      <c r="I589" s="569">
        <v>663.8</v>
      </c>
      <c r="J589" s="567">
        <f t="shared" si="65"/>
        <v>0</v>
      </c>
      <c r="K589" s="570">
        <f t="shared" si="60"/>
        <v>663.8</v>
      </c>
    </row>
    <row r="590" customHeight="1" spans="1:11">
      <c r="A590" s="559" t="s">
        <v>1554</v>
      </c>
      <c r="B590" s="559" t="s">
        <v>1460</v>
      </c>
      <c r="C590" s="559" t="s">
        <v>76</v>
      </c>
      <c r="D590" s="559" t="s">
        <v>1461</v>
      </c>
      <c r="E590" s="560" t="s">
        <v>129</v>
      </c>
      <c r="F590" s="561">
        <v>0.87</v>
      </c>
      <c r="G590" s="562">
        <v>808.65</v>
      </c>
      <c r="H590" s="562">
        <v>1008.06</v>
      </c>
      <c r="I590" s="569">
        <v>877.01</v>
      </c>
      <c r="J590" s="567">
        <f t="shared" ref="J590:J599" si="66">$I$626</f>
        <v>0</v>
      </c>
      <c r="K590" s="570">
        <f t="shared" si="60"/>
        <v>877.01</v>
      </c>
    </row>
    <row r="591" customHeight="1" spans="1:11">
      <c r="A591" s="559" t="s">
        <v>1555</v>
      </c>
      <c r="B591" s="559" t="s">
        <v>252</v>
      </c>
      <c r="C591" s="559" t="s">
        <v>71</v>
      </c>
      <c r="D591" s="559" t="s">
        <v>253</v>
      </c>
      <c r="E591" s="560" t="s">
        <v>158</v>
      </c>
      <c r="F591" s="561">
        <v>34</v>
      </c>
      <c r="G591" s="562">
        <v>15.37</v>
      </c>
      <c r="H591" s="562">
        <v>19.16</v>
      </c>
      <c r="I591" s="569">
        <v>651.44</v>
      </c>
      <c r="J591" s="567">
        <f t="shared" si="66"/>
        <v>0</v>
      </c>
      <c r="K591" s="570">
        <f t="shared" si="60"/>
        <v>651.44</v>
      </c>
    </row>
    <row r="592" customHeight="1" spans="1:11">
      <c r="A592" s="559" t="s">
        <v>1556</v>
      </c>
      <c r="B592" s="559" t="s">
        <v>255</v>
      </c>
      <c r="C592" s="559" t="s">
        <v>71</v>
      </c>
      <c r="D592" s="559" t="s">
        <v>256</v>
      </c>
      <c r="E592" s="560" t="s">
        <v>158</v>
      </c>
      <c r="F592" s="561">
        <v>18</v>
      </c>
      <c r="G592" s="562">
        <v>14.11</v>
      </c>
      <c r="H592" s="562">
        <v>17.58</v>
      </c>
      <c r="I592" s="569">
        <v>316.44</v>
      </c>
      <c r="J592" s="567">
        <f t="shared" si="66"/>
        <v>0</v>
      </c>
      <c r="K592" s="570">
        <f t="shared" si="60"/>
        <v>316.44</v>
      </c>
    </row>
    <row r="593" customHeight="1" spans="1:11">
      <c r="A593" s="559" t="s">
        <v>1557</v>
      </c>
      <c r="B593" s="559" t="s">
        <v>1558</v>
      </c>
      <c r="C593" s="559" t="s">
        <v>71</v>
      </c>
      <c r="D593" s="559" t="s">
        <v>1559</v>
      </c>
      <c r="E593" s="560" t="s">
        <v>73</v>
      </c>
      <c r="F593" s="561">
        <v>8.55</v>
      </c>
      <c r="G593" s="562">
        <v>188.69</v>
      </c>
      <c r="H593" s="562">
        <v>235.22</v>
      </c>
      <c r="I593" s="569">
        <v>2011.13</v>
      </c>
      <c r="J593" s="567">
        <f t="shared" si="66"/>
        <v>0</v>
      </c>
      <c r="K593" s="570">
        <f t="shared" si="60"/>
        <v>2011.13</v>
      </c>
    </row>
    <row r="594" customHeight="1" spans="1:11">
      <c r="A594" s="555" t="s">
        <v>1560</v>
      </c>
      <c r="B594" s="555" t="s">
        <v>61</v>
      </c>
      <c r="C594" s="555"/>
      <c r="D594" s="555" t="s">
        <v>1466</v>
      </c>
      <c r="E594" s="556"/>
      <c r="F594" s="557">
        <v>1</v>
      </c>
      <c r="G594" s="557" t="s">
        <v>62</v>
      </c>
      <c r="H594" s="558">
        <v>9692.94</v>
      </c>
      <c r="I594" s="566">
        <v>9692.94</v>
      </c>
      <c r="J594" s="575"/>
      <c r="K594" s="568">
        <f>SUM(K595:K600)</f>
        <v>9692.94</v>
      </c>
    </row>
    <row r="595" customHeight="1" spans="1:11">
      <c r="A595" s="559" t="s">
        <v>1561</v>
      </c>
      <c r="B595" s="559" t="s">
        <v>209</v>
      </c>
      <c r="C595" s="559" t="s">
        <v>71</v>
      </c>
      <c r="D595" s="559" t="s">
        <v>210</v>
      </c>
      <c r="E595" s="560" t="s">
        <v>73</v>
      </c>
      <c r="F595" s="561">
        <v>13.43</v>
      </c>
      <c r="G595" s="562">
        <v>129.51</v>
      </c>
      <c r="H595" s="562">
        <v>161.44</v>
      </c>
      <c r="I595" s="569">
        <v>2168.13</v>
      </c>
      <c r="J595" s="567">
        <f t="shared" si="66"/>
        <v>0</v>
      </c>
      <c r="K595" s="570">
        <f>I595-(I595*J595)</f>
        <v>2168.13</v>
      </c>
    </row>
    <row r="596" customHeight="1" spans="1:11">
      <c r="A596" s="559" t="s">
        <v>1562</v>
      </c>
      <c r="B596" s="559" t="s">
        <v>235</v>
      </c>
      <c r="C596" s="559" t="s">
        <v>71</v>
      </c>
      <c r="D596" s="559" t="s">
        <v>236</v>
      </c>
      <c r="E596" s="560" t="s">
        <v>73</v>
      </c>
      <c r="F596" s="561">
        <v>12.27</v>
      </c>
      <c r="G596" s="562">
        <v>175.44</v>
      </c>
      <c r="H596" s="562">
        <v>218.7</v>
      </c>
      <c r="I596" s="569">
        <v>2683.44</v>
      </c>
      <c r="J596" s="567">
        <f t="shared" si="66"/>
        <v>0</v>
      </c>
      <c r="K596" s="570">
        <f>I596-(I596*J596)</f>
        <v>2683.44</v>
      </c>
    </row>
    <row r="597" customHeight="1" spans="1:11">
      <c r="A597" s="559" t="s">
        <v>1563</v>
      </c>
      <c r="B597" s="559" t="s">
        <v>1460</v>
      </c>
      <c r="C597" s="559" t="s">
        <v>76</v>
      </c>
      <c r="D597" s="559" t="s">
        <v>1461</v>
      </c>
      <c r="E597" s="560" t="s">
        <v>129</v>
      </c>
      <c r="F597" s="561">
        <v>1.91</v>
      </c>
      <c r="G597" s="562">
        <v>808.65</v>
      </c>
      <c r="H597" s="562">
        <v>1008.06</v>
      </c>
      <c r="I597" s="569">
        <v>1925.39</v>
      </c>
      <c r="J597" s="567">
        <f t="shared" si="66"/>
        <v>0</v>
      </c>
      <c r="K597" s="570">
        <f>I597-(I597*J597)</f>
        <v>1925.39</v>
      </c>
    </row>
    <row r="598" customHeight="1" spans="1:11">
      <c r="A598" s="559" t="s">
        <v>1564</v>
      </c>
      <c r="B598" s="559" t="s">
        <v>212</v>
      </c>
      <c r="C598" s="559" t="s">
        <v>71</v>
      </c>
      <c r="D598" s="559" t="s">
        <v>213</v>
      </c>
      <c r="E598" s="560" t="s">
        <v>158</v>
      </c>
      <c r="F598" s="561">
        <v>48</v>
      </c>
      <c r="G598" s="562">
        <v>16.13</v>
      </c>
      <c r="H598" s="562">
        <v>20.1</v>
      </c>
      <c r="I598" s="569">
        <v>964.8</v>
      </c>
      <c r="J598" s="567">
        <f t="shared" si="66"/>
        <v>0</v>
      </c>
      <c r="K598" s="570">
        <f>I598-(I598*J598)</f>
        <v>964.8</v>
      </c>
    </row>
    <row r="599" customHeight="1" spans="1:11">
      <c r="A599" s="559" t="s">
        <v>1565</v>
      </c>
      <c r="B599" s="559" t="s">
        <v>221</v>
      </c>
      <c r="C599" s="559" t="s">
        <v>71</v>
      </c>
      <c r="D599" s="559" t="s">
        <v>222</v>
      </c>
      <c r="E599" s="560" t="s">
        <v>158</v>
      </c>
      <c r="F599" s="561">
        <v>121</v>
      </c>
      <c r="G599" s="562">
        <v>12.03</v>
      </c>
      <c r="H599" s="562">
        <v>14.99</v>
      </c>
      <c r="I599" s="569">
        <v>1813.79</v>
      </c>
      <c r="J599" s="567">
        <f t="shared" si="66"/>
        <v>0</v>
      </c>
      <c r="K599" s="570">
        <f>I599-(I599*J599)</f>
        <v>1813.79</v>
      </c>
    </row>
    <row r="600" customHeight="1" spans="1:11">
      <c r="A600" s="559" t="s">
        <v>1566</v>
      </c>
      <c r="B600" s="559" t="s">
        <v>224</v>
      </c>
      <c r="C600" s="559" t="s">
        <v>71</v>
      </c>
      <c r="D600" s="559" t="s">
        <v>225</v>
      </c>
      <c r="E600" s="560" t="s">
        <v>158</v>
      </c>
      <c r="F600" s="561">
        <v>11</v>
      </c>
      <c r="G600" s="562">
        <v>10.02</v>
      </c>
      <c r="H600" s="562">
        <v>12.49</v>
      </c>
      <c r="I600" s="569">
        <v>137.39</v>
      </c>
      <c r="J600" s="567">
        <f t="shared" ref="J600:J609" si="67">$I$626</f>
        <v>0</v>
      </c>
      <c r="K600" s="570">
        <f>I600-(I600*J600)</f>
        <v>137.39</v>
      </c>
    </row>
    <row r="601" customHeight="1" spans="1:11">
      <c r="A601" s="555" t="s">
        <v>1567</v>
      </c>
      <c r="B601" s="555" t="s">
        <v>61</v>
      </c>
      <c r="C601" s="555"/>
      <c r="D601" s="555" t="s">
        <v>279</v>
      </c>
      <c r="E601" s="556"/>
      <c r="F601" s="557">
        <v>1</v>
      </c>
      <c r="G601" s="557" t="s">
        <v>62</v>
      </c>
      <c r="H601" s="558">
        <v>1721.12</v>
      </c>
      <c r="I601" s="566">
        <v>1721.12</v>
      </c>
      <c r="J601" s="575"/>
      <c r="K601" s="568">
        <f>SUM(K602:K605)</f>
        <v>1721.12</v>
      </c>
    </row>
    <row r="602" customHeight="1" spans="1:11">
      <c r="A602" s="559" t="s">
        <v>1568</v>
      </c>
      <c r="B602" s="559" t="s">
        <v>281</v>
      </c>
      <c r="C602" s="559" t="s">
        <v>71</v>
      </c>
      <c r="D602" s="559" t="s">
        <v>282</v>
      </c>
      <c r="E602" s="560" t="s">
        <v>73</v>
      </c>
      <c r="F602" s="561">
        <v>1.55</v>
      </c>
      <c r="G602" s="562">
        <v>511.61</v>
      </c>
      <c r="H602" s="562">
        <v>637.77</v>
      </c>
      <c r="I602" s="569">
        <v>988.54</v>
      </c>
      <c r="J602" s="567">
        <f t="shared" si="67"/>
        <v>0</v>
      </c>
      <c r="K602" s="570">
        <f>I602-(I602*J602)</f>
        <v>988.54</v>
      </c>
    </row>
    <row r="603" customHeight="1" spans="1:11">
      <c r="A603" s="559" t="s">
        <v>1569</v>
      </c>
      <c r="B603" s="559" t="s">
        <v>1460</v>
      </c>
      <c r="C603" s="559" t="s">
        <v>76</v>
      </c>
      <c r="D603" s="559" t="s">
        <v>1461</v>
      </c>
      <c r="E603" s="560" t="s">
        <v>129</v>
      </c>
      <c r="F603" s="561">
        <v>0.25</v>
      </c>
      <c r="G603" s="562">
        <v>808.65</v>
      </c>
      <c r="H603" s="562">
        <v>1008.06</v>
      </c>
      <c r="I603" s="569">
        <v>252.01</v>
      </c>
      <c r="J603" s="567">
        <f t="shared" si="67"/>
        <v>0</v>
      </c>
      <c r="K603" s="570">
        <f>I603-(I603*J603)</f>
        <v>252.01</v>
      </c>
    </row>
    <row r="604" customHeight="1" spans="1:11">
      <c r="A604" s="559" t="s">
        <v>1570</v>
      </c>
      <c r="B604" s="559" t="s">
        <v>290</v>
      </c>
      <c r="C604" s="559" t="s">
        <v>71</v>
      </c>
      <c r="D604" s="559" t="s">
        <v>291</v>
      </c>
      <c r="E604" s="560" t="s">
        <v>158</v>
      </c>
      <c r="F604" s="561">
        <v>7</v>
      </c>
      <c r="G604" s="562">
        <v>18.46</v>
      </c>
      <c r="H604" s="562">
        <v>23.01</v>
      </c>
      <c r="I604" s="569">
        <v>161.07</v>
      </c>
      <c r="J604" s="567">
        <f t="shared" si="67"/>
        <v>0</v>
      </c>
      <c r="K604" s="570">
        <f>I604-(I604*J604)</f>
        <v>161.07</v>
      </c>
    </row>
    <row r="605" customHeight="1" spans="1:11">
      <c r="A605" s="559" t="s">
        <v>1571</v>
      </c>
      <c r="B605" s="559" t="s">
        <v>293</v>
      </c>
      <c r="C605" s="559" t="s">
        <v>71</v>
      </c>
      <c r="D605" s="559" t="s">
        <v>294</v>
      </c>
      <c r="E605" s="560" t="s">
        <v>158</v>
      </c>
      <c r="F605" s="561">
        <v>18</v>
      </c>
      <c r="G605" s="562">
        <v>14.24</v>
      </c>
      <c r="H605" s="562">
        <v>17.75</v>
      </c>
      <c r="I605" s="569">
        <v>319.5</v>
      </c>
      <c r="J605" s="567">
        <f t="shared" si="67"/>
        <v>0</v>
      </c>
      <c r="K605" s="570">
        <f>I605-(I605*J605)</f>
        <v>319.5</v>
      </c>
    </row>
    <row r="606" customHeight="1" spans="1:11">
      <c r="A606" s="555" t="s">
        <v>1572</v>
      </c>
      <c r="B606" s="555" t="s">
        <v>61</v>
      </c>
      <c r="C606" s="555"/>
      <c r="D606" s="555" t="s">
        <v>47</v>
      </c>
      <c r="E606" s="556"/>
      <c r="F606" s="557">
        <v>1</v>
      </c>
      <c r="G606" s="557" t="s">
        <v>62</v>
      </c>
      <c r="H606" s="558">
        <v>112892.63</v>
      </c>
      <c r="I606" s="566">
        <v>112892.63</v>
      </c>
      <c r="J606" s="575"/>
      <c r="K606" s="568">
        <f>SUM(K607:K618)</f>
        <v>112892.63</v>
      </c>
    </row>
    <row r="607" customHeight="1" spans="1:11">
      <c r="A607" s="559" t="s">
        <v>1573</v>
      </c>
      <c r="B607" s="559" t="s">
        <v>147</v>
      </c>
      <c r="C607" s="559" t="s">
        <v>71</v>
      </c>
      <c r="D607" s="559" t="s">
        <v>148</v>
      </c>
      <c r="E607" s="560" t="s">
        <v>129</v>
      </c>
      <c r="F607" s="561">
        <v>4.9</v>
      </c>
      <c r="G607" s="562">
        <v>126.82</v>
      </c>
      <c r="H607" s="562">
        <v>158.09</v>
      </c>
      <c r="I607" s="569">
        <v>774.64</v>
      </c>
      <c r="J607" s="567">
        <f t="shared" si="67"/>
        <v>0</v>
      </c>
      <c r="K607" s="570">
        <f>I607-(I607*J607)</f>
        <v>774.64</v>
      </c>
    </row>
    <row r="608" customHeight="1" spans="1:11">
      <c r="A608" s="559" t="s">
        <v>1574</v>
      </c>
      <c r="B608" s="559" t="s">
        <v>1455</v>
      </c>
      <c r="C608" s="559" t="s">
        <v>71</v>
      </c>
      <c r="D608" s="559" t="s">
        <v>1456</v>
      </c>
      <c r="E608" s="560" t="s">
        <v>73</v>
      </c>
      <c r="F608" s="561">
        <v>6.1</v>
      </c>
      <c r="G608" s="562">
        <v>223.64</v>
      </c>
      <c r="H608" s="562">
        <v>278.78</v>
      </c>
      <c r="I608" s="569">
        <v>1700.55</v>
      </c>
      <c r="J608" s="567">
        <f t="shared" si="67"/>
        <v>0</v>
      </c>
      <c r="K608" s="570">
        <f>I608-(I608*J608)</f>
        <v>1700.55</v>
      </c>
    </row>
    <row r="609" customHeight="1" spans="1:11">
      <c r="A609" s="559" t="s">
        <v>1575</v>
      </c>
      <c r="B609" s="559" t="s">
        <v>169</v>
      </c>
      <c r="C609" s="559" t="s">
        <v>71</v>
      </c>
      <c r="D609" s="559" t="s">
        <v>170</v>
      </c>
      <c r="E609" s="560" t="s">
        <v>158</v>
      </c>
      <c r="F609" s="561">
        <v>190.4</v>
      </c>
      <c r="G609" s="562">
        <v>14.25</v>
      </c>
      <c r="H609" s="562">
        <v>17.76</v>
      </c>
      <c r="I609" s="569">
        <v>3381.5</v>
      </c>
      <c r="J609" s="567">
        <f t="shared" si="67"/>
        <v>0</v>
      </c>
      <c r="K609" s="570">
        <f>I609-(I609*J609)</f>
        <v>3381.5</v>
      </c>
    </row>
    <row r="610" customHeight="1" spans="1:11">
      <c r="A610" s="559" t="s">
        <v>1576</v>
      </c>
      <c r="B610" s="559" t="s">
        <v>249</v>
      </c>
      <c r="C610" s="559" t="s">
        <v>71</v>
      </c>
      <c r="D610" s="559" t="s">
        <v>250</v>
      </c>
      <c r="E610" s="560" t="s">
        <v>73</v>
      </c>
      <c r="F610" s="561">
        <v>3.39</v>
      </c>
      <c r="G610" s="562">
        <v>73.76</v>
      </c>
      <c r="H610" s="562">
        <v>91.94</v>
      </c>
      <c r="I610" s="569">
        <v>311.67</v>
      </c>
      <c r="J610" s="567">
        <f t="shared" ref="J610:J621" si="68">$I$626</f>
        <v>0</v>
      </c>
      <c r="K610" s="570">
        <f>I610-(I610*J610)</f>
        <v>311.67</v>
      </c>
    </row>
    <row r="611" customHeight="1" spans="1:11">
      <c r="A611" s="559" t="s">
        <v>1577</v>
      </c>
      <c r="B611" s="559" t="s">
        <v>255</v>
      </c>
      <c r="C611" s="559" t="s">
        <v>71</v>
      </c>
      <c r="D611" s="559" t="s">
        <v>256</v>
      </c>
      <c r="E611" s="560" t="s">
        <v>158</v>
      </c>
      <c r="F611" s="561">
        <v>126.1</v>
      </c>
      <c r="G611" s="562">
        <v>14.11</v>
      </c>
      <c r="H611" s="562">
        <v>17.58</v>
      </c>
      <c r="I611" s="569">
        <v>2216.83</v>
      </c>
      <c r="J611" s="567">
        <f t="shared" si="68"/>
        <v>0</v>
      </c>
      <c r="K611" s="570">
        <f>I611-(I611*J611)</f>
        <v>2216.83</v>
      </c>
    </row>
    <row r="612" customHeight="1" spans="1:11">
      <c r="A612" s="559" t="s">
        <v>1578</v>
      </c>
      <c r="B612" s="559" t="s">
        <v>209</v>
      </c>
      <c r="C612" s="559" t="s">
        <v>71</v>
      </c>
      <c r="D612" s="559" t="s">
        <v>210</v>
      </c>
      <c r="E612" s="560" t="s">
        <v>73</v>
      </c>
      <c r="F612" s="561">
        <v>38.9</v>
      </c>
      <c r="G612" s="562">
        <v>129.51</v>
      </c>
      <c r="H612" s="562">
        <v>161.44</v>
      </c>
      <c r="I612" s="569">
        <v>6280.01</v>
      </c>
      <c r="J612" s="567">
        <f t="shared" si="68"/>
        <v>0</v>
      </c>
      <c r="K612" s="570">
        <f>I612-(I612*J612)</f>
        <v>6280.01</v>
      </c>
    </row>
    <row r="613" customHeight="1" spans="1:11">
      <c r="A613" s="559" t="s">
        <v>1579</v>
      </c>
      <c r="B613" s="559" t="s">
        <v>235</v>
      </c>
      <c r="C613" s="559" t="s">
        <v>71</v>
      </c>
      <c r="D613" s="559" t="s">
        <v>236</v>
      </c>
      <c r="E613" s="560" t="s">
        <v>73</v>
      </c>
      <c r="F613" s="561">
        <v>166.1</v>
      </c>
      <c r="G613" s="562">
        <v>175.44</v>
      </c>
      <c r="H613" s="562">
        <v>218.7</v>
      </c>
      <c r="I613" s="569">
        <v>36326.07</v>
      </c>
      <c r="J613" s="567">
        <f t="shared" si="68"/>
        <v>0</v>
      </c>
      <c r="K613" s="570">
        <f>I613-(I613*J613)</f>
        <v>36326.07</v>
      </c>
    </row>
    <row r="614" customHeight="1" spans="1:11">
      <c r="A614" s="559" t="s">
        <v>1580</v>
      </c>
      <c r="B614" s="559" t="s">
        <v>255</v>
      </c>
      <c r="C614" s="559" t="s">
        <v>71</v>
      </c>
      <c r="D614" s="559" t="s">
        <v>256</v>
      </c>
      <c r="E614" s="560" t="s">
        <v>158</v>
      </c>
      <c r="F614" s="561">
        <v>142</v>
      </c>
      <c r="G614" s="562">
        <v>14.11</v>
      </c>
      <c r="H614" s="562">
        <v>17.58</v>
      </c>
      <c r="I614" s="569">
        <v>2496.36</v>
      </c>
      <c r="J614" s="567">
        <f t="shared" si="68"/>
        <v>0</v>
      </c>
      <c r="K614" s="570">
        <f>I614-(I614*J614)</f>
        <v>2496.36</v>
      </c>
    </row>
    <row r="615" customHeight="1" spans="1:11">
      <c r="A615" s="559" t="s">
        <v>1581</v>
      </c>
      <c r="B615" s="559" t="s">
        <v>224</v>
      </c>
      <c r="C615" s="559" t="s">
        <v>71</v>
      </c>
      <c r="D615" s="559" t="s">
        <v>225</v>
      </c>
      <c r="E615" s="560" t="s">
        <v>158</v>
      </c>
      <c r="F615" s="561">
        <v>498.2</v>
      </c>
      <c r="G615" s="562">
        <v>10.02</v>
      </c>
      <c r="H615" s="562">
        <v>12.49</v>
      </c>
      <c r="I615" s="569">
        <v>6222.51</v>
      </c>
      <c r="J615" s="567">
        <f t="shared" si="68"/>
        <v>0</v>
      </c>
      <c r="K615" s="570">
        <f>I615-(I615*J615)</f>
        <v>6222.51</v>
      </c>
    </row>
    <row r="616" customHeight="1" spans="1:11">
      <c r="A616" s="559" t="s">
        <v>1582</v>
      </c>
      <c r="B616" s="559" t="s">
        <v>227</v>
      </c>
      <c r="C616" s="559" t="s">
        <v>71</v>
      </c>
      <c r="D616" s="559" t="s">
        <v>228</v>
      </c>
      <c r="E616" s="560" t="s">
        <v>158</v>
      </c>
      <c r="F616" s="561">
        <v>118.8</v>
      </c>
      <c r="G616" s="562">
        <v>9.61</v>
      </c>
      <c r="H616" s="562">
        <v>11.97</v>
      </c>
      <c r="I616" s="569">
        <v>1422.03</v>
      </c>
      <c r="J616" s="567">
        <f t="shared" si="68"/>
        <v>0</v>
      </c>
      <c r="K616" s="570">
        <f>I616-(I616*J616)</f>
        <v>1422.03</v>
      </c>
    </row>
    <row r="617" customHeight="1" spans="1:11">
      <c r="A617" s="559" t="s">
        <v>1583</v>
      </c>
      <c r="B617" s="559" t="s">
        <v>1460</v>
      </c>
      <c r="C617" s="559" t="s">
        <v>76</v>
      </c>
      <c r="D617" s="559" t="s">
        <v>1461</v>
      </c>
      <c r="E617" s="560" t="s">
        <v>129</v>
      </c>
      <c r="F617" s="561">
        <v>36.1</v>
      </c>
      <c r="G617" s="562">
        <v>808.65</v>
      </c>
      <c r="H617" s="562">
        <v>1008.06</v>
      </c>
      <c r="I617" s="569">
        <v>36390.96</v>
      </c>
      <c r="J617" s="567">
        <f t="shared" si="68"/>
        <v>0</v>
      </c>
      <c r="K617" s="570">
        <f>I617-(I617*J617)</f>
        <v>36390.96</v>
      </c>
    </row>
    <row r="618" customHeight="1" spans="1:11">
      <c r="A618" s="559" t="s">
        <v>1584</v>
      </c>
      <c r="B618" s="559" t="s">
        <v>169</v>
      </c>
      <c r="C618" s="559" t="s">
        <v>71</v>
      </c>
      <c r="D618" s="559" t="s">
        <v>170</v>
      </c>
      <c r="E618" s="560" t="s">
        <v>158</v>
      </c>
      <c r="F618" s="561">
        <v>865.4</v>
      </c>
      <c r="G618" s="562">
        <v>14.25</v>
      </c>
      <c r="H618" s="562">
        <v>17.76</v>
      </c>
      <c r="I618" s="569">
        <v>15369.5</v>
      </c>
      <c r="J618" s="567">
        <f t="shared" si="68"/>
        <v>0</v>
      </c>
      <c r="K618" s="570">
        <f>I618-(I618*J618)</f>
        <v>15369.5</v>
      </c>
    </row>
    <row r="619" customHeight="1" spans="1:11">
      <c r="A619" s="555" t="s">
        <v>1585</v>
      </c>
      <c r="B619" s="555" t="s">
        <v>61</v>
      </c>
      <c r="C619" s="555"/>
      <c r="D619" s="555" t="s">
        <v>48</v>
      </c>
      <c r="E619" s="556"/>
      <c r="F619" s="557">
        <v>1</v>
      </c>
      <c r="G619" s="557" t="s">
        <v>62</v>
      </c>
      <c r="H619" s="558">
        <v>64442.98</v>
      </c>
      <c r="I619" s="566">
        <v>64442.98</v>
      </c>
      <c r="J619" s="575"/>
      <c r="K619" s="568">
        <f>SUM(K620:K621)</f>
        <v>64442.98</v>
      </c>
    </row>
    <row r="620" customHeight="1" spans="1:11">
      <c r="A620" s="559" t="s">
        <v>1586</v>
      </c>
      <c r="B620" s="559" t="s">
        <v>1587</v>
      </c>
      <c r="C620" s="559" t="s">
        <v>65</v>
      </c>
      <c r="D620" s="559" t="s">
        <v>1588</v>
      </c>
      <c r="E620" s="560" t="s">
        <v>67</v>
      </c>
      <c r="F620" s="561">
        <v>851.28</v>
      </c>
      <c r="G620" s="562">
        <v>60.68</v>
      </c>
      <c r="H620" s="562">
        <v>75.64</v>
      </c>
      <c r="I620" s="569">
        <v>64390.81</v>
      </c>
      <c r="J620" s="567">
        <f t="shared" si="68"/>
        <v>0</v>
      </c>
      <c r="K620" s="570">
        <f>I620-(I620*J620)</f>
        <v>64390.81</v>
      </c>
    </row>
    <row r="621" customHeight="1" spans="1:11">
      <c r="A621" s="559" t="s">
        <v>1589</v>
      </c>
      <c r="B621" s="559" t="s">
        <v>1590</v>
      </c>
      <c r="C621" s="559" t="s">
        <v>65</v>
      </c>
      <c r="D621" s="559" t="s">
        <v>1591</v>
      </c>
      <c r="E621" s="560" t="s">
        <v>67</v>
      </c>
      <c r="F621" s="561">
        <v>1</v>
      </c>
      <c r="G621" s="562">
        <v>41.85</v>
      </c>
      <c r="H621" s="562">
        <v>52.17</v>
      </c>
      <c r="I621" s="569">
        <v>52.17</v>
      </c>
      <c r="J621" s="567">
        <f t="shared" si="68"/>
        <v>0</v>
      </c>
      <c r="K621" s="570">
        <f>I621-(I621*J621)</f>
        <v>52.17</v>
      </c>
    </row>
    <row r="623" customHeight="1" spans="5:9">
      <c r="E623" s="577" t="s">
        <v>1592</v>
      </c>
      <c r="F623" s="578"/>
      <c r="G623" s="579">
        <v>6020501.6</v>
      </c>
      <c r="H623" s="578"/>
      <c r="I623" s="578"/>
    </row>
    <row r="624" customHeight="1" spans="5:9">
      <c r="E624" s="577" t="s">
        <v>1593</v>
      </c>
      <c r="F624" s="578"/>
      <c r="G624" s="579">
        <v>1484065.31</v>
      </c>
      <c r="H624" s="578"/>
      <c r="I624" s="578"/>
    </row>
    <row r="625" customHeight="1" spans="5:9">
      <c r="E625" s="577" t="s">
        <v>1594</v>
      </c>
      <c r="F625" s="578"/>
      <c r="G625" s="579">
        <v>7504566.91</v>
      </c>
      <c r="H625" s="578"/>
      <c r="I625" s="578"/>
    </row>
    <row r="626" customHeight="1" spans="7:9">
      <c r="G626" s="580" t="s">
        <v>1595</v>
      </c>
      <c r="H626" s="580"/>
      <c r="I626" s="582">
        <v>0</v>
      </c>
    </row>
    <row r="627" customHeight="1" spans="7:11">
      <c r="G627" s="581" t="s">
        <v>1596</v>
      </c>
      <c r="H627" s="581"/>
      <c r="I627" s="583">
        <f>G625-(G625*I626)</f>
        <v>7504566.91</v>
      </c>
      <c r="K627" s="584">
        <f>K619+K606+K581+K534+K523+K517+K495+K490+K477+K471+K454+K452+K424+K409+K398+K364+K353+K269+K246+K146+K129+K113+K67+K63+K42+K36+K23+K19+K17</f>
        <v>7504566.91</v>
      </c>
    </row>
  </sheetData>
  <mergeCells count="18">
    <mergeCell ref="A11:I11"/>
    <mergeCell ref="A12:D12"/>
    <mergeCell ref="E12:G12"/>
    <mergeCell ref="H12:I12"/>
    <mergeCell ref="A13:D13"/>
    <mergeCell ref="E13:G13"/>
    <mergeCell ref="H13:I13"/>
    <mergeCell ref="A14:D14"/>
    <mergeCell ref="A15:D15"/>
    <mergeCell ref="E623:F623"/>
    <mergeCell ref="G623:I623"/>
    <mergeCell ref="E624:F624"/>
    <mergeCell ref="G624:I624"/>
    <mergeCell ref="E625:F625"/>
    <mergeCell ref="G625:I625"/>
    <mergeCell ref="G626:H626"/>
    <mergeCell ref="G627:H627"/>
    <mergeCell ref="A1:I10"/>
  </mergeCells>
  <pageMargins left="0.7" right="0.7" top="0.75" bottom="0.75" header="0" footer="0"/>
  <pageSetup paperSize="9" scale="52" fitToHeight="0" orientation="portrait"/>
  <headerFooter>
    <oddFooter>&amp;L&amp;F&amp;C&amp;D&amp;R&amp;P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4"/>
  <sheetViews>
    <sheetView showGridLines="0" zoomScale="60" zoomScaleNormal="60" topLeftCell="A9" workbookViewId="0">
      <selection activeCell="S9" sqref="S$1:S$1048576"/>
    </sheetView>
  </sheetViews>
  <sheetFormatPr defaultColWidth="14.4380952380952" defaultRowHeight="15" customHeight="1"/>
  <cols>
    <col min="1" max="1" width="10.6666666666667" customWidth="1"/>
    <col min="2" max="2" width="20.6666666666667" customWidth="1"/>
    <col min="3" max="3" width="17.1047619047619" customWidth="1"/>
    <col min="4" max="4" width="15.3333333333333" customWidth="1"/>
    <col min="5" max="5" width="17" customWidth="1"/>
    <col min="6" max="6" width="16.6666666666667" customWidth="1"/>
    <col min="7" max="7" width="17.6666666666667" customWidth="1"/>
    <col min="8" max="8" width="14.3333333333333" customWidth="1"/>
    <col min="9" max="9" width="6.55238095238095" customWidth="1"/>
    <col min="10" max="13" width="17.4380952380952" customWidth="1"/>
    <col min="14" max="14" width="16.6666666666667" customWidth="1"/>
    <col min="15" max="16" width="17.4380952380952" customWidth="1"/>
    <col min="17" max="17" width="17.1047619047619" customWidth="1"/>
    <col min="18" max="18" width="20.552380952381" customWidth="1"/>
    <col min="19" max="24" width="8" customWidth="1"/>
  </cols>
  <sheetData>
    <row r="1" spans="1:26">
      <c r="A1" s="475"/>
      <c r="B1" s="202"/>
      <c r="C1" s="202"/>
      <c r="D1" s="202"/>
      <c r="E1" s="202"/>
      <c r="F1" s="202"/>
      <c r="G1" s="202"/>
      <c r="H1" s="202"/>
      <c r="I1" s="202"/>
      <c r="J1" s="256"/>
      <c r="K1" s="508"/>
      <c r="L1" s="508"/>
      <c r="M1" s="508"/>
      <c r="N1" s="508"/>
      <c r="O1" s="508"/>
      <c r="P1" s="508"/>
      <c r="Q1" s="508"/>
      <c r="R1" s="508"/>
      <c r="S1" s="508"/>
      <c r="T1" s="508"/>
      <c r="U1" s="508"/>
      <c r="V1" s="508"/>
      <c r="W1" s="508"/>
      <c r="X1" s="508"/>
      <c r="Y1" s="508"/>
      <c r="Z1" s="508"/>
    </row>
    <row r="2" spans="1:26">
      <c r="A2" s="203"/>
      <c r="J2" s="257"/>
      <c r="K2" s="508"/>
      <c r="L2" s="508"/>
      <c r="M2" s="508"/>
      <c r="N2" s="508"/>
      <c r="O2" s="508"/>
      <c r="P2" s="508"/>
      <c r="Q2" s="508"/>
      <c r="R2" s="508"/>
      <c r="S2" s="508"/>
      <c r="T2" s="508"/>
      <c r="U2" s="508"/>
      <c r="V2" s="508"/>
      <c r="W2" s="508"/>
      <c r="X2" s="508"/>
      <c r="Y2" s="508"/>
      <c r="Z2" s="508"/>
    </row>
    <row r="3" spans="1:26">
      <c r="A3" s="203"/>
      <c r="J3" s="257"/>
      <c r="K3" s="508"/>
      <c r="L3" s="508"/>
      <c r="M3" s="508"/>
      <c r="N3" s="508"/>
      <c r="O3" s="508"/>
      <c r="P3" s="508"/>
      <c r="Q3" s="508"/>
      <c r="R3" s="508"/>
      <c r="S3" s="508"/>
      <c r="T3" s="508"/>
      <c r="U3" s="508"/>
      <c r="V3" s="508"/>
      <c r="W3" s="508"/>
      <c r="X3" s="508"/>
      <c r="Y3" s="508"/>
      <c r="Z3" s="508"/>
    </row>
    <row r="4" spans="1:26">
      <c r="A4" s="203"/>
      <c r="J4" s="257"/>
      <c r="K4" s="508"/>
      <c r="L4" s="508"/>
      <c r="M4" s="508"/>
      <c r="N4" s="508"/>
      <c r="O4" s="508"/>
      <c r="P4" s="508"/>
      <c r="Q4" s="508"/>
      <c r="R4" s="508"/>
      <c r="S4" s="508"/>
      <c r="T4" s="508"/>
      <c r="U4" s="508"/>
      <c r="V4" s="508"/>
      <c r="W4" s="508"/>
      <c r="X4" s="508"/>
      <c r="Y4" s="508"/>
      <c r="Z4" s="508"/>
    </row>
    <row r="5" spans="1:26">
      <c r="A5" s="203"/>
      <c r="J5" s="257"/>
      <c r="K5" s="508"/>
      <c r="L5" s="508"/>
      <c r="M5" s="508"/>
      <c r="N5" s="508"/>
      <c r="O5" s="508"/>
      <c r="P5" s="508"/>
      <c r="Q5" s="508"/>
      <c r="R5" s="508"/>
      <c r="S5" s="508"/>
      <c r="T5" s="508"/>
      <c r="U5" s="508"/>
      <c r="V5" s="508"/>
      <c r="W5" s="508"/>
      <c r="X5" s="508"/>
      <c r="Y5" s="508"/>
      <c r="Z5" s="508"/>
    </row>
    <row r="6" spans="1:26">
      <c r="A6" s="203"/>
      <c r="J6" s="257"/>
      <c r="K6" s="508"/>
      <c r="L6" s="508"/>
      <c r="M6" s="508"/>
      <c r="N6" s="508"/>
      <c r="O6" s="508"/>
      <c r="P6" s="508"/>
      <c r="Q6" s="508"/>
      <c r="R6" s="508"/>
      <c r="S6" s="508"/>
      <c r="T6" s="508"/>
      <c r="U6" s="508"/>
      <c r="V6" s="508"/>
      <c r="W6" s="508"/>
      <c r="X6" s="508"/>
      <c r="Y6" s="508"/>
      <c r="Z6" s="508"/>
    </row>
    <row r="7" spans="1:26">
      <c r="A7" s="203"/>
      <c r="J7" s="257"/>
      <c r="K7" s="508"/>
      <c r="L7" s="508"/>
      <c r="M7" s="508"/>
      <c r="N7" s="508"/>
      <c r="O7" s="508"/>
      <c r="P7" s="508"/>
      <c r="Q7" s="508"/>
      <c r="R7" s="508"/>
      <c r="S7" s="508"/>
      <c r="T7" s="508"/>
      <c r="U7" s="508"/>
      <c r="V7" s="508"/>
      <c r="W7" s="508"/>
      <c r="X7" s="508"/>
      <c r="Y7" s="508"/>
      <c r="Z7" s="508"/>
    </row>
    <row r="8" spans="1:26">
      <c r="A8" s="203"/>
      <c r="J8" s="257"/>
      <c r="K8" s="508"/>
      <c r="L8" s="508"/>
      <c r="M8" s="508"/>
      <c r="N8" s="508"/>
      <c r="O8" s="508"/>
      <c r="P8" s="508"/>
      <c r="Q8" s="508"/>
      <c r="R8" s="508"/>
      <c r="S8" s="508"/>
      <c r="T8" s="508"/>
      <c r="U8" s="508"/>
      <c r="V8" s="508"/>
      <c r="W8" s="508"/>
      <c r="X8" s="508"/>
      <c r="Y8" s="508"/>
      <c r="Z8" s="508"/>
    </row>
    <row r="9" spans="1:26">
      <c r="A9" s="203"/>
      <c r="J9" s="257"/>
      <c r="K9" s="508"/>
      <c r="L9" s="508"/>
      <c r="M9" s="508"/>
      <c r="N9" s="508"/>
      <c r="O9" s="508"/>
      <c r="P9" s="508"/>
      <c r="Q9" s="508"/>
      <c r="R9" s="508"/>
      <c r="S9" s="508"/>
      <c r="T9" s="508"/>
      <c r="U9" s="508"/>
      <c r="V9" s="508"/>
      <c r="W9" s="508"/>
      <c r="X9" s="508"/>
      <c r="Y9" s="508"/>
      <c r="Z9" s="508"/>
    </row>
    <row r="10" ht="15.75" spans="1:26">
      <c r="A10" s="204"/>
      <c r="B10" s="205"/>
      <c r="C10" s="205"/>
      <c r="D10" s="205"/>
      <c r="E10" s="205"/>
      <c r="F10" s="205"/>
      <c r="G10" s="205"/>
      <c r="H10" s="205"/>
      <c r="I10" s="205"/>
      <c r="J10" s="258"/>
      <c r="K10" s="508"/>
      <c r="L10" s="508"/>
      <c r="M10" s="508"/>
      <c r="N10" s="508"/>
      <c r="O10" s="508"/>
      <c r="P10" s="508"/>
      <c r="Q10" s="508"/>
      <c r="R10" s="508"/>
      <c r="S10" s="508"/>
      <c r="T10" s="508"/>
      <c r="U10" s="508"/>
      <c r="V10" s="508"/>
      <c r="W10" s="508"/>
      <c r="X10" s="508"/>
      <c r="Y10" s="508"/>
      <c r="Z10" s="508"/>
    </row>
    <row r="11" ht="15.75" spans="1:26">
      <c r="A11" s="476" t="s">
        <v>1597</v>
      </c>
      <c r="B11" s="207"/>
      <c r="C11" s="207"/>
      <c r="D11" s="207"/>
      <c r="E11" s="207"/>
      <c r="F11" s="207"/>
      <c r="G11" s="207"/>
      <c r="H11" s="207"/>
      <c r="I11" s="207"/>
      <c r="J11" s="259"/>
      <c r="K11" s="508"/>
      <c r="L11" s="508"/>
      <c r="M11" s="508"/>
      <c r="N11" s="508"/>
      <c r="O11" s="508"/>
      <c r="P11" s="508"/>
      <c r="Q11" s="508"/>
      <c r="R11" s="508"/>
      <c r="S11" s="508"/>
      <c r="T11" s="508"/>
      <c r="U11" s="508"/>
      <c r="V11" s="508"/>
      <c r="W11" s="508"/>
      <c r="X11" s="508"/>
      <c r="Y11" s="508"/>
      <c r="Z11" s="508"/>
    </row>
    <row r="12" spans="1:26">
      <c r="A12" s="477" t="str">
        <f>Planilha!A12</f>
        <v>UFF- CAMPUS NITERÓI</v>
      </c>
      <c r="B12" s="478"/>
      <c r="C12" s="478"/>
      <c r="D12" s="479"/>
      <c r="E12" s="477" t="str">
        <f>Planilha!E12</f>
        <v>AUTOR:</v>
      </c>
      <c r="F12" s="294"/>
      <c r="G12" s="295"/>
      <c r="H12" s="480" t="str">
        <f>Planilha!H12</f>
        <v>FUNÇÃO:</v>
      </c>
      <c r="I12" s="294"/>
      <c r="J12" s="324"/>
      <c r="K12" s="508"/>
      <c r="L12" s="508"/>
      <c r="M12" s="508"/>
      <c r="N12" s="508"/>
      <c r="O12" s="508"/>
      <c r="P12" s="508"/>
      <c r="Q12" s="508"/>
      <c r="R12" s="508"/>
      <c r="S12" s="508"/>
      <c r="T12" s="508"/>
      <c r="U12" s="508"/>
      <c r="V12" s="508"/>
      <c r="W12" s="508"/>
      <c r="X12" s="508"/>
      <c r="Y12" s="508"/>
      <c r="Z12" s="508"/>
    </row>
    <row r="13" ht="15.75" spans="1:26">
      <c r="A13" s="481" t="str">
        <f>Planilha!A13</f>
        <v>LOCAL: RUA VERA CRISPINO DE FREITAS, 190-2 - BOA VIAGEM, NITERÓI-RJ</v>
      </c>
      <c r="B13" s="482"/>
      <c r="C13" s="482"/>
      <c r="D13" s="483"/>
      <c r="E13" s="484" t="str">
        <f>Planilha!E13</f>
        <v>PROCESSO: </v>
      </c>
      <c r="F13" s="215"/>
      <c r="G13" s="216"/>
      <c r="H13" s="485" t="str">
        <f>Planilha!H13</f>
        <v>ART/RRT:</v>
      </c>
      <c r="I13" s="215"/>
      <c r="J13" s="261"/>
      <c r="K13" s="508"/>
      <c r="L13" s="508"/>
      <c r="M13" s="508"/>
      <c r="N13" s="508"/>
      <c r="O13" s="508"/>
      <c r="P13" s="508"/>
      <c r="Q13" s="508"/>
      <c r="R13" s="508"/>
      <c r="S13" s="508"/>
      <c r="T13" s="508"/>
      <c r="U13" s="508"/>
      <c r="V13" s="508"/>
      <c r="W13" s="508"/>
      <c r="X13" s="508"/>
      <c r="Y13" s="508"/>
      <c r="Z13" s="508"/>
    </row>
    <row r="14" ht="15.75" spans="1:26">
      <c r="A14" s="481" t="str">
        <f>Planilha!A14</f>
        <v>NOME DA OBRA: AGÊNCIA DE INOVAÇÃO DA UFF</v>
      </c>
      <c r="B14" s="482"/>
      <c r="C14" s="482"/>
      <c r="D14" s="483"/>
      <c r="E14" s="486" t="str">
        <f>Planilha!E14</f>
        <v>BDI</v>
      </c>
      <c r="F14" s="486" t="str">
        <f>Planilha!F14</f>
        <v>BDI EQUIP.</v>
      </c>
      <c r="G14" s="486" t="str">
        <f>Planilha!G14</f>
        <v>SIAPE</v>
      </c>
      <c r="H14" s="486" t="str">
        <f>Planilha!H14</f>
        <v>DATA</v>
      </c>
      <c r="I14" s="476" t="str">
        <f>Planilha!I14</f>
        <v>REVISÃO</v>
      </c>
      <c r="J14" s="259"/>
      <c r="K14" s="508"/>
      <c r="L14" s="508"/>
      <c r="M14" s="508"/>
      <c r="N14" s="508"/>
      <c r="O14" s="508"/>
      <c r="P14" s="508"/>
      <c r="Q14" s="508"/>
      <c r="R14" s="508"/>
      <c r="S14" s="508"/>
      <c r="T14" s="508"/>
      <c r="U14" s="508"/>
      <c r="V14" s="508"/>
      <c r="W14" s="508"/>
      <c r="X14" s="508"/>
      <c r="Y14" s="508"/>
      <c r="Z14" s="508"/>
    </row>
    <row r="15" ht="31.5" customHeight="1" spans="1:26">
      <c r="A15" s="487" t="str">
        <f>Planilha!A15</f>
        <v>BASE DE DADOS: SINAPI/2025.7 - EMOP/2025.7 - SCO/2025.7 - SBC/2025.7</v>
      </c>
      <c r="B15" s="488"/>
      <c r="C15" s="488"/>
      <c r="D15" s="489"/>
      <c r="E15" s="490">
        <f>Planilha!E15</f>
        <v>0.24657</v>
      </c>
      <c r="F15" s="491">
        <f>Planilha!F15</f>
        <v>0</v>
      </c>
      <c r="G15" s="492" t="str">
        <f>Planilha!G15</f>
        <v>0000000</v>
      </c>
      <c r="H15" s="493">
        <f>Planilha!H15</f>
        <v>45957</v>
      </c>
      <c r="I15" s="509" t="str">
        <f>Planilha!I15</f>
        <v>R03</v>
      </c>
      <c r="J15" s="258"/>
      <c r="K15" s="508"/>
      <c r="L15" s="508"/>
      <c r="M15" s="508"/>
      <c r="N15" s="508"/>
      <c r="O15" s="508"/>
      <c r="P15" s="508"/>
      <c r="Q15" s="508"/>
      <c r="R15" s="508"/>
      <c r="S15" s="508"/>
      <c r="T15" s="508"/>
      <c r="U15" s="508"/>
      <c r="V15" s="508"/>
      <c r="W15" s="508"/>
      <c r="X15" s="508"/>
      <c r="Y15" s="508"/>
      <c r="Z15" s="508"/>
    </row>
    <row r="16" customHeight="1" spans="1:26">
      <c r="A16" s="494" t="s">
        <v>1598</v>
      </c>
      <c r="B16" s="209"/>
      <c r="C16" s="209"/>
      <c r="D16" s="209"/>
      <c r="E16" s="209"/>
      <c r="F16" s="209"/>
      <c r="G16" s="209"/>
      <c r="H16" s="209"/>
      <c r="I16" s="209"/>
      <c r="J16" s="209"/>
      <c r="K16" s="209"/>
      <c r="L16" s="209"/>
      <c r="M16" s="209"/>
      <c r="N16" s="209"/>
      <c r="O16" s="209"/>
      <c r="P16" s="209"/>
      <c r="Q16" s="209"/>
      <c r="R16" s="209"/>
      <c r="S16" s="508"/>
      <c r="T16" s="508"/>
      <c r="U16" s="508"/>
      <c r="V16" s="508"/>
      <c r="W16" s="508"/>
      <c r="X16" s="508"/>
      <c r="Y16" s="508"/>
      <c r="Z16" s="508"/>
    </row>
    <row r="17" ht="13.5" customHeight="1" spans="1:26">
      <c r="A17" s="495" t="s">
        <v>17</v>
      </c>
      <c r="B17" s="495" t="s">
        <v>53</v>
      </c>
      <c r="C17" s="495" t="s">
        <v>1599</v>
      </c>
      <c r="D17" s="495" t="s">
        <v>1600</v>
      </c>
      <c r="E17" s="495" t="s">
        <v>1601</v>
      </c>
      <c r="F17" s="495" t="s">
        <v>1602</v>
      </c>
      <c r="G17" s="495" t="s">
        <v>1603</v>
      </c>
      <c r="H17" s="496" t="s">
        <v>1604</v>
      </c>
      <c r="I17" s="279"/>
      <c r="J17" s="495" t="s">
        <v>1605</v>
      </c>
      <c r="K17" s="495" t="s">
        <v>1606</v>
      </c>
      <c r="L17" s="495" t="s">
        <v>1607</v>
      </c>
      <c r="M17" s="495" t="s">
        <v>1608</v>
      </c>
      <c r="N17" s="495" t="s">
        <v>1609</v>
      </c>
      <c r="O17" s="495" t="s">
        <v>1610</v>
      </c>
      <c r="P17" s="495" t="s">
        <v>1611</v>
      </c>
      <c r="Q17" s="495" t="s">
        <v>1612</v>
      </c>
      <c r="R17" s="495" t="s">
        <v>1613</v>
      </c>
      <c r="S17" s="508"/>
      <c r="T17" s="508"/>
      <c r="U17" s="508"/>
      <c r="V17" s="508"/>
      <c r="W17" s="508"/>
      <c r="X17" s="508"/>
      <c r="Y17" s="508"/>
      <c r="Z17" s="508"/>
    </row>
    <row r="18" ht="13.5" customHeight="1" spans="1:26">
      <c r="A18" s="497">
        <v>1</v>
      </c>
      <c r="B18" s="497" t="s">
        <v>20</v>
      </c>
      <c r="C18" s="498">
        <f>Resumo!H18</f>
        <v>496956.26</v>
      </c>
      <c r="D18" s="499">
        <v>0.0079</v>
      </c>
      <c r="E18" s="499">
        <v>0.0131</v>
      </c>
      <c r="F18" s="499">
        <v>0.0335</v>
      </c>
      <c r="G18" s="499">
        <v>0.0915</v>
      </c>
      <c r="H18" s="500">
        <v>0.0561</v>
      </c>
      <c r="I18" s="216"/>
      <c r="J18" s="499">
        <v>0.0705</v>
      </c>
      <c r="K18" s="499">
        <v>0.0911</v>
      </c>
      <c r="L18" s="499">
        <v>0.0976</v>
      </c>
      <c r="M18" s="499">
        <v>0.1208</v>
      </c>
      <c r="N18" s="499">
        <v>0.083</v>
      </c>
      <c r="O18" s="499">
        <v>0.1268</v>
      </c>
      <c r="P18" s="499">
        <v>0.0891</v>
      </c>
      <c r="Q18" s="499">
        <v>0.119</v>
      </c>
      <c r="R18" s="512">
        <f t="shared" ref="R18:R75" si="0">SUM(D18:Q18)</f>
        <v>1</v>
      </c>
      <c r="S18" s="513"/>
      <c r="T18" s="508"/>
      <c r="U18" s="508"/>
      <c r="V18" s="508"/>
      <c r="W18" s="508"/>
      <c r="X18" s="508"/>
      <c r="Y18" s="508"/>
      <c r="Z18" s="508"/>
    </row>
    <row r="19" ht="13.5" customHeight="1" spans="1:26">
      <c r="A19" s="501"/>
      <c r="B19" s="501"/>
      <c r="C19" s="501"/>
      <c r="D19" s="502">
        <f>IF(D18&gt;0,TRUNC(C18*D18,2),"")</f>
        <v>3925.95</v>
      </c>
      <c r="E19" s="502">
        <f>IF(E18&gt;0,IF(AND(SUM(D18:E18)=1,R18=1),C18-SUM(D19),TRUNC(C18*E18,2)),"")</f>
        <v>6510.12</v>
      </c>
      <c r="F19" s="502">
        <f>IF(F18&gt;0,IF(AND(SUM(D18:F18)=1,R18=1),C18-SUM(D19:E19),TRUNC(C18*F18,2)),"")</f>
        <v>16648.03</v>
      </c>
      <c r="G19" s="502">
        <f>IF(G18&gt;0,IF(AND(SUM(D18:G18)=1,R18=1),C18-SUM(D19:F19),TRUNC(C18*G18,2)),"")</f>
        <v>45471.49</v>
      </c>
      <c r="H19" s="503">
        <f>IF(H18&gt;0,IF(AND(SUM(D18:H18)=1,R18=1),C18-SUM(D19:G19),TRUNC(C18*H18,2)),"")</f>
        <v>27879.24</v>
      </c>
      <c r="I19" s="279"/>
      <c r="J19" s="502">
        <f>IF(J18&gt;0,IF(AND(SUM(D18:J18)=1,R18=1),C18-SUM(D19:I19),TRUNC(C18*J18,2)),"")</f>
        <v>35035.41</v>
      </c>
      <c r="K19" s="502">
        <f>IF(K18&gt;0,IF(AND(SUM(D18:K18)=1,R18=1),C18-SUM(D19:J19),TRUNC(C18*K18,2)),"")</f>
        <v>45272.71</v>
      </c>
      <c r="L19" s="502">
        <f>IF(L18&gt;0,IF(AND(SUM(D18:L18)=1,R18=1),C18-SUM(D19:K19),TRUNC(C18*L18,2)),"")</f>
        <v>48502.93</v>
      </c>
      <c r="M19" s="502">
        <f>IF(M18&gt;0,IF(AND(SUM(D18:M18)=1,R18=1),C18-SUM(D19:L19),TRUNC(C18*M18,2)),"")</f>
        <v>60032.31</v>
      </c>
      <c r="N19" s="502">
        <f>IF(N18&gt;0,IF(AND(SUM(D18:N18)=1,R18=1),C18-SUM(D19:M19),TRUNC(C18*N18,2)),"")</f>
        <v>41247.36</v>
      </c>
      <c r="O19" s="502">
        <f>IF(O18&gt;0,IF(AND(SUM(D18:O18)=1,R18=1),C18-SUM(D19:N19),TRUNC(C18*O18,2)),"")</f>
        <v>63014.05</v>
      </c>
      <c r="P19" s="502">
        <f>IF(P18&gt;0,IF(AND(SUM(D18:P18)=1,R18=1),C18-SUM(D19:O19),TRUNC(C18*P18,2)),"")</f>
        <v>44278.8</v>
      </c>
      <c r="Q19" s="502">
        <f>IF(Q18&gt;0,IF(AND(SUM(D18:Q18)=1,R18=1),C18-SUM(D19:P19),TRUNC(C18*Q18,2)),"")</f>
        <v>59137.8600000001</v>
      </c>
      <c r="R19" s="514">
        <f t="shared" si="0"/>
        <v>496956.26</v>
      </c>
      <c r="S19" s="513"/>
      <c r="T19" s="508"/>
      <c r="U19" s="508"/>
      <c r="V19" s="508"/>
      <c r="W19" s="508"/>
      <c r="X19" s="508"/>
      <c r="Y19" s="508"/>
      <c r="Z19" s="508"/>
    </row>
    <row r="20" ht="13.5" customHeight="1" spans="1:26">
      <c r="A20" s="497">
        <v>2</v>
      </c>
      <c r="B20" s="497" t="s">
        <v>21</v>
      </c>
      <c r="C20" s="498">
        <f>Resumo!H19</f>
        <v>34553.01</v>
      </c>
      <c r="D20" s="499">
        <v>1</v>
      </c>
      <c r="E20" s="504"/>
      <c r="F20" s="504"/>
      <c r="G20" s="504"/>
      <c r="H20" s="505"/>
      <c r="I20" s="510"/>
      <c r="J20" s="504"/>
      <c r="K20" s="504"/>
      <c r="L20" s="504"/>
      <c r="M20" s="504"/>
      <c r="N20" s="504"/>
      <c r="O20" s="504"/>
      <c r="P20" s="504"/>
      <c r="Q20" s="504"/>
      <c r="R20" s="512">
        <f t="shared" si="0"/>
        <v>1</v>
      </c>
      <c r="S20" s="513"/>
      <c r="T20" s="508"/>
      <c r="U20" s="508"/>
      <c r="V20" s="508"/>
      <c r="W20" s="508"/>
      <c r="X20" s="508"/>
      <c r="Y20" s="508"/>
      <c r="Z20" s="508"/>
    </row>
    <row r="21" ht="13.5" customHeight="1" spans="1:26">
      <c r="A21" s="501"/>
      <c r="B21" s="501"/>
      <c r="C21" s="501"/>
      <c r="D21" s="502">
        <f>IF(D20&gt;0,TRUNC(C20*D20,2),"")</f>
        <v>34553.01</v>
      </c>
      <c r="E21" s="506" t="str">
        <f>IF(E20&gt;0,IF(AND(SUM(D20:E20)=1,R20=1),C20-SUM(D21),TRUNC(C20*E20,2)),"")</f>
        <v/>
      </c>
      <c r="F21" s="506" t="str">
        <f>IF(F20&gt;0,IF(AND(SUM(D20:F20)=1,R20=1),C20-SUM(D21:E21),TRUNC(C20*F20,2)),"")</f>
        <v/>
      </c>
      <c r="G21" s="506" t="str">
        <f>IF(G20&gt;0,IF(AND(SUM(D20:G20)=1,R20=1),C20-SUM(D21:F21),TRUNC(C20*G20,2)),"")</f>
        <v/>
      </c>
      <c r="H21" s="507" t="str">
        <f>IF(H20&gt;0,IF(AND(SUM(D20:H20)=1,R20=1),C20-SUM(D21:G21),TRUNC(C20*H20,2)),"")</f>
        <v/>
      </c>
      <c r="I21" s="511" t="str">
        <f>IF(I20&gt;0,IF(AND(SUM(D20:I20)=1,R20=1),C20-SUM(D21:H21),TRUNC(C20*I20,2)),"")</f>
        <v/>
      </c>
      <c r="J21" s="506" t="str">
        <f>IF(J20&gt;0,IF(AND(SUM(D20:J20)=1,R20=1),C20-SUM(D21:I21),TRUNC(C20*J20,2)),"")</f>
        <v/>
      </c>
      <c r="K21" s="506" t="str">
        <f>IF(K20&gt;0,IF(AND(SUM(D20:K20)=1,R20=1),C20-SUM(D21:J21),TRUNC(C20*K20,2)),"")</f>
        <v/>
      </c>
      <c r="L21" s="506" t="str">
        <f>IF(L20&gt;0,IF(AND(SUM(D20:L20)=1,R20=1),C20-SUM(D21:K21),TRUNC(C20*L20,2)),"")</f>
        <v/>
      </c>
      <c r="M21" s="506" t="str">
        <f>IF(M20&gt;0,IF(AND(SUM(D20:M20)=1,R20=1),C20-SUM(D21:L21),TRUNC(C20*M20,2)),"")</f>
        <v/>
      </c>
      <c r="N21" s="506" t="str">
        <f>IF(N20&gt;0,IF(AND(SUM(D20:N20)=1,R20=1),C20-SUM(D21:M21),TRUNC(C20*N20,2)),"")</f>
        <v/>
      </c>
      <c r="O21" s="506" t="str">
        <f>IF(O20&gt;0,IF(AND(SUM(D20:O20)=1,R20=1),C20-SUM(D21:N21),TRUNC(C20*O20,2)),"")</f>
        <v/>
      </c>
      <c r="P21" s="506" t="str">
        <f>IF(P20&gt;0,IF(AND(SUM(D20:P20)=1,R20=1),C20-SUM(D21:O21),TRUNC(C20*P20,2)),"")</f>
        <v/>
      </c>
      <c r="Q21" s="506" t="str">
        <f>IF(Q20&gt;0,IF(AND(SUM(D20:Q20)=1,R20=1),C20-SUM(D21:P21),TRUNC(C20*Q20,2)),"")</f>
        <v/>
      </c>
      <c r="R21" s="514">
        <f t="shared" si="0"/>
        <v>34553.01</v>
      </c>
      <c r="S21" s="513"/>
      <c r="T21" s="508"/>
      <c r="U21" s="508"/>
      <c r="V21" s="508"/>
      <c r="W21" s="508"/>
      <c r="X21" s="508"/>
      <c r="Y21" s="508"/>
      <c r="Z21" s="508"/>
    </row>
    <row r="22" ht="13.5" customHeight="1" spans="1:26">
      <c r="A22" s="497">
        <v>3</v>
      </c>
      <c r="B22" s="497" t="s">
        <v>22</v>
      </c>
      <c r="C22" s="498">
        <f>Resumo!H20</f>
        <v>339265.3</v>
      </c>
      <c r="D22" s="499">
        <v>0.0769</v>
      </c>
      <c r="E22" s="499">
        <v>0.0769</v>
      </c>
      <c r="F22" s="499">
        <v>0.0769</v>
      </c>
      <c r="G22" s="499">
        <v>0.077</v>
      </c>
      <c r="H22" s="500">
        <v>0.077</v>
      </c>
      <c r="I22" s="216"/>
      <c r="J22" s="499">
        <v>0.077</v>
      </c>
      <c r="K22" s="499">
        <v>0.0769</v>
      </c>
      <c r="L22" s="499">
        <v>0.0769</v>
      </c>
      <c r="M22" s="499">
        <v>0.0769</v>
      </c>
      <c r="N22" s="499">
        <v>0.0769</v>
      </c>
      <c r="O22" s="499">
        <v>0.0769</v>
      </c>
      <c r="P22" s="499">
        <v>0.0769</v>
      </c>
      <c r="Q22" s="499">
        <v>0.0769</v>
      </c>
      <c r="R22" s="512">
        <f t="shared" si="0"/>
        <v>1</v>
      </c>
      <c r="S22" s="513"/>
      <c r="T22" s="508"/>
      <c r="U22" s="508"/>
      <c r="V22" s="508"/>
      <c r="W22" s="508"/>
      <c r="X22" s="508"/>
      <c r="Y22" s="508"/>
      <c r="Z22" s="508"/>
    </row>
    <row r="23" ht="13.5" customHeight="1" spans="1:26">
      <c r="A23" s="501"/>
      <c r="B23" s="501"/>
      <c r="C23" s="501"/>
      <c r="D23" s="502">
        <f>IF(D22&gt;0,TRUNC(C22*D22,2),"")</f>
        <v>26089.5</v>
      </c>
      <c r="E23" s="502">
        <f>IF(E22&gt;0,IF(AND(SUM(D22:E22)=1,R22=1),C22-SUM(D23),TRUNC(C22*E22,2)),"")</f>
        <v>26089.5</v>
      </c>
      <c r="F23" s="502">
        <f>IF(F22&gt;0,IF(AND(SUM(D22:F22)=1,R22=1),C22-SUM(D23:E23),TRUNC(C22*F22,2)),"")</f>
        <v>26089.5</v>
      </c>
      <c r="G23" s="502">
        <f>IF(G22&gt;0,IF(AND(SUM(D22:G22)=1,R22=1),C22-SUM(D23:F23),TRUNC(C22*G22,2)),"")</f>
        <v>26123.42</v>
      </c>
      <c r="H23" s="503">
        <f>IF(H22&gt;0,IF(AND(SUM(D22:H22)=1,R22=1),C22-SUM(D23:G23),TRUNC(C22*H22,2)),"")</f>
        <v>26123.42</v>
      </c>
      <c r="I23" s="279"/>
      <c r="J23" s="502">
        <f>IF(J22&gt;0,IF(AND(SUM(D22:J22)=1,R22=1),C22-SUM(D23:I23),TRUNC(C22*J22,2)),"")</f>
        <v>26123.42</v>
      </c>
      <c r="K23" s="502">
        <f>IF(K22&gt;0,IF(AND(SUM(D22:K22)=1,R22=1),C22-SUM(D23:J23),TRUNC(C22*K22,2)),"")</f>
        <v>26089.5</v>
      </c>
      <c r="L23" s="502">
        <f>IF(L22&gt;0,IF(AND(SUM(D22:L22)=1,R22=1),C22-SUM(D23:K23),TRUNC(C22*L22,2)),"")</f>
        <v>26089.5</v>
      </c>
      <c r="M23" s="502">
        <f>IF(M22&gt;0,IF(AND(SUM(D22:M22)=1,R22=1),C22-SUM(D23:L23),TRUNC(C22*M22,2)),"")</f>
        <v>26089.5</v>
      </c>
      <c r="N23" s="502">
        <f>IF(N22&gt;0,IF(AND(SUM(D22:N22)=1,R22=1),C22-SUM(D23:M23),TRUNC(C22*N22,2)),"")</f>
        <v>26089.5</v>
      </c>
      <c r="O23" s="502">
        <f>IF(O22&gt;0,IF(AND(SUM(D22:O22)=1,R22=1),C22-SUM(D23:N23),TRUNC(C22*O22,2)),"")</f>
        <v>26089.5</v>
      </c>
      <c r="P23" s="502">
        <f>IF(P22&gt;0,IF(AND(SUM(D22:P22)=1,R22=1),C22-SUM(D23:O23),TRUNC(C22*P22,2)),"")</f>
        <v>26089.5</v>
      </c>
      <c r="Q23" s="502">
        <f>IF(Q22&gt;0,IF(AND(SUM(D22:Q22)=1,R22=1),C22-SUM(D23:P23),TRUNC(C22*Q22,2)),"")</f>
        <v>26089.54</v>
      </c>
      <c r="R23" s="514">
        <f t="shared" si="0"/>
        <v>339265.3</v>
      </c>
      <c r="S23" s="513"/>
      <c r="T23" s="508"/>
      <c r="U23" s="508"/>
      <c r="V23" s="508"/>
      <c r="W23" s="508"/>
      <c r="X23" s="508"/>
      <c r="Y23" s="508"/>
      <c r="Z23" s="508"/>
    </row>
    <row r="24" ht="13.5" customHeight="1" spans="1:26">
      <c r="A24" s="497">
        <v>4</v>
      </c>
      <c r="B24" s="497" t="s">
        <v>23</v>
      </c>
      <c r="C24" s="498">
        <f>Resumo!H21</f>
        <v>47272.53</v>
      </c>
      <c r="D24" s="504"/>
      <c r="E24" s="499">
        <v>1</v>
      </c>
      <c r="F24" s="504"/>
      <c r="G24" s="504"/>
      <c r="H24" s="505"/>
      <c r="I24" s="510"/>
      <c r="J24" s="504"/>
      <c r="K24" s="504"/>
      <c r="L24" s="504"/>
      <c r="M24" s="504"/>
      <c r="N24" s="504"/>
      <c r="O24" s="504"/>
      <c r="P24" s="504"/>
      <c r="Q24" s="504"/>
      <c r="R24" s="512">
        <f t="shared" si="0"/>
        <v>1</v>
      </c>
      <c r="S24" s="513"/>
      <c r="T24" s="508"/>
      <c r="U24" s="508"/>
      <c r="V24" s="508"/>
      <c r="W24" s="508"/>
      <c r="X24" s="508"/>
      <c r="Y24" s="508"/>
      <c r="Z24" s="508"/>
    </row>
    <row r="25" ht="13.5" customHeight="1" spans="1:26">
      <c r="A25" s="501"/>
      <c r="B25" s="501"/>
      <c r="C25" s="501"/>
      <c r="D25" s="506" t="str">
        <f>IF(D24&gt;0,TRUNC(C24*D24,2),"")</f>
        <v/>
      </c>
      <c r="E25" s="502">
        <f>IF(E24&gt;0,IF(AND(SUM(D24:E24)=1,R24=1),C24-SUM(D25),TRUNC(C24*E24,2)),"")</f>
        <v>47272.53</v>
      </c>
      <c r="F25" s="506" t="str">
        <f>IF(F24&gt;0,IF(AND(SUM(D24:F24)=1,R24=1),C24-SUM(D25:E25),TRUNC(C24*F24,2)),"")</f>
        <v/>
      </c>
      <c r="G25" s="506" t="str">
        <f>IF(G24&gt;0,IF(AND(SUM(D24:G24)=1,R24=1),C24-SUM(D25:F25),TRUNC(C24*G24,2)),"")</f>
        <v/>
      </c>
      <c r="H25" s="507" t="str">
        <f>IF(H24&gt;0,IF(AND(SUM(D24:H24)=1,R24=1),C24-SUM(D25:G25),TRUNC(C24*H24,2)),"")</f>
        <v/>
      </c>
      <c r="I25" s="511" t="str">
        <f>IF(I24&gt;0,IF(AND(SUM(D24:I24)=1,R24=1),C24-SUM(D25:H25),TRUNC(C24*I24,2)),"")</f>
        <v/>
      </c>
      <c r="J25" s="506" t="str">
        <f>IF(J24&gt;0,IF(AND(SUM(D24:J24)=1,R24=1),C24-SUM(D25:I25),TRUNC(C24*J24,2)),"")</f>
        <v/>
      </c>
      <c r="K25" s="506" t="str">
        <f>IF(K24&gt;0,IF(AND(SUM(D24:K24)=1,R24=1),C24-SUM(D25:J25),TRUNC(C24*K24,2)),"")</f>
        <v/>
      </c>
      <c r="L25" s="506" t="str">
        <f>IF(L24&gt;0,IF(AND(SUM(D24:L24)=1,R24=1),C24-SUM(D25:K25),TRUNC(C24*L24,2)),"")</f>
        <v/>
      </c>
      <c r="M25" s="506" t="str">
        <f>IF(M24&gt;0,IF(AND(SUM(D24:M24)=1,R24=1),C24-SUM(D25:L25),TRUNC(C24*M24,2)),"")</f>
        <v/>
      </c>
      <c r="N25" s="506" t="str">
        <f>IF(N24&gt;0,IF(AND(SUM(D24:N24)=1,R24=1),C24-SUM(D25:M25),TRUNC(C24*N24,2)),"")</f>
        <v/>
      </c>
      <c r="O25" s="506" t="str">
        <f>IF(O24&gt;0,IF(AND(SUM(D24:O24)=1,R24=1),C24-SUM(D25:N25),TRUNC(C24*O24,2)),"")</f>
        <v/>
      </c>
      <c r="P25" s="506" t="str">
        <f>IF(P24&gt;0,IF(AND(SUM(D24:P24)=1,R24=1),C24-SUM(D25:O25),TRUNC(C24*P24,2)),"")</f>
        <v/>
      </c>
      <c r="Q25" s="506" t="str">
        <f>IF(Q24&gt;0,IF(AND(SUM(D24:Q24)=1,R24=1),C24-SUM(D25:P25),TRUNC(C24*Q24,2)),"")</f>
        <v/>
      </c>
      <c r="R25" s="514">
        <f t="shared" si="0"/>
        <v>47272.53</v>
      </c>
      <c r="S25" s="513"/>
      <c r="T25" s="508"/>
      <c r="U25" s="508"/>
      <c r="V25" s="508"/>
      <c r="W25" s="508"/>
      <c r="X25" s="508"/>
      <c r="Y25" s="508"/>
      <c r="Z25" s="508"/>
    </row>
    <row r="26" ht="13.5" customHeight="1" spans="1:26">
      <c r="A26" s="497">
        <v>5</v>
      </c>
      <c r="B26" s="497" t="s">
        <v>24</v>
      </c>
      <c r="C26" s="498">
        <f>Resumo!H22</f>
        <v>287021.81</v>
      </c>
      <c r="D26" s="504"/>
      <c r="E26" s="504"/>
      <c r="F26" s="499">
        <v>0.5</v>
      </c>
      <c r="G26" s="499">
        <v>0.5</v>
      </c>
      <c r="H26" s="505"/>
      <c r="I26" s="510"/>
      <c r="J26" s="504"/>
      <c r="K26" s="504"/>
      <c r="L26" s="504"/>
      <c r="M26" s="504"/>
      <c r="N26" s="504"/>
      <c r="O26" s="504"/>
      <c r="P26" s="504"/>
      <c r="Q26" s="504"/>
      <c r="R26" s="512">
        <f t="shared" si="0"/>
        <v>1</v>
      </c>
      <c r="S26" s="513"/>
      <c r="T26" s="508"/>
      <c r="U26" s="508"/>
      <c r="V26" s="508"/>
      <c r="W26" s="508"/>
      <c r="X26" s="508"/>
      <c r="Y26" s="508"/>
      <c r="Z26" s="508"/>
    </row>
    <row r="27" ht="13.5" customHeight="1" spans="1:26">
      <c r="A27" s="501"/>
      <c r="B27" s="501"/>
      <c r="C27" s="501"/>
      <c r="D27" s="506" t="str">
        <f>IF(D26&gt;0,TRUNC(C26*D26,2),"")</f>
        <v/>
      </c>
      <c r="E27" s="506" t="str">
        <f>IF(E26&gt;0,IF(AND(SUM(D26:E26)=1,R26=1),C26-SUM(D27),TRUNC(C26*E26,2)),"")</f>
        <v/>
      </c>
      <c r="F27" s="502">
        <f>IF(F26&gt;0,IF(AND(SUM(D26:F26)=1,R26=1),C26-SUM(D27:E27),TRUNC(C26*F26,2)),"")</f>
        <v>143510.9</v>
      </c>
      <c r="G27" s="502">
        <f>IF(G26&gt;0,IF(AND(SUM(D26:G26)=1,R26=1),C26-SUM(D27:F27),TRUNC(C26*G26,2)),"")</f>
        <v>143510.91</v>
      </c>
      <c r="H27" s="507" t="str">
        <f>IF(H26&gt;0,IF(AND(SUM(D26:H26)=1,R26=1),C26-SUM(D27:G27),TRUNC(C26*H26,2)),"")</f>
        <v/>
      </c>
      <c r="I27" s="511" t="str">
        <f>IF(I26&gt;0,IF(AND(SUM(D26:I26)=1,R26=1),C26-SUM(D27:H27),TRUNC(C26*I26,2)),"")</f>
        <v/>
      </c>
      <c r="J27" s="506" t="str">
        <f>IF(J26&gt;0,IF(AND(SUM(D26:J26)=1,R26=1),C26-SUM(D27:I27),TRUNC(C26*J26,2)),"")</f>
        <v/>
      </c>
      <c r="K27" s="506" t="str">
        <f>IF(K26&gt;0,IF(AND(SUM(D26:K26)=1,R26=1),C26-SUM(D27:J27),TRUNC(C26*K26,2)),"")</f>
        <v/>
      </c>
      <c r="L27" s="506" t="str">
        <f>IF(L26&gt;0,IF(AND(SUM(D26:L26)=1,R26=1),C26-SUM(D27:K27),TRUNC(C26*L26,2)),"")</f>
        <v/>
      </c>
      <c r="M27" s="506" t="str">
        <f>IF(M26&gt;0,IF(AND(SUM(D26:M26)=1,R26=1),C26-SUM(D27:L27),TRUNC(C26*M26,2)),"")</f>
        <v/>
      </c>
      <c r="N27" s="506" t="str">
        <f>IF(N26&gt;0,IF(AND(SUM(D26:N26)=1,R26=1),C26-SUM(D27:M27),TRUNC(C26*N26,2)),"")</f>
        <v/>
      </c>
      <c r="O27" s="506" t="str">
        <f>IF(O26&gt;0,IF(AND(SUM(D26:O26)=1,R26=1),C26-SUM(D27:N27),TRUNC(C26*O26,2)),"")</f>
        <v/>
      </c>
      <c r="P27" s="506" t="str">
        <f>IF(P26&gt;0,IF(AND(SUM(D26:P26)=1,R26=1),C26-SUM(D27:O27),TRUNC(C26*P26,2)),"")</f>
        <v/>
      </c>
      <c r="Q27" s="506" t="str">
        <f>IF(Q26&gt;0,IF(AND(SUM(D26:Q26)=1,R26=1),C26-SUM(D27:P27),TRUNC(C26*Q26,2)),"")</f>
        <v/>
      </c>
      <c r="R27" s="514">
        <f t="shared" si="0"/>
        <v>287021.81</v>
      </c>
      <c r="S27" s="513"/>
      <c r="T27" s="508"/>
      <c r="U27" s="508"/>
      <c r="V27" s="508"/>
      <c r="W27" s="508"/>
      <c r="X27" s="508"/>
      <c r="Y27" s="508"/>
      <c r="Z27" s="508"/>
    </row>
    <row r="28" ht="13.5" customHeight="1" spans="1:26">
      <c r="A28" s="497">
        <v>6</v>
      </c>
      <c r="B28" s="497" t="s">
        <v>25</v>
      </c>
      <c r="C28" s="498">
        <f>Resumo!H23</f>
        <v>105691.68</v>
      </c>
      <c r="D28" s="504"/>
      <c r="E28" s="499">
        <v>0.5</v>
      </c>
      <c r="F28" s="499">
        <v>0.5</v>
      </c>
      <c r="G28" s="504"/>
      <c r="H28" s="505"/>
      <c r="I28" s="510"/>
      <c r="J28" s="504"/>
      <c r="K28" s="504"/>
      <c r="L28" s="504"/>
      <c r="M28" s="504"/>
      <c r="N28" s="504"/>
      <c r="O28" s="504"/>
      <c r="P28" s="504"/>
      <c r="Q28" s="504"/>
      <c r="R28" s="512">
        <f t="shared" si="0"/>
        <v>1</v>
      </c>
      <c r="S28" s="513"/>
      <c r="T28" s="508"/>
      <c r="U28" s="508"/>
      <c r="V28" s="508"/>
      <c r="W28" s="508"/>
      <c r="X28" s="508"/>
      <c r="Y28" s="508"/>
      <c r="Z28" s="508"/>
    </row>
    <row r="29" ht="13.5" customHeight="1" spans="1:26">
      <c r="A29" s="501"/>
      <c r="B29" s="501"/>
      <c r="C29" s="501"/>
      <c r="D29" s="506" t="str">
        <f>IF(D28&gt;0,TRUNC(C28*D28,2),"")</f>
        <v/>
      </c>
      <c r="E29" s="502">
        <f>IF(E28&gt;0,IF(AND(SUM(D28:E28)=1,R28=1),C28-SUM(D29),TRUNC(C28*E28,2)),"")</f>
        <v>52845.84</v>
      </c>
      <c r="F29" s="502">
        <f>IF(F28&gt;0,IF(AND(SUM(D28:F28)=1,R28=1),C28-SUM(D29:E29),TRUNC(C28*F28,2)),"")</f>
        <v>52845.84</v>
      </c>
      <c r="G29" s="506" t="str">
        <f>IF(G28&gt;0,IF(AND(SUM(D28:G28)=1,R28=1),C28-SUM(D29:F29),TRUNC(C28*G28,2)),"")</f>
        <v/>
      </c>
      <c r="H29" s="507" t="str">
        <f>IF(H28&gt;0,IF(AND(SUM(D28:H28)=1,R28=1),C28-SUM(D29:G29),TRUNC(C28*H28,2)),"")</f>
        <v/>
      </c>
      <c r="I29" s="511" t="str">
        <f>IF(I28&gt;0,IF(AND(SUM(D28:I28)=1,R28=1),C28-SUM(D29:H29),TRUNC(C28*I28,2)),"")</f>
        <v/>
      </c>
      <c r="J29" s="506" t="str">
        <f>IF(J28&gt;0,IF(AND(SUM(D28:J28)=1,R28=1),C28-SUM(D29:I29),TRUNC(C28*J28,2)),"")</f>
        <v/>
      </c>
      <c r="K29" s="506" t="str">
        <f>IF(K28&gt;0,IF(AND(SUM(D28:K28)=1,R28=1),C28-SUM(D29:J29),TRUNC(C28*K28,2)),"")</f>
        <v/>
      </c>
      <c r="L29" s="506" t="str">
        <f>IF(L28&gt;0,IF(AND(SUM(D28:L28)=1,R28=1),C28-SUM(D29:K29),TRUNC(C28*L28,2)),"")</f>
        <v/>
      </c>
      <c r="M29" s="506" t="str">
        <f>IF(M28&gt;0,IF(AND(SUM(D28:M28)=1,R28=1),C28-SUM(D29:L29),TRUNC(C28*M28,2)),"")</f>
        <v/>
      </c>
      <c r="N29" s="506" t="str">
        <f>IF(N28&gt;0,IF(AND(SUM(D28:N28)=1,R28=1),C28-SUM(D29:M29),TRUNC(C28*N28,2)),"")</f>
        <v/>
      </c>
      <c r="O29" s="506" t="str">
        <f>IF(O28&gt;0,IF(AND(SUM(D28:O28)=1,R28=1),C28-SUM(D29:N29),TRUNC(C28*O28,2)),"")</f>
        <v/>
      </c>
      <c r="P29" s="506" t="str">
        <f>IF(P28&gt;0,IF(AND(SUM(D28:P28)=1,R28=1),C28-SUM(D29:O29),TRUNC(C28*P28,2)),"")</f>
        <v/>
      </c>
      <c r="Q29" s="506" t="str">
        <f>IF(Q28&gt;0,IF(AND(SUM(D28:Q28)=1,R28=1),C28-SUM(D29:P29),TRUNC(C28*Q28,2)),"")</f>
        <v/>
      </c>
      <c r="R29" s="514">
        <f t="shared" si="0"/>
        <v>105691.68</v>
      </c>
      <c r="S29" s="513"/>
      <c r="T29" s="508"/>
      <c r="U29" s="508"/>
      <c r="V29" s="508"/>
      <c r="W29" s="508"/>
      <c r="X29" s="508"/>
      <c r="Y29" s="508"/>
      <c r="Z29" s="508"/>
    </row>
    <row r="30" ht="13.5" customHeight="1" spans="1:26">
      <c r="A30" s="497">
        <v>7</v>
      </c>
      <c r="B30" s="497" t="s">
        <v>26</v>
      </c>
      <c r="C30" s="498">
        <f>Resumo!H24</f>
        <v>1104984.13</v>
      </c>
      <c r="D30" s="504"/>
      <c r="E30" s="504"/>
      <c r="F30" s="504"/>
      <c r="G30" s="499">
        <v>0.5</v>
      </c>
      <c r="H30" s="500">
        <v>0.5</v>
      </c>
      <c r="I30" s="216"/>
      <c r="J30" s="504"/>
      <c r="K30" s="504"/>
      <c r="L30" s="504"/>
      <c r="M30" s="504"/>
      <c r="N30" s="504"/>
      <c r="O30" s="504"/>
      <c r="P30" s="504"/>
      <c r="Q30" s="504"/>
      <c r="R30" s="512">
        <f t="shared" si="0"/>
        <v>1</v>
      </c>
      <c r="S30" s="513"/>
      <c r="T30" s="508"/>
      <c r="U30" s="508"/>
      <c r="V30" s="508"/>
      <c r="W30" s="508"/>
      <c r="X30" s="508"/>
      <c r="Y30" s="508"/>
      <c r="Z30" s="508"/>
    </row>
    <row r="31" ht="13.5" customHeight="1" spans="1:26">
      <c r="A31" s="501"/>
      <c r="B31" s="501"/>
      <c r="C31" s="501"/>
      <c r="D31" s="506" t="str">
        <f>IF(D30&gt;0,TRUNC(C30*D30,2),"")</f>
        <v/>
      </c>
      <c r="E31" s="506" t="str">
        <f>IF(E30&gt;0,IF(AND(SUM(D30:E30)=1,R30=1),C30-SUM(D31),TRUNC(C30*E30,2)),"")</f>
        <v/>
      </c>
      <c r="F31" s="506" t="str">
        <f>IF(F30&gt;0,IF(AND(SUM(D30:F30)=1,R30=1),C30-SUM(D31:E31),TRUNC(C30*F30,2)),"")</f>
        <v/>
      </c>
      <c r="G31" s="502">
        <f>IF(G30&gt;0,IF(AND(SUM(D30:G30)=1,R30=1),C30-SUM(D31:F31),TRUNC(C30*G30,2)),"")</f>
        <v>552492.06</v>
      </c>
      <c r="H31" s="503">
        <f>IF(H30&gt;0,IF(AND(SUM(D30:H30)=1,R30=1),C30-SUM(D31:G31),TRUNC(C30*H30,2)),"")</f>
        <v>552492.07</v>
      </c>
      <c r="I31" s="279"/>
      <c r="J31" s="506" t="str">
        <f>IF(J30&gt;0,IF(AND(SUM(D30:J30)=1,R30=1),C30-SUM(D31:I31),TRUNC(C30*J30,2)),"")</f>
        <v/>
      </c>
      <c r="K31" s="506" t="str">
        <f>IF(K30&gt;0,IF(AND(SUM(D30:K30)=1,R30=1),C30-SUM(D31:J31),TRUNC(C30*K30,2)),"")</f>
        <v/>
      </c>
      <c r="L31" s="506" t="str">
        <f>IF(L30&gt;0,IF(AND(SUM(D30:L30)=1,R30=1),C30-SUM(D31:K31),TRUNC(C30*L30,2)),"")</f>
        <v/>
      </c>
      <c r="M31" s="506" t="str">
        <f>IF(M30&gt;0,IF(AND(SUM(D30:M30)=1,R30=1),C30-SUM(D31:L31),TRUNC(C30*M30,2)),"")</f>
        <v/>
      </c>
      <c r="N31" s="506" t="str">
        <f>IF(N30&gt;0,IF(AND(SUM(D30:N30)=1,R30=1),C30-SUM(D31:M31),TRUNC(C30*N30,2)),"")</f>
        <v/>
      </c>
      <c r="O31" s="506" t="str">
        <f>IF(O30&gt;0,IF(AND(SUM(D30:O30)=1,R30=1),C30-SUM(D31:N31),TRUNC(C30*O30,2)),"")</f>
        <v/>
      </c>
      <c r="P31" s="506" t="str">
        <f>IF(P30&gt;0,IF(AND(SUM(D30:P30)=1,R30=1),C30-SUM(D31:O31),TRUNC(C30*P30,2)),"")</f>
        <v/>
      </c>
      <c r="Q31" s="506" t="str">
        <f>IF(Q30&gt;0,IF(AND(SUM(D30:Q30)=1,R30=1),C30-SUM(D31:P31),TRUNC(C30*Q30,2)),"")</f>
        <v/>
      </c>
      <c r="R31" s="514">
        <f t="shared" si="0"/>
        <v>1104984.13</v>
      </c>
      <c r="S31" s="513"/>
      <c r="T31" s="508"/>
      <c r="U31" s="508"/>
      <c r="V31" s="508"/>
      <c r="W31" s="508"/>
      <c r="X31" s="508"/>
      <c r="Y31" s="508"/>
      <c r="Z31" s="508"/>
    </row>
    <row r="32" ht="13.5" customHeight="1" spans="1:26">
      <c r="A32" s="497">
        <v>8</v>
      </c>
      <c r="B32" s="497" t="s">
        <v>27</v>
      </c>
      <c r="C32" s="498">
        <f>Resumo!H25</f>
        <v>718574.07</v>
      </c>
      <c r="D32" s="504"/>
      <c r="E32" s="504"/>
      <c r="F32" s="504"/>
      <c r="G32" s="504"/>
      <c r="H32" s="505"/>
      <c r="I32" s="510"/>
      <c r="J32" s="499">
        <v>0.4</v>
      </c>
      <c r="K32" s="499">
        <v>0.4</v>
      </c>
      <c r="L32" s="499">
        <v>0.2</v>
      </c>
      <c r="M32" s="504"/>
      <c r="N32" s="504"/>
      <c r="O32" s="504"/>
      <c r="P32" s="504"/>
      <c r="Q32" s="504"/>
      <c r="R32" s="512">
        <f t="shared" si="0"/>
        <v>1</v>
      </c>
      <c r="S32" s="513"/>
      <c r="T32" s="508"/>
      <c r="U32" s="508"/>
      <c r="V32" s="508"/>
      <c r="W32" s="508"/>
      <c r="X32" s="508"/>
      <c r="Y32" s="508"/>
      <c r="Z32" s="508"/>
    </row>
    <row r="33" ht="13.5" customHeight="1" spans="1:26">
      <c r="A33" s="501"/>
      <c r="B33" s="501"/>
      <c r="C33" s="501"/>
      <c r="D33" s="506" t="str">
        <f>IF(D32&gt;0,TRUNC(C32*D32,2),"")</f>
        <v/>
      </c>
      <c r="E33" s="506" t="str">
        <f>IF(E32&gt;0,IF(AND(SUM(D32:E32)=1,R32=1),C32-SUM(D33),TRUNC(C32*E32,2)),"")</f>
        <v/>
      </c>
      <c r="F33" s="506" t="str">
        <f>IF(F32&gt;0,IF(AND(SUM(D32:F32)=1,R32=1),C32-SUM(D33:E33),TRUNC(C32*F32,2)),"")</f>
        <v/>
      </c>
      <c r="G33" s="506" t="str">
        <f>IF(G32&gt;0,IF(AND(SUM(D32:G32)=1,R32=1),C32-SUM(D33:F33),TRUNC(C32*G32,2)),"")</f>
        <v/>
      </c>
      <c r="H33" s="507" t="str">
        <f>IF(H32&gt;0,IF(AND(SUM(D32:H32)=1,R32=1),C32-SUM(D33:G33),TRUNC(C32*H32,2)),"")</f>
        <v/>
      </c>
      <c r="I33" s="511" t="str">
        <f>IF(I32&gt;0,IF(AND(SUM(D32:I32)=1,R32=1),C32-SUM(D33:H33),TRUNC(C32*I32,2)),"")</f>
        <v/>
      </c>
      <c r="J33" s="502">
        <f>IF(J32&gt;0,IF(AND(SUM(D32:J32)=1,R32=1),C32-SUM(D33:I33),TRUNC(C32*J32,2)),"")</f>
        <v>287429.62</v>
      </c>
      <c r="K33" s="502">
        <f>IF(K32&gt;0,IF(AND(SUM(D32:K32)=1,R32=1),C32-SUM(D33:J33),TRUNC(C32*K32,2)),"")</f>
        <v>287429.62</v>
      </c>
      <c r="L33" s="502">
        <f>IF(L32&gt;0,IF(AND(SUM(D32:L32)=1,R32=1),C32-SUM(D33:K33),TRUNC(C32*L32,2)),"")</f>
        <v>143714.83</v>
      </c>
      <c r="M33" s="506" t="str">
        <f>IF(M32&gt;0,IF(AND(SUM(D32:M32)=1,R32=1),C32-SUM(D33:L33),TRUNC(C32*M32,2)),"")</f>
        <v/>
      </c>
      <c r="N33" s="506" t="str">
        <f>IF(N32&gt;0,IF(AND(SUM(D32:N32)=1,R32=1),C32-SUM(D33:M33),TRUNC(C32*N32,2)),"")</f>
        <v/>
      </c>
      <c r="O33" s="506" t="str">
        <f>IF(O32&gt;0,IF(AND(SUM(D32:O32)=1,R32=1),C32-SUM(D33:N33),TRUNC(C32*O32,2)),"")</f>
        <v/>
      </c>
      <c r="P33" s="506" t="str">
        <f>IF(P32&gt;0,IF(AND(SUM(D32:P32)=1,R32=1),C32-SUM(D33:O33),TRUNC(C32*P32,2)),"")</f>
        <v/>
      </c>
      <c r="Q33" s="506" t="str">
        <f>IF(Q32&gt;0,IF(AND(SUM(D32:Q32)=1,R32=1),C32-SUM(D33:P33),TRUNC(C32*Q32,2)),"")</f>
        <v/>
      </c>
      <c r="R33" s="514">
        <f t="shared" si="0"/>
        <v>718574.07</v>
      </c>
      <c r="S33" s="513"/>
      <c r="T33" s="508"/>
      <c r="U33" s="508"/>
      <c r="V33" s="508"/>
      <c r="W33" s="508"/>
      <c r="X33" s="508"/>
      <c r="Y33" s="508"/>
      <c r="Z33" s="508"/>
    </row>
    <row r="34" ht="13.5" customHeight="1" spans="1:26">
      <c r="A34" s="497">
        <v>9</v>
      </c>
      <c r="B34" s="497" t="s">
        <v>28</v>
      </c>
      <c r="C34" s="498">
        <f>Resumo!H26</f>
        <v>428331.73</v>
      </c>
      <c r="D34" s="504"/>
      <c r="E34" s="504"/>
      <c r="F34" s="504"/>
      <c r="G34" s="504"/>
      <c r="H34" s="505"/>
      <c r="I34" s="510"/>
      <c r="J34" s="504"/>
      <c r="K34" s="504"/>
      <c r="L34" s="499">
        <v>0.5</v>
      </c>
      <c r="M34" s="499">
        <v>0.5</v>
      </c>
      <c r="N34" s="504"/>
      <c r="O34" s="504"/>
      <c r="P34" s="504"/>
      <c r="Q34" s="504"/>
      <c r="R34" s="512">
        <f t="shared" si="0"/>
        <v>1</v>
      </c>
      <c r="S34" s="513"/>
      <c r="T34" s="508"/>
      <c r="U34" s="508"/>
      <c r="V34" s="508"/>
      <c r="W34" s="508"/>
      <c r="X34" s="508"/>
      <c r="Y34" s="508"/>
      <c r="Z34" s="508"/>
    </row>
    <row r="35" ht="13.5" customHeight="1" spans="1:26">
      <c r="A35" s="501"/>
      <c r="B35" s="501"/>
      <c r="C35" s="501"/>
      <c r="D35" s="506" t="str">
        <f>IF(D34&gt;0,TRUNC(C34*D34,2),"")</f>
        <v/>
      </c>
      <c r="E35" s="506" t="str">
        <f>IF(E34&gt;0,IF(AND(SUM(D34:E34)=1,R34=1),C34-SUM(D35),TRUNC(C34*E34,2)),"")</f>
        <v/>
      </c>
      <c r="F35" s="506" t="str">
        <f>IF(F34&gt;0,IF(AND(SUM(D34:F34)=1,R34=1),C34-SUM(D35:E35),TRUNC(C34*F34,2)),"")</f>
        <v/>
      </c>
      <c r="G35" s="506" t="str">
        <f>IF(G34&gt;0,IF(AND(SUM(D34:G34)=1,R34=1),C34-SUM(D35:F35),TRUNC(C34*G34,2)),"")</f>
        <v/>
      </c>
      <c r="H35" s="507" t="str">
        <f>IF(H34&gt;0,IF(AND(SUM(D34:H34)=1,R34=1),C34-SUM(D35:G35),TRUNC(C34*H34,2)),"")</f>
        <v/>
      </c>
      <c r="I35" s="511" t="str">
        <f>IF(I34&gt;0,IF(AND(SUM(D34:I34)=1,R34=1),C34-SUM(D35:H35),TRUNC(C34*I34,2)),"")</f>
        <v/>
      </c>
      <c r="J35" s="506" t="str">
        <f>IF(J34&gt;0,IF(AND(SUM(D34:J34)=1,R34=1),C34-SUM(D35:I35),TRUNC(C34*J34,2)),"")</f>
        <v/>
      </c>
      <c r="K35" s="506" t="str">
        <f>IF(K34&gt;0,IF(AND(SUM(D34:K34)=1,R34=1),C34-SUM(D35:J35),TRUNC(C34*K34,2)),"")</f>
        <v/>
      </c>
      <c r="L35" s="502">
        <f>IF(L34&gt;0,IF(AND(SUM(D34:L34)=1,R34=1),C34-SUM(D35:K35),TRUNC(C34*L34,2)),"")</f>
        <v>214165.86</v>
      </c>
      <c r="M35" s="502">
        <f>IF(M34&gt;0,IF(AND(SUM(D34:M34)=1,R34=1),C34-SUM(D35:L35),TRUNC(C34*M34,2)),"")</f>
        <v>214165.87</v>
      </c>
      <c r="N35" s="506" t="str">
        <f>IF(N34&gt;0,IF(AND(SUM(D34:N34)=1,R34=1),C34-SUM(D35:M35),TRUNC(C34*N34,2)),"")</f>
        <v/>
      </c>
      <c r="O35" s="506" t="str">
        <f>IF(O34&gt;0,IF(AND(SUM(D34:O34)=1,R34=1),C34-SUM(D35:N35),TRUNC(C34*O34,2)),"")</f>
        <v/>
      </c>
      <c r="P35" s="506" t="str">
        <f>IF(P34&gt;0,IF(AND(SUM(D34:P34)=1,R34=1),C34-SUM(D35:O35),TRUNC(C34*P34,2)),"")</f>
        <v/>
      </c>
      <c r="Q35" s="506" t="str">
        <f>IF(Q34&gt;0,IF(AND(SUM(D34:Q34)=1,R34=1),C34-SUM(D35:P35),TRUNC(C34*Q34,2)),"")</f>
        <v/>
      </c>
      <c r="R35" s="514">
        <f t="shared" si="0"/>
        <v>428331.73</v>
      </c>
      <c r="S35" s="513"/>
      <c r="T35" s="508"/>
      <c r="U35" s="508"/>
      <c r="V35" s="508"/>
      <c r="W35" s="508"/>
      <c r="X35" s="508"/>
      <c r="Y35" s="508"/>
      <c r="Z35" s="508"/>
    </row>
    <row r="36" ht="13.5" customHeight="1" spans="1:26">
      <c r="A36" s="497">
        <v>10</v>
      </c>
      <c r="B36" s="497" t="s">
        <v>29</v>
      </c>
      <c r="C36" s="498">
        <f>Resumo!H27</f>
        <v>113067.58</v>
      </c>
      <c r="D36" s="504"/>
      <c r="E36" s="504"/>
      <c r="F36" s="499">
        <v>0.3</v>
      </c>
      <c r="G36" s="504"/>
      <c r="H36" s="505"/>
      <c r="I36" s="510"/>
      <c r="J36" s="499">
        <v>0.3</v>
      </c>
      <c r="K36" s="499">
        <v>0.4</v>
      </c>
      <c r="L36" s="504"/>
      <c r="M36" s="504"/>
      <c r="N36" s="504"/>
      <c r="O36" s="504"/>
      <c r="P36" s="504"/>
      <c r="Q36" s="504"/>
      <c r="R36" s="512">
        <f t="shared" si="0"/>
        <v>1</v>
      </c>
      <c r="S36" s="513"/>
      <c r="T36" s="508"/>
      <c r="U36" s="508"/>
      <c r="V36" s="508"/>
      <c r="W36" s="508"/>
      <c r="X36" s="508"/>
      <c r="Y36" s="508"/>
      <c r="Z36" s="508"/>
    </row>
    <row r="37" ht="13.5" customHeight="1" spans="1:26">
      <c r="A37" s="501"/>
      <c r="B37" s="501"/>
      <c r="C37" s="501"/>
      <c r="D37" s="506" t="str">
        <f>IF(D36&gt;0,TRUNC(C36*D36,2),"")</f>
        <v/>
      </c>
      <c r="E37" s="506" t="str">
        <f>IF(E36&gt;0,IF(AND(SUM(D36:E36)=1,R36=1),C36-SUM(D37),TRUNC(C36*E36,2)),"")</f>
        <v/>
      </c>
      <c r="F37" s="502">
        <f>IF(F36&gt;0,IF(AND(SUM(D36:F36)=1,R36=1),C36-SUM(D37:E37),TRUNC(C36*F36,2)),"")</f>
        <v>33920.27</v>
      </c>
      <c r="G37" s="506" t="str">
        <f>IF(G36&gt;0,IF(AND(SUM(D36:G36)=1,R36=1),C36-SUM(D37:F37),TRUNC(C36*G36,2)),"")</f>
        <v/>
      </c>
      <c r="H37" s="507" t="str">
        <f>IF(H36&gt;0,IF(AND(SUM(D36:H36)=1,R36=1),C36-SUM(D37:G37),TRUNC(C36*H36,2)),"")</f>
        <v/>
      </c>
      <c r="I37" s="511" t="str">
        <f>IF(I36&gt;0,IF(AND(SUM(D36:I36)=1,R36=1),C36-SUM(D37:H37),TRUNC(C36*I36,2)),"")</f>
        <v/>
      </c>
      <c r="J37" s="502">
        <f>IF(J36&gt;0,IF(AND(SUM(D36:J36)=1,R36=1),C36-SUM(D37:I37),TRUNC(C36*J36,2)),"")</f>
        <v>33920.27</v>
      </c>
      <c r="K37" s="502">
        <f>IF(K36&gt;0,IF(AND(SUM(D36:K36)=1,R36=1),C36-SUM(D37:J37),TRUNC(C36*K36,2)),"")</f>
        <v>45227.04</v>
      </c>
      <c r="L37" s="506" t="str">
        <f>IF(L36&gt;0,IF(AND(SUM(D36:L36)=1,R36=1),C36-SUM(D37:K37),TRUNC(C36*L36,2)),"")</f>
        <v/>
      </c>
      <c r="M37" s="506" t="str">
        <f>IF(M36&gt;0,IF(AND(SUM(D36:M36)=1,R36=1),C36-SUM(D37:L37),TRUNC(C36*M36,2)),"")</f>
        <v/>
      </c>
      <c r="N37" s="506" t="str">
        <f>IF(N36&gt;0,IF(AND(SUM(D36:N36)=1,R36=1),C36-SUM(D37:M37),TRUNC(C36*N36,2)),"")</f>
        <v/>
      </c>
      <c r="O37" s="506" t="str">
        <f>IF(O36&gt;0,IF(AND(SUM(D36:O36)=1,R36=1),C36-SUM(D37:N37),TRUNC(C36*O36,2)),"")</f>
        <v/>
      </c>
      <c r="P37" s="506" t="str">
        <f>IF(P36&gt;0,IF(AND(SUM(D36:P36)=1,R36=1),C36-SUM(D37:O37),TRUNC(C36*P36,2)),"")</f>
        <v/>
      </c>
      <c r="Q37" s="506" t="str">
        <f>IF(Q36&gt;0,IF(AND(SUM(D36:Q36)=1,R36=1),C36-SUM(D37:P37),TRUNC(C36*Q36,2)),"")</f>
        <v/>
      </c>
      <c r="R37" s="514">
        <f t="shared" si="0"/>
        <v>113067.58</v>
      </c>
      <c r="S37" s="513"/>
      <c r="T37" s="508"/>
      <c r="U37" s="508"/>
      <c r="V37" s="508"/>
      <c r="W37" s="508"/>
      <c r="X37" s="508"/>
      <c r="Y37" s="508"/>
      <c r="Z37" s="508"/>
    </row>
    <row r="38" ht="13.5" customHeight="1" spans="1:26">
      <c r="A38" s="497">
        <v>11</v>
      </c>
      <c r="B38" s="497" t="s">
        <v>30</v>
      </c>
      <c r="C38" s="498">
        <f>Resumo!H28</f>
        <v>112249.78</v>
      </c>
      <c r="D38" s="504"/>
      <c r="E38" s="504"/>
      <c r="F38" s="499">
        <v>0.2</v>
      </c>
      <c r="G38" s="504"/>
      <c r="H38" s="505"/>
      <c r="I38" s="510"/>
      <c r="J38" s="499">
        <v>0.4</v>
      </c>
      <c r="K38" s="499">
        <v>0.4</v>
      </c>
      <c r="L38" s="504"/>
      <c r="M38" s="504"/>
      <c r="N38" s="504"/>
      <c r="O38" s="504"/>
      <c r="P38" s="504"/>
      <c r="Q38" s="504"/>
      <c r="R38" s="512">
        <f t="shared" si="0"/>
        <v>1</v>
      </c>
      <c r="S38" s="513"/>
      <c r="T38" s="508"/>
      <c r="U38" s="508"/>
      <c r="V38" s="508"/>
      <c r="W38" s="508"/>
      <c r="X38" s="508"/>
      <c r="Y38" s="508"/>
      <c r="Z38" s="508"/>
    </row>
    <row r="39" ht="13.5" customHeight="1" spans="1:26">
      <c r="A39" s="501"/>
      <c r="B39" s="501"/>
      <c r="C39" s="501"/>
      <c r="D39" s="506" t="str">
        <f>IF(D38&gt;0,TRUNC(C38*D38,2),"")</f>
        <v/>
      </c>
      <c r="E39" s="506" t="str">
        <f>IF(E38&gt;0,IF(AND(SUM(D38:E38)=1,R38=1),C38-SUM(D39),TRUNC(C38*E38,2)),"")</f>
        <v/>
      </c>
      <c r="F39" s="502">
        <f>IF(F38&gt;0,IF(AND(SUM(D38:F38)=1,R38=1),C38-SUM(D39:E39),TRUNC(C38*F38,2)),"")</f>
        <v>22449.95</v>
      </c>
      <c r="G39" s="506" t="str">
        <f>IF(G38&gt;0,IF(AND(SUM(D38:G38)=1,R38=1),C38-SUM(D39:F39),TRUNC(C38*G38,2)),"")</f>
        <v/>
      </c>
      <c r="H39" s="507" t="str">
        <f>IF(H38&gt;0,IF(AND(SUM(D38:H38)=1,R38=1),C38-SUM(D39:G39),TRUNC(C38*H38,2)),"")</f>
        <v/>
      </c>
      <c r="I39" s="511" t="str">
        <f>IF(I38&gt;0,IF(AND(SUM(D38:I38)=1,R38=1),C38-SUM(D39:H39),TRUNC(C38*I38,2)),"")</f>
        <v/>
      </c>
      <c r="J39" s="502">
        <f>IF(J38&gt;0,IF(AND(SUM(D38:J38)=1,R38=1),C38-SUM(D39:I39),TRUNC(C38*J38,2)),"")</f>
        <v>44899.91</v>
      </c>
      <c r="K39" s="502">
        <f>IF(K38&gt;0,IF(AND(SUM(D38:K38)=1,R38=1),C38-SUM(D39:J39),TRUNC(C38*K38,2)),"")</f>
        <v>44899.92</v>
      </c>
      <c r="L39" s="506" t="str">
        <f>IF(L38&gt;0,IF(AND(SUM(D38:L38)=1,R38=1),C38-SUM(D39:K39),TRUNC(C38*L38,2)),"")</f>
        <v/>
      </c>
      <c r="M39" s="506" t="str">
        <f>IF(M38&gt;0,IF(AND(SUM(D38:M38)=1,R38=1),C38-SUM(D39:L39),TRUNC(C38*M38,2)),"")</f>
        <v/>
      </c>
      <c r="N39" s="506" t="str">
        <f>IF(N38&gt;0,IF(AND(SUM(D38:N38)=1,R38=1),C38-SUM(D39:M39),TRUNC(C38*N38,2)),"")</f>
        <v/>
      </c>
      <c r="O39" s="506" t="str">
        <f>IF(O38&gt;0,IF(AND(SUM(D38:O38)=1,R38=1),C38-SUM(D39:N39),TRUNC(C38*O38,2)),"")</f>
        <v/>
      </c>
      <c r="P39" s="506" t="str">
        <f>IF(P38&gt;0,IF(AND(SUM(D38:P38)=1,R38=1),C38-SUM(D39:O39),TRUNC(C38*P38,2)),"")</f>
        <v/>
      </c>
      <c r="Q39" s="506" t="str">
        <f>IF(Q38&gt;0,IF(AND(SUM(D38:Q38)=1,R38=1),C38-SUM(D39:P39),TRUNC(C38*Q38,2)),"")</f>
        <v/>
      </c>
      <c r="R39" s="514">
        <f t="shared" si="0"/>
        <v>112249.78</v>
      </c>
      <c r="S39" s="513"/>
      <c r="T39" s="508"/>
      <c r="U39" s="508"/>
      <c r="V39" s="508"/>
      <c r="W39" s="508"/>
      <c r="X39" s="508"/>
      <c r="Y39" s="508"/>
      <c r="Z39" s="508"/>
    </row>
    <row r="40" ht="13.5" customHeight="1" spans="1:26">
      <c r="A40" s="497">
        <v>12</v>
      </c>
      <c r="B40" s="497" t="s">
        <v>31</v>
      </c>
      <c r="C40" s="498">
        <f>Resumo!H29</f>
        <v>540535.09</v>
      </c>
      <c r="D40" s="504"/>
      <c r="E40" s="504"/>
      <c r="F40" s="504"/>
      <c r="G40" s="499">
        <v>0.2</v>
      </c>
      <c r="H40" s="505"/>
      <c r="I40" s="510"/>
      <c r="J40" s="499">
        <v>0.2</v>
      </c>
      <c r="K40" s="499">
        <v>0.2</v>
      </c>
      <c r="L40" s="499">
        <v>0.2</v>
      </c>
      <c r="M40" s="499">
        <v>0.2</v>
      </c>
      <c r="N40" s="504"/>
      <c r="O40" s="504"/>
      <c r="P40" s="504"/>
      <c r="Q40" s="504"/>
      <c r="R40" s="512">
        <f t="shared" si="0"/>
        <v>1</v>
      </c>
      <c r="S40" s="513"/>
      <c r="T40" s="508"/>
      <c r="U40" s="508"/>
      <c r="V40" s="508"/>
      <c r="W40" s="508"/>
      <c r="X40" s="508"/>
      <c r="Y40" s="508"/>
      <c r="Z40" s="508"/>
    </row>
    <row r="41" ht="13.5" customHeight="1" spans="1:26">
      <c r="A41" s="501"/>
      <c r="B41" s="501"/>
      <c r="C41" s="501"/>
      <c r="D41" s="506" t="str">
        <f>IF(D40&gt;0,TRUNC(C40*D40,2),"")</f>
        <v/>
      </c>
      <c r="E41" s="506" t="str">
        <f>IF(E40&gt;0,IF(AND(SUM(D40:E40)=1,R40=1),C40-SUM(D41),TRUNC(C40*E40,2)),"")</f>
        <v/>
      </c>
      <c r="F41" s="506" t="str">
        <f>IF(F40&gt;0,IF(AND(SUM(D40:F40)=1,R40=1),C40-SUM(D41:E41),TRUNC(C40*F40,2)),"")</f>
        <v/>
      </c>
      <c r="G41" s="502">
        <f>IF(G40&gt;0,IF(AND(SUM(D40:G40)=1,R40=1),C40-SUM(D41:F41),TRUNC(C40*G40,2)),"")</f>
        <v>108107.01</v>
      </c>
      <c r="H41" s="507" t="str">
        <f>IF(H40&gt;0,IF(AND(SUM(D40:H40)=1,R40=1),C40-SUM(D41:G41),TRUNC(C40*H40,2)),"")</f>
        <v/>
      </c>
      <c r="I41" s="511" t="str">
        <f>IF(I40&gt;0,IF(AND(SUM(D40:I40)=1,R40=1),C40-SUM(D41:H41),TRUNC(C40*I40,2)),"")</f>
        <v/>
      </c>
      <c r="J41" s="502">
        <f>IF(J40&gt;0,IF(AND(SUM(D40:J40)=1,R40=1),C40-SUM(D41:I41),TRUNC(C40*J40,2)),"")</f>
        <v>108107.01</v>
      </c>
      <c r="K41" s="502">
        <f>IF(K40&gt;0,IF(AND(SUM(D40:K40)=1,R40=1),C40-SUM(D41:J41),TRUNC(C40*K40,2)),"")</f>
        <v>108107.01</v>
      </c>
      <c r="L41" s="502">
        <f>IF(L40&gt;0,IF(AND(SUM(D40:L40)=1,R40=1),C40-SUM(D41:K41),TRUNC(C40*L40,2)),"")</f>
        <v>108107.01</v>
      </c>
      <c r="M41" s="502">
        <f>IF(M40&gt;0,IF(AND(SUM(D40:M40)=1,R40=1),C40-SUM(D41:L41),TRUNC(C40*M40,2)),"")</f>
        <v>108107.05</v>
      </c>
      <c r="N41" s="506" t="str">
        <f>IF(N40&gt;0,IF(AND(SUM(D40:N40)=1,R40=1),C40-SUM(D41:M41),TRUNC(C40*N40,2)),"")</f>
        <v/>
      </c>
      <c r="O41" s="506" t="str">
        <f>IF(O40&gt;0,IF(AND(SUM(D40:O40)=1,R40=1),C40-SUM(D41:N41),TRUNC(C40*O40,2)),"")</f>
        <v/>
      </c>
      <c r="P41" s="506" t="str">
        <f>IF(P40&gt;0,IF(AND(SUM(D40:P40)=1,R40=1),C40-SUM(D41:O41),TRUNC(C40*P40,2)),"")</f>
        <v/>
      </c>
      <c r="Q41" s="506" t="str">
        <f>IF(Q40&gt;0,IF(AND(SUM(D40:Q40)=1,R40=1),C40-SUM(D41:P41),TRUNC(C40*Q40,2)),"")</f>
        <v/>
      </c>
      <c r="R41" s="514">
        <f t="shared" si="0"/>
        <v>540535.09</v>
      </c>
      <c r="S41" s="513"/>
      <c r="T41" s="508"/>
      <c r="U41" s="508"/>
      <c r="V41" s="508"/>
      <c r="W41" s="508"/>
      <c r="X41" s="508"/>
      <c r="Y41" s="508"/>
      <c r="Z41" s="508"/>
    </row>
    <row r="42" ht="13.5" customHeight="1" spans="1:26">
      <c r="A42" s="497">
        <v>13</v>
      </c>
      <c r="B42" s="497" t="s">
        <v>32</v>
      </c>
      <c r="C42" s="498">
        <f>Resumo!H30</f>
        <v>52484.08</v>
      </c>
      <c r="D42" s="504"/>
      <c r="E42" s="504"/>
      <c r="F42" s="504"/>
      <c r="G42" s="504"/>
      <c r="H42" s="505"/>
      <c r="I42" s="510"/>
      <c r="J42" s="499">
        <v>0.5</v>
      </c>
      <c r="K42" s="499">
        <v>0.5</v>
      </c>
      <c r="L42" s="504"/>
      <c r="M42" s="504"/>
      <c r="N42" s="504"/>
      <c r="O42" s="504"/>
      <c r="P42" s="504"/>
      <c r="Q42" s="504"/>
      <c r="R42" s="512">
        <f t="shared" si="0"/>
        <v>1</v>
      </c>
      <c r="S42" s="513"/>
      <c r="T42" s="508"/>
      <c r="U42" s="508"/>
      <c r="V42" s="508"/>
      <c r="W42" s="508"/>
      <c r="X42" s="508"/>
      <c r="Y42" s="508"/>
      <c r="Z42" s="508"/>
    </row>
    <row r="43" ht="13.5" customHeight="1" spans="1:26">
      <c r="A43" s="501"/>
      <c r="B43" s="501"/>
      <c r="C43" s="501"/>
      <c r="D43" s="506" t="str">
        <f>IF(D42&gt;0,TRUNC(C42*D42,2),"")</f>
        <v/>
      </c>
      <c r="E43" s="506" t="str">
        <f>IF(E42&gt;0,IF(AND(SUM(D42:E42)=1,R42=1),C42-SUM(D43),TRUNC(C42*E42,2)),"")</f>
        <v/>
      </c>
      <c r="F43" s="506" t="str">
        <f>IF(F42&gt;0,IF(AND(SUM(D42:F42)=1,R42=1),C42-SUM(D43:E43),TRUNC(C42*F42,2)),"")</f>
        <v/>
      </c>
      <c r="G43" s="506" t="str">
        <f>IF(G42&gt;0,IF(AND(SUM(D42:G42)=1,R42=1),C42-SUM(D43:F43),TRUNC(C42*G42,2)),"")</f>
        <v/>
      </c>
      <c r="H43" s="507" t="str">
        <f>IF(H42&gt;0,IF(AND(SUM(D42:H42)=1,R42=1),C42-SUM(D43:G43),TRUNC(C42*H42,2)),"")</f>
        <v/>
      </c>
      <c r="I43" s="511" t="str">
        <f>IF(I42&gt;0,IF(AND(SUM(D42:I42)=1,R42=1),C42-SUM(D43:H43),TRUNC(C42*I42,2)),"")</f>
        <v/>
      </c>
      <c r="J43" s="502">
        <f>IF(J42&gt;0,IF(AND(SUM(D42:J42)=1,R42=1),C42-SUM(D43:I43),TRUNC(C42*J42,2)),"")</f>
        <v>26242.04</v>
      </c>
      <c r="K43" s="502">
        <f>IF(K42&gt;0,IF(AND(SUM(D42:K42)=1,R42=1),C42-SUM(D43:J43),TRUNC(C42*K42,2)),"")</f>
        <v>26242.04</v>
      </c>
      <c r="L43" s="506" t="str">
        <f>IF(L42&gt;0,IF(AND(SUM(D42:L42)=1,R42=1),C42-SUM(D43:K43),TRUNC(C42*L42,2)),"")</f>
        <v/>
      </c>
      <c r="M43" s="506" t="str">
        <f>IF(M42&gt;0,IF(AND(SUM(D42:M42)=1,R42=1),C42-SUM(D43:L43),TRUNC(C42*M42,2)),"")</f>
        <v/>
      </c>
      <c r="N43" s="506" t="str">
        <f>IF(N42&gt;0,IF(AND(SUM(D42:N42)=1,R42=1),C42-SUM(D43:M43),TRUNC(C42*N42,2)),"")</f>
        <v/>
      </c>
      <c r="O43" s="506" t="str">
        <f>IF(O42&gt;0,IF(AND(SUM(D42:O42)=1,R42=1),C42-SUM(D43:N43),TRUNC(C42*O42,2)),"")</f>
        <v/>
      </c>
      <c r="P43" s="506" t="str">
        <f>IF(P42&gt;0,IF(AND(SUM(D42:P42)=1,R42=1),C42-SUM(D43:O43),TRUNC(C42*P42,2)),"")</f>
        <v/>
      </c>
      <c r="Q43" s="506" t="str">
        <f>IF(Q42&gt;0,IF(AND(SUM(D42:Q42)=1,R42=1),C42-SUM(D43:P43),TRUNC(C42*Q42,2)),"")</f>
        <v/>
      </c>
      <c r="R43" s="514">
        <f t="shared" si="0"/>
        <v>52484.08</v>
      </c>
      <c r="S43" s="513"/>
      <c r="T43" s="508"/>
      <c r="U43" s="508"/>
      <c r="V43" s="508"/>
      <c r="W43" s="508"/>
      <c r="X43" s="508"/>
      <c r="Y43" s="508"/>
      <c r="Z43" s="508"/>
    </row>
    <row r="44" ht="13.5" customHeight="1" spans="1:26">
      <c r="A44" s="497">
        <v>14</v>
      </c>
      <c r="B44" s="497" t="s">
        <v>33</v>
      </c>
      <c r="C44" s="498">
        <f>Resumo!H31</f>
        <v>164933.41</v>
      </c>
      <c r="D44" s="504"/>
      <c r="E44" s="504"/>
      <c r="F44" s="504"/>
      <c r="G44" s="504"/>
      <c r="H44" s="505"/>
      <c r="I44" s="510"/>
      <c r="J44" s="504"/>
      <c r="K44" s="504"/>
      <c r="L44" s="504"/>
      <c r="M44" s="499">
        <v>0.3</v>
      </c>
      <c r="N44" s="499">
        <v>0.3</v>
      </c>
      <c r="O44" s="499">
        <v>0.4</v>
      </c>
      <c r="P44" s="504"/>
      <c r="Q44" s="504"/>
      <c r="R44" s="512">
        <f t="shared" si="0"/>
        <v>1</v>
      </c>
      <c r="S44" s="513"/>
      <c r="T44" s="508"/>
      <c r="U44" s="508"/>
      <c r="V44" s="508"/>
      <c r="W44" s="508"/>
      <c r="X44" s="508"/>
      <c r="Y44" s="508"/>
      <c r="Z44" s="508"/>
    </row>
    <row r="45" ht="13.5" customHeight="1" spans="1:26">
      <c r="A45" s="501"/>
      <c r="B45" s="501"/>
      <c r="C45" s="501"/>
      <c r="D45" s="506" t="str">
        <f>IF(D44&gt;0,TRUNC(C44*D44,2),"")</f>
        <v/>
      </c>
      <c r="E45" s="506" t="str">
        <f>IF(E44&gt;0,IF(AND(SUM(D44:E44)=1,R44=1),C44-SUM(D45),TRUNC(C44*E44,2)),"")</f>
        <v/>
      </c>
      <c r="F45" s="506" t="str">
        <f>IF(F44&gt;0,IF(AND(SUM(D44:F44)=1,R44=1),C44-SUM(D45:E45),TRUNC(C44*F44,2)),"")</f>
        <v/>
      </c>
      <c r="G45" s="506" t="str">
        <f>IF(G44&gt;0,IF(AND(SUM(D44:G44)=1,R44=1),C44-SUM(D45:F45),TRUNC(C44*G44,2)),"")</f>
        <v/>
      </c>
      <c r="H45" s="507" t="str">
        <f>IF(H44&gt;0,IF(AND(SUM(D44:H44)=1,R44=1),C44-SUM(D45:G45),TRUNC(C44*H44,2)),"")</f>
        <v/>
      </c>
      <c r="I45" s="511" t="str">
        <f>IF(I44&gt;0,IF(AND(SUM(D44:I44)=1,R44=1),C44-SUM(D45:H45),TRUNC(C44*I44,2)),"")</f>
        <v/>
      </c>
      <c r="J45" s="506" t="str">
        <f>IF(J44&gt;0,IF(AND(SUM(D44:J44)=1,R44=1),C44-SUM(D45:I45),TRUNC(C44*J44,2)),"")</f>
        <v/>
      </c>
      <c r="K45" s="506" t="str">
        <f>IF(K44&gt;0,IF(AND(SUM(D44:K44)=1,R44=1),C44-SUM(D45:J45),TRUNC(C44*K44,2)),"")</f>
        <v/>
      </c>
      <c r="L45" s="506" t="str">
        <f>IF(L44&gt;0,IF(AND(SUM(D44:L44)=1,R44=1),C44-SUM(D45:K45),TRUNC(C44*L44,2)),"")</f>
        <v/>
      </c>
      <c r="M45" s="502">
        <f>IF(M44&gt;0,IF(AND(SUM(D44:M44)=1,R44=1),C44-SUM(D45:L45),TRUNC(C44*M44,2)),"")</f>
        <v>49480.02</v>
      </c>
      <c r="N45" s="502">
        <f>IF(N44&gt;0,IF(AND(SUM(D44:N44)=1,R44=1),C44-SUM(D45:M45),TRUNC(C44*N44,2)),"")</f>
        <v>49480.02</v>
      </c>
      <c r="O45" s="502">
        <f>IF(O44&gt;0,IF(AND(SUM(D44:O44)=1,R44=1),C44-SUM(D45:N45),TRUNC(C44*O44,2)),"")</f>
        <v>65973.37</v>
      </c>
      <c r="P45" s="506" t="str">
        <f>IF(P44&gt;0,IF(AND(SUM(D44:P44)=1,R44=1),C44-SUM(D45:O45),TRUNC(C44*P44,2)),"")</f>
        <v/>
      </c>
      <c r="Q45" s="506" t="str">
        <f>IF(Q44&gt;0,IF(AND(SUM(D44:Q44)=1,R44=1),C44-SUM(D45:P45),TRUNC(C44*Q44,2)),"")</f>
        <v/>
      </c>
      <c r="R45" s="514">
        <f t="shared" si="0"/>
        <v>164933.41</v>
      </c>
      <c r="S45" s="513"/>
      <c r="T45" s="508"/>
      <c r="U45" s="508"/>
      <c r="V45" s="508"/>
      <c r="W45" s="508"/>
      <c r="X45" s="508"/>
      <c r="Y45" s="508"/>
      <c r="Z45" s="508"/>
    </row>
    <row r="46" ht="13.5" customHeight="1" spans="1:26">
      <c r="A46" s="497">
        <v>15</v>
      </c>
      <c r="B46" s="497" t="s">
        <v>34</v>
      </c>
      <c r="C46" s="498">
        <f>Resumo!H32</f>
        <v>13854.74</v>
      </c>
      <c r="D46" s="504"/>
      <c r="E46" s="504"/>
      <c r="F46" s="504"/>
      <c r="G46" s="504"/>
      <c r="H46" s="505"/>
      <c r="I46" s="510"/>
      <c r="J46" s="504"/>
      <c r="K46" s="504"/>
      <c r="L46" s="504"/>
      <c r="M46" s="504"/>
      <c r="N46" s="504"/>
      <c r="O46" s="504"/>
      <c r="P46" s="499">
        <v>1</v>
      </c>
      <c r="Q46" s="504"/>
      <c r="R46" s="512">
        <f t="shared" si="0"/>
        <v>1</v>
      </c>
      <c r="S46" s="513"/>
      <c r="T46" s="508"/>
      <c r="U46" s="508"/>
      <c r="V46" s="508"/>
      <c r="W46" s="508"/>
      <c r="X46" s="508"/>
      <c r="Y46" s="508"/>
      <c r="Z46" s="508"/>
    </row>
    <row r="47" ht="13.5" customHeight="1" spans="1:26">
      <c r="A47" s="501"/>
      <c r="B47" s="501"/>
      <c r="C47" s="501"/>
      <c r="D47" s="506" t="str">
        <f>IF(D46&gt;0,TRUNC(C46*D46,2),"")</f>
        <v/>
      </c>
      <c r="E47" s="506" t="str">
        <f>IF(E46&gt;0,IF(AND(SUM(D46:E46)=1,R46=1),C46-SUM(D47),TRUNC(C46*E46,2)),"")</f>
        <v/>
      </c>
      <c r="F47" s="506" t="str">
        <f>IF(F46&gt;0,IF(AND(SUM(D46:F46)=1,R46=1),C46-SUM(D47:E47),TRUNC(C46*F46,2)),"")</f>
        <v/>
      </c>
      <c r="G47" s="506" t="str">
        <f>IF(G46&gt;0,IF(AND(SUM(D46:G46)=1,R46=1),C46-SUM(D47:F47),TRUNC(C46*G46,2)),"")</f>
        <v/>
      </c>
      <c r="H47" s="507" t="str">
        <f>IF(H46&gt;0,IF(AND(SUM(D46:H46)=1,R46=1),C46-SUM(D47:G47),TRUNC(C46*H46,2)),"")</f>
        <v/>
      </c>
      <c r="I47" s="511" t="str">
        <f>IF(I46&gt;0,IF(AND(SUM(D46:I46)=1,R46=1),C46-SUM(D47:H47),TRUNC(C46*I46,2)),"")</f>
        <v/>
      </c>
      <c r="J47" s="506" t="str">
        <f>IF(J46&gt;0,IF(AND(SUM(D46:J46)=1,R46=1),C46-SUM(D47:I47),TRUNC(C46*J46,2)),"")</f>
        <v/>
      </c>
      <c r="K47" s="506" t="str">
        <f>IF(K46&gt;0,IF(AND(SUM(D46:K46)=1,R46=1),C46-SUM(D47:J47),TRUNC(C46*K46,2)),"")</f>
        <v/>
      </c>
      <c r="L47" s="506" t="str">
        <f>IF(L46&gt;0,IF(AND(SUM(D46:L46)=1,R46=1),C46-SUM(D47:K47),TRUNC(C46*L46,2)),"")</f>
        <v/>
      </c>
      <c r="M47" s="506" t="str">
        <f>IF(M46&gt;0,IF(AND(SUM(D46:M46)=1,R46=1),C46-SUM(D47:L47),TRUNC(C46*M46,2)),"")</f>
        <v/>
      </c>
      <c r="N47" s="506" t="str">
        <f>IF(N46&gt;0,IF(AND(SUM(D46:N46)=1,R46=1),C46-SUM(D47:M47),TRUNC(C46*N46,2)),"")</f>
        <v/>
      </c>
      <c r="O47" s="506" t="str">
        <f>IF(O46&gt;0,IF(AND(SUM(D46:O46)=1,R46=1),C46-SUM(D47:N47),TRUNC(C46*O46,2)),"")</f>
        <v/>
      </c>
      <c r="P47" s="502">
        <f>IF(P46&gt;0,IF(AND(SUM(D46:P46)=1,R46=1),C46-SUM(D47:O47),TRUNC(C46*P46,2)),"")</f>
        <v>13854.74</v>
      </c>
      <c r="Q47" s="506" t="str">
        <f>IF(Q46&gt;0,IF(AND(SUM(D46:Q46)=1,R46=1),C46-SUM(D47:P47),TRUNC(C46*Q46,2)),"")</f>
        <v/>
      </c>
      <c r="R47" s="514">
        <f t="shared" si="0"/>
        <v>13854.74</v>
      </c>
      <c r="S47" s="513"/>
      <c r="T47" s="508"/>
      <c r="U47" s="508"/>
      <c r="V47" s="508"/>
      <c r="W47" s="508"/>
      <c r="X47" s="508"/>
      <c r="Y47" s="508"/>
      <c r="Z47" s="508"/>
    </row>
    <row r="48" ht="13.5" customHeight="1" spans="1:26">
      <c r="A48" s="497">
        <v>16</v>
      </c>
      <c r="B48" s="497" t="s">
        <v>35</v>
      </c>
      <c r="C48" s="498">
        <f>Resumo!H33</f>
        <v>52263.88</v>
      </c>
      <c r="D48" s="504"/>
      <c r="E48" s="504"/>
      <c r="F48" s="504"/>
      <c r="G48" s="504"/>
      <c r="H48" s="505"/>
      <c r="I48" s="510"/>
      <c r="J48" s="504"/>
      <c r="K48" s="504"/>
      <c r="L48" s="504"/>
      <c r="M48" s="499">
        <v>0.5</v>
      </c>
      <c r="N48" s="499">
        <v>0.5</v>
      </c>
      <c r="O48" s="504"/>
      <c r="P48" s="504"/>
      <c r="Q48" s="504"/>
      <c r="R48" s="512">
        <f t="shared" si="0"/>
        <v>1</v>
      </c>
      <c r="S48" s="513"/>
      <c r="T48" s="508"/>
      <c r="U48" s="508"/>
      <c r="V48" s="508"/>
      <c r="W48" s="508"/>
      <c r="X48" s="508"/>
      <c r="Y48" s="508"/>
      <c r="Z48" s="508"/>
    </row>
    <row r="49" ht="13.5" customHeight="1" spans="1:26">
      <c r="A49" s="501"/>
      <c r="B49" s="501"/>
      <c r="C49" s="501"/>
      <c r="D49" s="506" t="str">
        <f>IF(D48&gt;0,TRUNC(C48*D48,2),"")</f>
        <v/>
      </c>
      <c r="E49" s="506" t="str">
        <f>IF(E48&gt;0,IF(AND(SUM(D48:E48)=1,R48=1),C48-SUM(D49),TRUNC(C48*E48,2)),"")</f>
        <v/>
      </c>
      <c r="F49" s="506" t="str">
        <f>IF(F48&gt;0,IF(AND(SUM(D48:F48)=1,R48=1),C48-SUM(D49:E49),TRUNC(C48*F48,2)),"")</f>
        <v/>
      </c>
      <c r="G49" s="506" t="str">
        <f>IF(G48&gt;0,IF(AND(SUM(D48:G48)=1,R48=1),C48-SUM(D49:F49),TRUNC(C48*G48,2)),"")</f>
        <v/>
      </c>
      <c r="H49" s="507" t="str">
        <f>IF(H48&gt;0,IF(AND(SUM(D48:H48)=1,R48=1),C48-SUM(D49:G49),TRUNC(C48*H48,2)),"")</f>
        <v/>
      </c>
      <c r="I49" s="511" t="str">
        <f>IF(I48&gt;0,IF(AND(SUM(D48:I48)=1,R48=1),C48-SUM(D49:H49),TRUNC(C48*I48,2)),"")</f>
        <v/>
      </c>
      <c r="J49" s="506" t="str">
        <f>IF(J48&gt;0,IF(AND(SUM(D48:J48)=1,R48=1),C48-SUM(D49:I49),TRUNC(C48*J48,2)),"")</f>
        <v/>
      </c>
      <c r="K49" s="506" t="str">
        <f>IF(K48&gt;0,IF(AND(SUM(D48:K48)=1,R48=1),C48-SUM(D49:J49),TRUNC(C48*K48,2)),"")</f>
        <v/>
      </c>
      <c r="L49" s="506" t="str">
        <f>IF(L48&gt;0,IF(AND(SUM(D48:L48)=1,R48=1),C48-SUM(D49:K49),TRUNC(C48*L48,2)),"")</f>
        <v/>
      </c>
      <c r="M49" s="502">
        <f>IF(M48&gt;0,IF(AND(SUM(D48:M48)=1,R48=1),C48-SUM(D49:L49),TRUNC(C48*M48,2)),"")</f>
        <v>26131.94</v>
      </c>
      <c r="N49" s="502">
        <f>IF(N48&gt;0,IF(AND(SUM(D48:N48)=1,R48=1),C48-SUM(D49:M49),TRUNC(C48*N48,2)),"")</f>
        <v>26131.94</v>
      </c>
      <c r="O49" s="506" t="str">
        <f>IF(O48&gt;0,IF(AND(SUM(D48:O48)=1,R48=1),C48-SUM(D49:N49),TRUNC(C48*O48,2)),"")</f>
        <v/>
      </c>
      <c r="P49" s="506" t="str">
        <f>IF(P48&gt;0,IF(AND(SUM(D48:P48)=1,R48=1),C48-SUM(D49:O49),TRUNC(C48*P48,2)),"")</f>
        <v/>
      </c>
      <c r="Q49" s="506" t="str">
        <f>IF(Q48&gt;0,IF(AND(SUM(D48:Q48)=1,R48=1),C48-SUM(D49:P49),TRUNC(C48*Q48,2)),"")</f>
        <v/>
      </c>
      <c r="R49" s="514">
        <f t="shared" si="0"/>
        <v>52263.88</v>
      </c>
      <c r="S49" s="513"/>
      <c r="T49" s="508"/>
      <c r="U49" s="508"/>
      <c r="V49" s="508"/>
      <c r="W49" s="508"/>
      <c r="X49" s="508"/>
      <c r="Y49" s="508"/>
      <c r="Z49" s="508"/>
    </row>
    <row r="50" ht="13.5" customHeight="1" spans="1:26">
      <c r="A50" s="497">
        <v>17</v>
      </c>
      <c r="B50" s="497" t="s">
        <v>36</v>
      </c>
      <c r="C50" s="498">
        <f>Resumo!H34</f>
        <v>460513.61</v>
      </c>
      <c r="D50" s="504"/>
      <c r="E50" s="504"/>
      <c r="F50" s="504"/>
      <c r="G50" s="504"/>
      <c r="H50" s="505"/>
      <c r="I50" s="510"/>
      <c r="J50" s="504"/>
      <c r="K50" s="504"/>
      <c r="L50" s="499">
        <v>0.2</v>
      </c>
      <c r="M50" s="499">
        <v>0.3</v>
      </c>
      <c r="N50" s="499">
        <v>0.3</v>
      </c>
      <c r="O50" s="499">
        <v>0.2</v>
      </c>
      <c r="P50" s="504"/>
      <c r="Q50" s="504"/>
      <c r="R50" s="512">
        <f t="shared" si="0"/>
        <v>1</v>
      </c>
      <c r="S50" s="513"/>
      <c r="T50" s="508"/>
      <c r="U50" s="508"/>
      <c r="V50" s="508"/>
      <c r="W50" s="508"/>
      <c r="X50" s="508"/>
      <c r="Y50" s="508"/>
      <c r="Z50" s="508"/>
    </row>
    <row r="51" ht="13.5" customHeight="1" spans="1:26">
      <c r="A51" s="501"/>
      <c r="B51" s="501"/>
      <c r="C51" s="501"/>
      <c r="D51" s="506" t="str">
        <f>IF(D50&gt;0,TRUNC(C50*D50,2),"")</f>
        <v/>
      </c>
      <c r="E51" s="506" t="str">
        <f>IF(E50&gt;0,IF(AND(SUM(D50:E50)=1,R50=1),C50-SUM(D51),TRUNC(C50*E50,2)),"")</f>
        <v/>
      </c>
      <c r="F51" s="506" t="str">
        <f>IF(F50&gt;0,IF(AND(SUM(D50:F50)=1,R50=1),C50-SUM(D51:E51),TRUNC(C50*F50,2)),"")</f>
        <v/>
      </c>
      <c r="G51" s="506" t="str">
        <f>IF(G50&gt;0,IF(AND(SUM(D50:G50)=1,R50=1),C50-SUM(D51:F51),TRUNC(C50*G50,2)),"")</f>
        <v/>
      </c>
      <c r="H51" s="507" t="str">
        <f>IF(H50&gt;0,IF(AND(SUM(D50:H50)=1,R50=1),C50-SUM(D51:G51),TRUNC(C50*H50,2)),"")</f>
        <v/>
      </c>
      <c r="I51" s="511" t="str">
        <f>IF(I50&gt;0,IF(AND(SUM(D50:I50)=1,R50=1),C50-SUM(D51:H51),TRUNC(C50*I50,2)),"")</f>
        <v/>
      </c>
      <c r="J51" s="506" t="str">
        <f>IF(J50&gt;0,IF(AND(SUM(D50:J50)=1,R50=1),C50-SUM(D51:I51),TRUNC(C50*J50,2)),"")</f>
        <v/>
      </c>
      <c r="K51" s="506" t="str">
        <f>IF(K50&gt;0,IF(AND(SUM(D50:K50)=1,R50=1),C50-SUM(D51:J51),TRUNC(C50*K50,2)),"")</f>
        <v/>
      </c>
      <c r="L51" s="502">
        <f>IF(L50&gt;0,IF(AND(SUM(D50:L50)=1,R50=1),C50-SUM(D51:K51),TRUNC(C50*L50,2)),"")</f>
        <v>92102.72</v>
      </c>
      <c r="M51" s="502">
        <f>IF(M50&gt;0,IF(AND(SUM(D50:M50)=1,R50=1),C50-SUM(D51:L51),TRUNC(C50*M50,2)),"")</f>
        <v>138154.08</v>
      </c>
      <c r="N51" s="502">
        <f>IF(N50&gt;0,IF(AND(SUM(D50:N50)=1,R50=1),C50-SUM(D51:M51),TRUNC(C50*N50,2)),"")</f>
        <v>138154.08</v>
      </c>
      <c r="O51" s="502">
        <f>IF(O50&gt;0,IF(AND(SUM(D50:O50)=1,R50=1),C50-SUM(D51:N51),TRUNC(C50*O50,2)),"")</f>
        <v>92102.73</v>
      </c>
      <c r="P51" s="506" t="str">
        <f>IF(P50&gt;0,IF(AND(SUM(D50:P50)=1,R50=1),C50-SUM(D51:O51),TRUNC(C50*P50,2)),"")</f>
        <v/>
      </c>
      <c r="Q51" s="506" t="str">
        <f>IF(Q50&gt;0,IF(AND(SUM(D50:Q50)=1,R50=1),C50-SUM(D51:P51),TRUNC(C50*Q50,2)),"")</f>
        <v/>
      </c>
      <c r="R51" s="514">
        <f t="shared" si="0"/>
        <v>460513.61</v>
      </c>
      <c r="S51" s="513"/>
      <c r="T51" s="508"/>
      <c r="U51" s="508"/>
      <c r="V51" s="508"/>
      <c r="W51" s="508"/>
      <c r="X51" s="508"/>
      <c r="Y51" s="508"/>
      <c r="Z51" s="508"/>
    </row>
    <row r="52" ht="13.5" customHeight="1" spans="1:26">
      <c r="A52" s="497">
        <v>18</v>
      </c>
      <c r="B52" s="497" t="s">
        <v>37</v>
      </c>
      <c r="C52" s="498">
        <f>Resumo!H35</f>
        <v>47648.79</v>
      </c>
      <c r="D52" s="504"/>
      <c r="E52" s="504"/>
      <c r="F52" s="504"/>
      <c r="G52" s="504"/>
      <c r="H52" s="505"/>
      <c r="I52" s="510"/>
      <c r="J52" s="504"/>
      <c r="K52" s="504"/>
      <c r="L52" s="504"/>
      <c r="M52" s="499">
        <v>1</v>
      </c>
      <c r="N52" s="504"/>
      <c r="O52" s="504"/>
      <c r="P52" s="504"/>
      <c r="Q52" s="504"/>
      <c r="R52" s="512">
        <f t="shared" si="0"/>
        <v>1</v>
      </c>
      <c r="S52" s="513"/>
      <c r="T52" s="508"/>
      <c r="U52" s="508"/>
      <c r="V52" s="508"/>
      <c r="W52" s="508"/>
      <c r="X52" s="508"/>
      <c r="Y52" s="508"/>
      <c r="Z52" s="508"/>
    </row>
    <row r="53" ht="13.5" customHeight="1" spans="1:26">
      <c r="A53" s="501"/>
      <c r="B53" s="501"/>
      <c r="C53" s="501"/>
      <c r="D53" s="506" t="str">
        <f>IF(D52&gt;0,TRUNC(C52*D52,2),"")</f>
        <v/>
      </c>
      <c r="E53" s="506" t="str">
        <f>IF(E52&gt;0,IF(AND(SUM(D52:E52)=1,R52=1),C52-SUM(D53),TRUNC(C52*E52,2)),"")</f>
        <v/>
      </c>
      <c r="F53" s="506" t="str">
        <f>IF(F52&gt;0,IF(AND(SUM(D52:F52)=1,R52=1),C52-SUM(D53:E53),TRUNC(C52*F52,2)),"")</f>
        <v/>
      </c>
      <c r="G53" s="506" t="str">
        <f>IF(G52&gt;0,IF(AND(SUM(D52:G52)=1,R52=1),C52-SUM(D53:F53),TRUNC(C52*G52,2)),"")</f>
        <v/>
      </c>
      <c r="H53" s="507" t="str">
        <f>IF(H52&gt;0,IF(AND(SUM(D52:H52)=1,R52=1),C52-SUM(D53:G53),TRUNC(C52*H52,2)),"")</f>
        <v/>
      </c>
      <c r="I53" s="511" t="str">
        <f>IF(I52&gt;0,IF(AND(SUM(D52:I52)=1,R52=1),C52-SUM(D53:H53),TRUNC(C52*I52,2)),"")</f>
        <v/>
      </c>
      <c r="J53" s="506" t="str">
        <f>IF(J52&gt;0,IF(AND(SUM(D52:J52)=1,R52=1),C52-SUM(D53:I53),TRUNC(C52*J52,2)),"")</f>
        <v/>
      </c>
      <c r="K53" s="506" t="str">
        <f>IF(K52&gt;0,IF(AND(SUM(D52:K52)=1,R52=1),C52-SUM(D53:J53),TRUNC(C52*K52,2)),"")</f>
        <v/>
      </c>
      <c r="L53" s="506" t="str">
        <f>IF(L52&gt;0,IF(AND(SUM(D52:L52)=1,R52=1),C52-SUM(D53:K53),TRUNC(C52*L52,2)),"")</f>
        <v/>
      </c>
      <c r="M53" s="502">
        <f>IF(M52&gt;0,IF(AND(SUM(D52:M52)=1,R52=1),C52-SUM(D53:L53),TRUNC(C52*M52,2)),"")</f>
        <v>47648.79</v>
      </c>
      <c r="N53" s="506" t="str">
        <f>IF(N52&gt;0,IF(AND(SUM(D52:N52)=1,R52=1),C52-SUM(D53:M53),TRUNC(C52*N52,2)),"")</f>
        <v/>
      </c>
      <c r="O53" s="506" t="str">
        <f>IF(O52&gt;0,IF(AND(SUM(D52:O52)=1,R52=1),C52-SUM(D53:N53),TRUNC(C52*O52,2)),"")</f>
        <v/>
      </c>
      <c r="P53" s="506" t="str">
        <f>IF(P52&gt;0,IF(AND(SUM(D52:P52)=1,R52=1),C52-SUM(D53:O53),TRUNC(C52*P52,2)),"")</f>
        <v/>
      </c>
      <c r="Q53" s="506" t="str">
        <f>IF(Q52&gt;0,IF(AND(SUM(D52:Q52)=1,R52=1),C52-SUM(D53:P53),TRUNC(C52*Q52,2)),"")</f>
        <v/>
      </c>
      <c r="R53" s="514">
        <f t="shared" si="0"/>
        <v>47648.79</v>
      </c>
      <c r="S53" s="513"/>
      <c r="T53" s="508"/>
      <c r="U53" s="508"/>
      <c r="V53" s="508"/>
      <c r="W53" s="508"/>
      <c r="X53" s="508"/>
      <c r="Y53" s="508"/>
      <c r="Z53" s="508"/>
    </row>
    <row r="54" ht="13.5" customHeight="1" spans="1:26">
      <c r="A54" s="497">
        <v>19</v>
      </c>
      <c r="B54" s="497" t="s">
        <v>38</v>
      </c>
      <c r="C54" s="498">
        <f>Resumo!H36</f>
        <v>110181.61</v>
      </c>
      <c r="D54" s="504"/>
      <c r="E54" s="504"/>
      <c r="F54" s="504"/>
      <c r="G54" s="504"/>
      <c r="H54" s="505"/>
      <c r="I54" s="510"/>
      <c r="J54" s="504"/>
      <c r="K54" s="504"/>
      <c r="L54" s="504"/>
      <c r="M54" s="504"/>
      <c r="N54" s="504"/>
      <c r="O54" s="499">
        <v>0.5</v>
      </c>
      <c r="P54" s="499">
        <v>0.5</v>
      </c>
      <c r="Q54" s="504"/>
      <c r="R54" s="512">
        <f t="shared" si="0"/>
        <v>1</v>
      </c>
      <c r="S54" s="513"/>
      <c r="T54" s="508"/>
      <c r="U54" s="508"/>
      <c r="V54" s="508"/>
      <c r="W54" s="508"/>
      <c r="X54" s="508"/>
      <c r="Y54" s="508"/>
      <c r="Z54" s="508"/>
    </row>
    <row r="55" ht="13.5" customHeight="1" spans="1:26">
      <c r="A55" s="501"/>
      <c r="B55" s="501"/>
      <c r="C55" s="501"/>
      <c r="D55" s="506" t="str">
        <f>IF(D54&gt;0,TRUNC(C54*D54,2),"")</f>
        <v/>
      </c>
      <c r="E55" s="506" t="str">
        <f>IF(E54&gt;0,IF(AND(SUM(D54:E54)=1,R54=1),C54-SUM(D55),TRUNC(C54*E54,2)),"")</f>
        <v/>
      </c>
      <c r="F55" s="506" t="str">
        <f>IF(F54&gt;0,IF(AND(SUM(D54:F54)=1,R54=1),C54-SUM(D55:E55),TRUNC(C54*F54,2)),"")</f>
        <v/>
      </c>
      <c r="G55" s="506" t="str">
        <f>IF(G54&gt;0,IF(AND(SUM(D54:G54)=1,R54=1),C54-SUM(D55:F55),TRUNC(C54*G54,2)),"")</f>
        <v/>
      </c>
      <c r="H55" s="507" t="str">
        <f>IF(H54&gt;0,IF(AND(SUM(D54:H54)=1,R54=1),C54-SUM(D55:G55),TRUNC(C54*H54,2)),"")</f>
        <v/>
      </c>
      <c r="I55" s="511" t="str">
        <f>IF(I54&gt;0,IF(AND(SUM(D54:I54)=1,R54=1),C54-SUM(D55:H55),TRUNC(C54*I54,2)),"")</f>
        <v/>
      </c>
      <c r="J55" s="506" t="str">
        <f>IF(J54&gt;0,IF(AND(SUM(D54:J54)=1,R54=1),C54-SUM(D55:I55),TRUNC(C54*J54,2)),"")</f>
        <v/>
      </c>
      <c r="K55" s="506" t="str">
        <f>IF(K54&gt;0,IF(AND(SUM(D54:K54)=1,R54=1),C54-SUM(D55:J55),TRUNC(C54*K54,2)),"")</f>
        <v/>
      </c>
      <c r="L55" s="506" t="str">
        <f>IF(L54&gt;0,IF(AND(SUM(D54:L54)=1,R54=1),C54-SUM(D55:K55),TRUNC(C54*L54,2)),"")</f>
        <v/>
      </c>
      <c r="M55" s="506" t="str">
        <f>IF(M54&gt;0,IF(AND(SUM(D54:M54)=1,R54=1),C54-SUM(D55:L55),TRUNC(C54*M54,2)),"")</f>
        <v/>
      </c>
      <c r="N55" s="506" t="str">
        <f>IF(N54&gt;0,IF(AND(SUM(D54:N54)=1,R54=1),C54-SUM(D55:M55),TRUNC(C54*N54,2)),"")</f>
        <v/>
      </c>
      <c r="O55" s="502">
        <f>IF(O54&gt;0,IF(AND(SUM(D54:O54)=1,R54=1),C54-SUM(D55:N55),TRUNC(C54*O54,2)),"")</f>
        <v>55090.8</v>
      </c>
      <c r="P55" s="502">
        <f>IF(P54&gt;0,IF(AND(SUM(D54:P54)=1,R54=1),C54-SUM(D55:O55),TRUNC(C54*P54,2)),"")</f>
        <v>55090.81</v>
      </c>
      <c r="Q55" s="506" t="str">
        <f>IF(Q54&gt;0,IF(AND(SUM(D54:Q54)=1,R54=1),C54-SUM(D55:P55),TRUNC(C54*Q54,2)),"")</f>
        <v/>
      </c>
      <c r="R55" s="514">
        <f t="shared" si="0"/>
        <v>110181.61</v>
      </c>
      <c r="S55" s="513"/>
      <c r="T55" s="508"/>
      <c r="U55" s="508"/>
      <c r="V55" s="508"/>
      <c r="W55" s="508"/>
      <c r="X55" s="508"/>
      <c r="Y55" s="508"/>
      <c r="Z55" s="508"/>
    </row>
    <row r="56" ht="13.5" customHeight="1" spans="1:26">
      <c r="A56" s="497">
        <v>20</v>
      </c>
      <c r="B56" s="497" t="s">
        <v>39</v>
      </c>
      <c r="C56" s="498">
        <f>Resumo!H37</f>
        <v>301019.98</v>
      </c>
      <c r="D56" s="504"/>
      <c r="E56" s="504"/>
      <c r="F56" s="504"/>
      <c r="G56" s="504"/>
      <c r="H56" s="505"/>
      <c r="I56" s="510"/>
      <c r="J56" s="504"/>
      <c r="K56" s="499">
        <v>0.5</v>
      </c>
      <c r="L56" s="504"/>
      <c r="M56" s="504"/>
      <c r="N56" s="499">
        <v>0.5</v>
      </c>
      <c r="O56" s="504"/>
      <c r="P56" s="504"/>
      <c r="Q56" s="504"/>
      <c r="R56" s="512">
        <f t="shared" si="0"/>
        <v>1</v>
      </c>
      <c r="S56" s="513"/>
      <c r="T56" s="508"/>
      <c r="U56" s="508"/>
      <c r="V56" s="508"/>
      <c r="W56" s="508"/>
      <c r="X56" s="508"/>
      <c r="Y56" s="508"/>
      <c r="Z56" s="508"/>
    </row>
    <row r="57" ht="13.5" customHeight="1" spans="1:26">
      <c r="A57" s="501"/>
      <c r="B57" s="501"/>
      <c r="C57" s="501"/>
      <c r="D57" s="506" t="str">
        <f>IF(D56&gt;0,TRUNC(C56*D56,2),"")</f>
        <v/>
      </c>
      <c r="E57" s="506" t="str">
        <f>IF(E56&gt;0,IF(AND(SUM(D56:E56)=1,R56=1),C56-SUM(D57),TRUNC(C56*E56,2)),"")</f>
        <v/>
      </c>
      <c r="F57" s="506" t="str">
        <f>IF(F56&gt;0,IF(AND(SUM(D56:F56)=1,R56=1),C56-SUM(D57:E57),TRUNC(C56*F56,2)),"")</f>
        <v/>
      </c>
      <c r="G57" s="506" t="str">
        <f>IF(G56&gt;0,IF(AND(SUM(D56:G56)=1,R56=1),C56-SUM(D57:F57),TRUNC(C56*G56,2)),"")</f>
        <v/>
      </c>
      <c r="H57" s="507" t="str">
        <f>IF(H56&gt;0,IF(AND(SUM(D56:H56)=1,R56=1),C56-SUM(D57:G57),TRUNC(C56*H56,2)),"")</f>
        <v/>
      </c>
      <c r="I57" s="511" t="str">
        <f>IF(I56&gt;0,IF(AND(SUM(D56:I56)=1,R56=1),C56-SUM(D57:H57),TRUNC(C56*I56,2)),"")</f>
        <v/>
      </c>
      <c r="J57" s="506" t="str">
        <f>IF(J56&gt;0,IF(AND(SUM(D56:J56)=1,R56=1),C56-SUM(D57:I57),TRUNC(C56*J56,2)),"")</f>
        <v/>
      </c>
      <c r="K57" s="502">
        <f>IF(K56&gt;0,IF(AND(SUM(D56:K56)=1,R56=1),C56-SUM(D57:J57),TRUNC(C56*K56,2)),"")</f>
        <v>150509.99</v>
      </c>
      <c r="L57" s="506" t="str">
        <f>IF(L56&gt;0,IF(AND(SUM(D56:L56)=1,R56=1),C56-SUM(D57:K57),TRUNC(C56*L56,2)),"")</f>
        <v/>
      </c>
      <c r="M57" s="506" t="str">
        <f>IF(M56&gt;0,IF(AND(SUM(D56:M56)=1,R56=1),C56-SUM(D57:L57),TRUNC(C56*M56,2)),"")</f>
        <v/>
      </c>
      <c r="N57" s="502">
        <f>IF(N56&gt;0,IF(AND(SUM(D56:N56)=1,R56=1),C56-SUM(D57:M57),TRUNC(C56*N56,2)),"")</f>
        <v>150509.99</v>
      </c>
      <c r="O57" s="506" t="str">
        <f>IF(O56&gt;0,IF(AND(SUM(D56:O56)=1,R56=1),C56-SUM(D57:N57),TRUNC(C56*O56,2)),"")</f>
        <v/>
      </c>
      <c r="P57" s="506" t="str">
        <f>IF(P56&gt;0,IF(AND(SUM(D56:P56)=1,R56=1),C56-SUM(D57:O57),TRUNC(C56*P56,2)),"")</f>
        <v/>
      </c>
      <c r="Q57" s="506" t="str">
        <f>IF(Q56&gt;0,IF(AND(SUM(D56:Q56)=1,R56=1),C56-SUM(D57:P57),TRUNC(C56*Q56,2)),"")</f>
        <v/>
      </c>
      <c r="R57" s="514">
        <f t="shared" si="0"/>
        <v>301019.98</v>
      </c>
      <c r="S57" s="513"/>
      <c r="T57" s="508"/>
      <c r="U57" s="508"/>
      <c r="V57" s="508"/>
      <c r="W57" s="508"/>
      <c r="X57" s="508"/>
      <c r="Y57" s="508"/>
      <c r="Z57" s="508"/>
    </row>
    <row r="58" ht="13.5" customHeight="1" spans="1:26">
      <c r="A58" s="497">
        <v>21</v>
      </c>
      <c r="B58" s="497" t="s">
        <v>40</v>
      </c>
      <c r="C58" s="498">
        <f>Resumo!H38</f>
        <v>403233.6</v>
      </c>
      <c r="D58" s="504"/>
      <c r="E58" s="504"/>
      <c r="F58" s="504"/>
      <c r="G58" s="504"/>
      <c r="H58" s="505"/>
      <c r="I58" s="510"/>
      <c r="J58" s="504"/>
      <c r="K58" s="504"/>
      <c r="L58" s="504"/>
      <c r="M58" s="499">
        <v>0.2</v>
      </c>
      <c r="N58" s="499">
        <v>0.3</v>
      </c>
      <c r="O58" s="499">
        <v>0.3</v>
      </c>
      <c r="P58" s="499">
        <v>0.2</v>
      </c>
      <c r="Q58" s="504"/>
      <c r="R58" s="512">
        <f t="shared" si="0"/>
        <v>1</v>
      </c>
      <c r="S58" s="513"/>
      <c r="T58" s="508"/>
      <c r="U58" s="508"/>
      <c r="V58" s="508"/>
      <c r="W58" s="508"/>
      <c r="X58" s="508"/>
      <c r="Y58" s="508"/>
      <c r="Z58" s="508"/>
    </row>
    <row r="59" ht="13.5" customHeight="1" spans="1:26">
      <c r="A59" s="501"/>
      <c r="B59" s="501"/>
      <c r="C59" s="501"/>
      <c r="D59" s="506" t="str">
        <f>IF(D58&gt;0,TRUNC(C58*D58,2),"")</f>
        <v/>
      </c>
      <c r="E59" s="506" t="str">
        <f>IF(E58&gt;0,IF(AND(SUM(D58:E58)=1,R58=1),C58-SUM(D59),TRUNC(C58*E58,2)),"")</f>
        <v/>
      </c>
      <c r="F59" s="506" t="str">
        <f>IF(F58&gt;0,IF(AND(SUM(D58:F58)=1,R58=1),C58-SUM(D59:E59),TRUNC(C58*F58,2)),"")</f>
        <v/>
      </c>
      <c r="G59" s="506" t="str">
        <f>IF(G58&gt;0,IF(AND(SUM(D58:G58)=1,R58=1),C58-SUM(D59:F59),TRUNC(C58*G58,2)),"")</f>
        <v/>
      </c>
      <c r="H59" s="507" t="str">
        <f>IF(H58&gt;0,IF(AND(SUM(D58:H58)=1,R58=1),C58-SUM(D59:G59),TRUNC(C58*H58,2)),"")</f>
        <v/>
      </c>
      <c r="I59" s="511" t="str">
        <f>IF(I58&gt;0,IF(AND(SUM(D58:I58)=1,R58=1),C58-SUM(D59:H59),TRUNC(C58*I58,2)),"")</f>
        <v/>
      </c>
      <c r="J59" s="506" t="str">
        <f>IF(J58&gt;0,IF(AND(SUM(D58:J58)=1,R58=1),C58-SUM(D59:I59),TRUNC(C58*J58,2)),"")</f>
        <v/>
      </c>
      <c r="K59" s="506" t="str">
        <f>IF(K58&gt;0,IF(AND(SUM(D58:K58)=1,R58=1),C58-SUM(D59:J59),TRUNC(C58*K58,2)),"")</f>
        <v/>
      </c>
      <c r="L59" s="506" t="str">
        <f>IF(L58&gt;0,IF(AND(SUM(D58:L58)=1,R58=1),C58-SUM(D59:K59),TRUNC(C58*L58,2)),"")</f>
        <v/>
      </c>
      <c r="M59" s="502">
        <f>IF(M58&gt;0,IF(AND(SUM(D58:M58)=1,R58=1),C58-SUM(D59:L59),TRUNC(C58*M58,2)),"")</f>
        <v>80646.72</v>
      </c>
      <c r="N59" s="502">
        <f>IF(N58&gt;0,IF(AND(SUM(D58:N58)=1,R58=1),C58-SUM(D59:M59),TRUNC(C58*N58,2)),"")</f>
        <v>120970.08</v>
      </c>
      <c r="O59" s="502">
        <f>IF(O58&gt;0,IF(AND(SUM(D58:O58)=1,R58=1),C58-SUM(D59:N59),TRUNC(C58*O58,2)),"")</f>
        <v>120970.08</v>
      </c>
      <c r="P59" s="502">
        <f>IF(P58&gt;0,IF(AND(SUM(D58:P58)=1,R58=1),C58-SUM(D59:O59),TRUNC(C58*P58,2)),"")</f>
        <v>80646.72</v>
      </c>
      <c r="Q59" s="506" t="str">
        <f>IF(Q58&gt;0,IF(AND(SUM(D58:Q58)=1,R58=1),C58-SUM(D59:P59),TRUNC(C58*Q58,2)),"")</f>
        <v/>
      </c>
      <c r="R59" s="514">
        <f t="shared" si="0"/>
        <v>403233.6</v>
      </c>
      <c r="S59" s="513"/>
      <c r="T59" s="508"/>
      <c r="U59" s="508"/>
      <c r="V59" s="508"/>
      <c r="W59" s="508"/>
      <c r="X59" s="508"/>
      <c r="Y59" s="508"/>
      <c r="Z59" s="508"/>
    </row>
    <row r="60" ht="13.5" customHeight="1" spans="1:26">
      <c r="A60" s="497">
        <v>22</v>
      </c>
      <c r="B60" s="497" t="s">
        <v>41</v>
      </c>
      <c r="C60" s="498">
        <f>Resumo!H39</f>
        <v>82712.58</v>
      </c>
      <c r="D60" s="504"/>
      <c r="E60" s="504"/>
      <c r="F60" s="504"/>
      <c r="G60" s="504"/>
      <c r="H60" s="505"/>
      <c r="I60" s="510"/>
      <c r="J60" s="504"/>
      <c r="K60" s="504"/>
      <c r="L60" s="504"/>
      <c r="M60" s="504"/>
      <c r="N60" s="504"/>
      <c r="O60" s="499">
        <v>0.5</v>
      </c>
      <c r="P60" s="499">
        <v>0.5</v>
      </c>
      <c r="Q60" s="504"/>
      <c r="R60" s="512">
        <f t="shared" si="0"/>
        <v>1</v>
      </c>
      <c r="S60" s="513"/>
      <c r="T60" s="508"/>
      <c r="U60" s="508"/>
      <c r="V60" s="508"/>
      <c r="W60" s="508"/>
      <c r="X60" s="508"/>
      <c r="Y60" s="508"/>
      <c r="Z60" s="508"/>
    </row>
    <row r="61" ht="13.5" customHeight="1" spans="1:26">
      <c r="A61" s="501"/>
      <c r="B61" s="501"/>
      <c r="C61" s="501"/>
      <c r="D61" s="506" t="str">
        <f>IF(D60&gt;0,TRUNC(C60*D60,2),"")</f>
        <v/>
      </c>
      <c r="E61" s="506" t="str">
        <f>IF(E60&gt;0,IF(AND(SUM(D60:E60)=1,R60=1),C60-SUM(D61),TRUNC(C60*E60,2)),"")</f>
        <v/>
      </c>
      <c r="F61" s="506" t="str">
        <f>IF(F60&gt;0,IF(AND(SUM(D60:F60)=1,R60=1),C60-SUM(D61:E61),TRUNC(C60*F60,2)),"")</f>
        <v/>
      </c>
      <c r="G61" s="506" t="str">
        <f>IF(G60&gt;0,IF(AND(SUM(D60:G60)=1,R60=1),C60-SUM(D61:F61),TRUNC(C60*G60,2)),"")</f>
        <v/>
      </c>
      <c r="H61" s="507" t="str">
        <f>IF(H60&gt;0,IF(AND(SUM(D60:H60)=1,R60=1),C60-SUM(D61:G61),TRUNC(C60*H60,2)),"")</f>
        <v/>
      </c>
      <c r="I61" s="511" t="str">
        <f>IF(I60&gt;0,IF(AND(SUM(D60:I60)=1,R60=1),C60-SUM(D61:H61),TRUNC(C60*I60,2)),"")</f>
        <v/>
      </c>
      <c r="J61" s="506" t="str">
        <f>IF(J60&gt;0,IF(AND(SUM(D60:J60)=1,R60=1),C60-SUM(D61:I61),TRUNC(C60*J60,2)),"")</f>
        <v/>
      </c>
      <c r="K61" s="506" t="str">
        <f>IF(K60&gt;0,IF(AND(SUM(D60:K60)=1,R60=1),C60-SUM(D61:J61),TRUNC(C60*K60,2)),"")</f>
        <v/>
      </c>
      <c r="L61" s="506" t="str">
        <f>IF(L60&gt;0,IF(AND(SUM(D60:L60)=1,R60=1),C60-SUM(D61:K61),TRUNC(C60*L60,2)),"")</f>
        <v/>
      </c>
      <c r="M61" s="506" t="str">
        <f>IF(M60&gt;0,IF(AND(SUM(D60:M60)=1,R60=1),C60-SUM(D61:L61),TRUNC(C60*M60,2)),"")</f>
        <v/>
      </c>
      <c r="N61" s="506" t="str">
        <f>IF(N60&gt;0,IF(AND(SUM(D60:N60)=1,R60=1),C60-SUM(D61:M61),TRUNC(C60*N60,2)),"")</f>
        <v/>
      </c>
      <c r="O61" s="502">
        <f>IF(O60&gt;0,IF(AND(SUM(D60:O60)=1,R60=1),C60-SUM(D61:N61),TRUNC(C60*O60,2)),"")</f>
        <v>41356.29</v>
      </c>
      <c r="P61" s="502">
        <f>IF(P60&gt;0,IF(AND(SUM(D60:P60)=1,R60=1),C60-SUM(D61:O61),TRUNC(C60*P60,2)),"")</f>
        <v>41356.29</v>
      </c>
      <c r="Q61" s="506" t="str">
        <f>IF(Q60&gt;0,IF(AND(SUM(D60:Q60)=1,R60=1),C60-SUM(D61:P61),TRUNC(C60*Q60,2)),"")</f>
        <v/>
      </c>
      <c r="R61" s="514">
        <f t="shared" si="0"/>
        <v>82712.58</v>
      </c>
      <c r="S61" s="513"/>
      <c r="T61" s="508"/>
      <c r="U61" s="508"/>
      <c r="V61" s="508"/>
      <c r="W61" s="508"/>
      <c r="X61" s="508"/>
      <c r="Y61" s="508"/>
      <c r="Z61" s="508"/>
    </row>
    <row r="62" ht="13.5" customHeight="1" spans="1:26">
      <c r="A62" s="497">
        <v>23</v>
      </c>
      <c r="B62" s="497" t="s">
        <v>42</v>
      </c>
      <c r="C62" s="498">
        <f>Resumo!H40</f>
        <v>784405.43</v>
      </c>
      <c r="D62" s="504"/>
      <c r="E62" s="504"/>
      <c r="F62" s="504"/>
      <c r="G62" s="504"/>
      <c r="H62" s="505"/>
      <c r="I62" s="510"/>
      <c r="J62" s="504"/>
      <c r="K62" s="504"/>
      <c r="L62" s="504"/>
      <c r="M62" s="504"/>
      <c r="N62" s="504"/>
      <c r="O62" s="499">
        <v>0.3</v>
      </c>
      <c r="P62" s="499">
        <v>0.3</v>
      </c>
      <c r="Q62" s="499">
        <v>0.4</v>
      </c>
      <c r="R62" s="512">
        <f t="shared" si="0"/>
        <v>1</v>
      </c>
      <c r="S62" s="513"/>
      <c r="T62" s="508"/>
      <c r="U62" s="508"/>
      <c r="V62" s="508"/>
      <c r="W62" s="508"/>
      <c r="X62" s="508"/>
      <c r="Y62" s="508"/>
      <c r="Z62" s="508"/>
    </row>
    <row r="63" ht="13.5" customHeight="1" spans="1:26">
      <c r="A63" s="501"/>
      <c r="B63" s="501"/>
      <c r="C63" s="501"/>
      <c r="D63" s="506" t="str">
        <f>IF(D62&gt;0,TRUNC(C62*D62,2),"")</f>
        <v/>
      </c>
      <c r="E63" s="506" t="str">
        <f>IF(E62&gt;0,IF(AND(SUM(D62:E62)=1,R62=1),C62-SUM(D63),TRUNC(C62*E62,2)),"")</f>
        <v/>
      </c>
      <c r="F63" s="506" t="str">
        <f>IF(F62&gt;0,IF(AND(SUM(D62:F62)=1,R62=1),C62-SUM(D63:E63),TRUNC(C62*F62,2)),"")</f>
        <v/>
      </c>
      <c r="G63" s="506" t="str">
        <f>IF(G62&gt;0,IF(AND(SUM(D62:G62)=1,R62=1),C62-SUM(D63:F63),TRUNC(C62*G62,2)),"")</f>
        <v/>
      </c>
      <c r="H63" s="507" t="str">
        <f>IF(H62&gt;0,IF(AND(SUM(D62:H62)=1,R62=1),C62-SUM(D63:G63),TRUNC(C62*H62,2)),"")</f>
        <v/>
      </c>
      <c r="I63" s="511" t="str">
        <f>IF(I62&gt;0,IF(AND(SUM(D62:I62)=1,R62=1),C62-SUM(D63:H63),TRUNC(C62*I62,2)),"")</f>
        <v/>
      </c>
      <c r="J63" s="506" t="str">
        <f>IF(J62&gt;0,IF(AND(SUM(D62:J62)=1,R62=1),C62-SUM(D63:I63),TRUNC(C62*J62,2)),"")</f>
        <v/>
      </c>
      <c r="K63" s="506" t="str">
        <f>IF(K62&gt;0,IF(AND(SUM(D62:K62)=1,R62=1),C62-SUM(D63:J63),TRUNC(C62*K62,2)),"")</f>
        <v/>
      </c>
      <c r="L63" s="506" t="str">
        <f>IF(L62&gt;0,IF(AND(SUM(D62:L62)=1,R62=1),C62-SUM(D63:K63),TRUNC(C62*L62,2)),"")</f>
        <v/>
      </c>
      <c r="M63" s="506" t="str">
        <f>IF(M62&gt;0,IF(AND(SUM(D62:M62)=1,R62=1),C62-SUM(D63:L63),TRUNC(C62*M62,2)),"")</f>
        <v/>
      </c>
      <c r="N63" s="506" t="str">
        <f>IF(N62&gt;0,IF(AND(SUM(D62:N62)=1,R62=1),C62-SUM(D63:M63),TRUNC(C62*N62,2)),"")</f>
        <v/>
      </c>
      <c r="O63" s="502">
        <f>IF(O62&gt;0,IF(AND(SUM(D62:O62)=1,R62=1),C62-SUM(D63:N63),TRUNC(C62*O62,2)),"")</f>
        <v>235321.62</v>
      </c>
      <c r="P63" s="502">
        <f>IF(P62&gt;0,IF(AND(SUM(D62:P62)=1,R62=1),C62-SUM(D63:O63),TRUNC(C62*P62,2)),"")</f>
        <v>235321.62</v>
      </c>
      <c r="Q63" s="502">
        <f>IF(Q62&gt;0,IF(AND(SUM(D62:Q62)=1,R62=1),C62-SUM(D63:P63),TRUNC(C62*Q62,2)),"")</f>
        <v>313762.19</v>
      </c>
      <c r="R63" s="514">
        <f t="shared" si="0"/>
        <v>784405.43</v>
      </c>
      <c r="S63" s="513"/>
      <c r="T63" s="508"/>
      <c r="U63" s="508"/>
      <c r="V63" s="508"/>
      <c r="W63" s="508"/>
      <c r="X63" s="508"/>
      <c r="Y63" s="508"/>
      <c r="Z63" s="508"/>
    </row>
    <row r="64" ht="13.5" customHeight="1" spans="1:26">
      <c r="A64" s="497">
        <v>24</v>
      </c>
      <c r="B64" s="497" t="s">
        <v>43</v>
      </c>
      <c r="C64" s="498">
        <f>Resumo!H41</f>
        <v>193118</v>
      </c>
      <c r="D64" s="504"/>
      <c r="E64" s="504"/>
      <c r="F64" s="504"/>
      <c r="G64" s="504"/>
      <c r="H64" s="505"/>
      <c r="I64" s="510"/>
      <c r="J64" s="504"/>
      <c r="K64" s="504"/>
      <c r="L64" s="504"/>
      <c r="M64" s="504"/>
      <c r="N64" s="504"/>
      <c r="O64" s="504"/>
      <c r="P64" s="504"/>
      <c r="Q64" s="499">
        <v>1</v>
      </c>
      <c r="R64" s="512">
        <f t="shared" si="0"/>
        <v>1</v>
      </c>
      <c r="S64" s="513"/>
      <c r="T64" s="508"/>
      <c r="U64" s="508"/>
      <c r="V64" s="508"/>
      <c r="W64" s="508"/>
      <c r="X64" s="508"/>
      <c r="Y64" s="508"/>
      <c r="Z64" s="508"/>
    </row>
    <row r="65" ht="13.5" customHeight="1" spans="1:26">
      <c r="A65" s="501"/>
      <c r="B65" s="501"/>
      <c r="C65" s="501"/>
      <c r="D65" s="506" t="str">
        <f>IF(D64&gt;0,TRUNC(C64*D64,2),"")</f>
        <v/>
      </c>
      <c r="E65" s="506" t="str">
        <f>IF(E64&gt;0,IF(AND(SUM(D64:E64)=1,R64=1),C64-SUM(D65),TRUNC(C64*E64,2)),"")</f>
        <v/>
      </c>
      <c r="F65" s="506" t="str">
        <f>IF(F64&gt;0,IF(AND(SUM(D64:F64)=1,R64=1),C64-SUM(D65:E65),TRUNC(C64*F64,2)),"")</f>
        <v/>
      </c>
      <c r="G65" s="506" t="str">
        <f>IF(G64&gt;0,IF(AND(SUM(D64:G64)=1,R64=1),C64-SUM(D65:F65),TRUNC(C64*G64,2)),"")</f>
        <v/>
      </c>
      <c r="H65" s="507" t="str">
        <f>IF(H64&gt;0,IF(AND(SUM(D64:H64)=1,R64=1),C64-SUM(D65:G65),TRUNC(C64*H64,2)),"")</f>
        <v/>
      </c>
      <c r="I65" s="511" t="str">
        <f>IF(I64&gt;0,IF(AND(SUM(D64:I64)=1,R64=1),C64-SUM(D65:H65),TRUNC(C64*I64,2)),"")</f>
        <v/>
      </c>
      <c r="J65" s="506" t="str">
        <f>IF(J64&gt;0,IF(AND(SUM(D64:J64)=1,R64=1),C64-SUM(D65:I65),TRUNC(C64*J64,2)),"")</f>
        <v/>
      </c>
      <c r="K65" s="506" t="str">
        <f>IF(K64&gt;0,IF(AND(SUM(D64:K64)=1,R64=1),C64-SUM(D65:J65),TRUNC(C64*K64,2)),"")</f>
        <v/>
      </c>
      <c r="L65" s="506" t="str">
        <f>IF(L64&gt;0,IF(AND(SUM(D64:L64)=1,R64=1),C64-SUM(D65:K65),TRUNC(C64*L64,2)),"")</f>
        <v/>
      </c>
      <c r="M65" s="506" t="str">
        <f>IF(M64&gt;0,IF(AND(SUM(D64:M64)=1,R64=1),C64-SUM(D65:L65),TRUNC(C64*M64,2)),"")</f>
        <v/>
      </c>
      <c r="N65" s="506" t="str">
        <f>IF(N64&gt;0,IF(AND(SUM(D64:N64)=1,R64=1),C64-SUM(D65:M65),TRUNC(C64*N64,2)),"")</f>
        <v/>
      </c>
      <c r="O65" s="506" t="str">
        <f>IF(O64&gt;0,IF(AND(SUM(D64:O64)=1,R64=1),C64-SUM(D65:N65),TRUNC(C64*O64,2)),"")</f>
        <v/>
      </c>
      <c r="P65" s="506" t="str">
        <f>IF(P64&gt;0,IF(AND(SUM(D64:P64)=1,R64=1),C64-SUM(D65:O65),TRUNC(C64*P64,2)),"")</f>
        <v/>
      </c>
      <c r="Q65" s="502">
        <f>IF(Q64&gt;0,IF(AND(SUM(D64:Q64)=1,R64=1),C64-SUM(D65:P65),TRUNC(C64*Q64,2)),"")</f>
        <v>193118</v>
      </c>
      <c r="R65" s="514">
        <f t="shared" si="0"/>
        <v>193118</v>
      </c>
      <c r="S65" s="513"/>
      <c r="T65" s="508"/>
      <c r="U65" s="508"/>
      <c r="V65" s="508"/>
      <c r="W65" s="508"/>
      <c r="X65" s="508"/>
      <c r="Y65" s="508"/>
      <c r="Z65" s="508"/>
    </row>
    <row r="66" ht="13.5" customHeight="1" spans="1:26">
      <c r="A66" s="497">
        <v>25</v>
      </c>
      <c r="B66" s="497" t="s">
        <v>44</v>
      </c>
      <c r="C66" s="498">
        <f>Resumo!H42</f>
        <v>19177.99</v>
      </c>
      <c r="D66" s="504"/>
      <c r="E66" s="504"/>
      <c r="F66" s="504"/>
      <c r="G66" s="504"/>
      <c r="H66" s="505"/>
      <c r="I66" s="510"/>
      <c r="J66" s="504"/>
      <c r="K66" s="504"/>
      <c r="L66" s="504"/>
      <c r="M66" s="504"/>
      <c r="N66" s="504"/>
      <c r="O66" s="504"/>
      <c r="P66" s="504"/>
      <c r="Q66" s="499">
        <v>1</v>
      </c>
      <c r="R66" s="512">
        <f t="shared" si="0"/>
        <v>1</v>
      </c>
      <c r="S66" s="513"/>
      <c r="T66" s="508"/>
      <c r="U66" s="508"/>
      <c r="V66" s="508"/>
      <c r="W66" s="508"/>
      <c r="X66" s="508"/>
      <c r="Y66" s="508"/>
      <c r="Z66" s="508"/>
    </row>
    <row r="67" ht="13.5" customHeight="1" spans="1:26">
      <c r="A67" s="501"/>
      <c r="B67" s="501"/>
      <c r="C67" s="501"/>
      <c r="D67" s="506" t="str">
        <f>IF(D66&gt;0,TRUNC(C66*D66,2),"")</f>
        <v/>
      </c>
      <c r="E67" s="506" t="str">
        <f>IF(E66&gt;0,IF(AND(SUM(D66:E66)=1,R66=1),C66-SUM(D67),TRUNC(C66*E66,2)),"")</f>
        <v/>
      </c>
      <c r="F67" s="506" t="str">
        <f>IF(F66&gt;0,IF(AND(SUM(D66:F66)=1,R66=1),C66-SUM(D67:E67),TRUNC(C66*F66,2)),"")</f>
        <v/>
      </c>
      <c r="G67" s="506" t="str">
        <f>IF(G66&gt;0,IF(AND(SUM(D66:G66)=1,R66=1),C66-SUM(D67:F67),TRUNC(C66*G66,2)),"")</f>
        <v/>
      </c>
      <c r="H67" s="507" t="str">
        <f>IF(H66&gt;0,IF(AND(SUM(D66:H66)=1,R66=1),C66-SUM(D67:G67),TRUNC(C66*H66,2)),"")</f>
        <v/>
      </c>
      <c r="I67" s="511" t="str">
        <f>IF(I66&gt;0,IF(AND(SUM(D66:I66)=1,R66=1),C66-SUM(D67:H67),TRUNC(C66*I66,2)),"")</f>
        <v/>
      </c>
      <c r="J67" s="506" t="str">
        <f>IF(J66&gt;0,IF(AND(SUM(D66:J66)=1,R66=1),C66-SUM(D67:I67),TRUNC(C66*J66,2)),"")</f>
        <v/>
      </c>
      <c r="K67" s="506" t="str">
        <f>IF(K66&gt;0,IF(AND(SUM(D66:K66)=1,R66=1),C66-SUM(D67:J67),TRUNC(C66*K66,2)),"")</f>
        <v/>
      </c>
      <c r="L67" s="506" t="str">
        <f>IF(L66&gt;0,IF(AND(SUM(D66:L66)=1,R66=1),C66-SUM(D67:K67),TRUNC(C66*L66,2)),"")</f>
        <v/>
      </c>
      <c r="M67" s="506" t="str">
        <f>IF(M66&gt;0,IF(AND(SUM(D66:M66)=1,R66=1),C66-SUM(D67:L67),TRUNC(C66*M66,2)),"")</f>
        <v/>
      </c>
      <c r="N67" s="506" t="str">
        <f>IF(N66&gt;0,IF(AND(SUM(D66:N66)=1,R66=1),C66-SUM(D67:M67),TRUNC(C66*N66,2)),"")</f>
        <v/>
      </c>
      <c r="O67" s="506" t="str">
        <f>IF(O66&gt;0,IF(AND(SUM(D66:O66)=1,R66=1),C66-SUM(D67:N67),TRUNC(C66*O66,2)),"")</f>
        <v/>
      </c>
      <c r="P67" s="506" t="str">
        <f>IF(P66&gt;0,IF(AND(SUM(D66:P66)=1,R66=1),C66-SUM(D67:O67),TRUNC(C66*P66,2)),"")</f>
        <v/>
      </c>
      <c r="Q67" s="502">
        <f>IF(Q66&gt;0,IF(AND(SUM(D66:Q66)=1,R66=1),C66-SUM(D67:P67),TRUNC(C66*Q66,2)),"")</f>
        <v>19177.99</v>
      </c>
      <c r="R67" s="514">
        <f t="shared" si="0"/>
        <v>19177.99</v>
      </c>
      <c r="S67" s="513"/>
      <c r="T67" s="508"/>
      <c r="U67" s="508"/>
      <c r="V67" s="508"/>
      <c r="W67" s="508"/>
      <c r="X67" s="508"/>
      <c r="Y67" s="508"/>
      <c r="Z67" s="508"/>
    </row>
    <row r="68" ht="13.5" customHeight="1" spans="1:26">
      <c r="A68" s="497">
        <v>26</v>
      </c>
      <c r="B68" s="497" t="s">
        <v>45</v>
      </c>
      <c r="C68" s="498">
        <f>Resumo!H43</f>
        <v>291787</v>
      </c>
      <c r="D68" s="504"/>
      <c r="E68" s="504"/>
      <c r="F68" s="499">
        <v>0.2</v>
      </c>
      <c r="G68" s="499">
        <v>0.2</v>
      </c>
      <c r="H68" s="500">
        <v>0.3</v>
      </c>
      <c r="I68" s="216"/>
      <c r="J68" s="499">
        <v>0.3</v>
      </c>
      <c r="K68" s="504"/>
      <c r="L68" s="504"/>
      <c r="M68" s="504"/>
      <c r="N68" s="504"/>
      <c r="O68" s="504"/>
      <c r="P68" s="504"/>
      <c r="Q68" s="504"/>
      <c r="R68" s="512">
        <f t="shared" si="0"/>
        <v>1</v>
      </c>
      <c r="S68" s="513"/>
      <c r="T68" s="508"/>
      <c r="U68" s="508"/>
      <c r="V68" s="508"/>
      <c r="W68" s="508"/>
      <c r="X68" s="508"/>
      <c r="Y68" s="508"/>
      <c r="Z68" s="508"/>
    </row>
    <row r="69" ht="13.5" customHeight="1" spans="1:26">
      <c r="A69" s="501"/>
      <c r="B69" s="501"/>
      <c r="C69" s="501"/>
      <c r="D69" s="506" t="str">
        <f>IF(D68&gt;0,TRUNC(C68*D68,2),"")</f>
        <v/>
      </c>
      <c r="E69" s="506" t="str">
        <f>IF(E68&gt;0,IF(AND(SUM(D68:E68)=1,R68=1),C68-SUM(D69),TRUNC(C68*E68,2)),"")</f>
        <v/>
      </c>
      <c r="F69" s="515">
        <f>IF(F68&gt;0,IF(AND(SUM(D68:F68)=1,R68=1),C68-SUM(D69:E69),TRUNC(C68*F68,2)),"")</f>
        <v>58357.4</v>
      </c>
      <c r="G69" s="515">
        <f>IF(G68&gt;0,IF(AND(SUM(D68:G68)=1,R68=1),C68-SUM(D69:F69),TRUNC(C68*G68,2)),"")</f>
        <v>58357.4</v>
      </c>
      <c r="H69" s="516">
        <f>IF(H68&gt;0,IF(AND(SUM(D68:H68)=1,R68=1),C68-SUM(D69:G69),TRUNC(C68*H68,2)),"")</f>
        <v>87536.1</v>
      </c>
      <c r="I69" s="216"/>
      <c r="J69" s="515">
        <f>IF(J68&gt;0,IF(AND(SUM(D68:J68)=1,R68=1),C68-SUM(D69:I69),TRUNC(C68*J68,2)),"")</f>
        <v>87536.1</v>
      </c>
      <c r="K69" s="506" t="str">
        <f>IF(K68&gt;0,IF(AND(SUM(D68:K68)=1,R68=1),C68-SUM(D69:J69),TRUNC(C68*K68,2)),"")</f>
        <v/>
      </c>
      <c r="L69" s="506" t="str">
        <f>IF(L68&gt;0,IF(AND(SUM(D68:L68)=1,R68=1),C68-SUM(D69:K69),TRUNC(C68*L68,2)),"")</f>
        <v/>
      </c>
      <c r="M69" s="506" t="str">
        <f>IF(M68&gt;0,IF(AND(SUM(D68:M68)=1,R68=1),C68-SUM(D69:L69),TRUNC(C68*M68,2)),"")</f>
        <v/>
      </c>
      <c r="N69" s="506" t="str">
        <f>IF(N68&gt;0,IF(AND(SUM(D68:N68)=1,R68=1),C68-SUM(D69:M69),TRUNC(C68*N68,2)),"")</f>
        <v/>
      </c>
      <c r="O69" s="506" t="str">
        <f>IF(O68&gt;0,IF(AND(SUM(D68:O68)=1,R68=1),C68-SUM(D69:N69),TRUNC(C68*O68,2)),"")</f>
        <v/>
      </c>
      <c r="P69" s="506" t="str">
        <f>IF(P68&gt;0,IF(AND(SUM(D68:P68)=1,R68=1),C68-SUM(D69:O69),TRUNC(C68*P68,2)),"")</f>
        <v/>
      </c>
      <c r="Q69" s="506" t="str">
        <f>IF(Q68&gt;0,IF(AND(SUM(D68:Q68)=1,R68=1),C68-SUM(D69:P69),TRUNC(C68*Q68,2)),"")</f>
        <v/>
      </c>
      <c r="R69" s="514">
        <f t="shared" si="0"/>
        <v>291787</v>
      </c>
      <c r="S69" s="513"/>
      <c r="T69" s="508"/>
      <c r="U69" s="508"/>
      <c r="V69" s="508"/>
      <c r="W69" s="508"/>
      <c r="X69" s="508"/>
      <c r="Y69" s="508"/>
      <c r="Z69" s="508"/>
    </row>
    <row r="70" ht="13.5" customHeight="1" spans="1:26">
      <c r="A70" s="497">
        <v>27</v>
      </c>
      <c r="B70" s="497" t="str">
        <f>Resumo!B44</f>
        <v>GUARITA</v>
      </c>
      <c r="C70" s="498">
        <f>Resumo!H44</f>
        <v>21393.63</v>
      </c>
      <c r="D70" s="504"/>
      <c r="E70" s="504"/>
      <c r="F70" s="499">
        <v>0.2</v>
      </c>
      <c r="G70" s="499">
        <v>0.2</v>
      </c>
      <c r="H70" s="500">
        <v>0.3</v>
      </c>
      <c r="I70" s="216"/>
      <c r="J70" s="499">
        <v>0.3</v>
      </c>
      <c r="K70" s="504"/>
      <c r="L70" s="504"/>
      <c r="M70" s="504"/>
      <c r="N70" s="504"/>
      <c r="O70" s="504"/>
      <c r="P70" s="504"/>
      <c r="Q70" s="504"/>
      <c r="R70" s="512">
        <f t="shared" si="0"/>
        <v>1</v>
      </c>
      <c r="S70" s="513"/>
      <c r="T70" s="508"/>
      <c r="U70" s="508"/>
      <c r="V70" s="508"/>
      <c r="W70" s="508"/>
      <c r="X70" s="508"/>
      <c r="Y70" s="508"/>
      <c r="Z70" s="508"/>
    </row>
    <row r="71" ht="13.5" customHeight="1" spans="1:26">
      <c r="A71" s="501"/>
      <c r="B71" s="501"/>
      <c r="C71" s="501"/>
      <c r="D71" s="517" t="str">
        <f>IF(D70&gt;0,TRUNC(C70*D70,2),"")</f>
        <v/>
      </c>
      <c r="E71" s="517" t="str">
        <f>IF(E70&gt;0,IF(AND(SUM(D70:E70)=1,R70=1),C70-SUM(D71),TRUNC(C70*E70,2)),"")</f>
        <v/>
      </c>
      <c r="F71" s="515">
        <f>IF(F70&gt;0,IF(AND(SUM(D70:F70)=1,R70=1),C70-SUM(D71:E71),TRUNC(C70*F70,2)),"")</f>
        <v>4278.72</v>
      </c>
      <c r="G71" s="515">
        <f>IF(G70&gt;0,IF(AND(SUM(D70:G70)=1,R70=1),C70-SUM(D71:F71),TRUNC(C70*G70,2)),"")</f>
        <v>4278.72</v>
      </c>
      <c r="H71" s="516">
        <f>IF(H70&gt;0,IF(AND(SUM(D70:H70)=1,R70=1),C70-SUM(D71:G71),TRUNC(C70*H70,2)),"")</f>
        <v>6418.08</v>
      </c>
      <c r="I71" s="216"/>
      <c r="J71" s="515">
        <f>IF(J70&gt;0,IF(AND(SUM(D70:J70)=1,R70=1),C70-SUM(D71:I71),TRUNC(C70*J70,2)),"")</f>
        <v>6418.11</v>
      </c>
      <c r="K71" s="517" t="str">
        <f>IF(K70&gt;0,IF(AND(SUM(D70:K70)=1,R70=1),C70-SUM(D71:J71),TRUNC(C70*K70,2)),"")</f>
        <v/>
      </c>
      <c r="L71" s="517" t="str">
        <f>IF(L70&gt;0,IF(AND(SUM(D70:L70)=1,R70=1),C70-SUM(D71:K71),TRUNC(C70*L70,2)),"")</f>
        <v/>
      </c>
      <c r="M71" s="517" t="str">
        <f>IF(M70&gt;0,IF(AND(SUM(D70:M70)=1,R70=1),C70-SUM(D71:L71),TRUNC(C70*M70,2)),"")</f>
        <v/>
      </c>
      <c r="N71" s="517" t="str">
        <f>IF(N70&gt;0,IF(AND(SUM(D70:N70)=1,R70=1),C70-SUM(D71:M71),TRUNC(C70*N70,2)),"")</f>
        <v/>
      </c>
      <c r="O71" s="517" t="str">
        <f>IF(O70&gt;0,IF(AND(SUM(D70:O70)=1,R70=1),C70-SUM(D71:N71),TRUNC(C70*O70,2)),"")</f>
        <v/>
      </c>
      <c r="P71" s="517" t="str">
        <f>IF(P70&gt;0,IF(AND(SUM(D70:P70)=1,R70=1),C70-SUM(D71:O71),TRUNC(C70*P70,2)),"")</f>
        <v/>
      </c>
      <c r="Q71" s="517" t="str">
        <f>IF(Q70&gt;0,IF(AND(SUM(D70:Q70)=1,R70=1),C70-SUM(D71:P71),TRUNC(C70*Q70,2)),"")</f>
        <v/>
      </c>
      <c r="R71" s="514">
        <f t="shared" si="0"/>
        <v>21393.63</v>
      </c>
      <c r="S71" s="513"/>
      <c r="T71" s="508"/>
      <c r="U71" s="508"/>
      <c r="V71" s="508"/>
      <c r="W71" s="508"/>
      <c r="X71" s="508"/>
      <c r="Y71" s="508"/>
      <c r="Z71" s="508"/>
    </row>
    <row r="72" ht="13.5" customHeight="1" spans="1:26">
      <c r="A72" s="497">
        <v>28</v>
      </c>
      <c r="B72" s="518" t="str">
        <f>Resumo!B45</f>
        <v>PORTICO</v>
      </c>
      <c r="C72" s="519">
        <f>Resumo!H45</f>
        <v>112892.63</v>
      </c>
      <c r="D72" s="520"/>
      <c r="E72" s="521"/>
      <c r="F72" s="522">
        <v>0.2</v>
      </c>
      <c r="G72" s="522">
        <v>0.2</v>
      </c>
      <c r="H72" s="523">
        <v>0.3</v>
      </c>
      <c r="I72" s="537"/>
      <c r="J72" s="522">
        <v>0.3</v>
      </c>
      <c r="K72" s="521"/>
      <c r="L72" s="521"/>
      <c r="M72" s="521"/>
      <c r="N72" s="521"/>
      <c r="O72" s="521"/>
      <c r="P72" s="521"/>
      <c r="Q72" s="541"/>
      <c r="R72" s="542">
        <f t="shared" si="0"/>
        <v>1</v>
      </c>
      <c r="S72" s="513"/>
      <c r="T72" s="508"/>
      <c r="U72" s="508"/>
      <c r="V72" s="508"/>
      <c r="W72" s="508"/>
      <c r="X72" s="508"/>
      <c r="Y72" s="508"/>
      <c r="Z72" s="508"/>
    </row>
    <row r="73" ht="13.5" customHeight="1" spans="1:26">
      <c r="A73" s="501"/>
      <c r="B73" s="524"/>
      <c r="C73" s="525"/>
      <c r="D73" s="526" t="str">
        <f>IF(D72&gt;0,TRUNC(C72*D72,2),"")</f>
        <v/>
      </c>
      <c r="E73" s="527" t="str">
        <f>IF(E72&gt;0,IF(AND(SUM(D72:E72)=1,R72=1),C72-SUM(D73),TRUNC(C72*E72,2)),"")</f>
        <v/>
      </c>
      <c r="F73" s="528">
        <f>IF(F72&gt;0,IF(AND(SUM(D72:F72)=1,R72=1),C72-SUM(D73:E73),TRUNC(C72*F72,2)),"")</f>
        <v>22578.52</v>
      </c>
      <c r="G73" s="528">
        <f>IF(G72&gt;0,IF(AND(SUM(D72:G72)=1,R72=1),C72-SUM(D73:F73),TRUNC(C72*G72,2)),"")</f>
        <v>22578.52</v>
      </c>
      <c r="H73" s="529">
        <f>IF(H72&gt;0,IF(AND(SUM(D72:H72)=1,R72=1),C72-SUM(D73:G73),TRUNC(C72*H72,2)),"")</f>
        <v>33867.78</v>
      </c>
      <c r="I73" s="538"/>
      <c r="J73" s="528">
        <f>IF(J72&gt;0,IF(AND(SUM(D72:J72)=1,R72=1),C72-SUM(D73:I73),TRUNC(C72*J72,2)),"")</f>
        <v>33867.81</v>
      </c>
      <c r="K73" s="527" t="str">
        <f>IF(K72&gt;0,IF(AND(SUM(D72:K72)=1,R72=1),C72-SUM(D73:J73),TRUNC(C72*K72,2)),"")</f>
        <v/>
      </c>
      <c r="L73" s="527" t="str">
        <f>IF(L72&gt;0,IF(AND(SUM(D72:L72)=1,R72=1),C72-SUM(D73:K73),TRUNC(C72*L72,2)),"")</f>
        <v/>
      </c>
      <c r="M73" s="527" t="str">
        <f>IF(M72&gt;0,IF(AND(SUM(D72:M72)=1,R72=1),C72-SUM(D73:L73),TRUNC(C72*M72,2)),"")</f>
        <v/>
      </c>
      <c r="N73" s="527" t="str">
        <f>IF(N72&gt;0,IF(AND(SUM(D72:N72)=1,R72=1),C72-SUM(D73:M73),TRUNC(C72*N72,2)),"")</f>
        <v/>
      </c>
      <c r="O73" s="527" t="str">
        <f>IF(O72&gt;0,IF(AND(SUM(D72:O72)=1,R72=1),C72-SUM(D73:N73),TRUNC(C72*O72,2)),"")</f>
        <v/>
      </c>
      <c r="P73" s="527" t="str">
        <f>IF(P72&gt;0,IF(AND(SUM(D72:P72)=1,R72=1),C72-SUM(D73:O73),TRUNC(C72*P72,2)),"")</f>
        <v/>
      </c>
      <c r="Q73" s="543" t="str">
        <f>IF(Q72&gt;0,IF(AND(SUM(D72:Q72)=1,R72=1),C72-SUM(D73:P73),TRUNC(C72*Q72,2)),"")</f>
        <v/>
      </c>
      <c r="R73" s="544">
        <f t="shared" si="0"/>
        <v>112892.63</v>
      </c>
      <c r="S73" s="513"/>
      <c r="T73" s="508"/>
      <c r="U73" s="508"/>
      <c r="V73" s="508"/>
      <c r="W73" s="508"/>
      <c r="X73" s="508"/>
      <c r="Y73" s="508"/>
      <c r="Z73" s="508"/>
    </row>
    <row r="74" ht="13.5" customHeight="1" spans="1:26">
      <c r="A74" s="497">
        <v>29</v>
      </c>
      <c r="B74" s="497" t="s">
        <v>48</v>
      </c>
      <c r="C74" s="498">
        <f>Resumo!H46</f>
        <v>64442.98</v>
      </c>
      <c r="D74" s="517"/>
      <c r="E74" s="517"/>
      <c r="F74" s="517"/>
      <c r="G74" s="517"/>
      <c r="H74" s="530"/>
      <c r="I74" s="539"/>
      <c r="J74" s="517"/>
      <c r="K74" s="517"/>
      <c r="L74" s="517"/>
      <c r="M74" s="517"/>
      <c r="N74" s="517"/>
      <c r="O74" s="517"/>
      <c r="P74" s="517"/>
      <c r="Q74" s="545">
        <v>1</v>
      </c>
      <c r="R74" s="512">
        <f t="shared" si="0"/>
        <v>1</v>
      </c>
      <c r="S74" s="513"/>
      <c r="T74" s="508"/>
      <c r="U74" s="508"/>
      <c r="V74" s="508"/>
      <c r="W74" s="508"/>
      <c r="X74" s="508"/>
      <c r="Y74" s="508"/>
      <c r="Z74" s="508"/>
    </row>
    <row r="75" ht="13.5" customHeight="1" spans="1:26">
      <c r="A75" s="501"/>
      <c r="B75" s="501"/>
      <c r="C75" s="501"/>
      <c r="D75" s="506" t="str">
        <f>IF(D74&gt;0,TRUNC(C74*D74,2),"")</f>
        <v/>
      </c>
      <c r="E75" s="506" t="str">
        <f>IF(E74&gt;0,IF(AND(SUM(D74:E74)=1,R74=1),C74-SUM(D75),TRUNC(C74*E74,2)),"")</f>
        <v/>
      </c>
      <c r="F75" s="506" t="str">
        <f>IF(F74&gt;0,IF(AND(SUM(D74:F74)=1,R74=1),C74-SUM(D75:E75),TRUNC(C74*F74,2)),"")</f>
        <v/>
      </c>
      <c r="G75" s="506" t="str">
        <f>IF(G74&gt;0,IF(AND(SUM(D74:G74)=1,R74=1),C74-SUM(D75:F75),TRUNC(C74*G74,2)),"")</f>
        <v/>
      </c>
      <c r="H75" s="507" t="str">
        <f>IF(H74&gt;0,IF(AND(SUM(D74:H74)=1,R74=1),C74-SUM(D75:G75),TRUNC(C74*H74,2)),"")</f>
        <v/>
      </c>
      <c r="I75" s="511" t="str">
        <f>IF(I74&gt;0,IF(AND(SUM(D74:I74)=1,R74=1),C74-SUM(D75:H75),TRUNC(C74*I74,2)),"")</f>
        <v/>
      </c>
      <c r="J75" s="506" t="str">
        <f>IF(J74&gt;0,IF(AND(SUM(D74:J74)=1,R74=1),C74-SUM(D75:I75),TRUNC(C74*J74,2)),"")</f>
        <v/>
      </c>
      <c r="K75" s="506" t="str">
        <f>IF(K74&gt;0,IF(AND(SUM(D74:K74)=1,R74=1),C74-SUM(D75:J75),TRUNC(C74*K74,2)),"")</f>
        <v/>
      </c>
      <c r="L75" s="506" t="str">
        <f>IF(L74&gt;0,IF(AND(SUM(D74:L74)=1,R74=1),C74-SUM(D75:K75),TRUNC(C74*L74,2)),"")</f>
        <v/>
      </c>
      <c r="M75" s="506" t="str">
        <f>IF(M74&gt;0,IF(AND(SUM(D74:M74)=1,R74=1),C74-SUM(D75:L75),TRUNC(C74*M74,2)),"")</f>
        <v/>
      </c>
      <c r="N75" s="506" t="str">
        <f>IF(N74&gt;0,IF(AND(SUM(D74:N74)=1,R74=1),C74-SUM(D75:M75),TRUNC(C74*N74,2)),"")</f>
        <v/>
      </c>
      <c r="O75" s="506" t="str">
        <f>IF(O74&gt;0,IF(AND(SUM(D74:O74)=1,R74=1),C74-SUM(D75:N75),TRUNC(C74*O74,2)),"")</f>
        <v/>
      </c>
      <c r="P75" s="506" t="str">
        <f>IF(P74&gt;0,IF(AND(SUM(D74:P74)=1,R74=1),C74-SUM(D75:O75),TRUNC(C74*P74,2)),"")</f>
        <v/>
      </c>
      <c r="Q75" s="502">
        <f>IF(Q74&gt;0,IF(AND(SUM(D74:Q74)=1,R74=1),C74-SUM(D75:P75),TRUNC(C74*Q74,2)),"")</f>
        <v>64442.98</v>
      </c>
      <c r="R75" s="514">
        <f t="shared" si="0"/>
        <v>64442.98</v>
      </c>
      <c r="S75" s="513"/>
      <c r="T75" s="508"/>
      <c r="U75" s="508"/>
      <c r="V75" s="508"/>
      <c r="W75" s="508"/>
      <c r="X75" s="508"/>
      <c r="Y75" s="508"/>
      <c r="Z75" s="508"/>
    </row>
    <row r="76" ht="13.5" customHeight="1" spans="1:26">
      <c r="A76" s="531"/>
      <c r="B76" s="532"/>
      <c r="C76" s="533">
        <f>SUM(C18,C20,C22,C24,C26,C28,C30,C32,C34,C36,C38,C40,C42,C44,C46,C48,C50,C52,C54,C56,C58,C60,C62,C64,C66,C68,C74,C70,C72)</f>
        <v>7504566.91</v>
      </c>
      <c r="D76" s="515">
        <f>SUM(D19,D21,D23,D25,D27,D29,D31,D33,D35,D37,D39,D41,D43,D45,D47,D49,D51,D53,D55,D57,D59,D61,D63,D65,D67,D69,D75,D71,D73)</f>
        <v>64568.46</v>
      </c>
      <c r="E76" s="515">
        <f t="shared" ref="E76:G76" si="1">SUM(E19,E21,E23,E25,E27,E29,E31,E33,E35,E37,E39,E41,E43,E45,E47,E49,E51,E53,E55,E57,E59,E61,E63,E65,E67,E69,E75,E71,E73)</f>
        <v>132717.99</v>
      </c>
      <c r="F76" s="515">
        <f t="shared" si="1"/>
        <v>380679.13</v>
      </c>
      <c r="G76" s="515">
        <f t="shared" si="1"/>
        <v>960919.53</v>
      </c>
      <c r="H76" s="503">
        <f t="shared" ref="H76" si="2">SUM(H19,H21,H23,H25,H27,H29,H31,H33,H35,H37,H39,H41,H43,H45,H47,H49,H51,H53,H55,H57,H59,H61,H63,H65,H67,H69,H75,H71,H73)</f>
        <v>734316.69</v>
      </c>
      <c r="I76" s="540"/>
      <c r="J76" s="515">
        <f>SUM(J19,J21,J23,J25,J27,J29,J31,J33,J35,J37,J39,J41,J43,J45,J47,J49,J51,J53,J55,J57,J59,J61,J63,J65,J67,J69,J75,J71,J73)</f>
        <v>689579.7</v>
      </c>
      <c r="K76" s="515">
        <f>SUM(K19,K21,K23,K25,K27,K29,K31,K33,K35,K37,K39,K41,K43,K45,K47,K49,K51,K53,K55,K57,K59,K61,K63,K65,K67,K69,K75,K71,K73)</f>
        <v>733777.83</v>
      </c>
      <c r="L76" s="515">
        <f t="shared" ref="L76:Q76" si="3">SUM(L19,L21,L23,L25,L27,L29,L31,L33,L35,L37,L39,L41,L43,L45,L47,L49,L51,L53,L55,L57,L59,L61,L63,L65,L67,L69,L75,L71,L73)</f>
        <v>632682.85</v>
      </c>
      <c r="M76" s="515">
        <f t="shared" si="3"/>
        <v>750456.28</v>
      </c>
      <c r="N76" s="515">
        <f t="shared" si="3"/>
        <v>552582.97</v>
      </c>
      <c r="O76" s="515">
        <f t="shared" si="3"/>
        <v>699918.44</v>
      </c>
      <c r="P76" s="515">
        <f t="shared" si="3"/>
        <v>496638.48</v>
      </c>
      <c r="Q76" s="515">
        <f t="shared" si="3"/>
        <v>675728.56</v>
      </c>
      <c r="R76" s="515">
        <f>Q77</f>
        <v>7504566.91</v>
      </c>
      <c r="S76" s="508"/>
      <c r="T76" s="508"/>
      <c r="U76" s="508"/>
      <c r="V76" s="508"/>
      <c r="W76" s="508"/>
      <c r="X76" s="508"/>
      <c r="Y76" s="508"/>
      <c r="Z76" s="508"/>
    </row>
    <row r="77" ht="13.5" customHeight="1" spans="1:26">
      <c r="A77" s="534"/>
      <c r="B77" s="535"/>
      <c r="C77" s="210"/>
      <c r="D77" s="502">
        <f>D76+C77</f>
        <v>64568.46</v>
      </c>
      <c r="E77" s="502">
        <f>E76+D77</f>
        <v>197286.45</v>
      </c>
      <c r="F77" s="502">
        <f>F76+E77</f>
        <v>577965.58</v>
      </c>
      <c r="G77" s="502">
        <f>G76+F77</f>
        <v>1538885.11</v>
      </c>
      <c r="H77" s="503">
        <f>H76+G77</f>
        <v>2273201.8</v>
      </c>
      <c r="I77" s="279"/>
      <c r="J77" s="502">
        <f>H77+J76</f>
        <v>2962781.5</v>
      </c>
      <c r="K77" s="502">
        <f t="shared" ref="K77" si="4">K76+J77</f>
        <v>3696559.33</v>
      </c>
      <c r="L77" s="502">
        <f t="shared" ref="L77" si="5">L76+K77</f>
        <v>4329242.18</v>
      </c>
      <c r="M77" s="502">
        <f t="shared" ref="M77" si="6">M76+L77</f>
        <v>5079698.46</v>
      </c>
      <c r="N77" s="502">
        <f t="shared" ref="N77" si="7">N76+M77</f>
        <v>5632281.43</v>
      </c>
      <c r="O77" s="502">
        <f t="shared" ref="O77" si="8">O76+N77</f>
        <v>6332199.87</v>
      </c>
      <c r="P77" s="502">
        <f t="shared" ref="P77" si="9">P76+O77</f>
        <v>6828838.35</v>
      </c>
      <c r="Q77" s="502">
        <f t="shared" ref="Q77" si="10">Q76+P77</f>
        <v>7504566.91</v>
      </c>
      <c r="R77" s="501"/>
      <c r="S77" s="508"/>
      <c r="T77" s="508"/>
      <c r="U77" s="508"/>
      <c r="V77" s="508"/>
      <c r="W77" s="508"/>
      <c r="X77" s="508"/>
      <c r="Y77" s="508"/>
      <c r="Z77" s="508"/>
    </row>
    <row r="78" ht="13.5" customHeight="1" spans="1:26">
      <c r="A78" s="536"/>
      <c r="B78" s="536"/>
      <c r="C78" s="536"/>
      <c r="D78" s="536"/>
      <c r="E78" s="536"/>
      <c r="F78" s="536"/>
      <c r="G78" s="536"/>
      <c r="H78" s="536"/>
      <c r="I78" s="536"/>
      <c r="J78" s="536"/>
      <c r="K78" s="536"/>
      <c r="L78" s="536"/>
      <c r="M78" s="536"/>
      <c r="N78" s="536"/>
      <c r="O78" s="536"/>
      <c r="P78" s="536"/>
      <c r="Q78" s="536"/>
      <c r="R78" s="536"/>
      <c r="S78" s="508"/>
      <c r="T78" s="508"/>
      <c r="U78" s="508"/>
      <c r="V78" s="508"/>
      <c r="W78" s="508"/>
      <c r="X78" s="508"/>
      <c r="Y78" s="508"/>
      <c r="Z78" s="508"/>
    </row>
    <row r="79" ht="13.5" customHeight="1" spans="1:26">
      <c r="A79" s="536"/>
      <c r="B79" s="536"/>
      <c r="C79" s="536"/>
      <c r="D79" s="536"/>
      <c r="E79" s="536"/>
      <c r="F79" s="536"/>
      <c r="G79" s="536"/>
      <c r="H79" s="536"/>
      <c r="I79" s="536"/>
      <c r="J79" s="536"/>
      <c r="K79" s="536"/>
      <c r="L79" s="536"/>
      <c r="M79" s="536"/>
      <c r="N79" s="536"/>
      <c r="O79" s="536"/>
      <c r="P79" s="536"/>
      <c r="Q79" s="536"/>
      <c r="R79" s="536"/>
      <c r="S79" s="508"/>
      <c r="T79" s="508"/>
      <c r="U79" s="508"/>
      <c r="V79" s="508"/>
      <c r="W79" s="508"/>
      <c r="X79" s="508"/>
      <c r="Y79" s="508"/>
      <c r="Z79" s="508"/>
    </row>
    <row r="80" ht="13.5" customHeight="1" spans="1:26">
      <c r="A80" s="536"/>
      <c r="B80" s="536"/>
      <c r="C80" s="536"/>
      <c r="D80" s="536"/>
      <c r="E80" s="536"/>
      <c r="F80" s="536"/>
      <c r="G80" s="536"/>
      <c r="H80" s="536"/>
      <c r="I80" s="536"/>
      <c r="J80" s="536"/>
      <c r="K80" s="536"/>
      <c r="L80" s="536"/>
      <c r="M80" s="536"/>
      <c r="N80" s="536"/>
      <c r="O80" s="536"/>
      <c r="P80" s="536"/>
      <c r="Q80" s="536"/>
      <c r="R80" s="536"/>
      <c r="S80" s="508"/>
      <c r="T80" s="508"/>
      <c r="U80" s="508"/>
      <c r="V80" s="508"/>
      <c r="W80" s="508"/>
      <c r="X80" s="508"/>
      <c r="Y80" s="508"/>
      <c r="Z80" s="508"/>
    </row>
    <row r="81" ht="13.5" customHeight="1" spans="1:26">
      <c r="A81" s="536"/>
      <c r="B81" s="536"/>
      <c r="C81" s="536"/>
      <c r="D81" s="536"/>
      <c r="E81" s="536"/>
      <c r="F81" s="536"/>
      <c r="G81" s="536"/>
      <c r="H81" s="536"/>
      <c r="I81" s="536"/>
      <c r="J81" s="536"/>
      <c r="K81" s="536"/>
      <c r="L81" s="536"/>
      <c r="M81" s="536"/>
      <c r="N81" s="536"/>
      <c r="O81" s="536"/>
      <c r="P81" s="536"/>
      <c r="Q81" s="536"/>
      <c r="R81" s="536"/>
      <c r="S81" s="508"/>
      <c r="T81" s="508"/>
      <c r="U81" s="508"/>
      <c r="V81" s="508"/>
      <c r="W81" s="508"/>
      <c r="X81" s="508"/>
      <c r="Y81" s="508"/>
      <c r="Z81" s="508"/>
    </row>
    <row r="82" ht="13.5" customHeight="1" spans="1:26">
      <c r="A82" s="536"/>
      <c r="B82" s="536"/>
      <c r="C82" s="536"/>
      <c r="D82" s="536"/>
      <c r="E82" s="536"/>
      <c r="F82" s="536"/>
      <c r="G82" s="536"/>
      <c r="H82" s="536"/>
      <c r="I82" s="536"/>
      <c r="J82" s="536"/>
      <c r="K82" s="536"/>
      <c r="L82" s="536"/>
      <c r="M82" s="536"/>
      <c r="N82" s="536"/>
      <c r="O82" s="536"/>
      <c r="P82" s="536"/>
      <c r="Q82" s="536"/>
      <c r="R82" s="536"/>
      <c r="S82" s="508"/>
      <c r="T82" s="508"/>
      <c r="U82" s="508"/>
      <c r="V82" s="508"/>
      <c r="W82" s="508"/>
      <c r="X82" s="508"/>
      <c r="Y82" s="508"/>
      <c r="Z82" s="508"/>
    </row>
    <row r="83" ht="13.5" customHeight="1" spans="1:26">
      <c r="A83" s="508"/>
      <c r="B83" s="508"/>
      <c r="C83" s="508"/>
      <c r="D83" s="508"/>
      <c r="E83" s="508"/>
      <c r="F83" s="508"/>
      <c r="G83" s="508"/>
      <c r="H83" s="508"/>
      <c r="I83" s="508"/>
      <c r="J83" s="508"/>
      <c r="K83" s="508"/>
      <c r="L83" s="508"/>
      <c r="M83" s="508"/>
      <c r="N83" s="508"/>
      <c r="O83" s="508"/>
      <c r="P83" s="508"/>
      <c r="Q83" s="508"/>
      <c r="R83" s="508"/>
      <c r="S83" s="508"/>
      <c r="T83" s="508"/>
      <c r="U83" s="508"/>
      <c r="V83" s="508"/>
      <c r="W83" s="508"/>
      <c r="X83" s="508"/>
      <c r="Y83" s="508"/>
      <c r="Z83" s="508"/>
    </row>
    <row r="84" ht="13.5" customHeight="1" spans="1:26">
      <c r="A84" s="508"/>
      <c r="B84" s="508"/>
      <c r="C84" s="508"/>
      <c r="D84" s="508"/>
      <c r="E84" s="508"/>
      <c r="F84" s="508"/>
      <c r="G84" s="508"/>
      <c r="H84" s="508"/>
      <c r="I84" s="508"/>
      <c r="J84" s="508"/>
      <c r="K84" s="508"/>
      <c r="L84" s="508"/>
      <c r="M84" s="508"/>
      <c r="N84" s="508"/>
      <c r="O84" s="508"/>
      <c r="P84" s="508"/>
      <c r="Q84" s="508"/>
      <c r="R84" s="508"/>
      <c r="S84" s="508"/>
      <c r="T84" s="508"/>
      <c r="U84" s="508"/>
      <c r="V84" s="508"/>
      <c r="W84" s="508"/>
      <c r="X84" s="508"/>
      <c r="Y84" s="508"/>
      <c r="Z84" s="508"/>
    </row>
    <row r="85" ht="13.5" customHeight="1" spans="1:26">
      <c r="A85" s="508"/>
      <c r="B85" s="508"/>
      <c r="C85" s="508"/>
      <c r="D85" s="508"/>
      <c r="E85" s="508"/>
      <c r="F85" s="508"/>
      <c r="G85" s="508"/>
      <c r="H85" s="508"/>
      <c r="I85" s="508"/>
      <c r="J85" s="508"/>
      <c r="K85" s="508"/>
      <c r="L85" s="508"/>
      <c r="M85" s="508"/>
      <c r="N85" s="508"/>
      <c r="O85" s="508"/>
      <c r="P85" s="508"/>
      <c r="Q85" s="508"/>
      <c r="R85" s="508"/>
      <c r="S85" s="508"/>
      <c r="T85" s="508"/>
      <c r="U85" s="508"/>
      <c r="V85" s="508"/>
      <c r="W85" s="508"/>
      <c r="X85" s="508"/>
      <c r="Y85" s="508"/>
      <c r="Z85" s="508"/>
    </row>
    <row r="86" ht="13.5" customHeight="1" spans="1:26">
      <c r="A86" s="508"/>
      <c r="B86" s="508"/>
      <c r="C86" s="508"/>
      <c r="D86" s="508"/>
      <c r="E86" s="508"/>
      <c r="F86" s="508"/>
      <c r="G86" s="508"/>
      <c r="H86" s="508"/>
      <c r="I86" s="508"/>
      <c r="J86" s="508"/>
      <c r="K86" s="508"/>
      <c r="L86" s="508"/>
      <c r="M86" s="508"/>
      <c r="N86" s="508"/>
      <c r="O86" s="508"/>
      <c r="P86" s="508"/>
      <c r="Q86" s="508"/>
      <c r="R86" s="508"/>
      <c r="S86" s="508"/>
      <c r="T86" s="508"/>
      <c r="U86" s="508"/>
      <c r="V86" s="508"/>
      <c r="W86" s="508"/>
      <c r="X86" s="508"/>
      <c r="Y86" s="508"/>
      <c r="Z86" s="508"/>
    </row>
    <row r="87" ht="13.5" customHeight="1" spans="1:26">
      <c r="A87" s="508"/>
      <c r="B87" s="508"/>
      <c r="C87" s="508"/>
      <c r="D87" s="508"/>
      <c r="E87" s="508"/>
      <c r="F87" s="508"/>
      <c r="G87" s="508"/>
      <c r="H87" s="508"/>
      <c r="I87" s="508"/>
      <c r="J87" s="508"/>
      <c r="K87" s="508"/>
      <c r="L87" s="508"/>
      <c r="M87" s="508"/>
      <c r="N87" s="508"/>
      <c r="O87" s="508"/>
      <c r="P87" s="508"/>
      <c r="Q87" s="508"/>
      <c r="R87" s="508"/>
      <c r="S87" s="508"/>
      <c r="T87" s="508"/>
      <c r="U87" s="508"/>
      <c r="V87" s="508"/>
      <c r="W87" s="508"/>
      <c r="X87" s="508"/>
      <c r="Y87" s="508"/>
      <c r="Z87" s="508"/>
    </row>
    <row r="88" ht="13.5" customHeight="1" spans="1:26">
      <c r="A88" s="508"/>
      <c r="B88" s="508"/>
      <c r="C88" s="508"/>
      <c r="D88" s="508"/>
      <c r="E88" s="508"/>
      <c r="F88" s="508"/>
      <c r="G88" s="508"/>
      <c r="H88" s="508"/>
      <c r="I88" s="508"/>
      <c r="J88" s="508"/>
      <c r="K88" s="508"/>
      <c r="L88" s="508"/>
      <c r="M88" s="508"/>
      <c r="N88" s="508"/>
      <c r="O88" s="508"/>
      <c r="P88" s="508"/>
      <c r="Q88" s="508"/>
      <c r="R88" s="508"/>
      <c r="S88" s="508"/>
      <c r="T88" s="508"/>
      <c r="U88" s="508"/>
      <c r="V88" s="508"/>
      <c r="W88" s="508"/>
      <c r="X88" s="508"/>
      <c r="Y88" s="508"/>
      <c r="Z88" s="508"/>
    </row>
    <row r="89" ht="13.5" customHeight="1" spans="1:26">
      <c r="A89" s="508"/>
      <c r="B89" s="508"/>
      <c r="C89" s="508"/>
      <c r="D89" s="508"/>
      <c r="E89" s="508"/>
      <c r="F89" s="508"/>
      <c r="G89" s="508"/>
      <c r="H89" s="508"/>
      <c r="I89" s="508"/>
      <c r="J89" s="508"/>
      <c r="K89" s="508"/>
      <c r="L89" s="508"/>
      <c r="M89" s="508"/>
      <c r="N89" s="508"/>
      <c r="O89" s="508"/>
      <c r="P89" s="508"/>
      <c r="Q89" s="508"/>
      <c r="R89" s="508"/>
      <c r="S89" s="508"/>
      <c r="T89" s="508"/>
      <c r="U89" s="508"/>
      <c r="V89" s="508"/>
      <c r="W89" s="508"/>
      <c r="X89" s="508"/>
      <c r="Y89" s="508"/>
      <c r="Z89" s="508"/>
    </row>
    <row r="90" ht="13.5" customHeight="1" spans="1:26">
      <c r="A90" s="508"/>
      <c r="B90" s="508"/>
      <c r="C90" s="508"/>
      <c r="D90" s="508"/>
      <c r="E90" s="508"/>
      <c r="F90" s="508"/>
      <c r="G90" s="508"/>
      <c r="H90" s="508"/>
      <c r="I90" s="508"/>
      <c r="J90" s="508"/>
      <c r="K90" s="508"/>
      <c r="L90" s="508"/>
      <c r="M90" s="508"/>
      <c r="N90" s="508"/>
      <c r="O90" s="508"/>
      <c r="P90" s="508"/>
      <c r="Q90" s="508"/>
      <c r="R90" s="508"/>
      <c r="S90" s="508"/>
      <c r="T90" s="508"/>
      <c r="U90" s="508"/>
      <c r="V90" s="508"/>
      <c r="W90" s="508"/>
      <c r="X90" s="508"/>
      <c r="Y90" s="508"/>
      <c r="Z90" s="508"/>
    </row>
    <row r="91" ht="13.5" customHeight="1" spans="1:26">
      <c r="A91" s="508"/>
      <c r="B91" s="508"/>
      <c r="C91" s="508"/>
      <c r="D91" s="508"/>
      <c r="E91" s="508"/>
      <c r="F91" s="508"/>
      <c r="G91" s="508"/>
      <c r="H91" s="508"/>
      <c r="I91" s="508"/>
      <c r="J91" s="508"/>
      <c r="K91" s="508"/>
      <c r="L91" s="508"/>
      <c r="M91" s="508"/>
      <c r="N91" s="508"/>
      <c r="O91" s="508"/>
      <c r="P91" s="508"/>
      <c r="Q91" s="508"/>
      <c r="R91" s="508"/>
      <c r="S91" s="508"/>
      <c r="T91" s="508"/>
      <c r="U91" s="508"/>
      <c r="V91" s="508"/>
      <c r="W91" s="508"/>
      <c r="X91" s="508"/>
      <c r="Y91" s="508"/>
      <c r="Z91" s="508"/>
    </row>
    <row r="92" ht="13.5" customHeight="1" spans="1:26">
      <c r="A92" s="508"/>
      <c r="B92" s="508"/>
      <c r="C92" s="508"/>
      <c r="D92" s="508"/>
      <c r="E92" s="508"/>
      <c r="F92" s="508"/>
      <c r="G92" s="508"/>
      <c r="H92" s="508"/>
      <c r="I92" s="508"/>
      <c r="J92" s="508"/>
      <c r="K92" s="508"/>
      <c r="L92" s="508"/>
      <c r="M92" s="508"/>
      <c r="N92" s="508"/>
      <c r="O92" s="508"/>
      <c r="P92" s="508"/>
      <c r="Q92" s="508"/>
      <c r="R92" s="508"/>
      <c r="S92" s="508"/>
      <c r="T92" s="508"/>
      <c r="U92" s="508"/>
      <c r="V92" s="508"/>
      <c r="W92" s="508"/>
      <c r="X92" s="508"/>
      <c r="Y92" s="508"/>
      <c r="Z92" s="508"/>
    </row>
    <row r="93" ht="13.5" customHeight="1" spans="1:26">
      <c r="A93" s="508"/>
      <c r="B93" s="508"/>
      <c r="C93" s="508"/>
      <c r="D93" s="508"/>
      <c r="E93" s="508"/>
      <c r="F93" s="508"/>
      <c r="G93" s="508"/>
      <c r="H93" s="508"/>
      <c r="I93" s="508"/>
      <c r="J93" s="508"/>
      <c r="K93" s="508"/>
      <c r="L93" s="508"/>
      <c r="M93" s="508"/>
      <c r="N93" s="508"/>
      <c r="O93" s="508"/>
      <c r="P93" s="508"/>
      <c r="Q93" s="508"/>
      <c r="R93" s="508"/>
      <c r="S93" s="508"/>
      <c r="T93" s="508"/>
      <c r="U93" s="508"/>
      <c r="V93" s="508"/>
      <c r="W93" s="508"/>
      <c r="X93" s="508"/>
      <c r="Y93" s="508"/>
      <c r="Z93" s="508"/>
    </row>
    <row r="94" ht="13.5" customHeight="1" spans="1:26">
      <c r="A94" s="508"/>
      <c r="B94" s="508"/>
      <c r="C94" s="508"/>
      <c r="D94" s="508"/>
      <c r="E94" s="508"/>
      <c r="F94" s="508"/>
      <c r="G94" s="508"/>
      <c r="H94" s="508"/>
      <c r="I94" s="508"/>
      <c r="J94" s="508"/>
      <c r="K94" s="508"/>
      <c r="L94" s="508"/>
      <c r="M94" s="508"/>
      <c r="N94" s="508"/>
      <c r="O94" s="508"/>
      <c r="P94" s="508"/>
      <c r="Q94" s="508"/>
      <c r="R94" s="508"/>
      <c r="S94" s="508"/>
      <c r="T94" s="508"/>
      <c r="U94" s="508"/>
      <c r="V94" s="508"/>
      <c r="W94" s="508"/>
      <c r="X94" s="508"/>
      <c r="Y94" s="508"/>
      <c r="Z94" s="508"/>
    </row>
    <row r="95" ht="13.5" customHeight="1" spans="1:26">
      <c r="A95" s="508"/>
      <c r="B95" s="508"/>
      <c r="C95" s="508"/>
      <c r="D95" s="508"/>
      <c r="E95" s="508"/>
      <c r="F95" s="508"/>
      <c r="G95" s="508"/>
      <c r="H95" s="508"/>
      <c r="I95" s="508"/>
      <c r="J95" s="508"/>
      <c r="K95" s="508"/>
      <c r="L95" s="508"/>
      <c r="M95" s="508"/>
      <c r="N95" s="508"/>
      <c r="O95" s="508"/>
      <c r="P95" s="508"/>
      <c r="Q95" s="508"/>
      <c r="R95" s="508"/>
      <c r="S95" s="508"/>
      <c r="T95" s="508"/>
      <c r="U95" s="508"/>
      <c r="V95" s="508"/>
      <c r="W95" s="508"/>
      <c r="X95" s="508"/>
      <c r="Y95" s="508"/>
      <c r="Z95" s="508"/>
    </row>
    <row r="96" ht="13.5" customHeight="1" spans="1:26">
      <c r="A96" s="508"/>
      <c r="B96" s="508"/>
      <c r="C96" s="508"/>
      <c r="D96" s="508"/>
      <c r="E96" s="508"/>
      <c r="F96" s="508"/>
      <c r="G96" s="508"/>
      <c r="H96" s="508"/>
      <c r="I96" s="508"/>
      <c r="J96" s="508"/>
      <c r="K96" s="508"/>
      <c r="L96" s="508"/>
      <c r="M96" s="508"/>
      <c r="N96" s="508"/>
      <c r="O96" s="508"/>
      <c r="P96" s="508"/>
      <c r="Q96" s="508"/>
      <c r="R96" s="508"/>
      <c r="S96" s="508"/>
      <c r="T96" s="508"/>
      <c r="U96" s="508"/>
      <c r="V96" s="508"/>
      <c r="W96" s="508"/>
      <c r="X96" s="508"/>
      <c r="Y96" s="508"/>
      <c r="Z96" s="508"/>
    </row>
    <row r="97" ht="13.5" customHeight="1" spans="1:26">
      <c r="A97" s="508"/>
      <c r="B97" s="508"/>
      <c r="C97" s="508"/>
      <c r="D97" s="508"/>
      <c r="E97" s="508"/>
      <c r="F97" s="508"/>
      <c r="G97" s="508"/>
      <c r="H97" s="508"/>
      <c r="I97" s="508"/>
      <c r="J97" s="508"/>
      <c r="K97" s="508"/>
      <c r="L97" s="508"/>
      <c r="M97" s="508"/>
      <c r="N97" s="508"/>
      <c r="O97" s="508"/>
      <c r="P97" s="508"/>
      <c r="Q97" s="508"/>
      <c r="R97" s="508"/>
      <c r="S97" s="508"/>
      <c r="T97" s="508"/>
      <c r="U97" s="508"/>
      <c r="V97" s="508"/>
      <c r="W97" s="508"/>
      <c r="X97" s="508"/>
      <c r="Y97" s="508"/>
      <c r="Z97" s="508"/>
    </row>
    <row r="98" ht="13.5" customHeight="1" spans="1:26">
      <c r="A98" s="508"/>
      <c r="B98" s="508"/>
      <c r="C98" s="508"/>
      <c r="D98" s="508"/>
      <c r="E98" s="508"/>
      <c r="F98" s="508"/>
      <c r="G98" s="508"/>
      <c r="H98" s="508"/>
      <c r="I98" s="508"/>
      <c r="J98" s="508"/>
      <c r="K98" s="508"/>
      <c r="L98" s="508"/>
      <c r="M98" s="508"/>
      <c r="N98" s="508"/>
      <c r="O98" s="508"/>
      <c r="P98" s="508"/>
      <c r="Q98" s="508"/>
      <c r="R98" s="508"/>
      <c r="S98" s="508"/>
      <c r="T98" s="508"/>
      <c r="U98" s="508"/>
      <c r="V98" s="508"/>
      <c r="W98" s="508"/>
      <c r="X98" s="508"/>
      <c r="Y98" s="508"/>
      <c r="Z98" s="508"/>
    </row>
    <row r="99" ht="13.5" customHeight="1" spans="1:26">
      <c r="A99" s="508"/>
      <c r="B99" s="508"/>
      <c r="C99" s="508"/>
      <c r="D99" s="508"/>
      <c r="E99" s="508"/>
      <c r="F99" s="508"/>
      <c r="G99" s="508"/>
      <c r="H99" s="508"/>
      <c r="I99" s="508"/>
      <c r="J99" s="508"/>
      <c r="K99" s="508"/>
      <c r="L99" s="508"/>
      <c r="M99" s="508"/>
      <c r="N99" s="508"/>
      <c r="O99" s="508"/>
      <c r="P99" s="508"/>
      <c r="Q99" s="508"/>
      <c r="R99" s="508"/>
      <c r="S99" s="508"/>
      <c r="T99" s="508"/>
      <c r="U99" s="508"/>
      <c r="V99" s="508"/>
      <c r="W99" s="508"/>
      <c r="X99" s="508"/>
      <c r="Y99" s="508"/>
      <c r="Z99" s="508"/>
    </row>
    <row r="100" ht="13.5" customHeight="1" spans="1:26">
      <c r="A100" s="508"/>
      <c r="B100" s="508"/>
      <c r="C100" s="508"/>
      <c r="D100" s="508"/>
      <c r="E100" s="508"/>
      <c r="F100" s="508"/>
      <c r="G100" s="508"/>
      <c r="H100" s="508"/>
      <c r="I100" s="508"/>
      <c r="J100" s="508"/>
      <c r="K100" s="508"/>
      <c r="L100" s="508"/>
      <c r="M100" s="508"/>
      <c r="N100" s="508"/>
      <c r="O100" s="508"/>
      <c r="P100" s="508"/>
      <c r="Q100" s="508"/>
      <c r="R100" s="508"/>
      <c r="S100" s="508"/>
      <c r="T100" s="508"/>
      <c r="U100" s="508"/>
      <c r="V100" s="508"/>
      <c r="W100" s="508"/>
      <c r="X100" s="508"/>
      <c r="Y100" s="508"/>
      <c r="Z100" s="508"/>
    </row>
    <row r="101" ht="13.5" customHeight="1" spans="1:26">
      <c r="A101" s="508"/>
      <c r="B101" s="508"/>
      <c r="C101" s="508"/>
      <c r="D101" s="508"/>
      <c r="E101" s="508"/>
      <c r="F101" s="508"/>
      <c r="G101" s="508"/>
      <c r="H101" s="508"/>
      <c r="I101" s="508"/>
      <c r="J101" s="508"/>
      <c r="K101" s="508"/>
      <c r="L101" s="508"/>
      <c r="M101" s="508"/>
      <c r="N101" s="508"/>
      <c r="O101" s="508"/>
      <c r="P101" s="508"/>
      <c r="Q101" s="508"/>
      <c r="R101" s="508"/>
      <c r="S101" s="508"/>
      <c r="T101" s="508"/>
      <c r="U101" s="508"/>
      <c r="V101" s="508"/>
      <c r="W101" s="508"/>
      <c r="X101" s="508"/>
      <c r="Y101" s="508"/>
      <c r="Z101" s="508"/>
    </row>
    <row r="102" ht="13.5" customHeight="1" spans="1:26">
      <c r="A102" s="508"/>
      <c r="B102" s="508"/>
      <c r="C102" s="508"/>
      <c r="D102" s="508"/>
      <c r="E102" s="508"/>
      <c r="F102" s="508"/>
      <c r="G102" s="508"/>
      <c r="H102" s="508"/>
      <c r="I102" s="508"/>
      <c r="J102" s="508"/>
      <c r="K102" s="508"/>
      <c r="L102" s="508"/>
      <c r="M102" s="508"/>
      <c r="N102" s="508"/>
      <c r="O102" s="508"/>
      <c r="P102" s="508"/>
      <c r="Q102" s="508"/>
      <c r="R102" s="508"/>
      <c r="S102" s="508"/>
      <c r="T102" s="508"/>
      <c r="U102" s="508"/>
      <c r="V102" s="508"/>
      <c r="W102" s="508"/>
      <c r="X102" s="508"/>
      <c r="Y102" s="508"/>
      <c r="Z102" s="508"/>
    </row>
    <row r="103" ht="13.5" customHeight="1" spans="1:26">
      <c r="A103" s="508"/>
      <c r="B103" s="508"/>
      <c r="C103" s="508"/>
      <c r="D103" s="508"/>
      <c r="E103" s="508"/>
      <c r="F103" s="508"/>
      <c r="G103" s="508"/>
      <c r="H103" s="508"/>
      <c r="I103" s="508"/>
      <c r="J103" s="508"/>
      <c r="K103" s="508"/>
      <c r="L103" s="508"/>
      <c r="M103" s="508"/>
      <c r="N103" s="508"/>
      <c r="O103" s="508"/>
      <c r="P103" s="508"/>
      <c r="Q103" s="508"/>
      <c r="R103" s="508"/>
      <c r="S103" s="508"/>
      <c r="T103" s="508"/>
      <c r="U103" s="508"/>
      <c r="V103" s="508"/>
      <c r="W103" s="508"/>
      <c r="X103" s="508"/>
      <c r="Y103" s="508"/>
      <c r="Z103" s="508"/>
    </row>
    <row r="104" ht="13.5" customHeight="1" spans="1:26">
      <c r="A104" s="508"/>
      <c r="B104" s="508"/>
      <c r="C104" s="508"/>
      <c r="D104" s="508"/>
      <c r="E104" s="508"/>
      <c r="F104" s="508"/>
      <c r="G104" s="508"/>
      <c r="H104" s="508"/>
      <c r="I104" s="508"/>
      <c r="J104" s="508"/>
      <c r="K104" s="508"/>
      <c r="L104" s="508"/>
      <c r="M104" s="508"/>
      <c r="N104" s="508"/>
      <c r="O104" s="508"/>
      <c r="P104" s="508"/>
      <c r="Q104" s="508"/>
      <c r="R104" s="508"/>
      <c r="S104" s="508"/>
      <c r="T104" s="508"/>
      <c r="U104" s="508"/>
      <c r="V104" s="508"/>
      <c r="W104" s="508"/>
      <c r="X104" s="508"/>
      <c r="Y104" s="508"/>
      <c r="Z104" s="508"/>
    </row>
    <row r="105" ht="13.5" customHeight="1" spans="1:26">
      <c r="A105" s="508"/>
      <c r="B105" s="508"/>
      <c r="C105" s="508"/>
      <c r="D105" s="508"/>
      <c r="E105" s="508"/>
      <c r="F105" s="508"/>
      <c r="G105" s="508"/>
      <c r="H105" s="508"/>
      <c r="I105" s="508"/>
      <c r="J105" s="508"/>
      <c r="K105" s="508"/>
      <c r="L105" s="508"/>
      <c r="M105" s="508"/>
      <c r="N105" s="508"/>
      <c r="O105" s="508"/>
      <c r="P105" s="508"/>
      <c r="Q105" s="508"/>
      <c r="R105" s="508"/>
      <c r="S105" s="508"/>
      <c r="T105" s="508"/>
      <c r="U105" s="508"/>
      <c r="V105" s="508"/>
      <c r="W105" s="508"/>
      <c r="X105" s="508"/>
      <c r="Y105" s="508"/>
      <c r="Z105" s="508"/>
    </row>
    <row r="106" ht="13.5" customHeight="1" spans="1:26">
      <c r="A106" s="508"/>
      <c r="B106" s="508"/>
      <c r="C106" s="508"/>
      <c r="D106" s="508"/>
      <c r="E106" s="508"/>
      <c r="F106" s="508"/>
      <c r="G106" s="508"/>
      <c r="H106" s="508"/>
      <c r="I106" s="508"/>
      <c r="J106" s="508"/>
      <c r="K106" s="508"/>
      <c r="L106" s="508"/>
      <c r="M106" s="508"/>
      <c r="N106" s="508"/>
      <c r="O106" s="508"/>
      <c r="P106" s="508"/>
      <c r="Q106" s="508"/>
      <c r="R106" s="508"/>
      <c r="S106" s="508"/>
      <c r="T106" s="508"/>
      <c r="U106" s="508"/>
      <c r="V106" s="508"/>
      <c r="W106" s="508"/>
      <c r="X106" s="508"/>
      <c r="Y106" s="508"/>
      <c r="Z106" s="508"/>
    </row>
    <row r="107" ht="13.5" customHeight="1" spans="1:26">
      <c r="A107" s="508"/>
      <c r="B107" s="508"/>
      <c r="C107" s="508"/>
      <c r="D107" s="508"/>
      <c r="E107" s="508"/>
      <c r="F107" s="508"/>
      <c r="G107" s="508"/>
      <c r="H107" s="508"/>
      <c r="I107" s="508"/>
      <c r="J107" s="508"/>
      <c r="K107" s="508"/>
      <c r="L107" s="508"/>
      <c r="M107" s="508"/>
      <c r="N107" s="508"/>
      <c r="O107" s="508"/>
      <c r="P107" s="508"/>
      <c r="Q107" s="508"/>
      <c r="R107" s="508"/>
      <c r="S107" s="508"/>
      <c r="T107" s="508"/>
      <c r="U107" s="508"/>
      <c r="V107" s="508"/>
      <c r="W107" s="508"/>
      <c r="X107" s="508"/>
      <c r="Y107" s="508"/>
      <c r="Z107" s="508"/>
    </row>
    <row r="108" ht="13.5" customHeight="1" spans="1:26">
      <c r="A108" s="508"/>
      <c r="B108" s="508"/>
      <c r="C108" s="508"/>
      <c r="D108" s="508"/>
      <c r="E108" s="508"/>
      <c r="F108" s="508"/>
      <c r="G108" s="508"/>
      <c r="H108" s="508"/>
      <c r="I108" s="508"/>
      <c r="J108" s="508"/>
      <c r="K108" s="508"/>
      <c r="L108" s="508"/>
      <c r="M108" s="508"/>
      <c r="N108" s="508"/>
      <c r="O108" s="508"/>
      <c r="P108" s="508"/>
      <c r="Q108" s="508"/>
      <c r="R108" s="508"/>
      <c r="S108" s="508"/>
      <c r="T108" s="508"/>
      <c r="U108" s="508"/>
      <c r="V108" s="508"/>
      <c r="W108" s="508"/>
      <c r="X108" s="508"/>
      <c r="Y108" s="508"/>
      <c r="Z108" s="508"/>
    </row>
    <row r="109" ht="13.5" customHeight="1" spans="1:26">
      <c r="A109" s="508"/>
      <c r="B109" s="508"/>
      <c r="C109" s="508"/>
      <c r="D109" s="508"/>
      <c r="E109" s="508"/>
      <c r="F109" s="508"/>
      <c r="G109" s="508"/>
      <c r="H109" s="508"/>
      <c r="I109" s="508"/>
      <c r="J109" s="508"/>
      <c r="K109" s="508"/>
      <c r="L109" s="508"/>
      <c r="M109" s="508"/>
      <c r="N109" s="508"/>
      <c r="O109" s="508"/>
      <c r="P109" s="508"/>
      <c r="Q109" s="508"/>
      <c r="R109" s="508"/>
      <c r="S109" s="508"/>
      <c r="T109" s="508"/>
      <c r="U109" s="508"/>
      <c r="V109" s="508"/>
      <c r="W109" s="508"/>
      <c r="X109" s="508"/>
      <c r="Y109" s="508"/>
      <c r="Z109" s="508"/>
    </row>
    <row r="110" ht="13.5" customHeight="1" spans="1:26">
      <c r="A110" s="508"/>
      <c r="B110" s="508"/>
      <c r="C110" s="508"/>
      <c r="D110" s="508"/>
      <c r="E110" s="508"/>
      <c r="F110" s="508"/>
      <c r="G110" s="508"/>
      <c r="H110" s="508"/>
      <c r="I110" s="508"/>
      <c r="J110" s="508"/>
      <c r="K110" s="508"/>
      <c r="L110" s="508"/>
      <c r="M110" s="508"/>
      <c r="N110" s="508"/>
      <c r="O110" s="508"/>
      <c r="P110" s="508"/>
      <c r="Q110" s="508"/>
      <c r="R110" s="508"/>
      <c r="S110" s="508"/>
      <c r="T110" s="508"/>
      <c r="U110" s="508"/>
      <c r="V110" s="508"/>
      <c r="W110" s="508"/>
      <c r="X110" s="508"/>
      <c r="Y110" s="508"/>
      <c r="Z110" s="508"/>
    </row>
    <row r="111" ht="13.5" customHeight="1" spans="1:26">
      <c r="A111" s="508"/>
      <c r="B111" s="508"/>
      <c r="C111" s="508"/>
      <c r="D111" s="508"/>
      <c r="E111" s="508"/>
      <c r="F111" s="508"/>
      <c r="G111" s="508"/>
      <c r="H111" s="508"/>
      <c r="I111" s="508"/>
      <c r="J111" s="508"/>
      <c r="K111" s="508"/>
      <c r="L111" s="508"/>
      <c r="M111" s="508"/>
      <c r="N111" s="508"/>
      <c r="O111" s="508"/>
      <c r="P111" s="508"/>
      <c r="Q111" s="508"/>
      <c r="R111" s="508"/>
      <c r="S111" s="508"/>
      <c r="T111" s="508"/>
      <c r="U111" s="508"/>
      <c r="V111" s="508"/>
      <c r="W111" s="508"/>
      <c r="X111" s="508"/>
      <c r="Y111" s="508"/>
      <c r="Z111" s="508"/>
    </row>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sheetData>
  <mergeCells count="117">
    <mergeCell ref="A11:J11"/>
    <mergeCell ref="A12:D12"/>
    <mergeCell ref="E12:G12"/>
    <mergeCell ref="H12:J12"/>
    <mergeCell ref="A13:D13"/>
    <mergeCell ref="E13:G13"/>
    <mergeCell ref="H13:J13"/>
    <mergeCell ref="A14:D14"/>
    <mergeCell ref="I14:J14"/>
    <mergeCell ref="A15:D15"/>
    <mergeCell ref="I15:J15"/>
    <mergeCell ref="A16:R16"/>
    <mergeCell ref="H17:I17"/>
    <mergeCell ref="H18:I18"/>
    <mergeCell ref="H19:I19"/>
    <mergeCell ref="H22:I22"/>
    <mergeCell ref="H23:I23"/>
    <mergeCell ref="H30:I30"/>
    <mergeCell ref="H31:I31"/>
    <mergeCell ref="H68:I68"/>
    <mergeCell ref="H69:I69"/>
    <mergeCell ref="H70:I70"/>
    <mergeCell ref="H71:I71"/>
    <mergeCell ref="H72:I72"/>
    <mergeCell ref="H73:I73"/>
    <mergeCell ref="H76:I76"/>
    <mergeCell ref="H77:I7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R76:R77"/>
    <mergeCell ref="A1:J10"/>
  </mergeCells>
  <pageMargins left="0.7" right="0.7" top="0.75" bottom="0.75" header="0" footer="0"/>
  <pageSetup paperSize="9" scale="44" fitToHeight="0" orientation="landscape"/>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3"/>
  <sheetViews>
    <sheetView zoomScale="90" zoomScaleNormal="90" topLeftCell="A5" workbookViewId="0">
      <selection activeCell="I445" sqref="I445:K445"/>
    </sheetView>
  </sheetViews>
  <sheetFormatPr defaultColWidth="14.4380952380952" defaultRowHeight="15" customHeight="1"/>
  <cols>
    <col min="1" max="1" width="9.1047619047619" customWidth="1"/>
    <col min="2" max="2" width="11.552380952381" customWidth="1"/>
    <col min="3" max="3" width="58" customWidth="1"/>
    <col min="4" max="4" width="13" customWidth="1"/>
    <col min="5" max="5" width="10.1047619047619" customWidth="1"/>
    <col min="6" max="6" width="12.6666666666667" customWidth="1"/>
    <col min="7" max="7" width="14.6666666666667" customWidth="1"/>
    <col min="8" max="8" width="12.6666666666667" customWidth="1"/>
    <col min="9" max="9" width="13.6666666666667" customWidth="1"/>
    <col min="10" max="10" width="17.6666666666667" customWidth="1"/>
    <col min="11" max="11" width="9.88571428571429" customWidth="1"/>
    <col min="12" max="26" width="8.55238095238095" customWidth="1"/>
  </cols>
  <sheetData>
    <row r="1" spans="1:1">
      <c r="A1" s="350"/>
    </row>
    <row r="11" ht="15.75" spans="1:11">
      <c r="A11" s="458"/>
      <c r="B11" s="205"/>
      <c r="C11" s="205"/>
      <c r="D11" s="205"/>
      <c r="E11" s="205"/>
      <c r="F11" s="205"/>
      <c r="G11" s="205"/>
      <c r="H11" s="205"/>
      <c r="I11" s="205"/>
      <c r="J11" s="205"/>
      <c r="K11" s="205"/>
    </row>
    <row r="12" spans="1:11">
      <c r="A12" s="459" t="str">
        <f>Planilha!A12</f>
        <v>UFF- CAMPUS NITERÓI</v>
      </c>
      <c r="B12" s="202"/>
      <c r="C12" s="202"/>
      <c r="D12" s="202"/>
      <c r="E12" s="202"/>
      <c r="F12" s="202"/>
      <c r="G12" s="256"/>
      <c r="H12" s="293" t="str">
        <f>Planilha!E12</f>
        <v>AUTOR:</v>
      </c>
      <c r="I12" s="295"/>
      <c r="J12" s="355" t="str">
        <f>Planilha!H12</f>
        <v>FUNÇÃO:</v>
      </c>
      <c r="K12" s="324"/>
    </row>
    <row r="13" ht="15.75" spans="1:11">
      <c r="A13" s="460" t="str">
        <f>Planilha!A13</f>
        <v>LOCAL: RUA VERA CRISPINO DE FREITAS, 190-2 - BOA VIAGEM, NITERÓI-RJ</v>
      </c>
      <c r="G13" s="257"/>
      <c r="H13" s="214" t="str">
        <f>Planilha!E13</f>
        <v>PROCESSO: </v>
      </c>
      <c r="I13" s="216"/>
      <c r="J13" s="217" t="str">
        <f>Planilha!H13</f>
        <v>ART/RRT:</v>
      </c>
      <c r="K13" s="261"/>
    </row>
    <row r="14" ht="15.75" spans="1:11">
      <c r="A14" s="460" t="str">
        <f>Planilha!A14</f>
        <v>NOME DA OBRA: AGÊNCIA DE INOVAÇÃO DA UFF</v>
      </c>
      <c r="G14" s="257"/>
      <c r="H14" s="218" t="str">
        <f>Planilha!E14</f>
        <v>BDI</v>
      </c>
      <c r="I14" s="464" t="str">
        <f>Planilha!F14</f>
        <v>BDI EQUIP.</v>
      </c>
      <c r="J14" s="465" t="str">
        <f>Planilha!H14</f>
        <v>DATA</v>
      </c>
      <c r="K14" s="218" t="str">
        <f>Planilha!I14</f>
        <v>REVISÃO</v>
      </c>
    </row>
    <row r="15" ht="15.75" spans="1:11">
      <c r="A15" s="208" t="str">
        <f>Planilha!A15</f>
        <v>BASE DE DADOS: SINAPI/2025.7 - EMOP/2025.7 - SCO/2025.7 - SBC/2025.7</v>
      </c>
      <c r="B15" s="209"/>
      <c r="C15" s="209"/>
      <c r="D15" s="209"/>
      <c r="E15" s="209"/>
      <c r="F15" s="209"/>
      <c r="G15" s="260"/>
      <c r="H15" s="298">
        <f>Planilha!E15</f>
        <v>0.24657</v>
      </c>
      <c r="I15" s="466">
        <f>Planilha!F15</f>
        <v>0</v>
      </c>
      <c r="J15" s="467">
        <f>Planilha!H15</f>
        <v>45957</v>
      </c>
      <c r="K15" s="381" t="str">
        <f>Planilha!I15</f>
        <v>R03</v>
      </c>
    </row>
    <row r="16" spans="1:11">
      <c r="A16" s="461" t="s">
        <v>51</v>
      </c>
      <c r="B16" s="461" t="s">
        <v>1614</v>
      </c>
      <c r="C16" s="461" t="s">
        <v>53</v>
      </c>
      <c r="D16" s="461" t="s">
        <v>1615</v>
      </c>
      <c r="E16" s="461" t="s">
        <v>54</v>
      </c>
      <c r="F16" s="461" t="s">
        <v>55</v>
      </c>
      <c r="G16" s="461" t="s">
        <v>1616</v>
      </c>
      <c r="H16" s="461" t="s">
        <v>19</v>
      </c>
      <c r="I16" s="468" t="s">
        <v>1617</v>
      </c>
      <c r="J16" s="469" t="s">
        <v>1618</v>
      </c>
      <c r="K16" s="461" t="s">
        <v>1619</v>
      </c>
    </row>
    <row r="17" ht="16.5" spans="1:11">
      <c r="A17" s="462" t="s">
        <v>1301</v>
      </c>
      <c r="B17" s="462" t="s">
        <v>65</v>
      </c>
      <c r="C17" s="462" t="s">
        <v>1302</v>
      </c>
      <c r="D17" s="462"/>
      <c r="E17" s="462" t="s">
        <v>67</v>
      </c>
      <c r="F17" s="463">
        <v>877.85</v>
      </c>
      <c r="G17" s="463">
        <v>598.75</v>
      </c>
      <c r="H17" s="462">
        <v>525612.68</v>
      </c>
      <c r="I17" s="470">
        <f t="shared" ref="I17:I80" si="0">H17/$I$445</f>
        <v>0.0700390408129979</v>
      </c>
      <c r="J17" s="471">
        <f>I17</f>
        <v>0.0700390408129979</v>
      </c>
      <c r="K17" s="463" t="str">
        <f>IF(J17&lt;=50%,"A",IF(J17&lt;=80%,"B","C"))</f>
        <v>A</v>
      </c>
    </row>
    <row r="18" spans="1:11">
      <c r="A18" s="462" t="s">
        <v>64</v>
      </c>
      <c r="B18" s="462" t="s">
        <v>65</v>
      </c>
      <c r="C18" s="462" t="s">
        <v>66</v>
      </c>
      <c r="D18" s="462"/>
      <c r="E18" s="462" t="s">
        <v>67</v>
      </c>
      <c r="F18" s="463">
        <v>1</v>
      </c>
      <c r="G18" s="462">
        <v>496956.26</v>
      </c>
      <c r="H18" s="462">
        <v>496956.26</v>
      </c>
      <c r="I18" s="470">
        <f t="shared" si="0"/>
        <v>0.0662205100843739</v>
      </c>
      <c r="J18" s="471">
        <f t="shared" ref="J18" si="1">I18+J17</f>
        <v>0.136259550897372</v>
      </c>
      <c r="K18" s="463" t="str">
        <f t="shared" ref="K18" si="2">IF(J18&lt;=50%,"A",IF(J18&lt;=80%,"B","C"))</f>
        <v>A</v>
      </c>
    </row>
    <row r="19" ht="16.5" spans="1:11">
      <c r="A19" s="462" t="s">
        <v>318</v>
      </c>
      <c r="B19" s="462" t="s">
        <v>65</v>
      </c>
      <c r="C19" s="462" t="s">
        <v>319</v>
      </c>
      <c r="D19" s="462"/>
      <c r="E19" s="462" t="s">
        <v>67</v>
      </c>
      <c r="F19" s="463">
        <v>678</v>
      </c>
      <c r="G19" s="463">
        <v>374.11</v>
      </c>
      <c r="H19" s="462">
        <v>253646.58</v>
      </c>
      <c r="I19" s="470">
        <f t="shared" si="0"/>
        <v>0.0337989623246862</v>
      </c>
      <c r="J19" s="471">
        <f t="shared" ref="J19:J82" si="3">I19+J18</f>
        <v>0.170058513222058</v>
      </c>
      <c r="K19" s="463" t="str">
        <f t="shared" ref="K19:K82" si="4">IF(J19&lt;=50%,"A",IF(J19&lt;=80%,"B","C"))</f>
        <v>A</v>
      </c>
    </row>
    <row r="20" ht="16.5" spans="1:11">
      <c r="A20" s="462">
        <v>101161</v>
      </c>
      <c r="B20" s="462" t="s">
        <v>71</v>
      </c>
      <c r="C20" s="462" t="s">
        <v>334</v>
      </c>
      <c r="D20" s="462" t="s">
        <v>1620</v>
      </c>
      <c r="E20" s="462" t="s">
        <v>73</v>
      </c>
      <c r="F20" s="463">
        <v>713.69</v>
      </c>
      <c r="G20" s="463">
        <v>288.65</v>
      </c>
      <c r="H20" s="462">
        <v>206006.61</v>
      </c>
      <c r="I20" s="470">
        <f t="shared" si="0"/>
        <v>0.0274508319805704</v>
      </c>
      <c r="J20" s="471">
        <f t="shared" si="3"/>
        <v>0.197509345202628</v>
      </c>
      <c r="K20" s="463" t="str">
        <f t="shared" si="4"/>
        <v>A</v>
      </c>
    </row>
    <row r="21" ht="15.75" customHeight="1" spans="1:11">
      <c r="A21" s="462">
        <v>103675</v>
      </c>
      <c r="B21" s="462" t="s">
        <v>71</v>
      </c>
      <c r="C21" s="462" t="s">
        <v>277</v>
      </c>
      <c r="D21" s="462" t="s">
        <v>1621</v>
      </c>
      <c r="E21" s="462" t="s">
        <v>129</v>
      </c>
      <c r="F21" s="463">
        <v>244.48</v>
      </c>
      <c r="G21" s="463">
        <v>821.27</v>
      </c>
      <c r="H21" s="462">
        <v>200784.08</v>
      </c>
      <c r="I21" s="470">
        <f t="shared" si="0"/>
        <v>0.0267549184196246</v>
      </c>
      <c r="J21" s="471">
        <f t="shared" si="3"/>
        <v>0.224264263622253</v>
      </c>
      <c r="K21" s="463" t="str">
        <f t="shared" si="4"/>
        <v>A</v>
      </c>
    </row>
    <row r="22" ht="15.75" customHeight="1" spans="1:11">
      <c r="A22" s="462">
        <v>98575</v>
      </c>
      <c r="B22" s="462" t="s">
        <v>71</v>
      </c>
      <c r="C22" s="462" t="s">
        <v>361</v>
      </c>
      <c r="D22" s="462" t="s">
        <v>1622</v>
      </c>
      <c r="E22" s="462" t="s">
        <v>78</v>
      </c>
      <c r="F22" s="462">
        <v>1835.88</v>
      </c>
      <c r="G22" s="463">
        <v>108.75</v>
      </c>
      <c r="H22" s="462">
        <v>199651.95</v>
      </c>
      <c r="I22" s="470">
        <f t="shared" si="0"/>
        <v>0.0266040596175203</v>
      </c>
      <c r="J22" s="471">
        <f t="shared" si="3"/>
        <v>0.250868323239773</v>
      </c>
      <c r="K22" s="463" t="str">
        <f t="shared" si="4"/>
        <v>A</v>
      </c>
    </row>
    <row r="23" ht="15.75" customHeight="1" spans="1:11">
      <c r="A23" s="462" t="s">
        <v>1313</v>
      </c>
      <c r="B23" s="462" t="s">
        <v>65</v>
      </c>
      <c r="C23" s="462" t="s">
        <v>1314</v>
      </c>
      <c r="D23" s="462"/>
      <c r="E23" s="462" t="s">
        <v>67</v>
      </c>
      <c r="F23" s="463">
        <v>797.46</v>
      </c>
      <c r="G23" s="463">
        <v>221.5</v>
      </c>
      <c r="H23" s="462">
        <v>176637.39</v>
      </c>
      <c r="I23" s="470">
        <f t="shared" si="0"/>
        <v>0.0235373190907636</v>
      </c>
      <c r="J23" s="471">
        <f t="shared" si="3"/>
        <v>0.274405642330537</v>
      </c>
      <c r="K23" s="463" t="str">
        <f t="shared" si="4"/>
        <v>A</v>
      </c>
    </row>
    <row r="24" ht="15.75" customHeight="1" spans="1:11">
      <c r="A24" s="462" t="s">
        <v>1409</v>
      </c>
      <c r="B24" s="462" t="s">
        <v>65</v>
      </c>
      <c r="C24" s="462" t="s">
        <v>1410</v>
      </c>
      <c r="D24" s="462"/>
      <c r="E24" s="462" t="s">
        <v>67</v>
      </c>
      <c r="F24" s="463">
        <v>48</v>
      </c>
      <c r="G24" s="462">
        <v>3442.22</v>
      </c>
      <c r="H24" s="462">
        <v>165226.56</v>
      </c>
      <c r="I24" s="470">
        <f t="shared" si="0"/>
        <v>0.0220168010011312</v>
      </c>
      <c r="J24" s="471">
        <f t="shared" si="3"/>
        <v>0.296422443331668</v>
      </c>
      <c r="K24" s="463" t="str">
        <f t="shared" si="4"/>
        <v>A</v>
      </c>
    </row>
    <row r="25" ht="15.75" customHeight="1" spans="1:11">
      <c r="A25" s="462">
        <v>94569</v>
      </c>
      <c r="B25" s="462" t="s">
        <v>71</v>
      </c>
      <c r="C25" s="462" t="s">
        <v>370</v>
      </c>
      <c r="D25" s="462" t="s">
        <v>1623</v>
      </c>
      <c r="E25" s="462" t="s">
        <v>73</v>
      </c>
      <c r="F25" s="463">
        <v>112.72</v>
      </c>
      <c r="G25" s="462">
        <v>1409.38</v>
      </c>
      <c r="H25" s="462">
        <v>158865.31</v>
      </c>
      <c r="I25" s="470">
        <f t="shared" si="0"/>
        <v>0.0211691505061475</v>
      </c>
      <c r="J25" s="471">
        <f t="shared" si="3"/>
        <v>0.317591593837815</v>
      </c>
      <c r="K25" s="463" t="str">
        <f t="shared" si="4"/>
        <v>A</v>
      </c>
    </row>
    <row r="26" ht="15.75" customHeight="1" spans="1:11">
      <c r="A26" s="462">
        <v>92398</v>
      </c>
      <c r="B26" s="462" t="s">
        <v>71</v>
      </c>
      <c r="C26" s="462" t="s">
        <v>1370</v>
      </c>
      <c r="D26" s="462" t="s">
        <v>1624</v>
      </c>
      <c r="E26" s="462" t="s">
        <v>73</v>
      </c>
      <c r="F26" s="462">
        <v>1113.82</v>
      </c>
      <c r="G26" s="463">
        <v>142.13</v>
      </c>
      <c r="H26" s="462">
        <v>158307.23</v>
      </c>
      <c r="I26" s="470">
        <f t="shared" si="0"/>
        <v>0.0210947851238342</v>
      </c>
      <c r="J26" s="471">
        <f t="shared" si="3"/>
        <v>0.33868637896165</v>
      </c>
      <c r="K26" s="463" t="str">
        <f t="shared" si="4"/>
        <v>A</v>
      </c>
    </row>
    <row r="27" ht="15.75" customHeight="1" spans="1:11">
      <c r="A27" s="462">
        <v>98546</v>
      </c>
      <c r="B27" s="462" t="s">
        <v>71</v>
      </c>
      <c r="C27" s="462" t="s">
        <v>1284</v>
      </c>
      <c r="D27" s="462" t="s">
        <v>1622</v>
      </c>
      <c r="E27" s="462" t="s">
        <v>73</v>
      </c>
      <c r="F27" s="463">
        <v>814.17</v>
      </c>
      <c r="G27" s="463">
        <v>182.16</v>
      </c>
      <c r="H27" s="462">
        <v>148309.2</v>
      </c>
      <c r="I27" s="470">
        <f t="shared" si="0"/>
        <v>0.0197625257285328</v>
      </c>
      <c r="J27" s="471">
        <f t="shared" si="3"/>
        <v>0.358448904690182</v>
      </c>
      <c r="K27" s="463" t="str">
        <f t="shared" si="4"/>
        <v>A</v>
      </c>
    </row>
    <row r="28" ht="15.75" customHeight="1" spans="1:11">
      <c r="A28" s="462">
        <v>112810</v>
      </c>
      <c r="B28" s="462" t="s">
        <v>99</v>
      </c>
      <c r="C28" s="462" t="s">
        <v>398</v>
      </c>
      <c r="D28" s="462" t="s">
        <v>1625</v>
      </c>
      <c r="E28" s="462" t="s">
        <v>73</v>
      </c>
      <c r="F28" s="463">
        <v>118.6</v>
      </c>
      <c r="G28" s="462">
        <v>1228.51</v>
      </c>
      <c r="H28" s="462">
        <v>145701.28</v>
      </c>
      <c r="I28" s="470">
        <f t="shared" si="0"/>
        <v>0.0194150146766361</v>
      </c>
      <c r="J28" s="471">
        <f t="shared" si="3"/>
        <v>0.377863919366819</v>
      </c>
      <c r="K28" s="463" t="str">
        <f t="shared" si="4"/>
        <v>A</v>
      </c>
    </row>
    <row r="29" ht="15.75" customHeight="1" spans="1:11">
      <c r="A29" s="462">
        <v>92455</v>
      </c>
      <c r="B29" s="462" t="s">
        <v>71</v>
      </c>
      <c r="C29" s="462" t="s">
        <v>236</v>
      </c>
      <c r="D29" s="462" t="s">
        <v>1626</v>
      </c>
      <c r="E29" s="462" t="s">
        <v>73</v>
      </c>
      <c r="F29" s="463">
        <v>655.47</v>
      </c>
      <c r="G29" s="463">
        <v>218.7</v>
      </c>
      <c r="H29" s="462">
        <v>143351.28</v>
      </c>
      <c r="I29" s="470">
        <f t="shared" si="0"/>
        <v>0.0191018720296388</v>
      </c>
      <c r="J29" s="471">
        <f t="shared" si="3"/>
        <v>0.396965791396457</v>
      </c>
      <c r="K29" s="463" t="str">
        <f t="shared" si="4"/>
        <v>A</v>
      </c>
    </row>
    <row r="30" ht="15.75" customHeight="1" spans="1:11">
      <c r="A30" s="462" t="s">
        <v>1498</v>
      </c>
      <c r="B30" s="462" t="s">
        <v>65</v>
      </c>
      <c r="C30" s="462" t="s">
        <v>1499</v>
      </c>
      <c r="D30" s="462">
        <v>36.01</v>
      </c>
      <c r="E30" s="462" t="s">
        <v>1079</v>
      </c>
      <c r="F30" s="463">
        <v>1</v>
      </c>
      <c r="G30" s="462">
        <v>139670.98</v>
      </c>
      <c r="H30" s="462">
        <v>139670.98</v>
      </c>
      <c r="I30" s="470">
        <f t="shared" si="0"/>
        <v>0.018611463994003</v>
      </c>
      <c r="J30" s="471">
        <f t="shared" si="3"/>
        <v>0.41557725539046</v>
      </c>
      <c r="K30" s="463" t="str">
        <f t="shared" si="4"/>
        <v>A</v>
      </c>
    </row>
    <row r="31" ht="15.75" customHeight="1" spans="1:11">
      <c r="A31" s="462" t="s">
        <v>1304</v>
      </c>
      <c r="B31" s="462" t="s">
        <v>65</v>
      </c>
      <c r="C31" s="462" t="s">
        <v>1305</v>
      </c>
      <c r="D31" s="462"/>
      <c r="E31" s="462" t="s">
        <v>67</v>
      </c>
      <c r="F31" s="463">
        <v>461.63</v>
      </c>
      <c r="G31" s="463">
        <v>274.62</v>
      </c>
      <c r="H31" s="462">
        <v>126772.83</v>
      </c>
      <c r="I31" s="470">
        <f t="shared" si="0"/>
        <v>0.016892757256825</v>
      </c>
      <c r="J31" s="471">
        <f t="shared" si="3"/>
        <v>0.432470012647285</v>
      </c>
      <c r="K31" s="463" t="str">
        <f t="shared" si="4"/>
        <v>A</v>
      </c>
    </row>
    <row r="32" ht="15.75" customHeight="1" spans="1:11">
      <c r="A32" s="462">
        <v>87748</v>
      </c>
      <c r="B32" s="462" t="s">
        <v>71</v>
      </c>
      <c r="C32" s="462" t="s">
        <v>1287</v>
      </c>
      <c r="D32" s="462" t="s">
        <v>1627</v>
      </c>
      <c r="E32" s="462" t="s">
        <v>73</v>
      </c>
      <c r="F32" s="463">
        <v>814.17</v>
      </c>
      <c r="G32" s="463">
        <v>143.29</v>
      </c>
      <c r="H32" s="462">
        <v>116662.41</v>
      </c>
      <c r="I32" s="470">
        <f t="shared" si="0"/>
        <v>0.0155455216478657</v>
      </c>
      <c r="J32" s="471">
        <f t="shared" si="3"/>
        <v>0.448015534295151</v>
      </c>
      <c r="K32" s="463" t="str">
        <f t="shared" si="4"/>
        <v>A</v>
      </c>
    </row>
    <row r="33" ht="15.75" customHeight="1" spans="1:11">
      <c r="A33" s="462" t="s">
        <v>197</v>
      </c>
      <c r="B33" s="462" t="s">
        <v>76</v>
      </c>
      <c r="C33" s="462" t="s">
        <v>198</v>
      </c>
      <c r="D33" s="462">
        <v>10</v>
      </c>
      <c r="E33" s="462" t="s">
        <v>78</v>
      </c>
      <c r="F33" s="463">
        <v>180</v>
      </c>
      <c r="G33" s="463">
        <v>547.31</v>
      </c>
      <c r="H33" s="462">
        <v>98515.8</v>
      </c>
      <c r="I33" s="470">
        <f t="shared" si="0"/>
        <v>0.0131274461204496</v>
      </c>
      <c r="J33" s="471">
        <f t="shared" si="3"/>
        <v>0.461142980415601</v>
      </c>
      <c r="K33" s="463" t="str">
        <f t="shared" si="4"/>
        <v>A</v>
      </c>
    </row>
    <row r="34" ht="15.75" customHeight="1" spans="1:11">
      <c r="A34" s="462">
        <v>98459</v>
      </c>
      <c r="B34" s="462" t="s">
        <v>71</v>
      </c>
      <c r="C34" s="462" t="s">
        <v>89</v>
      </c>
      <c r="D34" s="462" t="s">
        <v>1628</v>
      </c>
      <c r="E34" s="462" t="s">
        <v>73</v>
      </c>
      <c r="F34" s="463">
        <v>711.38</v>
      </c>
      <c r="G34" s="463">
        <v>130.99</v>
      </c>
      <c r="H34" s="462">
        <v>93183.66</v>
      </c>
      <c r="I34" s="470">
        <f t="shared" si="0"/>
        <v>0.0124169267869347</v>
      </c>
      <c r="J34" s="471">
        <f t="shared" si="3"/>
        <v>0.473559907202535</v>
      </c>
      <c r="K34" s="463" t="str">
        <f t="shared" si="4"/>
        <v>A</v>
      </c>
    </row>
    <row r="35" ht="15.75" customHeight="1" spans="1:11">
      <c r="A35" s="462" t="s">
        <v>1168</v>
      </c>
      <c r="B35" s="462" t="s">
        <v>65</v>
      </c>
      <c r="C35" s="462" t="s">
        <v>1169</v>
      </c>
      <c r="D35" s="462"/>
      <c r="E35" s="462" t="s">
        <v>67</v>
      </c>
      <c r="F35" s="463">
        <v>12</v>
      </c>
      <c r="G35" s="462">
        <v>7430.85</v>
      </c>
      <c r="H35" s="462">
        <v>89170.2</v>
      </c>
      <c r="I35" s="470">
        <f t="shared" si="0"/>
        <v>0.0118821244516079</v>
      </c>
      <c r="J35" s="471">
        <f t="shared" si="3"/>
        <v>0.485442031654143</v>
      </c>
      <c r="K35" s="463" t="str">
        <f t="shared" si="4"/>
        <v>A</v>
      </c>
    </row>
    <row r="36" ht="15.75" customHeight="1" spans="1:11">
      <c r="A36" s="462">
        <v>90093</v>
      </c>
      <c r="B36" s="462" t="s">
        <v>99</v>
      </c>
      <c r="C36" s="462" t="s">
        <v>345</v>
      </c>
      <c r="D36" s="462" t="s">
        <v>1629</v>
      </c>
      <c r="E36" s="462" t="s">
        <v>73</v>
      </c>
      <c r="F36" s="463">
        <v>196.99</v>
      </c>
      <c r="G36" s="463">
        <v>446</v>
      </c>
      <c r="H36" s="462">
        <v>87857.54</v>
      </c>
      <c r="I36" s="470">
        <f t="shared" si="0"/>
        <v>0.0117072096316048</v>
      </c>
      <c r="J36" s="471">
        <f t="shared" si="3"/>
        <v>0.497149241285748</v>
      </c>
      <c r="K36" s="463" t="str">
        <f t="shared" si="4"/>
        <v>A</v>
      </c>
    </row>
    <row r="37" ht="15.75" customHeight="1" spans="1:11">
      <c r="A37" s="462">
        <v>98297</v>
      </c>
      <c r="B37" s="462" t="s">
        <v>71</v>
      </c>
      <c r="C37" s="462" t="s">
        <v>1069</v>
      </c>
      <c r="D37" s="462" t="s">
        <v>1630</v>
      </c>
      <c r="E37" s="462" t="s">
        <v>78</v>
      </c>
      <c r="F37" s="462">
        <v>8385</v>
      </c>
      <c r="G37" s="463">
        <v>10.34</v>
      </c>
      <c r="H37" s="462">
        <v>86700.9</v>
      </c>
      <c r="I37" s="470">
        <f t="shared" si="0"/>
        <v>0.0115530848183184</v>
      </c>
      <c r="J37" s="471">
        <f t="shared" si="3"/>
        <v>0.508702326104066</v>
      </c>
      <c r="K37" s="463" t="str">
        <f t="shared" si="4"/>
        <v>B</v>
      </c>
    </row>
    <row r="38" ht="15.75" customHeight="1" spans="1:11">
      <c r="A38" s="462">
        <v>7881</v>
      </c>
      <c r="B38" s="462" t="s">
        <v>76</v>
      </c>
      <c r="C38" s="462" t="s">
        <v>1206</v>
      </c>
      <c r="D38" s="462" t="s">
        <v>1631</v>
      </c>
      <c r="E38" s="462" t="s">
        <v>105</v>
      </c>
      <c r="F38" s="463">
        <v>70</v>
      </c>
      <c r="G38" s="462">
        <v>1161.24</v>
      </c>
      <c r="H38" s="462">
        <v>81286.8</v>
      </c>
      <c r="I38" s="470">
        <f t="shared" si="0"/>
        <v>0.0108316441352937</v>
      </c>
      <c r="J38" s="471">
        <f t="shared" si="3"/>
        <v>0.51953397023936</v>
      </c>
      <c r="K38" s="463" t="str">
        <f t="shared" si="4"/>
        <v>B</v>
      </c>
    </row>
    <row r="39" ht="15.75" customHeight="1" spans="1:11">
      <c r="A39" s="462" t="s">
        <v>336</v>
      </c>
      <c r="B39" s="462" t="s">
        <v>65</v>
      </c>
      <c r="C39" s="462" t="s">
        <v>337</v>
      </c>
      <c r="D39" s="462"/>
      <c r="E39" s="462" t="s">
        <v>67</v>
      </c>
      <c r="F39" s="463">
        <v>374.26</v>
      </c>
      <c r="G39" s="463">
        <v>213.54</v>
      </c>
      <c r="H39" s="462">
        <v>79919.48</v>
      </c>
      <c r="I39" s="470">
        <f t="shared" si="0"/>
        <v>0.0106494457505735</v>
      </c>
      <c r="J39" s="471">
        <f t="shared" si="3"/>
        <v>0.530183415989934</v>
      </c>
      <c r="K39" s="463" t="str">
        <f t="shared" si="4"/>
        <v>B</v>
      </c>
    </row>
    <row r="40" ht="15.75" customHeight="1" spans="1:11">
      <c r="A40" s="462" t="s">
        <v>1159</v>
      </c>
      <c r="B40" s="462" t="s">
        <v>65</v>
      </c>
      <c r="C40" s="462" t="s">
        <v>1160</v>
      </c>
      <c r="D40" s="462"/>
      <c r="E40" s="462" t="s">
        <v>67</v>
      </c>
      <c r="F40" s="463">
        <v>1</v>
      </c>
      <c r="G40" s="462">
        <v>76682.04</v>
      </c>
      <c r="H40" s="462">
        <v>76682.04</v>
      </c>
      <c r="I40" s="470">
        <f t="shared" si="0"/>
        <v>0.0102180497798948</v>
      </c>
      <c r="J40" s="471">
        <f t="shared" si="3"/>
        <v>0.540401465769829</v>
      </c>
      <c r="K40" s="463" t="str">
        <f t="shared" si="4"/>
        <v>B</v>
      </c>
    </row>
    <row r="41" ht="15.75" customHeight="1" spans="1:11">
      <c r="A41" s="462">
        <v>92413</v>
      </c>
      <c r="B41" s="462" t="s">
        <v>71</v>
      </c>
      <c r="C41" s="462" t="s">
        <v>210</v>
      </c>
      <c r="D41" s="462" t="s">
        <v>1626</v>
      </c>
      <c r="E41" s="462" t="s">
        <v>73</v>
      </c>
      <c r="F41" s="463">
        <v>460.89</v>
      </c>
      <c r="G41" s="463">
        <v>161.44</v>
      </c>
      <c r="H41" s="462">
        <v>74406.08</v>
      </c>
      <c r="I41" s="470">
        <f t="shared" si="0"/>
        <v>0.0099147731250608</v>
      </c>
      <c r="J41" s="471">
        <f t="shared" si="3"/>
        <v>0.550316238894889</v>
      </c>
      <c r="K41" s="463" t="str">
        <f t="shared" si="4"/>
        <v>B</v>
      </c>
    </row>
    <row r="42" ht="15.75" customHeight="1" spans="1:11">
      <c r="A42" s="462" t="s">
        <v>1495</v>
      </c>
      <c r="B42" s="462" t="s">
        <v>76</v>
      </c>
      <c r="C42" s="462" t="s">
        <v>1496</v>
      </c>
      <c r="D42" s="462">
        <v>18</v>
      </c>
      <c r="E42" s="462" t="s">
        <v>105</v>
      </c>
      <c r="F42" s="463">
        <v>1</v>
      </c>
      <c r="G42" s="462">
        <v>71261.47</v>
      </c>
      <c r="H42" s="462">
        <v>71261.47</v>
      </c>
      <c r="I42" s="470">
        <f t="shared" si="0"/>
        <v>0.00949574695519945</v>
      </c>
      <c r="J42" s="471">
        <f t="shared" si="3"/>
        <v>0.559811985850089</v>
      </c>
      <c r="K42" s="463" t="str">
        <f t="shared" si="4"/>
        <v>B</v>
      </c>
    </row>
    <row r="43" ht="15.75" customHeight="1" spans="1:11">
      <c r="A43" s="462">
        <v>92490</v>
      </c>
      <c r="B43" s="462" t="s">
        <v>71</v>
      </c>
      <c r="C43" s="462" t="s">
        <v>274</v>
      </c>
      <c r="D43" s="462" t="s">
        <v>1626</v>
      </c>
      <c r="E43" s="462" t="s">
        <v>73</v>
      </c>
      <c r="F43" s="463">
        <v>652.15</v>
      </c>
      <c r="G43" s="463">
        <v>108.27</v>
      </c>
      <c r="H43" s="462">
        <v>70608.28</v>
      </c>
      <c r="I43" s="470">
        <f t="shared" si="0"/>
        <v>0.00940870795707512</v>
      </c>
      <c r="J43" s="471">
        <f t="shared" si="3"/>
        <v>0.569220693807164</v>
      </c>
      <c r="K43" s="463" t="str">
        <f t="shared" si="4"/>
        <v>B</v>
      </c>
    </row>
    <row r="44" ht="15.75" customHeight="1" spans="1:11">
      <c r="A44" s="462" t="s">
        <v>963</v>
      </c>
      <c r="B44" s="462" t="s">
        <v>65</v>
      </c>
      <c r="C44" s="462" t="s">
        <v>964</v>
      </c>
      <c r="D44" s="462"/>
      <c r="E44" s="462" t="s">
        <v>67</v>
      </c>
      <c r="F44" s="463">
        <v>19</v>
      </c>
      <c r="G44" s="462">
        <v>3560.62</v>
      </c>
      <c r="H44" s="462">
        <v>67651.78</v>
      </c>
      <c r="I44" s="470">
        <f t="shared" si="0"/>
        <v>0.00901474785671448</v>
      </c>
      <c r="J44" s="471">
        <f t="shared" si="3"/>
        <v>0.578235441663879</v>
      </c>
      <c r="K44" s="463" t="str">
        <f t="shared" si="4"/>
        <v>B</v>
      </c>
    </row>
    <row r="45" ht="15.75" customHeight="1" spans="1:11">
      <c r="A45" s="462" t="s">
        <v>1165</v>
      </c>
      <c r="B45" s="462" t="s">
        <v>65</v>
      </c>
      <c r="C45" s="462" t="s">
        <v>1166</v>
      </c>
      <c r="D45" s="462"/>
      <c r="E45" s="462" t="s">
        <v>67</v>
      </c>
      <c r="F45" s="463">
        <v>10</v>
      </c>
      <c r="G45" s="462">
        <v>6669.63</v>
      </c>
      <c r="H45" s="462">
        <v>66696.3</v>
      </c>
      <c r="I45" s="470">
        <f t="shared" si="0"/>
        <v>0.00888742805401108</v>
      </c>
      <c r="J45" s="471">
        <f t="shared" si="3"/>
        <v>0.58712286971789</v>
      </c>
      <c r="K45" s="463" t="str">
        <f t="shared" si="4"/>
        <v>B</v>
      </c>
    </row>
    <row r="46" ht="15.75" customHeight="1" spans="1:11">
      <c r="A46" s="462" t="s">
        <v>1162</v>
      </c>
      <c r="B46" s="462" t="s">
        <v>65</v>
      </c>
      <c r="C46" s="462" t="s">
        <v>1163</v>
      </c>
      <c r="D46" s="462"/>
      <c r="E46" s="462" t="s">
        <v>67</v>
      </c>
      <c r="F46" s="463">
        <v>1</v>
      </c>
      <c r="G46" s="462">
        <v>66511.85</v>
      </c>
      <c r="H46" s="462">
        <v>66511.85</v>
      </c>
      <c r="I46" s="470">
        <f t="shared" si="0"/>
        <v>0.00886284968752655</v>
      </c>
      <c r="J46" s="471">
        <f t="shared" si="3"/>
        <v>0.595985719405416</v>
      </c>
      <c r="K46" s="463" t="str">
        <f t="shared" si="4"/>
        <v>B</v>
      </c>
    </row>
    <row r="47" ht="15.75" customHeight="1" spans="1:11">
      <c r="A47" s="462">
        <v>92764</v>
      </c>
      <c r="B47" s="462" t="s">
        <v>71</v>
      </c>
      <c r="C47" s="462" t="s">
        <v>228</v>
      </c>
      <c r="D47" s="462" t="s">
        <v>1632</v>
      </c>
      <c r="E47" s="462" t="s">
        <v>158</v>
      </c>
      <c r="F47" s="462">
        <v>5519.6</v>
      </c>
      <c r="G47" s="463">
        <v>11.97</v>
      </c>
      <c r="H47" s="462">
        <v>66069.61</v>
      </c>
      <c r="I47" s="470">
        <f t="shared" si="0"/>
        <v>0.00880392023892736</v>
      </c>
      <c r="J47" s="471">
        <f t="shared" si="3"/>
        <v>0.604789639644344</v>
      </c>
      <c r="K47" s="463" t="str">
        <f t="shared" si="4"/>
        <v>B</v>
      </c>
    </row>
    <row r="48" ht="15.75" customHeight="1" spans="1:11">
      <c r="A48" s="462" t="s">
        <v>1460</v>
      </c>
      <c r="B48" s="462" t="s">
        <v>76</v>
      </c>
      <c r="C48" s="462" t="s">
        <v>1461</v>
      </c>
      <c r="D48" s="462">
        <v>11</v>
      </c>
      <c r="E48" s="462" t="s">
        <v>129</v>
      </c>
      <c r="F48" s="463">
        <v>63.89</v>
      </c>
      <c r="G48" s="462">
        <v>1008.06</v>
      </c>
      <c r="H48" s="462">
        <v>64404.95</v>
      </c>
      <c r="I48" s="470">
        <f t="shared" si="0"/>
        <v>0.00858210064796969</v>
      </c>
      <c r="J48" s="471">
        <f t="shared" si="3"/>
        <v>0.613371740292313</v>
      </c>
      <c r="K48" s="463" t="str">
        <f t="shared" si="4"/>
        <v>B</v>
      </c>
    </row>
    <row r="49" ht="15.75" customHeight="1" spans="1:11">
      <c r="A49" s="462">
        <v>210023</v>
      </c>
      <c r="B49" s="462" t="s">
        <v>65</v>
      </c>
      <c r="C49" s="462" t="s">
        <v>1588</v>
      </c>
      <c r="D49" s="462"/>
      <c r="E49" s="462" t="s">
        <v>67</v>
      </c>
      <c r="F49" s="463">
        <v>851.28</v>
      </c>
      <c r="G49" s="463">
        <v>75.64</v>
      </c>
      <c r="H49" s="462">
        <v>64390.81</v>
      </c>
      <c r="I49" s="470">
        <f t="shared" si="0"/>
        <v>0.0085802164620001</v>
      </c>
      <c r="J49" s="471">
        <f t="shared" si="3"/>
        <v>0.621951956754313</v>
      </c>
      <c r="K49" s="463" t="str">
        <f t="shared" si="4"/>
        <v>B</v>
      </c>
    </row>
    <row r="50" ht="15.75" customHeight="1" spans="1:11">
      <c r="A50" s="462">
        <v>96368</v>
      </c>
      <c r="B50" s="462" t="s">
        <v>71</v>
      </c>
      <c r="C50" s="462" t="s">
        <v>350</v>
      </c>
      <c r="D50" s="462" t="s">
        <v>1633</v>
      </c>
      <c r="E50" s="462" t="s">
        <v>73</v>
      </c>
      <c r="F50" s="463">
        <v>277.6</v>
      </c>
      <c r="G50" s="463">
        <v>229.67</v>
      </c>
      <c r="H50" s="462">
        <v>63756.39</v>
      </c>
      <c r="I50" s="470">
        <f t="shared" si="0"/>
        <v>0.00849567860748605</v>
      </c>
      <c r="J50" s="471">
        <f t="shared" si="3"/>
        <v>0.630447635361799</v>
      </c>
      <c r="K50" s="463" t="str">
        <f t="shared" si="4"/>
        <v>B</v>
      </c>
    </row>
    <row r="51" ht="15.75" customHeight="1" spans="1:11">
      <c r="A51" s="462" t="s">
        <v>113</v>
      </c>
      <c r="B51" s="462" t="s">
        <v>65</v>
      </c>
      <c r="C51" s="462" t="s">
        <v>114</v>
      </c>
      <c r="D51" s="462"/>
      <c r="E51" s="462" t="s">
        <v>67</v>
      </c>
      <c r="F51" s="462">
        <v>1680</v>
      </c>
      <c r="G51" s="463">
        <v>36.71</v>
      </c>
      <c r="H51" s="462">
        <v>61672.8</v>
      </c>
      <c r="I51" s="470">
        <f t="shared" si="0"/>
        <v>0.00821803567648302</v>
      </c>
      <c r="J51" s="471">
        <f t="shared" si="3"/>
        <v>0.638665671038283</v>
      </c>
      <c r="K51" s="463" t="str">
        <f t="shared" si="4"/>
        <v>B</v>
      </c>
    </row>
    <row r="52" ht="15.75" customHeight="1" spans="1:11">
      <c r="A52" s="462">
        <v>96558</v>
      </c>
      <c r="B52" s="462" t="s">
        <v>71</v>
      </c>
      <c r="C52" s="462" t="s">
        <v>179</v>
      </c>
      <c r="D52" s="462" t="s">
        <v>1634</v>
      </c>
      <c r="E52" s="462" t="s">
        <v>129</v>
      </c>
      <c r="F52" s="463">
        <v>64.69</v>
      </c>
      <c r="G52" s="463">
        <v>943.07</v>
      </c>
      <c r="H52" s="462">
        <v>61007.19</v>
      </c>
      <c r="I52" s="470">
        <f t="shared" si="0"/>
        <v>0.00812934168615627</v>
      </c>
      <c r="J52" s="471">
        <f t="shared" si="3"/>
        <v>0.646795012724439</v>
      </c>
      <c r="K52" s="463" t="str">
        <f t="shared" si="4"/>
        <v>B</v>
      </c>
    </row>
    <row r="53" ht="15.75" customHeight="1" spans="1:11">
      <c r="A53" s="462">
        <v>96529</v>
      </c>
      <c r="B53" s="462" t="s">
        <v>71</v>
      </c>
      <c r="C53" s="462" t="s">
        <v>151</v>
      </c>
      <c r="D53" s="462" t="s">
        <v>1634</v>
      </c>
      <c r="E53" s="462" t="s">
        <v>73</v>
      </c>
      <c r="F53" s="463">
        <v>148.91</v>
      </c>
      <c r="G53" s="463">
        <v>394.88</v>
      </c>
      <c r="H53" s="462">
        <v>58801.58</v>
      </c>
      <c r="I53" s="470">
        <f t="shared" si="0"/>
        <v>0.00783543932290362</v>
      </c>
      <c r="J53" s="471">
        <f t="shared" si="3"/>
        <v>0.654630452047342</v>
      </c>
      <c r="K53" s="463" t="str">
        <f t="shared" si="4"/>
        <v>B</v>
      </c>
    </row>
    <row r="54" ht="15.75" customHeight="1" spans="1:11">
      <c r="A54" s="462">
        <v>92772</v>
      </c>
      <c r="B54" s="462" t="s">
        <v>71</v>
      </c>
      <c r="C54" s="462" t="s">
        <v>265</v>
      </c>
      <c r="D54" s="462" t="s">
        <v>1632</v>
      </c>
      <c r="E54" s="462" t="s">
        <v>158</v>
      </c>
      <c r="F54" s="462">
        <v>4744.6</v>
      </c>
      <c r="G54" s="463">
        <v>11.84</v>
      </c>
      <c r="H54" s="462">
        <v>56176.06</v>
      </c>
      <c r="I54" s="470">
        <f t="shared" si="0"/>
        <v>0.00748558303245922</v>
      </c>
      <c r="J54" s="471">
        <f t="shared" si="3"/>
        <v>0.662116035079802</v>
      </c>
      <c r="K54" s="463" t="str">
        <f t="shared" si="4"/>
        <v>B</v>
      </c>
    </row>
    <row r="55" ht="15.75" customHeight="1" spans="1:11">
      <c r="A55" s="462">
        <v>104919</v>
      </c>
      <c r="B55" s="462" t="s">
        <v>71</v>
      </c>
      <c r="C55" s="462" t="s">
        <v>170</v>
      </c>
      <c r="D55" s="462" t="s">
        <v>1634</v>
      </c>
      <c r="E55" s="462" t="s">
        <v>158</v>
      </c>
      <c r="F55" s="462">
        <v>3000.1</v>
      </c>
      <c r="G55" s="463">
        <v>17.76</v>
      </c>
      <c r="H55" s="462">
        <v>53281.77</v>
      </c>
      <c r="I55" s="470">
        <f t="shared" si="0"/>
        <v>0.00709991255085164</v>
      </c>
      <c r="J55" s="471">
        <f t="shared" si="3"/>
        <v>0.669215947630653</v>
      </c>
      <c r="K55" s="463" t="str">
        <f t="shared" si="4"/>
        <v>B</v>
      </c>
    </row>
    <row r="56" ht="15.75" customHeight="1" spans="1:11">
      <c r="A56" s="462">
        <v>12095</v>
      </c>
      <c r="B56" s="462" t="s">
        <v>99</v>
      </c>
      <c r="C56" s="462" t="s">
        <v>100</v>
      </c>
      <c r="D56" s="462" t="s">
        <v>1635</v>
      </c>
      <c r="E56" s="462" t="s">
        <v>101</v>
      </c>
      <c r="F56" s="463">
        <v>13</v>
      </c>
      <c r="G56" s="462">
        <v>4068.9</v>
      </c>
      <c r="H56" s="462">
        <v>52895.7</v>
      </c>
      <c r="I56" s="470">
        <f t="shared" si="0"/>
        <v>0.00704846787777664</v>
      </c>
      <c r="J56" s="471">
        <f t="shared" si="3"/>
        <v>0.67626441550843</v>
      </c>
      <c r="K56" s="463" t="str">
        <f t="shared" si="4"/>
        <v>B</v>
      </c>
    </row>
    <row r="57" ht="15.75" customHeight="1" spans="1:11">
      <c r="A57" s="462" t="s">
        <v>636</v>
      </c>
      <c r="B57" s="462" t="s">
        <v>76</v>
      </c>
      <c r="C57" s="462" t="s">
        <v>637</v>
      </c>
      <c r="D57" s="462">
        <v>6</v>
      </c>
      <c r="E57" s="462" t="s">
        <v>105</v>
      </c>
      <c r="F57" s="463">
        <v>37</v>
      </c>
      <c r="G57" s="462">
        <v>1426.62</v>
      </c>
      <c r="H57" s="462">
        <v>52784.94</v>
      </c>
      <c r="I57" s="470">
        <f t="shared" si="0"/>
        <v>0.0070337088651888</v>
      </c>
      <c r="J57" s="471">
        <f t="shared" si="3"/>
        <v>0.683298124373619</v>
      </c>
      <c r="K57" s="463" t="str">
        <f t="shared" si="4"/>
        <v>B</v>
      </c>
    </row>
    <row r="58" ht="15.75" customHeight="1" spans="1:11">
      <c r="A58" s="462">
        <v>91928</v>
      </c>
      <c r="B58" s="462" t="s">
        <v>71</v>
      </c>
      <c r="C58" s="462" t="s">
        <v>764</v>
      </c>
      <c r="D58" s="462" t="s">
        <v>1636</v>
      </c>
      <c r="E58" s="462" t="s">
        <v>78</v>
      </c>
      <c r="F58" s="462">
        <v>5500</v>
      </c>
      <c r="G58" s="463">
        <v>9.49</v>
      </c>
      <c r="H58" s="462">
        <v>52195</v>
      </c>
      <c r="I58" s="470">
        <f t="shared" si="0"/>
        <v>0.00695509806809536</v>
      </c>
      <c r="J58" s="471">
        <f t="shared" si="3"/>
        <v>0.690253222441714</v>
      </c>
      <c r="K58" s="463" t="str">
        <f t="shared" si="4"/>
        <v>B</v>
      </c>
    </row>
    <row r="59" ht="15.75" customHeight="1" spans="1:11">
      <c r="A59" s="462">
        <v>96523</v>
      </c>
      <c r="B59" s="462" t="s">
        <v>71</v>
      </c>
      <c r="C59" s="462" t="s">
        <v>148</v>
      </c>
      <c r="D59" s="462" t="s">
        <v>1634</v>
      </c>
      <c r="E59" s="462" t="s">
        <v>129</v>
      </c>
      <c r="F59" s="463">
        <v>305.07</v>
      </c>
      <c r="G59" s="462">
        <v>158.09</v>
      </c>
      <c r="H59" s="462">
        <v>48228.51</v>
      </c>
      <c r="I59" s="470">
        <f t="shared" si="0"/>
        <v>0.00642655458814288</v>
      </c>
      <c r="J59" s="471">
        <f t="shared" si="3"/>
        <v>0.696679777029857</v>
      </c>
      <c r="K59" s="463" t="str">
        <f t="shared" si="4"/>
        <v>B</v>
      </c>
    </row>
    <row r="60" ht="15.75" customHeight="1" spans="1:11">
      <c r="A60" s="462">
        <v>92763</v>
      </c>
      <c r="B60" s="462" t="s">
        <v>71</v>
      </c>
      <c r="C60" s="462" t="s">
        <v>225</v>
      </c>
      <c r="D60" s="462" t="s">
        <v>1632</v>
      </c>
      <c r="E60" s="462" t="s">
        <v>158</v>
      </c>
      <c r="F60" s="462">
        <v>3841.7</v>
      </c>
      <c r="G60" s="463">
        <v>12.49</v>
      </c>
      <c r="H60" s="462">
        <v>47982.83</v>
      </c>
      <c r="I60" s="470">
        <f t="shared" si="0"/>
        <v>0.00639381719005169</v>
      </c>
      <c r="J60" s="471">
        <f t="shared" si="3"/>
        <v>0.703073594219909</v>
      </c>
      <c r="K60" s="463" t="str">
        <f t="shared" si="4"/>
        <v>B</v>
      </c>
    </row>
    <row r="61" ht="15.75" customHeight="1" spans="1:11">
      <c r="A61" s="462">
        <v>80615</v>
      </c>
      <c r="B61" s="462" t="s">
        <v>65</v>
      </c>
      <c r="C61" s="462" t="s">
        <v>1233</v>
      </c>
      <c r="D61" s="462" t="s">
        <v>1637</v>
      </c>
      <c r="E61" s="462" t="s">
        <v>1234</v>
      </c>
      <c r="F61" s="462">
        <v>3</v>
      </c>
      <c r="G61" s="462">
        <v>15882.93</v>
      </c>
      <c r="H61" s="462">
        <v>47648.79</v>
      </c>
      <c r="I61" s="470">
        <f t="shared" si="0"/>
        <v>0.0063493056284334</v>
      </c>
      <c r="J61" s="471">
        <f t="shared" si="3"/>
        <v>0.709422899848342</v>
      </c>
      <c r="K61" s="463" t="str">
        <f t="shared" si="4"/>
        <v>B</v>
      </c>
    </row>
    <row r="62" ht="15.75" customHeight="1" spans="1:11">
      <c r="A62" s="462" t="s">
        <v>1337</v>
      </c>
      <c r="B62" s="462" t="s">
        <v>65</v>
      </c>
      <c r="C62" s="462" t="s">
        <v>1338</v>
      </c>
      <c r="D62" s="462"/>
      <c r="E62" s="462" t="s">
        <v>67</v>
      </c>
      <c r="F62" s="463">
        <v>416.52</v>
      </c>
      <c r="G62" s="463">
        <v>113.6</v>
      </c>
      <c r="H62" s="462">
        <v>47316.67</v>
      </c>
      <c r="I62" s="470">
        <f t="shared" si="0"/>
        <v>0.00630504991102032</v>
      </c>
      <c r="J62" s="471">
        <f t="shared" si="3"/>
        <v>0.715727949759362</v>
      </c>
      <c r="K62" s="463" t="str">
        <f t="shared" si="4"/>
        <v>B</v>
      </c>
    </row>
    <row r="63" ht="15.75" customHeight="1" spans="1:11">
      <c r="A63" s="462" t="s">
        <v>357</v>
      </c>
      <c r="B63" s="462" t="s">
        <v>65</v>
      </c>
      <c r="C63" s="462" t="s">
        <v>358</v>
      </c>
      <c r="D63" s="462"/>
      <c r="E63" s="462" t="s">
        <v>67</v>
      </c>
      <c r="F63" s="463">
        <v>652</v>
      </c>
      <c r="G63" s="463">
        <v>71.38</v>
      </c>
      <c r="H63" s="462">
        <v>46539.76</v>
      </c>
      <c r="I63" s="470">
        <f t="shared" si="0"/>
        <v>0.00620152495192301</v>
      </c>
      <c r="J63" s="471">
        <f t="shared" si="3"/>
        <v>0.721929474711286</v>
      </c>
      <c r="K63" s="463" t="str">
        <f t="shared" si="4"/>
        <v>B</v>
      </c>
    </row>
    <row r="64" ht="15.75" customHeight="1" spans="1:11">
      <c r="A64" s="462">
        <v>91926</v>
      </c>
      <c r="B64" s="462" t="s">
        <v>71</v>
      </c>
      <c r="C64" s="462" t="s">
        <v>761</v>
      </c>
      <c r="D64" s="462" t="s">
        <v>1636</v>
      </c>
      <c r="E64" s="462" t="s">
        <v>78</v>
      </c>
      <c r="F64" s="462">
        <v>7200</v>
      </c>
      <c r="G64" s="463">
        <v>6.2</v>
      </c>
      <c r="H64" s="462">
        <v>44640</v>
      </c>
      <c r="I64" s="470">
        <f t="shared" si="0"/>
        <v>0.00594837777104659</v>
      </c>
      <c r="J64" s="471">
        <f t="shared" si="3"/>
        <v>0.727877852482332</v>
      </c>
      <c r="K64" s="463" t="str">
        <f t="shared" si="4"/>
        <v>B</v>
      </c>
    </row>
    <row r="65" ht="15.75" customHeight="1" spans="1:11">
      <c r="A65" s="462">
        <v>92762</v>
      </c>
      <c r="B65" s="462" t="s">
        <v>71</v>
      </c>
      <c r="C65" s="462" t="s">
        <v>222</v>
      </c>
      <c r="D65" s="462" t="s">
        <v>1632</v>
      </c>
      <c r="E65" s="462" t="s">
        <v>158</v>
      </c>
      <c r="F65" s="462">
        <v>2949.2</v>
      </c>
      <c r="G65" s="463">
        <v>14.99</v>
      </c>
      <c r="H65" s="462">
        <v>44208.5</v>
      </c>
      <c r="I65" s="470">
        <f t="shared" si="0"/>
        <v>0.00589087945097028</v>
      </c>
      <c r="J65" s="471">
        <f t="shared" si="3"/>
        <v>0.733768731933302</v>
      </c>
      <c r="K65" s="463" t="str">
        <f t="shared" si="4"/>
        <v>B</v>
      </c>
    </row>
    <row r="66" ht="15.75" customHeight="1" spans="1:11">
      <c r="A66" s="462">
        <v>92994</v>
      </c>
      <c r="B66" s="462" t="s">
        <v>71</v>
      </c>
      <c r="C66" s="462" t="s">
        <v>800</v>
      </c>
      <c r="D66" s="462" t="s">
        <v>1638</v>
      </c>
      <c r="E66" s="462" t="s">
        <v>78</v>
      </c>
      <c r="F66" s="463">
        <v>250</v>
      </c>
      <c r="G66" s="463">
        <v>172.72</v>
      </c>
      <c r="H66" s="462">
        <v>43180</v>
      </c>
      <c r="I66" s="470">
        <f t="shared" si="0"/>
        <v>0.00575382957333763</v>
      </c>
      <c r="J66" s="471">
        <f t="shared" si="3"/>
        <v>0.73952256150664</v>
      </c>
      <c r="K66" s="463" t="str">
        <f t="shared" si="4"/>
        <v>B</v>
      </c>
    </row>
    <row r="67" ht="15.75" customHeight="1" spans="1:11">
      <c r="A67" s="462">
        <v>92760</v>
      </c>
      <c r="B67" s="462" t="s">
        <v>71</v>
      </c>
      <c r="C67" s="462" t="s">
        <v>216</v>
      </c>
      <c r="D67" s="462" t="s">
        <v>1632</v>
      </c>
      <c r="E67" s="462" t="s">
        <v>158</v>
      </c>
      <c r="F67" s="462">
        <v>2328.1</v>
      </c>
      <c r="G67" s="463">
        <v>18.47</v>
      </c>
      <c r="H67" s="462">
        <v>43000</v>
      </c>
      <c r="I67" s="470">
        <f t="shared" si="0"/>
        <v>0.00572984417909954</v>
      </c>
      <c r="J67" s="471">
        <f t="shared" si="3"/>
        <v>0.745252405685739</v>
      </c>
      <c r="K67" s="463" t="str">
        <f t="shared" si="4"/>
        <v>B</v>
      </c>
    </row>
    <row r="68" ht="15.75" customHeight="1" spans="1:26">
      <c r="A68" s="462" t="s">
        <v>1355</v>
      </c>
      <c r="B68" s="462" t="s">
        <v>76</v>
      </c>
      <c r="C68" s="462" t="s">
        <v>1356</v>
      </c>
      <c r="D68" s="462">
        <v>9</v>
      </c>
      <c r="E68" s="462" t="s">
        <v>73</v>
      </c>
      <c r="F68" s="462">
        <v>1968.07</v>
      </c>
      <c r="G68" s="463">
        <v>19.22</v>
      </c>
      <c r="H68" s="462">
        <v>37826.3</v>
      </c>
      <c r="I68" s="470">
        <f t="shared" si="0"/>
        <v>0.00504043732260169</v>
      </c>
      <c r="J68" s="471">
        <f t="shared" si="3"/>
        <v>0.750292843008341</v>
      </c>
      <c r="K68" s="463" t="str">
        <f t="shared" si="4"/>
        <v>B</v>
      </c>
      <c r="L68" s="472"/>
      <c r="M68" s="472"/>
      <c r="N68" s="472"/>
      <c r="O68" s="472"/>
      <c r="P68" s="472"/>
      <c r="Q68" s="472"/>
      <c r="R68" s="472"/>
      <c r="S68" s="472"/>
      <c r="T68" s="472"/>
      <c r="U68" s="472"/>
      <c r="V68" s="472"/>
      <c r="W68" s="472"/>
      <c r="X68" s="472"/>
      <c r="Y68" s="472"/>
      <c r="Z68" s="472"/>
    </row>
    <row r="69" ht="15.75" customHeight="1" spans="1:11">
      <c r="A69" s="462" t="s">
        <v>991</v>
      </c>
      <c r="B69" s="462" t="s">
        <v>65</v>
      </c>
      <c r="C69" s="462" t="s">
        <v>992</v>
      </c>
      <c r="D69" s="462"/>
      <c r="E69" s="462" t="s">
        <v>67</v>
      </c>
      <c r="F69" s="463">
        <v>391</v>
      </c>
      <c r="G69" s="463">
        <v>94.95</v>
      </c>
      <c r="H69" s="462">
        <v>37125.45</v>
      </c>
      <c r="I69" s="470">
        <f t="shared" si="0"/>
        <v>0.00494704752509188</v>
      </c>
      <c r="J69" s="471">
        <f t="shared" si="3"/>
        <v>0.755239890533433</v>
      </c>
      <c r="K69" s="463" t="str">
        <f t="shared" si="4"/>
        <v>B</v>
      </c>
    </row>
    <row r="70" ht="15.75" customHeight="1" spans="1:11">
      <c r="A70" s="462" t="s">
        <v>1391</v>
      </c>
      <c r="B70" s="462" t="s">
        <v>65</v>
      </c>
      <c r="C70" s="462" t="s">
        <v>1392</v>
      </c>
      <c r="D70" s="462" t="s">
        <v>1637</v>
      </c>
      <c r="E70" s="462" t="s">
        <v>535</v>
      </c>
      <c r="F70" s="463">
        <v>55.53</v>
      </c>
      <c r="G70" s="463">
        <v>648.74</v>
      </c>
      <c r="H70" s="462">
        <v>36024.53</v>
      </c>
      <c r="I70" s="470">
        <f t="shared" si="0"/>
        <v>0.00480034752384411</v>
      </c>
      <c r="J70" s="471">
        <f t="shared" si="3"/>
        <v>0.760040238057277</v>
      </c>
      <c r="K70" s="463" t="str">
        <f t="shared" si="4"/>
        <v>B</v>
      </c>
    </row>
    <row r="71" ht="15.75" customHeight="1" spans="1:11">
      <c r="A71" s="462">
        <v>96557</v>
      </c>
      <c r="B71" s="462" t="s">
        <v>71</v>
      </c>
      <c r="C71" s="462" t="s">
        <v>182</v>
      </c>
      <c r="D71" s="462" t="s">
        <v>1634</v>
      </c>
      <c r="E71" s="462" t="s">
        <v>129</v>
      </c>
      <c r="F71" s="463">
        <v>36</v>
      </c>
      <c r="G71" s="463">
        <v>896.39</v>
      </c>
      <c r="H71" s="462">
        <v>32270.04</v>
      </c>
      <c r="I71" s="470">
        <f t="shared" si="0"/>
        <v>0.00430005350821649</v>
      </c>
      <c r="J71" s="471">
        <f t="shared" si="3"/>
        <v>0.764340291565494</v>
      </c>
      <c r="K71" s="463" t="str">
        <f t="shared" si="4"/>
        <v>B</v>
      </c>
    </row>
    <row r="72" ht="15.75" customHeight="1" spans="1:11">
      <c r="A72" s="462">
        <v>92759</v>
      </c>
      <c r="B72" s="462" t="s">
        <v>71</v>
      </c>
      <c r="C72" s="462" t="s">
        <v>213</v>
      </c>
      <c r="D72" s="462" t="s">
        <v>1632</v>
      </c>
      <c r="E72" s="462" t="s">
        <v>158</v>
      </c>
      <c r="F72" s="462">
        <v>1585.3</v>
      </c>
      <c r="G72" s="463">
        <v>20.1</v>
      </c>
      <c r="H72" s="462">
        <v>31864.53</v>
      </c>
      <c r="I72" s="470">
        <f t="shared" si="0"/>
        <v>0.00424601841256378</v>
      </c>
      <c r="J72" s="471">
        <f t="shared" si="3"/>
        <v>0.768586309978057</v>
      </c>
      <c r="K72" s="463" t="str">
        <f t="shared" si="4"/>
        <v>B</v>
      </c>
    </row>
    <row r="73" ht="15.75" customHeight="1" spans="1:11">
      <c r="A73" s="462">
        <v>103001</v>
      </c>
      <c r="B73" s="462" t="s">
        <v>71</v>
      </c>
      <c r="C73" s="462" t="s">
        <v>751</v>
      </c>
      <c r="D73" s="462" t="s">
        <v>1639</v>
      </c>
      <c r="E73" s="462" t="s">
        <v>105</v>
      </c>
      <c r="F73" s="463">
        <v>122</v>
      </c>
      <c r="G73" s="463">
        <v>261.02</v>
      </c>
      <c r="H73" s="462">
        <v>31844.44</v>
      </c>
      <c r="I73" s="470">
        <f t="shared" si="0"/>
        <v>0.00424334137606243</v>
      </c>
      <c r="J73" s="471">
        <f t="shared" si="3"/>
        <v>0.77282965135412</v>
      </c>
      <c r="K73" s="463" t="str">
        <f t="shared" si="4"/>
        <v>B</v>
      </c>
    </row>
    <row r="74" ht="15.75" customHeight="1" spans="1:11">
      <c r="A74" s="462">
        <v>92771</v>
      </c>
      <c r="B74" s="462" t="s">
        <v>71</v>
      </c>
      <c r="C74" s="462" t="s">
        <v>262</v>
      </c>
      <c r="D74" s="462" t="s">
        <v>1632</v>
      </c>
      <c r="E74" s="462" t="s">
        <v>158</v>
      </c>
      <c r="F74" s="462">
        <v>2190.5</v>
      </c>
      <c r="G74" s="463">
        <v>14.27</v>
      </c>
      <c r="H74" s="462">
        <v>31258.43</v>
      </c>
      <c r="I74" s="470">
        <f t="shared" si="0"/>
        <v>0.00416525426007652</v>
      </c>
      <c r="J74" s="471">
        <f t="shared" si="3"/>
        <v>0.776994905614196</v>
      </c>
      <c r="K74" s="463" t="str">
        <f t="shared" si="4"/>
        <v>B</v>
      </c>
    </row>
    <row r="75" ht="15.75" customHeight="1" spans="1:11">
      <c r="A75" s="462" t="s">
        <v>75</v>
      </c>
      <c r="B75" s="462" t="s">
        <v>76</v>
      </c>
      <c r="C75" s="462" t="s">
        <v>77</v>
      </c>
      <c r="D75" s="462">
        <v>1</v>
      </c>
      <c r="E75" s="462" t="s">
        <v>78</v>
      </c>
      <c r="F75" s="463">
        <v>941.81</v>
      </c>
      <c r="G75" s="463">
        <v>32.33</v>
      </c>
      <c r="H75" s="462">
        <v>30448.71</v>
      </c>
      <c r="I75" s="470">
        <f t="shared" si="0"/>
        <v>0.00405735729661837</v>
      </c>
      <c r="J75" s="471">
        <f t="shared" si="3"/>
        <v>0.781052262910815</v>
      </c>
      <c r="K75" s="463" t="str">
        <f t="shared" si="4"/>
        <v>B</v>
      </c>
    </row>
    <row r="76" ht="15.75" customHeight="1" spans="1:11">
      <c r="A76" s="462" t="s">
        <v>95</v>
      </c>
      <c r="B76" s="462" t="s">
        <v>76</v>
      </c>
      <c r="C76" s="462" t="s">
        <v>96</v>
      </c>
      <c r="D76" s="462">
        <v>2</v>
      </c>
      <c r="E76" s="462" t="s">
        <v>93</v>
      </c>
      <c r="F76" s="463">
        <v>13</v>
      </c>
      <c r="G76" s="462">
        <v>2306.21</v>
      </c>
      <c r="H76" s="462">
        <v>29980.73</v>
      </c>
      <c r="I76" s="470">
        <f t="shared" si="0"/>
        <v>0.00399499793664314</v>
      </c>
      <c r="J76" s="471">
        <f t="shared" si="3"/>
        <v>0.785047260847458</v>
      </c>
      <c r="K76" s="463" t="str">
        <f t="shared" si="4"/>
        <v>B</v>
      </c>
    </row>
    <row r="77" ht="15.75" customHeight="1" spans="1:11">
      <c r="A77" s="462">
        <v>70202</v>
      </c>
      <c r="B77" s="462" t="s">
        <v>99</v>
      </c>
      <c r="C77" s="462" t="s">
        <v>1203</v>
      </c>
      <c r="D77" s="462" t="s">
        <v>1640</v>
      </c>
      <c r="E77" s="462" t="s">
        <v>78</v>
      </c>
      <c r="F77" s="463">
        <v>116.89</v>
      </c>
      <c r="G77" s="463">
        <v>253.48</v>
      </c>
      <c r="H77" s="462">
        <v>29629.27</v>
      </c>
      <c r="I77" s="470">
        <f t="shared" si="0"/>
        <v>0.00394816512187136</v>
      </c>
      <c r="J77" s="471">
        <f t="shared" si="3"/>
        <v>0.788995425969329</v>
      </c>
      <c r="K77" s="463" t="str">
        <f t="shared" si="4"/>
        <v>B</v>
      </c>
    </row>
    <row r="78" ht="15.75" customHeight="1" spans="1:11">
      <c r="A78" s="462">
        <v>97063</v>
      </c>
      <c r="B78" s="462" t="s">
        <v>71</v>
      </c>
      <c r="C78" s="462" t="s">
        <v>111</v>
      </c>
      <c r="D78" s="462" t="s">
        <v>1641</v>
      </c>
      <c r="E78" s="462" t="s">
        <v>73</v>
      </c>
      <c r="F78" s="463">
        <v>840</v>
      </c>
      <c r="G78" s="463">
        <v>34.69</v>
      </c>
      <c r="H78" s="462">
        <v>29139.6</v>
      </c>
      <c r="I78" s="470">
        <f t="shared" si="0"/>
        <v>0.00388291552189044</v>
      </c>
      <c r="J78" s="471">
        <f t="shared" si="3"/>
        <v>0.79287834149122</v>
      </c>
      <c r="K78" s="463" t="str">
        <f t="shared" si="4"/>
        <v>B</v>
      </c>
    </row>
    <row r="79" ht="15.75" customHeight="1" spans="1:11">
      <c r="A79" s="462" t="s">
        <v>386</v>
      </c>
      <c r="B79" s="462" t="s">
        <v>65</v>
      </c>
      <c r="C79" s="462" t="s">
        <v>387</v>
      </c>
      <c r="D79" s="462"/>
      <c r="E79" s="462" t="s">
        <v>67</v>
      </c>
      <c r="F79" s="463">
        <v>30</v>
      </c>
      <c r="G79" s="463">
        <v>942.01</v>
      </c>
      <c r="H79" s="462">
        <v>28260.3</v>
      </c>
      <c r="I79" s="470">
        <f t="shared" si="0"/>
        <v>0.00376574687103736</v>
      </c>
      <c r="J79" s="471">
        <f t="shared" si="3"/>
        <v>0.796644088362257</v>
      </c>
      <c r="K79" s="463" t="str">
        <f t="shared" si="4"/>
        <v>B</v>
      </c>
    </row>
    <row r="80" ht="15.75" customHeight="1" spans="1:11">
      <c r="A80" s="462">
        <v>150210</v>
      </c>
      <c r="B80" s="462" t="s">
        <v>99</v>
      </c>
      <c r="C80" s="462" t="s">
        <v>375</v>
      </c>
      <c r="D80" s="462" t="s">
        <v>1642</v>
      </c>
      <c r="E80" s="462" t="s">
        <v>73</v>
      </c>
      <c r="F80" s="463">
        <v>14.34</v>
      </c>
      <c r="G80" s="462">
        <v>1925.19</v>
      </c>
      <c r="H80" s="462">
        <v>27607.22</v>
      </c>
      <c r="I80" s="470">
        <f t="shared" si="0"/>
        <v>0.00367872253065396</v>
      </c>
      <c r="J80" s="471">
        <f t="shared" si="3"/>
        <v>0.800322810892911</v>
      </c>
      <c r="K80" s="463" t="str">
        <f t="shared" si="4"/>
        <v>C</v>
      </c>
    </row>
    <row r="81" ht="15.75" customHeight="1" spans="1:11">
      <c r="A81" s="462" t="s">
        <v>1310</v>
      </c>
      <c r="B81" s="462" t="s">
        <v>65</v>
      </c>
      <c r="C81" s="462" t="s">
        <v>1311</v>
      </c>
      <c r="D81" s="462"/>
      <c r="E81" s="462" t="s">
        <v>67</v>
      </c>
      <c r="F81" s="463">
        <v>88.51</v>
      </c>
      <c r="G81" s="463">
        <v>309.74</v>
      </c>
      <c r="H81" s="462">
        <v>27415.08</v>
      </c>
      <c r="I81" s="470">
        <f t="shared" ref="I81:I144" si="5">H81/$I$445</f>
        <v>0.0036531194548267</v>
      </c>
      <c r="J81" s="471">
        <f t="shared" si="3"/>
        <v>0.803975930347738</v>
      </c>
      <c r="K81" s="463" t="str">
        <f t="shared" si="4"/>
        <v>C</v>
      </c>
    </row>
    <row r="82" ht="15.75" customHeight="1" spans="1:11">
      <c r="A82" s="462" t="s">
        <v>833</v>
      </c>
      <c r="B82" s="462" t="s">
        <v>76</v>
      </c>
      <c r="C82" s="462" t="s">
        <v>834</v>
      </c>
      <c r="D82" s="462">
        <v>6</v>
      </c>
      <c r="E82" s="462" t="s">
        <v>105</v>
      </c>
      <c r="F82" s="463">
        <v>28</v>
      </c>
      <c r="G82" s="463">
        <v>963.04</v>
      </c>
      <c r="H82" s="462">
        <v>26965.12</v>
      </c>
      <c r="I82" s="470">
        <f t="shared" si="5"/>
        <v>0.00359316129931908</v>
      </c>
      <c r="J82" s="471">
        <f t="shared" si="3"/>
        <v>0.807569091647057</v>
      </c>
      <c r="K82" s="463" t="str">
        <f t="shared" si="4"/>
        <v>C</v>
      </c>
    </row>
    <row r="83" ht="15.75" customHeight="1" spans="1:11">
      <c r="A83" s="462" t="s">
        <v>119</v>
      </c>
      <c r="B83" s="462" t="s">
        <v>65</v>
      </c>
      <c r="C83" s="462" t="s">
        <v>120</v>
      </c>
      <c r="D83" s="462">
        <v>13</v>
      </c>
      <c r="E83" s="462" t="s">
        <v>121</v>
      </c>
      <c r="F83" s="463">
        <v>26</v>
      </c>
      <c r="G83" s="462">
        <v>1005</v>
      </c>
      <c r="H83" s="462">
        <v>26130</v>
      </c>
      <c r="I83" s="470">
        <f t="shared" si="5"/>
        <v>0.00348187973022956</v>
      </c>
      <c r="J83" s="471">
        <f t="shared" ref="J83:J146" si="6">I83+J82</f>
        <v>0.811050971377286</v>
      </c>
      <c r="K83" s="463" t="str">
        <f t="shared" ref="K83:K146" si="7">IF(J83&lt;=50%,"A",IF(J83&lt;=80%,"B","C"))</f>
        <v>C</v>
      </c>
    </row>
    <row r="84" ht="15.75" customHeight="1" spans="1:11">
      <c r="A84" s="462">
        <v>87775</v>
      </c>
      <c r="B84" s="462" t="s">
        <v>71</v>
      </c>
      <c r="C84" s="462" t="s">
        <v>1252</v>
      </c>
      <c r="D84" s="462" t="s">
        <v>1643</v>
      </c>
      <c r="E84" s="462" t="s">
        <v>73</v>
      </c>
      <c r="F84" s="463">
        <v>312.21</v>
      </c>
      <c r="G84" s="463">
        <v>83.6</v>
      </c>
      <c r="H84" s="462">
        <v>26100.75</v>
      </c>
      <c r="I84" s="470">
        <f t="shared" si="5"/>
        <v>0.00347798210366587</v>
      </c>
      <c r="J84" s="471">
        <f t="shared" si="6"/>
        <v>0.814528953480952</v>
      </c>
      <c r="K84" s="463" t="str">
        <f t="shared" si="7"/>
        <v>C</v>
      </c>
    </row>
    <row r="85" ht="15.75" customHeight="1" spans="1:11">
      <c r="A85" s="462">
        <v>92988</v>
      </c>
      <c r="B85" s="462" t="s">
        <v>71</v>
      </c>
      <c r="C85" s="462" t="s">
        <v>782</v>
      </c>
      <c r="D85" s="462" t="s">
        <v>1638</v>
      </c>
      <c r="E85" s="462" t="s">
        <v>78</v>
      </c>
      <c r="F85" s="463">
        <v>345</v>
      </c>
      <c r="G85" s="463">
        <v>74.62</v>
      </c>
      <c r="H85" s="462">
        <v>25743.9</v>
      </c>
      <c r="I85" s="470">
        <f t="shared" si="5"/>
        <v>0.00343043105958885</v>
      </c>
      <c r="J85" s="471">
        <f t="shared" si="6"/>
        <v>0.817959384540541</v>
      </c>
      <c r="K85" s="463" t="str">
        <f t="shared" si="7"/>
        <v>C</v>
      </c>
    </row>
    <row r="86" ht="15.75" customHeight="1" spans="1:11">
      <c r="A86" s="462">
        <v>59440</v>
      </c>
      <c r="B86" s="462" t="s">
        <v>99</v>
      </c>
      <c r="C86" s="462" t="s">
        <v>1137</v>
      </c>
      <c r="D86" s="462" t="s">
        <v>1644</v>
      </c>
      <c r="E86" s="462" t="s">
        <v>105</v>
      </c>
      <c r="F86" s="463">
        <v>1</v>
      </c>
      <c r="G86" s="462">
        <v>25275.77</v>
      </c>
      <c r="H86" s="462">
        <v>25275.77</v>
      </c>
      <c r="I86" s="470">
        <f t="shared" si="5"/>
        <v>0.00336805171178509</v>
      </c>
      <c r="J86" s="471">
        <f t="shared" si="6"/>
        <v>0.821327436252326</v>
      </c>
      <c r="K86" s="463" t="str">
        <f t="shared" si="7"/>
        <v>C</v>
      </c>
    </row>
    <row r="87" ht="15.75" customHeight="1" spans="1:11">
      <c r="A87" s="462" t="s">
        <v>1412</v>
      </c>
      <c r="B87" s="462" t="s">
        <v>65</v>
      </c>
      <c r="C87" s="462" t="s">
        <v>1413</v>
      </c>
      <c r="D87" s="462"/>
      <c r="E87" s="462" t="s">
        <v>67</v>
      </c>
      <c r="F87" s="463">
        <v>13.83</v>
      </c>
      <c r="G87" s="462">
        <v>1806.95</v>
      </c>
      <c r="H87" s="462">
        <v>24990.11</v>
      </c>
      <c r="I87" s="470">
        <f t="shared" si="5"/>
        <v>0.00332998689112924</v>
      </c>
      <c r="J87" s="471">
        <f t="shared" si="6"/>
        <v>0.824657423143455</v>
      </c>
      <c r="K87" s="463" t="str">
        <f t="shared" si="7"/>
        <v>C</v>
      </c>
    </row>
    <row r="88" ht="15.75" customHeight="1" spans="1:11">
      <c r="A88" s="462">
        <v>104920</v>
      </c>
      <c r="B88" s="462" t="s">
        <v>71</v>
      </c>
      <c r="C88" s="462" t="s">
        <v>173</v>
      </c>
      <c r="D88" s="462" t="s">
        <v>1634</v>
      </c>
      <c r="E88" s="462" t="s">
        <v>158</v>
      </c>
      <c r="F88" s="462">
        <v>1627.2</v>
      </c>
      <c r="G88" s="463">
        <v>14.97</v>
      </c>
      <c r="H88" s="462">
        <v>24359.18</v>
      </c>
      <c r="I88" s="470">
        <f t="shared" si="5"/>
        <v>0.00324591408675902</v>
      </c>
      <c r="J88" s="471">
        <f t="shared" si="6"/>
        <v>0.827903337230214</v>
      </c>
      <c r="K88" s="463" t="str">
        <f t="shared" si="7"/>
        <v>C</v>
      </c>
    </row>
    <row r="89" ht="15.75" customHeight="1" spans="1:11">
      <c r="A89" s="462" t="s">
        <v>1292</v>
      </c>
      <c r="B89" s="462" t="s">
        <v>65</v>
      </c>
      <c r="C89" s="462" t="s">
        <v>1293</v>
      </c>
      <c r="D89" s="462"/>
      <c r="E89" s="462" t="s">
        <v>67</v>
      </c>
      <c r="F89" s="463">
        <v>134.4</v>
      </c>
      <c r="G89" s="463">
        <v>179.72</v>
      </c>
      <c r="H89" s="462">
        <v>24154.36</v>
      </c>
      <c r="I89" s="470">
        <f t="shared" si="5"/>
        <v>0.00321862137315988</v>
      </c>
      <c r="J89" s="471">
        <f t="shared" si="6"/>
        <v>0.831121958603374</v>
      </c>
      <c r="K89" s="463" t="str">
        <f t="shared" si="7"/>
        <v>C</v>
      </c>
    </row>
    <row r="90" ht="15.75" customHeight="1" spans="1:11">
      <c r="A90" s="462">
        <v>92510</v>
      </c>
      <c r="B90" s="462" t="s">
        <v>71</v>
      </c>
      <c r="C90" s="462" t="s">
        <v>250</v>
      </c>
      <c r="D90" s="462" t="s">
        <v>1626</v>
      </c>
      <c r="E90" s="462" t="s">
        <v>73</v>
      </c>
      <c r="F90" s="463">
        <v>246.23</v>
      </c>
      <c r="G90" s="463">
        <v>91.94</v>
      </c>
      <c r="H90" s="462">
        <v>22638.38</v>
      </c>
      <c r="I90" s="470">
        <f t="shared" si="5"/>
        <v>0.00301661371784287</v>
      </c>
      <c r="J90" s="471">
        <f t="shared" si="6"/>
        <v>0.834138572321217</v>
      </c>
      <c r="K90" s="463" t="str">
        <f t="shared" si="7"/>
        <v>C</v>
      </c>
    </row>
    <row r="91" ht="15.75" customHeight="1" spans="1:11">
      <c r="A91" s="462" t="s">
        <v>975</v>
      </c>
      <c r="B91" s="462" t="s">
        <v>512</v>
      </c>
      <c r="C91" s="462" t="s">
        <v>976</v>
      </c>
      <c r="D91" s="462" t="s">
        <v>1645</v>
      </c>
      <c r="E91" s="462" t="s">
        <v>67</v>
      </c>
      <c r="F91" s="463">
        <v>3</v>
      </c>
      <c r="G91" s="462">
        <v>7500.6</v>
      </c>
      <c r="H91" s="462">
        <v>22501.8</v>
      </c>
      <c r="I91" s="470">
        <f t="shared" si="5"/>
        <v>0.00299841413370377</v>
      </c>
      <c r="J91" s="471">
        <f t="shared" si="6"/>
        <v>0.837136986454921</v>
      </c>
      <c r="K91" s="463" t="str">
        <f t="shared" si="7"/>
        <v>C</v>
      </c>
    </row>
    <row r="92" ht="15.75" customHeight="1" spans="1:11">
      <c r="A92" s="462" t="s">
        <v>892</v>
      </c>
      <c r="B92" s="462" t="s">
        <v>76</v>
      </c>
      <c r="C92" s="462" t="s">
        <v>893</v>
      </c>
      <c r="D92" s="462">
        <v>15</v>
      </c>
      <c r="E92" s="462" t="s">
        <v>78</v>
      </c>
      <c r="F92" s="463">
        <v>270</v>
      </c>
      <c r="G92" s="462">
        <v>81.61</v>
      </c>
      <c r="H92" s="462">
        <v>22034.7</v>
      </c>
      <c r="I92" s="470">
        <f t="shared" si="5"/>
        <v>0.00293617203565592</v>
      </c>
      <c r="J92" s="471">
        <f t="shared" si="6"/>
        <v>0.840073158490577</v>
      </c>
      <c r="K92" s="463" t="str">
        <f t="shared" si="7"/>
        <v>C</v>
      </c>
    </row>
    <row r="93" ht="15.75" customHeight="1" spans="1:11">
      <c r="A93" s="462">
        <v>103672</v>
      </c>
      <c r="B93" s="462" t="s">
        <v>71</v>
      </c>
      <c r="C93" s="462" t="s">
        <v>231</v>
      </c>
      <c r="D93" s="462" t="s">
        <v>1621</v>
      </c>
      <c r="E93" s="462" t="s">
        <v>129</v>
      </c>
      <c r="F93" s="463">
        <v>25.31</v>
      </c>
      <c r="G93" s="463">
        <v>820.33</v>
      </c>
      <c r="H93" s="462">
        <v>20762.55</v>
      </c>
      <c r="I93" s="470">
        <f t="shared" si="5"/>
        <v>0.00276665526187821</v>
      </c>
      <c r="J93" s="471">
        <f t="shared" si="6"/>
        <v>0.842839813752455</v>
      </c>
      <c r="K93" s="463" t="str">
        <f t="shared" si="7"/>
        <v>C</v>
      </c>
    </row>
    <row r="94" ht="15.75" customHeight="1" spans="1:11">
      <c r="A94" s="462" t="s">
        <v>91</v>
      </c>
      <c r="B94" s="462" t="s">
        <v>76</v>
      </c>
      <c r="C94" s="462" t="s">
        <v>92</v>
      </c>
      <c r="D94" s="462">
        <v>2</v>
      </c>
      <c r="E94" s="462" t="s">
        <v>93</v>
      </c>
      <c r="F94" s="463">
        <v>13</v>
      </c>
      <c r="G94" s="462">
        <v>1558.25</v>
      </c>
      <c r="H94" s="462">
        <v>20257.25</v>
      </c>
      <c r="I94" s="470">
        <f t="shared" si="5"/>
        <v>0.00269932293016428</v>
      </c>
      <c r="J94" s="471">
        <f t="shared" si="6"/>
        <v>0.845539136682619</v>
      </c>
      <c r="K94" s="463" t="str">
        <f t="shared" si="7"/>
        <v>C</v>
      </c>
    </row>
    <row r="95" ht="15.75" customHeight="1" spans="1:11">
      <c r="A95" s="462" t="s">
        <v>837</v>
      </c>
      <c r="B95" s="462" t="s">
        <v>76</v>
      </c>
      <c r="C95" s="462" t="s">
        <v>838</v>
      </c>
      <c r="D95" s="462">
        <v>6</v>
      </c>
      <c r="E95" s="462" t="s">
        <v>105</v>
      </c>
      <c r="F95" s="463">
        <v>6</v>
      </c>
      <c r="G95" s="462">
        <v>3362.64</v>
      </c>
      <c r="H95" s="462">
        <v>20175.84</v>
      </c>
      <c r="I95" s="470">
        <f t="shared" si="5"/>
        <v>0.00268847486935915</v>
      </c>
      <c r="J95" s="471">
        <f t="shared" si="6"/>
        <v>0.848227611551979</v>
      </c>
      <c r="K95" s="463" t="str">
        <f t="shared" si="7"/>
        <v>C</v>
      </c>
    </row>
    <row r="96" ht="15.75" customHeight="1" spans="1:11">
      <c r="A96" s="462">
        <v>87535</v>
      </c>
      <c r="B96" s="462" t="s">
        <v>71</v>
      </c>
      <c r="C96" s="462" t="s">
        <v>1246</v>
      </c>
      <c r="D96" s="462" t="s">
        <v>1646</v>
      </c>
      <c r="E96" s="462" t="s">
        <v>73</v>
      </c>
      <c r="F96" s="463">
        <v>413.11</v>
      </c>
      <c r="G96" s="463">
        <v>48.25</v>
      </c>
      <c r="H96" s="462">
        <v>19932.55</v>
      </c>
      <c r="I96" s="470">
        <f t="shared" si="5"/>
        <v>0.00265605594400257</v>
      </c>
      <c r="J96" s="471">
        <f t="shared" si="6"/>
        <v>0.850883667495981</v>
      </c>
      <c r="K96" s="463" t="str">
        <f t="shared" si="7"/>
        <v>C</v>
      </c>
    </row>
    <row r="97" ht="15.75" customHeight="1" spans="1:11">
      <c r="A97" s="462">
        <v>104921</v>
      </c>
      <c r="B97" s="462" t="s">
        <v>71</v>
      </c>
      <c r="C97" s="462" t="s">
        <v>176</v>
      </c>
      <c r="D97" s="462" t="s">
        <v>1634</v>
      </c>
      <c r="E97" s="462" t="s">
        <v>158</v>
      </c>
      <c r="F97" s="462">
        <v>1406</v>
      </c>
      <c r="G97" s="463">
        <v>13.92</v>
      </c>
      <c r="H97" s="462">
        <v>19571.52</v>
      </c>
      <c r="I97" s="470">
        <f t="shared" si="5"/>
        <v>0.00260794790577047</v>
      </c>
      <c r="J97" s="471">
        <f t="shared" si="6"/>
        <v>0.853491615401752</v>
      </c>
      <c r="K97" s="463" t="str">
        <f t="shared" si="7"/>
        <v>C</v>
      </c>
    </row>
    <row r="98" ht="15.75" customHeight="1" spans="1:11">
      <c r="A98" s="462" t="s">
        <v>1399</v>
      </c>
      <c r="B98" s="462" t="s">
        <v>76</v>
      </c>
      <c r="C98" s="462" t="s">
        <v>1400</v>
      </c>
      <c r="D98" s="462">
        <v>14</v>
      </c>
      <c r="E98" s="462" t="s">
        <v>78</v>
      </c>
      <c r="F98" s="463">
        <v>61.92</v>
      </c>
      <c r="G98" s="463">
        <v>315.06</v>
      </c>
      <c r="H98" s="462">
        <v>19508.51</v>
      </c>
      <c r="I98" s="470">
        <f t="shared" si="5"/>
        <v>0.00259955168526524</v>
      </c>
      <c r="J98" s="471">
        <f t="shared" si="6"/>
        <v>0.856091167087017</v>
      </c>
      <c r="K98" s="463" t="str">
        <f t="shared" si="7"/>
        <v>C</v>
      </c>
    </row>
    <row r="99" ht="15.75" customHeight="1" spans="1:11">
      <c r="A99" s="462" t="s">
        <v>141</v>
      </c>
      <c r="B99" s="462" t="s">
        <v>65</v>
      </c>
      <c r="C99" s="462" t="s">
        <v>142</v>
      </c>
      <c r="D99" s="462" t="s">
        <v>1647</v>
      </c>
      <c r="E99" s="462" t="s">
        <v>129</v>
      </c>
      <c r="F99" s="463">
        <v>502.05</v>
      </c>
      <c r="G99" s="463">
        <v>38.29</v>
      </c>
      <c r="H99" s="462">
        <v>19223.49</v>
      </c>
      <c r="I99" s="470">
        <f t="shared" si="5"/>
        <v>0.00256157214601112</v>
      </c>
      <c r="J99" s="471">
        <f t="shared" si="6"/>
        <v>0.858652739233028</v>
      </c>
      <c r="K99" s="463" t="str">
        <f t="shared" si="7"/>
        <v>C</v>
      </c>
    </row>
    <row r="100" ht="15.75" customHeight="1" spans="1:11">
      <c r="A100" s="462" t="s">
        <v>1388</v>
      </c>
      <c r="B100" s="462" t="s">
        <v>65</v>
      </c>
      <c r="C100" s="462" t="s">
        <v>1389</v>
      </c>
      <c r="D100" s="462"/>
      <c r="E100" s="462" t="s">
        <v>67</v>
      </c>
      <c r="F100" s="463">
        <v>26</v>
      </c>
      <c r="G100" s="463">
        <v>735.78</v>
      </c>
      <c r="H100" s="462">
        <v>19130.28</v>
      </c>
      <c r="I100" s="470">
        <f t="shared" si="5"/>
        <v>0.00254915170936149</v>
      </c>
      <c r="J100" s="471">
        <f t="shared" si="6"/>
        <v>0.86120189094239</v>
      </c>
      <c r="K100" s="463" t="str">
        <f t="shared" si="7"/>
        <v>C</v>
      </c>
    </row>
    <row r="101" ht="15.75" customHeight="1" spans="1:11">
      <c r="A101" s="462" t="s">
        <v>843</v>
      </c>
      <c r="B101" s="462" t="s">
        <v>512</v>
      </c>
      <c r="C101" s="462" t="s">
        <v>844</v>
      </c>
      <c r="D101" s="462" t="s">
        <v>1648</v>
      </c>
      <c r="E101" s="462" t="s">
        <v>535</v>
      </c>
      <c r="F101" s="463">
        <v>750</v>
      </c>
      <c r="G101" s="463">
        <v>25.41</v>
      </c>
      <c r="H101" s="462">
        <v>19057.5</v>
      </c>
      <c r="I101" s="470">
        <f t="shared" si="5"/>
        <v>0.00253945361495789</v>
      </c>
      <c r="J101" s="471">
        <f t="shared" si="6"/>
        <v>0.863741344557347</v>
      </c>
      <c r="K101" s="463" t="str">
        <f t="shared" si="7"/>
        <v>C</v>
      </c>
    </row>
    <row r="102" ht="15.75" customHeight="1" spans="1:11">
      <c r="A102" s="462">
        <v>89714</v>
      </c>
      <c r="B102" s="462" t="s">
        <v>71</v>
      </c>
      <c r="C102" s="462" t="s">
        <v>547</v>
      </c>
      <c r="D102" s="462" t="s">
        <v>1649</v>
      </c>
      <c r="E102" s="462" t="s">
        <v>78</v>
      </c>
      <c r="F102" s="463">
        <v>329</v>
      </c>
      <c r="G102" s="463">
        <v>57.33</v>
      </c>
      <c r="H102" s="462">
        <v>18861.57</v>
      </c>
      <c r="I102" s="470">
        <f t="shared" si="5"/>
        <v>0.00251334551332973</v>
      </c>
      <c r="J102" s="471">
        <f t="shared" si="6"/>
        <v>0.866254690070677</v>
      </c>
      <c r="K102" s="463" t="str">
        <f t="shared" si="7"/>
        <v>C</v>
      </c>
    </row>
    <row r="103" ht="15.75" customHeight="1" spans="1:11">
      <c r="A103" s="462">
        <v>89849</v>
      </c>
      <c r="B103" s="462" t="s">
        <v>71</v>
      </c>
      <c r="C103" s="462" t="s">
        <v>708</v>
      </c>
      <c r="D103" s="462" t="s">
        <v>1649</v>
      </c>
      <c r="E103" s="462" t="s">
        <v>78</v>
      </c>
      <c r="F103" s="463">
        <v>225</v>
      </c>
      <c r="G103" s="463">
        <v>80.79</v>
      </c>
      <c r="H103" s="462">
        <v>18177.75</v>
      </c>
      <c r="I103" s="470">
        <f t="shared" si="5"/>
        <v>0.00242222500061922</v>
      </c>
      <c r="J103" s="471">
        <f t="shared" si="6"/>
        <v>0.868676915071296</v>
      </c>
      <c r="K103" s="463" t="str">
        <f t="shared" si="7"/>
        <v>C</v>
      </c>
    </row>
    <row r="104" ht="15.75" customHeight="1" spans="1:11">
      <c r="A104" s="462" t="s">
        <v>123</v>
      </c>
      <c r="B104" s="462" t="s">
        <v>76</v>
      </c>
      <c r="C104" s="462" t="s">
        <v>124</v>
      </c>
      <c r="D104" s="462">
        <v>4</v>
      </c>
      <c r="E104" s="462" t="s">
        <v>105</v>
      </c>
      <c r="F104" s="463">
        <v>40</v>
      </c>
      <c r="G104" s="463">
        <v>452.71</v>
      </c>
      <c r="H104" s="462">
        <v>18108.4</v>
      </c>
      <c r="I104" s="470">
        <f t="shared" si="5"/>
        <v>0.00241298396122805</v>
      </c>
      <c r="J104" s="471">
        <f t="shared" si="6"/>
        <v>0.871089899032524</v>
      </c>
      <c r="K104" s="463" t="str">
        <f t="shared" si="7"/>
        <v>C</v>
      </c>
    </row>
    <row r="105" ht="15.75" customHeight="1" spans="1:11">
      <c r="A105" s="462">
        <v>92998</v>
      </c>
      <c r="B105" s="462" t="s">
        <v>71</v>
      </c>
      <c r="C105" s="462" t="s">
        <v>788</v>
      </c>
      <c r="D105" s="462" t="s">
        <v>1638</v>
      </c>
      <c r="E105" s="462" t="s">
        <v>78</v>
      </c>
      <c r="F105" s="463">
        <v>70</v>
      </c>
      <c r="G105" s="463">
        <v>255.88</v>
      </c>
      <c r="H105" s="462">
        <v>17911.6</v>
      </c>
      <c r="I105" s="470">
        <f t="shared" si="5"/>
        <v>0.0023867599301944</v>
      </c>
      <c r="J105" s="471">
        <f t="shared" si="6"/>
        <v>0.873476658962719</v>
      </c>
      <c r="K105" s="463" t="str">
        <f t="shared" si="7"/>
        <v>C</v>
      </c>
    </row>
    <row r="106" ht="15.75" customHeight="1" spans="1:11">
      <c r="A106" s="462" t="s">
        <v>1446</v>
      </c>
      <c r="B106" s="462" t="s">
        <v>65</v>
      </c>
      <c r="C106" s="462" t="s">
        <v>1447</v>
      </c>
      <c r="D106" s="462" t="s">
        <v>1650</v>
      </c>
      <c r="E106" s="462" t="s">
        <v>67</v>
      </c>
      <c r="F106" s="463">
        <v>1</v>
      </c>
      <c r="G106" s="462">
        <v>17558.36</v>
      </c>
      <c r="H106" s="462">
        <v>17558.36</v>
      </c>
      <c r="I106" s="470">
        <f t="shared" si="5"/>
        <v>0.00233968992652405</v>
      </c>
      <c r="J106" s="471">
        <f t="shared" si="6"/>
        <v>0.875816348889243</v>
      </c>
      <c r="K106" s="463" t="str">
        <f t="shared" si="7"/>
        <v>C</v>
      </c>
    </row>
    <row r="107" ht="15.75" customHeight="1" spans="1:11">
      <c r="A107" s="462">
        <v>104611</v>
      </c>
      <c r="B107" s="462" t="s">
        <v>71</v>
      </c>
      <c r="C107" s="462" t="s">
        <v>1280</v>
      </c>
      <c r="D107" s="462" t="s">
        <v>1651</v>
      </c>
      <c r="E107" s="462" t="s">
        <v>73</v>
      </c>
      <c r="F107" s="463">
        <v>135.32</v>
      </c>
      <c r="G107" s="463">
        <v>126.2</v>
      </c>
      <c r="H107" s="462">
        <v>17077.38</v>
      </c>
      <c r="I107" s="470">
        <f t="shared" si="5"/>
        <v>0.00227559828807607</v>
      </c>
      <c r="J107" s="471">
        <f t="shared" si="6"/>
        <v>0.878091947177319</v>
      </c>
      <c r="K107" s="463" t="str">
        <f t="shared" si="7"/>
        <v>C</v>
      </c>
    </row>
    <row r="108" ht="15.75" customHeight="1" spans="1:11">
      <c r="A108" s="462">
        <v>97249</v>
      </c>
      <c r="B108" s="462" t="s">
        <v>71</v>
      </c>
      <c r="C108" s="462" t="s">
        <v>888</v>
      </c>
      <c r="D108" s="462" t="s">
        <v>1652</v>
      </c>
      <c r="E108" s="462" t="s">
        <v>105</v>
      </c>
      <c r="F108" s="463">
        <v>166</v>
      </c>
      <c r="G108" s="463">
        <v>102.64</v>
      </c>
      <c r="H108" s="462">
        <v>17038.24</v>
      </c>
      <c r="I108" s="470">
        <f t="shared" si="5"/>
        <v>0.00227038279735118</v>
      </c>
      <c r="J108" s="471">
        <f t="shared" si="6"/>
        <v>0.88036232997467</v>
      </c>
      <c r="K108" s="463" t="str">
        <f t="shared" si="7"/>
        <v>C</v>
      </c>
    </row>
    <row r="109" ht="15.75" customHeight="1" spans="1:11">
      <c r="A109" s="462">
        <v>92768</v>
      </c>
      <c r="B109" s="462" t="s">
        <v>71</v>
      </c>
      <c r="C109" s="462" t="s">
        <v>253</v>
      </c>
      <c r="D109" s="462" t="s">
        <v>1632</v>
      </c>
      <c r="E109" s="462" t="s">
        <v>158</v>
      </c>
      <c r="F109" s="463">
        <v>882.6</v>
      </c>
      <c r="G109" s="463">
        <v>19.16</v>
      </c>
      <c r="H109" s="462">
        <v>16910.61</v>
      </c>
      <c r="I109" s="470">
        <f t="shared" si="5"/>
        <v>0.00225337582031447</v>
      </c>
      <c r="J109" s="471">
        <f t="shared" si="6"/>
        <v>0.882615705794984</v>
      </c>
      <c r="K109" s="463" t="str">
        <f t="shared" si="7"/>
        <v>C</v>
      </c>
    </row>
    <row r="110" ht="15.75" customHeight="1" spans="1:11">
      <c r="A110" s="462" t="s">
        <v>1343</v>
      </c>
      <c r="B110" s="462" t="s">
        <v>65</v>
      </c>
      <c r="C110" s="462" t="s">
        <v>1344</v>
      </c>
      <c r="D110" s="462"/>
      <c r="E110" s="462" t="s">
        <v>67</v>
      </c>
      <c r="F110" s="463">
        <v>30.43</v>
      </c>
      <c r="G110" s="463">
        <v>547.18</v>
      </c>
      <c r="H110" s="462">
        <v>16650.68</v>
      </c>
      <c r="I110" s="470">
        <f t="shared" si="5"/>
        <v>0.00221873957851277</v>
      </c>
      <c r="J110" s="471">
        <f t="shared" si="6"/>
        <v>0.884834445373497</v>
      </c>
      <c r="K110" s="463" t="str">
        <f t="shared" si="7"/>
        <v>C</v>
      </c>
    </row>
    <row r="111" ht="15.75" customHeight="1" spans="1:26">
      <c r="A111" s="462" t="s">
        <v>383</v>
      </c>
      <c r="B111" s="462" t="s">
        <v>65</v>
      </c>
      <c r="C111" s="462" t="s">
        <v>384</v>
      </c>
      <c r="D111" s="462"/>
      <c r="E111" s="462" t="s">
        <v>67</v>
      </c>
      <c r="F111" s="463">
        <v>17.37</v>
      </c>
      <c r="G111" s="463">
        <v>926.69</v>
      </c>
      <c r="H111" s="462">
        <v>16096.6</v>
      </c>
      <c r="I111" s="470">
        <f t="shared" si="5"/>
        <v>0.00214490720496032</v>
      </c>
      <c r="J111" s="471">
        <f t="shared" si="6"/>
        <v>0.886979352578458</v>
      </c>
      <c r="K111" s="463" t="str">
        <f t="shared" si="7"/>
        <v>C</v>
      </c>
      <c r="L111" s="472"/>
      <c r="M111" s="472"/>
      <c r="N111" s="472"/>
      <c r="O111" s="472"/>
      <c r="P111" s="472"/>
      <c r="Q111" s="472"/>
      <c r="R111" s="472"/>
      <c r="S111" s="472"/>
      <c r="T111" s="472"/>
      <c r="U111" s="472"/>
      <c r="V111" s="472"/>
      <c r="W111" s="472"/>
      <c r="X111" s="472"/>
      <c r="Y111" s="472"/>
      <c r="Z111" s="472"/>
    </row>
    <row r="112" ht="15.75" customHeight="1" spans="1:11">
      <c r="A112" s="462" t="s">
        <v>380</v>
      </c>
      <c r="B112" s="462" t="s">
        <v>76</v>
      </c>
      <c r="C112" s="462" t="s">
        <v>381</v>
      </c>
      <c r="D112" s="462">
        <v>14</v>
      </c>
      <c r="E112" s="462" t="s">
        <v>73</v>
      </c>
      <c r="F112" s="463">
        <v>9.45</v>
      </c>
      <c r="G112" s="462">
        <v>1696.47</v>
      </c>
      <c r="H112" s="462">
        <v>16031.64</v>
      </c>
      <c r="I112" s="470">
        <f t="shared" si="5"/>
        <v>0.00213625114268417</v>
      </c>
      <c r="J112" s="471">
        <f t="shared" si="6"/>
        <v>0.889115603721142</v>
      </c>
      <c r="K112" s="463" t="str">
        <f t="shared" si="7"/>
        <v>C</v>
      </c>
    </row>
    <row r="113" ht="15.75" customHeight="1" spans="1:11">
      <c r="A113" s="462" t="s">
        <v>1334</v>
      </c>
      <c r="B113" s="462" t="s">
        <v>512</v>
      </c>
      <c r="C113" s="462" t="s">
        <v>1335</v>
      </c>
      <c r="D113" s="462" t="s">
        <v>1653</v>
      </c>
      <c r="E113" s="462" t="s">
        <v>73</v>
      </c>
      <c r="F113" s="463">
        <v>117.51</v>
      </c>
      <c r="G113" s="463">
        <v>135.79</v>
      </c>
      <c r="H113" s="462">
        <v>15956.68</v>
      </c>
      <c r="I113" s="470">
        <f t="shared" si="5"/>
        <v>0.00212626255850591</v>
      </c>
      <c r="J113" s="471">
        <f t="shared" si="6"/>
        <v>0.891241866279648</v>
      </c>
      <c r="K113" s="463" t="str">
        <f t="shared" si="7"/>
        <v>C</v>
      </c>
    </row>
    <row r="114" ht="15.75" customHeight="1" spans="1:11">
      <c r="A114" s="462" t="s">
        <v>339</v>
      </c>
      <c r="B114" s="462" t="s">
        <v>65</v>
      </c>
      <c r="C114" s="462" t="s">
        <v>340</v>
      </c>
      <c r="D114" s="462"/>
      <c r="E114" s="462" t="s">
        <v>67</v>
      </c>
      <c r="F114" s="463">
        <v>65.89</v>
      </c>
      <c r="G114" s="463">
        <v>218.21</v>
      </c>
      <c r="H114" s="462">
        <v>14377.85</v>
      </c>
      <c r="I114" s="470">
        <f t="shared" si="5"/>
        <v>0.0019158800030341</v>
      </c>
      <c r="J114" s="471">
        <f t="shared" si="6"/>
        <v>0.893157746282682</v>
      </c>
      <c r="K114" s="463" t="str">
        <f t="shared" si="7"/>
        <v>C</v>
      </c>
    </row>
    <row r="115" ht="15.75" customHeight="1" spans="1:11">
      <c r="A115" s="462">
        <v>101963</v>
      </c>
      <c r="B115" s="462" t="s">
        <v>71</v>
      </c>
      <c r="C115" s="462" t="s">
        <v>271</v>
      </c>
      <c r="D115" s="462" t="s">
        <v>1654</v>
      </c>
      <c r="E115" s="462" t="s">
        <v>73</v>
      </c>
      <c r="F115" s="463">
        <v>53.41</v>
      </c>
      <c r="G115" s="463">
        <v>266.31</v>
      </c>
      <c r="H115" s="462">
        <v>14223.61</v>
      </c>
      <c r="I115" s="470">
        <f t="shared" si="5"/>
        <v>0.00189532718521586</v>
      </c>
      <c r="J115" s="471">
        <f t="shared" si="6"/>
        <v>0.895053073467898</v>
      </c>
      <c r="K115" s="463" t="str">
        <f t="shared" si="7"/>
        <v>C</v>
      </c>
    </row>
    <row r="116" ht="15.75" customHeight="1" spans="1:11">
      <c r="A116" s="462">
        <v>100903</v>
      </c>
      <c r="B116" s="462" t="s">
        <v>71</v>
      </c>
      <c r="C116" s="462" t="s">
        <v>913</v>
      </c>
      <c r="D116" s="462" t="s">
        <v>1655</v>
      </c>
      <c r="E116" s="462" t="s">
        <v>105</v>
      </c>
      <c r="F116" s="463">
        <v>365</v>
      </c>
      <c r="G116" s="463">
        <v>38.84</v>
      </c>
      <c r="H116" s="462">
        <v>14176.6</v>
      </c>
      <c r="I116" s="470">
        <f t="shared" si="5"/>
        <v>0.00188906299975401</v>
      </c>
      <c r="J116" s="471">
        <f t="shared" si="6"/>
        <v>0.896942136467652</v>
      </c>
      <c r="K116" s="463" t="str">
        <f t="shared" si="7"/>
        <v>C</v>
      </c>
    </row>
    <row r="117" ht="15.75" customHeight="1" spans="1:26">
      <c r="A117" s="462">
        <v>92765</v>
      </c>
      <c r="B117" s="462" t="s">
        <v>71</v>
      </c>
      <c r="C117" s="462" t="s">
        <v>245</v>
      </c>
      <c r="D117" s="462" t="s">
        <v>1632</v>
      </c>
      <c r="E117" s="462" t="s">
        <v>158</v>
      </c>
      <c r="F117" s="462">
        <v>1035</v>
      </c>
      <c r="G117" s="463">
        <v>13.56</v>
      </c>
      <c r="H117" s="462">
        <v>14034.6</v>
      </c>
      <c r="I117" s="470">
        <f t="shared" si="5"/>
        <v>0.00187014118874396</v>
      </c>
      <c r="J117" s="471">
        <f t="shared" si="6"/>
        <v>0.898812277656396</v>
      </c>
      <c r="K117" s="463" t="str">
        <f t="shared" si="7"/>
        <v>C</v>
      </c>
      <c r="L117" s="313"/>
      <c r="M117" s="313"/>
      <c r="N117" s="313"/>
      <c r="O117" s="313"/>
      <c r="P117" s="313"/>
      <c r="Q117" s="313"/>
      <c r="R117" s="313"/>
      <c r="S117" s="313"/>
      <c r="T117" s="313"/>
      <c r="U117" s="313"/>
      <c r="V117" s="313"/>
      <c r="W117" s="313"/>
      <c r="X117" s="313"/>
      <c r="Y117" s="313"/>
      <c r="Z117" s="313"/>
    </row>
    <row r="118" ht="15.75" customHeight="1" spans="1:11">
      <c r="A118" s="462">
        <v>92769</v>
      </c>
      <c r="B118" s="462" t="s">
        <v>71</v>
      </c>
      <c r="C118" s="462" t="s">
        <v>256</v>
      </c>
      <c r="D118" s="462" t="s">
        <v>1632</v>
      </c>
      <c r="E118" s="462" t="s">
        <v>158</v>
      </c>
      <c r="F118" s="463">
        <v>794.1</v>
      </c>
      <c r="G118" s="463">
        <v>17.58</v>
      </c>
      <c r="H118" s="462">
        <v>13960.27</v>
      </c>
      <c r="I118" s="470">
        <f t="shared" si="5"/>
        <v>0.00186023655344553</v>
      </c>
      <c r="J118" s="471">
        <f t="shared" si="6"/>
        <v>0.900672514209841</v>
      </c>
      <c r="K118" s="463" t="str">
        <f t="shared" si="7"/>
        <v>C</v>
      </c>
    </row>
    <row r="119" ht="15.75" customHeight="1" spans="1:11">
      <c r="A119" s="462">
        <v>93590</v>
      </c>
      <c r="B119" s="462" t="s">
        <v>71</v>
      </c>
      <c r="C119" s="462" t="s">
        <v>138</v>
      </c>
      <c r="D119" s="462" t="s">
        <v>1656</v>
      </c>
      <c r="E119" s="462" t="s">
        <v>139</v>
      </c>
      <c r="F119" s="462">
        <v>10041.72</v>
      </c>
      <c r="G119" s="463">
        <v>1.34</v>
      </c>
      <c r="H119" s="462">
        <v>13455.9</v>
      </c>
      <c r="I119" s="470">
        <f t="shared" si="5"/>
        <v>0.0017930281462685</v>
      </c>
      <c r="J119" s="471">
        <f t="shared" si="6"/>
        <v>0.90246554235611</v>
      </c>
      <c r="K119" s="463" t="str">
        <f t="shared" si="7"/>
        <v>C</v>
      </c>
    </row>
    <row r="120" ht="15.75" customHeight="1" spans="1:11">
      <c r="A120" s="462">
        <v>88497</v>
      </c>
      <c r="B120" s="462" t="s">
        <v>71</v>
      </c>
      <c r="C120" s="462" t="s">
        <v>1260</v>
      </c>
      <c r="D120" s="462" t="s">
        <v>1657</v>
      </c>
      <c r="E120" s="462" t="s">
        <v>73</v>
      </c>
      <c r="F120" s="463">
        <v>483.12</v>
      </c>
      <c r="G120" s="463">
        <v>27.58</v>
      </c>
      <c r="H120" s="462">
        <v>13324.44</v>
      </c>
      <c r="I120" s="470">
        <f t="shared" si="5"/>
        <v>0.00177551081334328</v>
      </c>
      <c r="J120" s="471">
        <f t="shared" si="6"/>
        <v>0.904241053169453</v>
      </c>
      <c r="K120" s="463" t="str">
        <f t="shared" si="7"/>
        <v>C</v>
      </c>
    </row>
    <row r="121" ht="15.75" customHeight="1" spans="1:11">
      <c r="A121" s="462">
        <v>98302</v>
      </c>
      <c r="B121" s="462" t="s">
        <v>71</v>
      </c>
      <c r="C121" s="462" t="s">
        <v>1043</v>
      </c>
      <c r="D121" s="462" t="s">
        <v>1630</v>
      </c>
      <c r="E121" s="462" t="s">
        <v>105</v>
      </c>
      <c r="F121" s="463">
        <v>8</v>
      </c>
      <c r="G121" s="462">
        <v>1659.12</v>
      </c>
      <c r="H121" s="462">
        <v>13272.96</v>
      </c>
      <c r="I121" s="470">
        <f t="shared" si="5"/>
        <v>0.00176865099059119</v>
      </c>
      <c r="J121" s="471">
        <f t="shared" si="6"/>
        <v>0.906009704160044</v>
      </c>
      <c r="K121" s="463" t="str">
        <f t="shared" si="7"/>
        <v>C</v>
      </c>
    </row>
    <row r="122" ht="15.75" customHeight="1" spans="1:11">
      <c r="A122" s="462" t="s">
        <v>875</v>
      </c>
      <c r="B122" s="462" t="s">
        <v>76</v>
      </c>
      <c r="C122" s="462" t="s">
        <v>876</v>
      </c>
      <c r="D122" s="462">
        <v>15</v>
      </c>
      <c r="E122" s="462" t="s">
        <v>78</v>
      </c>
      <c r="F122" s="463">
        <v>120</v>
      </c>
      <c r="G122" s="463">
        <v>107.29</v>
      </c>
      <c r="H122" s="462">
        <v>12874.8</v>
      </c>
      <c r="I122" s="470">
        <f t="shared" si="5"/>
        <v>0.00171559529853653</v>
      </c>
      <c r="J122" s="471">
        <f t="shared" si="6"/>
        <v>0.907725299458581</v>
      </c>
      <c r="K122" s="463" t="str">
        <f t="shared" si="7"/>
        <v>C</v>
      </c>
    </row>
    <row r="123" ht="15.75" customHeight="1" spans="1:11">
      <c r="A123" s="462">
        <v>95801</v>
      </c>
      <c r="B123" s="462" t="s">
        <v>71</v>
      </c>
      <c r="C123" s="462" t="s">
        <v>943</v>
      </c>
      <c r="D123" s="462" t="s">
        <v>1658</v>
      </c>
      <c r="E123" s="462" t="s">
        <v>105</v>
      </c>
      <c r="F123" s="463">
        <v>221</v>
      </c>
      <c r="G123" s="463">
        <v>56.09</v>
      </c>
      <c r="H123" s="462">
        <v>12395.89</v>
      </c>
      <c r="I123" s="470">
        <f t="shared" si="5"/>
        <v>0.00165177949212228</v>
      </c>
      <c r="J123" s="471">
        <f t="shared" si="6"/>
        <v>0.909377078950703</v>
      </c>
      <c r="K123" s="463" t="str">
        <f t="shared" si="7"/>
        <v>C</v>
      </c>
    </row>
    <row r="124" ht="15.75" customHeight="1" spans="1:11">
      <c r="A124" s="462" t="s">
        <v>1385</v>
      </c>
      <c r="B124" s="462" t="s">
        <v>76</v>
      </c>
      <c r="C124" s="462" t="s">
        <v>1386</v>
      </c>
      <c r="D124" s="462">
        <v>9</v>
      </c>
      <c r="E124" s="462" t="s">
        <v>78</v>
      </c>
      <c r="F124" s="463">
        <v>36.7</v>
      </c>
      <c r="G124" s="463">
        <v>332.63</v>
      </c>
      <c r="H124" s="462">
        <v>12207.52</v>
      </c>
      <c r="I124" s="470">
        <f t="shared" si="5"/>
        <v>0.00162667877705212</v>
      </c>
      <c r="J124" s="471">
        <f t="shared" si="6"/>
        <v>0.911003757727755</v>
      </c>
      <c r="K124" s="463" t="str">
        <f t="shared" si="7"/>
        <v>C</v>
      </c>
    </row>
    <row r="125" ht="15.75" customHeight="1" spans="1:11">
      <c r="A125" s="462">
        <v>96528</v>
      </c>
      <c r="B125" s="462" t="s">
        <v>71</v>
      </c>
      <c r="C125" s="462" t="s">
        <v>154</v>
      </c>
      <c r="D125" s="462" t="s">
        <v>1634</v>
      </c>
      <c r="E125" s="462" t="s">
        <v>73</v>
      </c>
      <c r="F125" s="463">
        <v>53.11</v>
      </c>
      <c r="G125" s="463">
        <v>229.76</v>
      </c>
      <c r="H125" s="462">
        <v>12202.55</v>
      </c>
      <c r="I125" s="470">
        <f t="shared" si="5"/>
        <v>0.00162601651366677</v>
      </c>
      <c r="J125" s="471">
        <f t="shared" si="6"/>
        <v>0.912629774241422</v>
      </c>
      <c r="K125" s="463" t="str">
        <f t="shared" si="7"/>
        <v>C</v>
      </c>
    </row>
    <row r="126" ht="15.75" customHeight="1" spans="1:11">
      <c r="A126" s="462" t="s">
        <v>790</v>
      </c>
      <c r="B126" s="462" t="s">
        <v>65</v>
      </c>
      <c r="C126" s="462" t="s">
        <v>791</v>
      </c>
      <c r="D126" s="462"/>
      <c r="E126" s="462" t="s">
        <v>67</v>
      </c>
      <c r="F126" s="463">
        <v>130</v>
      </c>
      <c r="G126" s="463">
        <v>92.14</v>
      </c>
      <c r="H126" s="462">
        <v>11978.2</v>
      </c>
      <c r="I126" s="470">
        <f t="shared" si="5"/>
        <v>0.00159612138479279</v>
      </c>
      <c r="J126" s="471">
        <f t="shared" si="6"/>
        <v>0.914225895626215</v>
      </c>
      <c r="K126" s="463" t="str">
        <f t="shared" si="7"/>
        <v>C</v>
      </c>
    </row>
    <row r="127" ht="15.75" customHeight="1" spans="1:11">
      <c r="A127" s="462" t="s">
        <v>1199</v>
      </c>
      <c r="B127" s="462" t="s">
        <v>65</v>
      </c>
      <c r="C127" s="462" t="s">
        <v>1200</v>
      </c>
      <c r="D127" s="462"/>
      <c r="E127" s="462" t="s">
        <v>67</v>
      </c>
      <c r="F127" s="463">
        <v>88</v>
      </c>
      <c r="G127" s="463">
        <v>134.32</v>
      </c>
      <c r="H127" s="462">
        <v>11820.16</v>
      </c>
      <c r="I127" s="470">
        <f t="shared" si="5"/>
        <v>0.00157506220865175</v>
      </c>
      <c r="J127" s="471">
        <f t="shared" si="6"/>
        <v>0.915800957834866</v>
      </c>
      <c r="K127" s="463" t="str">
        <f t="shared" si="7"/>
        <v>C</v>
      </c>
    </row>
    <row r="128" ht="15.75" customHeight="1" spans="1:11">
      <c r="A128" s="462">
        <v>91929</v>
      </c>
      <c r="B128" s="462" t="s">
        <v>71</v>
      </c>
      <c r="C128" s="462" t="s">
        <v>770</v>
      </c>
      <c r="D128" s="462" t="s">
        <v>1636</v>
      </c>
      <c r="E128" s="462" t="s">
        <v>78</v>
      </c>
      <c r="F128" s="462">
        <v>1100</v>
      </c>
      <c r="G128" s="463">
        <v>10.09</v>
      </c>
      <c r="H128" s="462">
        <v>11099</v>
      </c>
      <c r="I128" s="470">
        <f t="shared" si="5"/>
        <v>0.00147896605915874</v>
      </c>
      <c r="J128" s="471">
        <f t="shared" si="6"/>
        <v>0.917279923894025</v>
      </c>
      <c r="K128" s="463" t="str">
        <f t="shared" si="7"/>
        <v>C</v>
      </c>
    </row>
    <row r="129" ht="15.75" customHeight="1" spans="1:11">
      <c r="A129" s="462">
        <v>89357</v>
      </c>
      <c r="B129" s="462" t="s">
        <v>71</v>
      </c>
      <c r="C129" s="462" t="s">
        <v>420</v>
      </c>
      <c r="D129" s="462" t="s">
        <v>1659</v>
      </c>
      <c r="E129" s="462" t="s">
        <v>78</v>
      </c>
      <c r="F129" s="463">
        <v>218</v>
      </c>
      <c r="G129" s="463">
        <v>49.22</v>
      </c>
      <c r="H129" s="462">
        <v>10729.96</v>
      </c>
      <c r="I129" s="470">
        <f t="shared" si="5"/>
        <v>0.00142979067088304</v>
      </c>
      <c r="J129" s="471">
        <f t="shared" si="6"/>
        <v>0.918709714564908</v>
      </c>
      <c r="K129" s="463" t="str">
        <f t="shared" si="7"/>
        <v>C</v>
      </c>
    </row>
    <row r="130" ht="15.75" customHeight="1" spans="1:11">
      <c r="A130" s="462">
        <v>59252</v>
      </c>
      <c r="B130" s="462" t="s">
        <v>99</v>
      </c>
      <c r="C130" s="462" t="s">
        <v>1055</v>
      </c>
      <c r="D130" s="462" t="s">
        <v>1644</v>
      </c>
      <c r="E130" s="462" t="s">
        <v>105</v>
      </c>
      <c r="F130" s="463">
        <v>5</v>
      </c>
      <c r="G130" s="462">
        <v>2135.08</v>
      </c>
      <c r="H130" s="462">
        <v>10675.4</v>
      </c>
      <c r="I130" s="470">
        <f t="shared" si="5"/>
        <v>0.0014225204313851</v>
      </c>
      <c r="J130" s="471">
        <f t="shared" si="6"/>
        <v>0.920132234996293</v>
      </c>
      <c r="K130" s="463" t="str">
        <f t="shared" si="7"/>
        <v>C</v>
      </c>
    </row>
    <row r="131" ht="15.75" customHeight="1" spans="1:11">
      <c r="A131" s="462">
        <v>110236</v>
      </c>
      <c r="B131" s="462" t="s">
        <v>99</v>
      </c>
      <c r="C131" s="462" t="s">
        <v>393</v>
      </c>
      <c r="D131" s="462" t="s">
        <v>1660</v>
      </c>
      <c r="E131" s="462" t="s">
        <v>105</v>
      </c>
      <c r="F131" s="463">
        <v>6</v>
      </c>
      <c r="G131" s="462">
        <v>1744.77</v>
      </c>
      <c r="H131" s="462">
        <v>10468.62</v>
      </c>
      <c r="I131" s="470">
        <f t="shared" si="5"/>
        <v>0.00139496654349314</v>
      </c>
      <c r="J131" s="471">
        <f t="shared" si="6"/>
        <v>0.921527201539786</v>
      </c>
      <c r="K131" s="463" t="str">
        <f t="shared" si="7"/>
        <v>C</v>
      </c>
    </row>
    <row r="132" ht="15.75" customHeight="1" spans="1:11">
      <c r="A132" s="462">
        <v>97334</v>
      </c>
      <c r="B132" s="462" t="s">
        <v>71</v>
      </c>
      <c r="C132" s="462" t="s">
        <v>1194</v>
      </c>
      <c r="D132" s="462" t="s">
        <v>1661</v>
      </c>
      <c r="E132" s="462" t="s">
        <v>78</v>
      </c>
      <c r="F132" s="463">
        <v>110</v>
      </c>
      <c r="G132" s="463">
        <v>92.74</v>
      </c>
      <c r="H132" s="462">
        <v>10201.4</v>
      </c>
      <c r="I132" s="470">
        <f t="shared" si="5"/>
        <v>0.00135935889322479</v>
      </c>
      <c r="J132" s="471">
        <f t="shared" si="6"/>
        <v>0.922886560433011</v>
      </c>
      <c r="K132" s="463" t="str">
        <f t="shared" si="7"/>
        <v>C</v>
      </c>
    </row>
    <row r="133" ht="15.75" customHeight="1" spans="1:11">
      <c r="A133" s="462" t="s">
        <v>686</v>
      </c>
      <c r="B133" s="462" t="s">
        <v>65</v>
      </c>
      <c r="C133" s="462" t="s">
        <v>687</v>
      </c>
      <c r="D133" s="462"/>
      <c r="E133" s="462" t="s">
        <v>67</v>
      </c>
      <c r="F133" s="463">
        <v>13.1</v>
      </c>
      <c r="G133" s="463">
        <v>753.7</v>
      </c>
      <c r="H133" s="462">
        <v>9873.47</v>
      </c>
      <c r="I133" s="470">
        <f t="shared" si="5"/>
        <v>0.0013156615024887</v>
      </c>
      <c r="J133" s="471">
        <f t="shared" si="6"/>
        <v>0.9242022219355</v>
      </c>
      <c r="K133" s="463" t="str">
        <f t="shared" si="7"/>
        <v>C</v>
      </c>
    </row>
    <row r="134" ht="15.75" customHeight="1" spans="1:11">
      <c r="A134" s="462" t="s">
        <v>533</v>
      </c>
      <c r="B134" s="462" t="s">
        <v>512</v>
      </c>
      <c r="C134" s="462" t="s">
        <v>534</v>
      </c>
      <c r="D134" s="462" t="s">
        <v>1662</v>
      </c>
      <c r="E134" s="462" t="s">
        <v>535</v>
      </c>
      <c r="F134" s="463">
        <v>117.26</v>
      </c>
      <c r="G134" s="463">
        <v>81.88</v>
      </c>
      <c r="H134" s="462">
        <v>9601.24</v>
      </c>
      <c r="I134" s="470">
        <f t="shared" si="5"/>
        <v>0.00127938625874739</v>
      </c>
      <c r="J134" s="471">
        <f t="shared" si="6"/>
        <v>0.925481608194247</v>
      </c>
      <c r="K134" s="463" t="str">
        <f t="shared" si="7"/>
        <v>C</v>
      </c>
    </row>
    <row r="135" ht="15.75" customHeight="1" spans="1:11">
      <c r="A135" s="462">
        <v>92990</v>
      </c>
      <c r="B135" s="462" t="s">
        <v>71</v>
      </c>
      <c r="C135" s="462" t="s">
        <v>797</v>
      </c>
      <c r="D135" s="462" t="s">
        <v>1638</v>
      </c>
      <c r="E135" s="462" t="s">
        <v>78</v>
      </c>
      <c r="F135" s="463">
        <v>90</v>
      </c>
      <c r="G135" s="463">
        <v>103.06</v>
      </c>
      <c r="H135" s="462">
        <v>9275.4</v>
      </c>
      <c r="I135" s="470">
        <f t="shared" si="5"/>
        <v>0.00123596736508883</v>
      </c>
      <c r="J135" s="471">
        <f t="shared" si="6"/>
        <v>0.926717575559336</v>
      </c>
      <c r="K135" s="463" t="str">
        <f t="shared" si="7"/>
        <v>C</v>
      </c>
    </row>
    <row r="136" ht="15.75" customHeight="1" spans="1:11">
      <c r="A136" s="462">
        <v>88489</v>
      </c>
      <c r="B136" s="462" t="s">
        <v>71</v>
      </c>
      <c r="C136" s="462" t="s">
        <v>1263</v>
      </c>
      <c r="D136" s="462" t="s">
        <v>1657</v>
      </c>
      <c r="E136" s="462" t="s">
        <v>73</v>
      </c>
      <c r="F136" s="463">
        <v>483.12</v>
      </c>
      <c r="G136" s="463">
        <v>18.93</v>
      </c>
      <c r="H136" s="462">
        <v>9145.46</v>
      </c>
      <c r="I136" s="470">
        <f t="shared" si="5"/>
        <v>0.00121865257549274</v>
      </c>
      <c r="J136" s="471">
        <f t="shared" si="6"/>
        <v>0.927936228134829</v>
      </c>
      <c r="K136" s="463" t="str">
        <f t="shared" si="7"/>
        <v>C</v>
      </c>
    </row>
    <row r="137" ht="15.75" customHeight="1" spans="1:11">
      <c r="A137" s="462">
        <v>98554</v>
      </c>
      <c r="B137" s="462" t="s">
        <v>71</v>
      </c>
      <c r="C137" s="462" t="s">
        <v>1290</v>
      </c>
      <c r="D137" s="462" t="s">
        <v>1622</v>
      </c>
      <c r="E137" s="462" t="s">
        <v>73</v>
      </c>
      <c r="F137" s="463">
        <v>125.95</v>
      </c>
      <c r="G137" s="463">
        <v>71.19</v>
      </c>
      <c r="H137" s="462">
        <v>8966.38</v>
      </c>
      <c r="I137" s="470">
        <f t="shared" si="5"/>
        <v>0.00119478977326964</v>
      </c>
      <c r="J137" s="471">
        <f t="shared" si="6"/>
        <v>0.929131017908098</v>
      </c>
      <c r="K137" s="463" t="str">
        <f t="shared" si="7"/>
        <v>C</v>
      </c>
    </row>
    <row r="138" ht="15.75" customHeight="1" spans="1:11">
      <c r="A138" s="462">
        <v>60416</v>
      </c>
      <c r="B138" s="462" t="s">
        <v>99</v>
      </c>
      <c r="C138" s="462" t="s">
        <v>1096</v>
      </c>
      <c r="D138" s="462" t="s">
        <v>1663</v>
      </c>
      <c r="E138" s="462" t="s">
        <v>105</v>
      </c>
      <c r="F138" s="463">
        <v>28</v>
      </c>
      <c r="G138" s="463">
        <v>318.7</v>
      </c>
      <c r="H138" s="462">
        <v>8923.6</v>
      </c>
      <c r="I138" s="470">
        <f t="shared" si="5"/>
        <v>0.00118908924457239</v>
      </c>
      <c r="J138" s="471">
        <f t="shared" si="6"/>
        <v>0.930320107152671</v>
      </c>
      <c r="K138" s="463" t="str">
        <f t="shared" si="7"/>
        <v>C</v>
      </c>
    </row>
    <row r="139" ht="15.75" customHeight="1" spans="1:11">
      <c r="A139" s="462">
        <v>94992</v>
      </c>
      <c r="B139" s="462" t="s">
        <v>71</v>
      </c>
      <c r="C139" s="462" t="s">
        <v>1331</v>
      </c>
      <c r="D139" s="462" t="s">
        <v>1664</v>
      </c>
      <c r="E139" s="462" t="s">
        <v>73</v>
      </c>
      <c r="F139" s="463">
        <v>89.17</v>
      </c>
      <c r="G139" s="463">
        <v>97.25</v>
      </c>
      <c r="H139" s="462">
        <v>8671.78</v>
      </c>
      <c r="I139" s="470">
        <f t="shared" si="5"/>
        <v>0.0011555336780333</v>
      </c>
      <c r="J139" s="471">
        <f t="shared" si="6"/>
        <v>0.931475640830704</v>
      </c>
      <c r="K139" s="463" t="str">
        <f t="shared" si="7"/>
        <v>C</v>
      </c>
    </row>
    <row r="140" ht="15.75" customHeight="1" spans="1:11">
      <c r="A140" s="462">
        <v>56730</v>
      </c>
      <c r="B140" s="462" t="s">
        <v>99</v>
      </c>
      <c r="C140" s="462" t="s">
        <v>1197</v>
      </c>
      <c r="D140" s="462" t="s">
        <v>1665</v>
      </c>
      <c r="E140" s="462" t="s">
        <v>78</v>
      </c>
      <c r="F140" s="463">
        <v>78</v>
      </c>
      <c r="G140" s="463">
        <v>108.52</v>
      </c>
      <c r="H140" s="462">
        <v>8464.56</v>
      </c>
      <c r="I140" s="470">
        <f t="shared" si="5"/>
        <v>0.00112792115917765</v>
      </c>
      <c r="J140" s="471">
        <f t="shared" si="6"/>
        <v>0.932603561989882</v>
      </c>
      <c r="K140" s="463" t="str">
        <f t="shared" si="7"/>
        <v>C</v>
      </c>
    </row>
    <row r="141" ht="15.75" customHeight="1" spans="1:11">
      <c r="A141" s="462">
        <v>111832</v>
      </c>
      <c r="B141" s="462" t="s">
        <v>99</v>
      </c>
      <c r="C141" s="462" t="s">
        <v>390</v>
      </c>
      <c r="D141" s="462" t="s">
        <v>1666</v>
      </c>
      <c r="E141" s="462" t="s">
        <v>105</v>
      </c>
      <c r="F141" s="463">
        <v>2</v>
      </c>
      <c r="G141" s="462">
        <v>4218.2</v>
      </c>
      <c r="H141" s="462">
        <v>8436.4</v>
      </c>
      <c r="I141" s="470">
        <f t="shared" si="5"/>
        <v>0.00112416877750129</v>
      </c>
      <c r="J141" s="471">
        <f t="shared" si="6"/>
        <v>0.933727730767383</v>
      </c>
      <c r="K141" s="463" t="str">
        <f t="shared" si="7"/>
        <v>C</v>
      </c>
    </row>
    <row r="142" ht="15.75" customHeight="1" spans="1:11">
      <c r="A142" s="462">
        <v>104598</v>
      </c>
      <c r="B142" s="462" t="s">
        <v>71</v>
      </c>
      <c r="C142" s="462" t="s">
        <v>1308</v>
      </c>
      <c r="D142" s="462" t="s">
        <v>1651</v>
      </c>
      <c r="E142" s="462" t="s">
        <v>73</v>
      </c>
      <c r="F142" s="463">
        <v>57.16</v>
      </c>
      <c r="G142" s="463">
        <v>146.72</v>
      </c>
      <c r="H142" s="462">
        <v>8386.51</v>
      </c>
      <c r="I142" s="470">
        <f t="shared" si="5"/>
        <v>0.00111752082573163</v>
      </c>
      <c r="J142" s="471">
        <f t="shared" si="6"/>
        <v>0.934845251593115</v>
      </c>
      <c r="K142" s="463" t="str">
        <f t="shared" si="7"/>
        <v>C</v>
      </c>
    </row>
    <row r="143" ht="15.75" customHeight="1" spans="1:11">
      <c r="A143" s="462">
        <v>95727</v>
      </c>
      <c r="B143" s="462" t="s">
        <v>71</v>
      </c>
      <c r="C143" s="462" t="s">
        <v>856</v>
      </c>
      <c r="D143" s="462" t="s">
        <v>1658</v>
      </c>
      <c r="E143" s="462" t="s">
        <v>78</v>
      </c>
      <c r="F143" s="463">
        <v>279</v>
      </c>
      <c r="G143" s="463">
        <v>29.93</v>
      </c>
      <c r="H143" s="462">
        <v>8350.47</v>
      </c>
      <c r="I143" s="470">
        <f t="shared" si="5"/>
        <v>0.0011127184167964</v>
      </c>
      <c r="J143" s="471">
        <f t="shared" si="6"/>
        <v>0.935957970009911</v>
      </c>
      <c r="K143" s="463" t="str">
        <f t="shared" si="7"/>
        <v>C</v>
      </c>
    </row>
    <row r="144" ht="15.75" customHeight="1" spans="1:11">
      <c r="A144" s="462" t="s">
        <v>984</v>
      </c>
      <c r="B144" s="462" t="s">
        <v>512</v>
      </c>
      <c r="C144" s="462" t="s">
        <v>985</v>
      </c>
      <c r="D144" s="462" t="s">
        <v>1648</v>
      </c>
      <c r="E144" s="462" t="s">
        <v>67</v>
      </c>
      <c r="F144" s="463">
        <v>24</v>
      </c>
      <c r="G144" s="463">
        <v>342.81</v>
      </c>
      <c r="H144" s="462">
        <v>8227.44</v>
      </c>
      <c r="I144" s="470">
        <f t="shared" si="5"/>
        <v>0.00109632439983467</v>
      </c>
      <c r="J144" s="471">
        <f t="shared" si="6"/>
        <v>0.937054294409746</v>
      </c>
      <c r="K144" s="463" t="str">
        <f t="shared" si="7"/>
        <v>C</v>
      </c>
    </row>
    <row r="145" ht="15.75" customHeight="1" spans="1:11">
      <c r="A145" s="462">
        <v>102489</v>
      </c>
      <c r="B145" s="462" t="s">
        <v>71</v>
      </c>
      <c r="C145" s="462" t="s">
        <v>1275</v>
      </c>
      <c r="D145" s="462" t="s">
        <v>1667</v>
      </c>
      <c r="E145" s="462" t="s">
        <v>73</v>
      </c>
      <c r="F145" s="463">
        <v>184.34</v>
      </c>
      <c r="G145" s="463">
        <v>42.78</v>
      </c>
      <c r="H145" s="462">
        <v>7886.06</v>
      </c>
      <c r="I145" s="470">
        <f t="shared" ref="I145:I208" si="8">H145/$I$445</f>
        <v>0.00105083476714023</v>
      </c>
      <c r="J145" s="471">
        <f t="shared" si="6"/>
        <v>0.938105129176886</v>
      </c>
      <c r="K145" s="463" t="str">
        <f t="shared" si="7"/>
        <v>C</v>
      </c>
    </row>
    <row r="146" ht="15.75" customHeight="1" spans="1:11">
      <c r="A146" s="462">
        <v>92984</v>
      </c>
      <c r="B146" s="462" t="s">
        <v>71</v>
      </c>
      <c r="C146" s="462" t="s">
        <v>779</v>
      </c>
      <c r="D146" s="462" t="s">
        <v>1638</v>
      </c>
      <c r="E146" s="462" t="s">
        <v>78</v>
      </c>
      <c r="F146" s="463">
        <v>200</v>
      </c>
      <c r="G146" s="463">
        <v>37.53</v>
      </c>
      <c r="H146" s="462">
        <v>7506</v>
      </c>
      <c r="I146" s="470">
        <f t="shared" si="8"/>
        <v>0.0010001909397284</v>
      </c>
      <c r="J146" s="471">
        <f t="shared" si="6"/>
        <v>0.939105320116614</v>
      </c>
      <c r="K146" s="463" t="str">
        <f t="shared" si="7"/>
        <v>C</v>
      </c>
    </row>
    <row r="147" ht="15.75" customHeight="1" spans="1:11">
      <c r="A147" s="462" t="s">
        <v>1074</v>
      </c>
      <c r="B147" s="462" t="s">
        <v>65</v>
      </c>
      <c r="C147" s="462" t="s">
        <v>1075</v>
      </c>
      <c r="D147" s="462" t="s">
        <v>1650</v>
      </c>
      <c r="E147" s="462" t="s">
        <v>67</v>
      </c>
      <c r="F147" s="463">
        <v>172</v>
      </c>
      <c r="G147" s="463">
        <v>43.63</v>
      </c>
      <c r="H147" s="462">
        <v>7504.36</v>
      </c>
      <c r="I147" s="470">
        <f t="shared" si="8"/>
        <v>0.000999972406136451</v>
      </c>
      <c r="J147" s="471">
        <f t="shared" ref="J147:J210" si="9">I147+J146</f>
        <v>0.940105292522751</v>
      </c>
      <c r="K147" s="463" t="str">
        <f t="shared" ref="K147:K210" si="10">IF(J147&lt;=50%,"A",IF(J147&lt;=80%,"B","C"))</f>
        <v>C</v>
      </c>
    </row>
    <row r="148" ht="15.75" customHeight="1" spans="1:11">
      <c r="A148" s="462">
        <v>104658</v>
      </c>
      <c r="B148" s="462" t="s">
        <v>71</v>
      </c>
      <c r="C148" s="462" t="s">
        <v>1323</v>
      </c>
      <c r="D148" s="462" t="s">
        <v>1668</v>
      </c>
      <c r="E148" s="462" t="s">
        <v>73</v>
      </c>
      <c r="F148" s="463">
        <v>33.07</v>
      </c>
      <c r="G148" s="463">
        <v>219.57</v>
      </c>
      <c r="H148" s="462">
        <v>7261.17</v>
      </c>
      <c r="I148" s="470">
        <f t="shared" si="8"/>
        <v>0.000967566805998888</v>
      </c>
      <c r="J148" s="471">
        <f t="shared" si="9"/>
        <v>0.94107285932875</v>
      </c>
      <c r="K148" s="463" t="str">
        <f t="shared" si="10"/>
        <v>C</v>
      </c>
    </row>
    <row r="149" ht="15.75" customHeight="1" spans="1:11">
      <c r="A149" s="462">
        <v>96541</v>
      </c>
      <c r="B149" s="462" t="s">
        <v>71</v>
      </c>
      <c r="C149" s="462" t="s">
        <v>1456</v>
      </c>
      <c r="D149" s="462" t="s">
        <v>1634</v>
      </c>
      <c r="E149" s="462" t="s">
        <v>73</v>
      </c>
      <c r="F149" s="463">
        <v>25.48</v>
      </c>
      <c r="G149" s="463">
        <v>278.78</v>
      </c>
      <c r="H149" s="462">
        <v>7103.31</v>
      </c>
      <c r="I149" s="470">
        <f t="shared" si="8"/>
        <v>0.000946531615252082</v>
      </c>
      <c r="J149" s="471">
        <f t="shared" si="9"/>
        <v>0.942019390944002</v>
      </c>
      <c r="K149" s="463" t="str">
        <f t="shared" si="10"/>
        <v>C</v>
      </c>
    </row>
    <row r="150" ht="15.75" customHeight="1" spans="1:11">
      <c r="A150" s="462">
        <v>97668</v>
      </c>
      <c r="B150" s="462" t="s">
        <v>71</v>
      </c>
      <c r="C150" s="462" t="s">
        <v>862</v>
      </c>
      <c r="D150" s="462" t="s">
        <v>1638</v>
      </c>
      <c r="E150" s="462" t="s">
        <v>78</v>
      </c>
      <c r="F150" s="463">
        <v>375</v>
      </c>
      <c r="G150" s="463">
        <v>18.44</v>
      </c>
      <c r="H150" s="462">
        <v>6915</v>
      </c>
      <c r="I150" s="470">
        <f t="shared" si="8"/>
        <v>0.000921438895313332</v>
      </c>
      <c r="J150" s="471">
        <f t="shared" si="9"/>
        <v>0.942940829839315</v>
      </c>
      <c r="K150" s="463" t="str">
        <f t="shared" si="10"/>
        <v>C</v>
      </c>
    </row>
    <row r="151" ht="15.75" customHeight="1" spans="1:11">
      <c r="A151" s="462" t="s">
        <v>203</v>
      </c>
      <c r="B151" s="462" t="s">
        <v>65</v>
      </c>
      <c r="C151" s="462" t="s">
        <v>204</v>
      </c>
      <c r="D151" s="462" t="s">
        <v>1669</v>
      </c>
      <c r="E151" s="462" t="s">
        <v>67</v>
      </c>
      <c r="F151" s="463">
        <v>12</v>
      </c>
      <c r="G151" s="463">
        <v>548.5</v>
      </c>
      <c r="H151" s="462">
        <v>6582</v>
      </c>
      <c r="I151" s="470">
        <f t="shared" si="8"/>
        <v>0.000877065915972864</v>
      </c>
      <c r="J151" s="471">
        <f t="shared" si="9"/>
        <v>0.943817895755288</v>
      </c>
      <c r="K151" s="463" t="str">
        <f t="shared" si="10"/>
        <v>C</v>
      </c>
    </row>
    <row r="152" ht="15.75" customHeight="1" spans="1:11">
      <c r="A152" s="462" t="s">
        <v>988</v>
      </c>
      <c r="B152" s="462" t="s">
        <v>65</v>
      </c>
      <c r="C152" s="462" t="s">
        <v>989</v>
      </c>
      <c r="D152" s="462" t="s">
        <v>1670</v>
      </c>
      <c r="E152" s="462" t="s">
        <v>535</v>
      </c>
      <c r="F152" s="463">
        <v>153</v>
      </c>
      <c r="G152" s="463">
        <v>42.79</v>
      </c>
      <c r="H152" s="462">
        <v>6546.87</v>
      </c>
      <c r="I152" s="470">
        <f t="shared" si="8"/>
        <v>0.00087238476653073</v>
      </c>
      <c r="J152" s="471">
        <f t="shared" si="9"/>
        <v>0.944690280521819</v>
      </c>
      <c r="K152" s="463" t="str">
        <f t="shared" si="10"/>
        <v>C</v>
      </c>
    </row>
    <row r="153" ht="15.75" customHeight="1" spans="1:11">
      <c r="A153" s="462" t="s">
        <v>1382</v>
      </c>
      <c r="B153" s="462" t="s">
        <v>76</v>
      </c>
      <c r="C153" s="462" t="s">
        <v>1383</v>
      </c>
      <c r="D153" s="462">
        <v>18</v>
      </c>
      <c r="E153" s="462" t="s">
        <v>105</v>
      </c>
      <c r="F153" s="463">
        <v>17</v>
      </c>
      <c r="G153" s="463">
        <v>375.71</v>
      </c>
      <c r="H153" s="462">
        <v>6387.07</v>
      </c>
      <c r="I153" s="470">
        <f t="shared" si="8"/>
        <v>0.000851091066534913</v>
      </c>
      <c r="J153" s="471">
        <f t="shared" si="9"/>
        <v>0.945541371588353</v>
      </c>
      <c r="K153" s="463" t="str">
        <f t="shared" si="10"/>
        <v>C</v>
      </c>
    </row>
    <row r="154" ht="15.75" customHeight="1" spans="1:11">
      <c r="A154" s="462">
        <v>96369</v>
      </c>
      <c r="B154" s="462" t="s">
        <v>71</v>
      </c>
      <c r="C154" s="462" t="s">
        <v>353</v>
      </c>
      <c r="D154" s="462" t="s">
        <v>1633</v>
      </c>
      <c r="E154" s="462" t="s">
        <v>73</v>
      </c>
      <c r="F154" s="463">
        <v>24.36</v>
      </c>
      <c r="G154" s="463">
        <v>257.95</v>
      </c>
      <c r="H154" s="462">
        <v>6283.66</v>
      </c>
      <c r="I154" s="470">
        <f t="shared" si="8"/>
        <v>0.00083731145754513</v>
      </c>
      <c r="J154" s="471">
        <f t="shared" si="9"/>
        <v>0.946378683045899</v>
      </c>
      <c r="K154" s="463" t="str">
        <f t="shared" si="10"/>
        <v>C</v>
      </c>
    </row>
    <row r="155" ht="15.75" customHeight="1" spans="1:11">
      <c r="A155" s="462">
        <v>89356</v>
      </c>
      <c r="B155" s="462" t="s">
        <v>71</v>
      </c>
      <c r="C155" s="462" t="s">
        <v>417</v>
      </c>
      <c r="D155" s="462" t="s">
        <v>1659</v>
      </c>
      <c r="E155" s="462" t="s">
        <v>78</v>
      </c>
      <c r="F155" s="463">
        <v>171</v>
      </c>
      <c r="G155" s="463">
        <v>36.69</v>
      </c>
      <c r="H155" s="462">
        <v>6273.99</v>
      </c>
      <c r="I155" s="470">
        <f t="shared" si="8"/>
        <v>0.000836022908865784</v>
      </c>
      <c r="J155" s="471">
        <f t="shared" si="9"/>
        <v>0.947214705954764</v>
      </c>
      <c r="K155" s="463" t="str">
        <f t="shared" si="10"/>
        <v>C</v>
      </c>
    </row>
    <row r="156" ht="15.75" customHeight="1" spans="1:11">
      <c r="A156" s="462" t="s">
        <v>402</v>
      </c>
      <c r="B156" s="462" t="s">
        <v>65</v>
      </c>
      <c r="C156" s="462" t="s">
        <v>403</v>
      </c>
      <c r="D156" s="462"/>
      <c r="E156" s="462" t="s">
        <v>67</v>
      </c>
      <c r="F156" s="463">
        <v>86.94</v>
      </c>
      <c r="G156" s="463">
        <v>70.74</v>
      </c>
      <c r="H156" s="462">
        <v>6150.13</v>
      </c>
      <c r="I156" s="470">
        <f t="shared" si="8"/>
        <v>0.000819518292586173</v>
      </c>
      <c r="J156" s="471">
        <f t="shared" si="9"/>
        <v>0.948034224247351</v>
      </c>
      <c r="K156" s="463" t="str">
        <f t="shared" si="10"/>
        <v>C</v>
      </c>
    </row>
    <row r="157" ht="15.75" customHeight="1" spans="1:11">
      <c r="A157" s="462">
        <v>89453</v>
      </c>
      <c r="B157" s="462" t="s">
        <v>71</v>
      </c>
      <c r="C157" s="462" t="s">
        <v>313</v>
      </c>
      <c r="D157" s="462" t="s">
        <v>1671</v>
      </c>
      <c r="E157" s="462" t="s">
        <v>73</v>
      </c>
      <c r="F157" s="463">
        <v>56.62</v>
      </c>
      <c r="G157" s="463">
        <v>107.76</v>
      </c>
      <c r="H157" s="462">
        <v>6101.37</v>
      </c>
      <c r="I157" s="470">
        <f t="shared" si="8"/>
        <v>0.000813020915791455</v>
      </c>
      <c r="J157" s="471">
        <f t="shared" si="9"/>
        <v>0.948847245163142</v>
      </c>
      <c r="K157" s="463" t="str">
        <f t="shared" si="10"/>
        <v>C</v>
      </c>
    </row>
    <row r="158" ht="15.75" customHeight="1" spans="1:11">
      <c r="A158" s="462">
        <v>92770</v>
      </c>
      <c r="B158" s="462" t="s">
        <v>71</v>
      </c>
      <c r="C158" s="462" t="s">
        <v>259</v>
      </c>
      <c r="D158" s="462" t="s">
        <v>1632</v>
      </c>
      <c r="E158" s="462" t="s">
        <v>158</v>
      </c>
      <c r="F158" s="463">
        <v>376.4</v>
      </c>
      <c r="G158" s="463">
        <v>16.19</v>
      </c>
      <c r="H158" s="462">
        <v>6093.91</v>
      </c>
      <c r="I158" s="470">
        <f t="shared" si="8"/>
        <v>0.000812026854452476</v>
      </c>
      <c r="J158" s="471">
        <f t="shared" si="9"/>
        <v>0.949659272017595</v>
      </c>
      <c r="K158" s="463" t="str">
        <f t="shared" si="10"/>
        <v>C</v>
      </c>
    </row>
    <row r="159" ht="15.75" customHeight="1" spans="1:11">
      <c r="A159" s="462">
        <v>100974</v>
      </c>
      <c r="B159" s="462" t="s">
        <v>71</v>
      </c>
      <c r="C159" s="462" t="s">
        <v>132</v>
      </c>
      <c r="D159" s="462" t="s">
        <v>1656</v>
      </c>
      <c r="E159" s="462" t="s">
        <v>129</v>
      </c>
      <c r="F159" s="463">
        <v>502.05</v>
      </c>
      <c r="G159" s="463">
        <v>12.05</v>
      </c>
      <c r="H159" s="462">
        <v>6049.7</v>
      </c>
      <c r="I159" s="470">
        <f t="shared" si="8"/>
        <v>0.00080613577512322</v>
      </c>
      <c r="J159" s="471">
        <f t="shared" si="9"/>
        <v>0.950465407792718</v>
      </c>
      <c r="K159" s="463" t="str">
        <f t="shared" si="10"/>
        <v>C</v>
      </c>
    </row>
    <row r="160" ht="15.75" customHeight="1" spans="1:11">
      <c r="A160" s="462">
        <v>97332</v>
      </c>
      <c r="B160" s="462" t="s">
        <v>71</v>
      </c>
      <c r="C160" s="462" t="s">
        <v>1188</v>
      </c>
      <c r="D160" s="462" t="s">
        <v>1661</v>
      </c>
      <c r="E160" s="462" t="s">
        <v>78</v>
      </c>
      <c r="F160" s="463">
        <v>101</v>
      </c>
      <c r="G160" s="463">
        <v>59.77</v>
      </c>
      <c r="H160" s="462">
        <v>6036.77</v>
      </c>
      <c r="I160" s="470">
        <f t="shared" si="8"/>
        <v>0.000804412824303784</v>
      </c>
      <c r="J160" s="471">
        <f t="shared" si="9"/>
        <v>0.951269820617022</v>
      </c>
      <c r="K160" s="463" t="str">
        <f t="shared" si="10"/>
        <v>C</v>
      </c>
    </row>
    <row r="161" ht="15.75" customHeight="1" spans="1:11">
      <c r="A161" s="462">
        <v>95946</v>
      </c>
      <c r="B161" s="462" t="s">
        <v>71</v>
      </c>
      <c r="C161" s="462" t="s">
        <v>294</v>
      </c>
      <c r="D161" s="462" t="s">
        <v>1672</v>
      </c>
      <c r="E161" s="462" t="s">
        <v>158</v>
      </c>
      <c r="F161" s="463">
        <v>339</v>
      </c>
      <c r="G161" s="463">
        <v>17.75</v>
      </c>
      <c r="H161" s="462">
        <v>6017.25</v>
      </c>
      <c r="I161" s="470">
        <f t="shared" si="8"/>
        <v>0.000801811741550853</v>
      </c>
      <c r="J161" s="471">
        <f t="shared" si="9"/>
        <v>0.952071632358572</v>
      </c>
      <c r="K161" s="463" t="str">
        <f t="shared" si="10"/>
        <v>C</v>
      </c>
    </row>
    <row r="162" ht="15.75" customHeight="1" spans="1:11">
      <c r="A162" s="462">
        <v>86888</v>
      </c>
      <c r="B162" s="462" t="s">
        <v>71</v>
      </c>
      <c r="C162" s="462" t="s">
        <v>645</v>
      </c>
      <c r="D162" s="462" t="s">
        <v>1673</v>
      </c>
      <c r="E162" s="462" t="s">
        <v>105</v>
      </c>
      <c r="F162" s="463">
        <v>9</v>
      </c>
      <c r="G162" s="463">
        <v>667.57</v>
      </c>
      <c r="H162" s="462">
        <v>6008.13</v>
      </c>
      <c r="I162" s="470">
        <f t="shared" si="8"/>
        <v>0.000800596481576123</v>
      </c>
      <c r="J162" s="471">
        <f t="shared" si="9"/>
        <v>0.952872228840149</v>
      </c>
      <c r="K162" s="463" t="str">
        <f t="shared" si="10"/>
        <v>C</v>
      </c>
    </row>
    <row r="163" ht="15.75" customHeight="1" spans="1:11">
      <c r="A163" s="462">
        <v>96385</v>
      </c>
      <c r="B163" s="462" t="s">
        <v>71</v>
      </c>
      <c r="C163" s="462" t="s">
        <v>135</v>
      </c>
      <c r="D163" s="462" t="s">
        <v>1674</v>
      </c>
      <c r="E163" s="462" t="s">
        <v>129</v>
      </c>
      <c r="F163" s="463">
        <v>335.4</v>
      </c>
      <c r="G163" s="463">
        <v>17.62</v>
      </c>
      <c r="H163" s="462">
        <v>5909.74</v>
      </c>
      <c r="I163" s="470">
        <f t="shared" si="8"/>
        <v>0.000787485798581202</v>
      </c>
      <c r="J163" s="471">
        <f t="shared" si="9"/>
        <v>0.95365971463873</v>
      </c>
      <c r="K163" s="463" t="str">
        <f t="shared" si="10"/>
        <v>C</v>
      </c>
    </row>
    <row r="164" ht="15.75" customHeight="1" spans="1:11">
      <c r="A164" s="462" t="s">
        <v>698</v>
      </c>
      <c r="B164" s="462" t="s">
        <v>65</v>
      </c>
      <c r="C164" s="462" t="s">
        <v>699</v>
      </c>
      <c r="D164" s="462"/>
      <c r="E164" s="462" t="s">
        <v>67</v>
      </c>
      <c r="F164" s="463">
        <v>4.64</v>
      </c>
      <c r="G164" s="462">
        <v>1268.95</v>
      </c>
      <c r="H164" s="462">
        <v>5887.92</v>
      </c>
      <c r="I164" s="470">
        <f t="shared" si="8"/>
        <v>0.000784578235790785</v>
      </c>
      <c r="J164" s="471">
        <f t="shared" si="9"/>
        <v>0.954444292874521</v>
      </c>
      <c r="K164" s="463" t="str">
        <f t="shared" si="10"/>
        <v>C</v>
      </c>
    </row>
    <row r="165" ht="15.75" customHeight="1" spans="1:11">
      <c r="A165" s="462">
        <v>68399</v>
      </c>
      <c r="B165" s="462" t="s">
        <v>99</v>
      </c>
      <c r="C165" s="462" t="s">
        <v>1131</v>
      </c>
      <c r="D165" s="462" t="s">
        <v>1675</v>
      </c>
      <c r="E165" s="462" t="s">
        <v>105</v>
      </c>
      <c r="F165" s="463">
        <v>11</v>
      </c>
      <c r="G165" s="463">
        <v>533.89</v>
      </c>
      <c r="H165" s="462">
        <v>5872.79</v>
      </c>
      <c r="I165" s="470">
        <f t="shared" si="8"/>
        <v>0.000782562130152883</v>
      </c>
      <c r="J165" s="471">
        <f t="shared" si="9"/>
        <v>0.955226855004674</v>
      </c>
      <c r="K165" s="463" t="str">
        <f t="shared" si="10"/>
        <v>C</v>
      </c>
    </row>
    <row r="166" ht="15.75" customHeight="1" spans="1:11">
      <c r="A166" s="462">
        <v>59441</v>
      </c>
      <c r="B166" s="462" t="s">
        <v>99</v>
      </c>
      <c r="C166" s="462" t="s">
        <v>1058</v>
      </c>
      <c r="D166" s="462" t="s">
        <v>1644</v>
      </c>
      <c r="E166" s="462" t="s">
        <v>105</v>
      </c>
      <c r="F166" s="463">
        <v>172</v>
      </c>
      <c r="G166" s="463">
        <v>34.05</v>
      </c>
      <c r="H166" s="462">
        <v>5856.6</v>
      </c>
      <c r="I166" s="470">
        <f t="shared" si="8"/>
        <v>0.000780404777193357</v>
      </c>
      <c r="J166" s="471">
        <f t="shared" si="9"/>
        <v>0.956007259781867</v>
      </c>
      <c r="K166" s="463" t="str">
        <f t="shared" si="10"/>
        <v>C</v>
      </c>
    </row>
    <row r="167" ht="15.75" customHeight="1" spans="1:11">
      <c r="A167" s="462">
        <v>90797</v>
      </c>
      <c r="B167" s="462" t="s">
        <v>71</v>
      </c>
      <c r="C167" s="462" t="s">
        <v>378</v>
      </c>
      <c r="D167" s="462" t="s">
        <v>1676</v>
      </c>
      <c r="E167" s="462" t="s">
        <v>105</v>
      </c>
      <c r="F167" s="463">
        <v>5</v>
      </c>
      <c r="G167" s="462">
        <v>1170.2</v>
      </c>
      <c r="H167" s="462">
        <v>5851</v>
      </c>
      <c r="I167" s="470">
        <f t="shared" si="8"/>
        <v>0.000779658564928172</v>
      </c>
      <c r="J167" s="471">
        <f t="shared" si="9"/>
        <v>0.956786918346795</v>
      </c>
      <c r="K167" s="463" t="str">
        <f t="shared" si="10"/>
        <v>C</v>
      </c>
    </row>
    <row r="168" ht="15.75" customHeight="1" spans="1:11">
      <c r="A168" s="462">
        <v>103356</v>
      </c>
      <c r="B168" s="462" t="s">
        <v>71</v>
      </c>
      <c r="C168" s="462" t="s">
        <v>328</v>
      </c>
      <c r="D168" s="462" t="s">
        <v>1677</v>
      </c>
      <c r="E168" s="462" t="s">
        <v>73</v>
      </c>
      <c r="F168" s="463">
        <v>66.62</v>
      </c>
      <c r="G168" s="463">
        <v>87.21</v>
      </c>
      <c r="H168" s="462">
        <v>5809.93</v>
      </c>
      <c r="I168" s="470">
        <f t="shared" si="8"/>
        <v>0.000774185897476181</v>
      </c>
      <c r="J168" s="471">
        <f t="shared" si="9"/>
        <v>0.957561104244271</v>
      </c>
      <c r="K168" s="463" t="str">
        <f t="shared" si="10"/>
        <v>C</v>
      </c>
    </row>
    <row r="169" ht="15.75" customHeight="1" spans="1:11">
      <c r="A169" s="462" t="s">
        <v>1027</v>
      </c>
      <c r="B169" s="462" t="s">
        <v>76</v>
      </c>
      <c r="C169" s="462" t="s">
        <v>1028</v>
      </c>
      <c r="D169" s="462">
        <v>15</v>
      </c>
      <c r="E169" s="462" t="s">
        <v>78</v>
      </c>
      <c r="F169" s="463">
        <v>63</v>
      </c>
      <c r="G169" s="463">
        <v>88.45</v>
      </c>
      <c r="H169" s="462">
        <v>5572.35</v>
      </c>
      <c r="I169" s="470">
        <f t="shared" si="8"/>
        <v>0.000742527842125705</v>
      </c>
      <c r="J169" s="471">
        <f t="shared" si="9"/>
        <v>0.958303632086397</v>
      </c>
      <c r="K169" s="463" t="str">
        <f t="shared" si="10"/>
        <v>C</v>
      </c>
    </row>
    <row r="170" ht="15.75" customHeight="1" spans="1:11">
      <c r="A170" s="462">
        <v>95947</v>
      </c>
      <c r="B170" s="462" t="s">
        <v>71</v>
      </c>
      <c r="C170" s="462" t="s">
        <v>297</v>
      </c>
      <c r="D170" s="462" t="s">
        <v>1672</v>
      </c>
      <c r="E170" s="462" t="s">
        <v>158</v>
      </c>
      <c r="F170" s="463">
        <v>414</v>
      </c>
      <c r="G170" s="463">
        <v>13.3</v>
      </c>
      <c r="H170" s="462">
        <v>5506.2</v>
      </c>
      <c r="I170" s="470">
        <f t="shared" si="8"/>
        <v>0.000733713209743206</v>
      </c>
      <c r="J170" s="471">
        <f t="shared" si="9"/>
        <v>0.95903734529614</v>
      </c>
      <c r="K170" s="463" t="str">
        <f t="shared" si="10"/>
        <v>C</v>
      </c>
    </row>
    <row r="171" ht="15.75" customHeight="1" spans="1:11">
      <c r="A171" s="462" t="s">
        <v>1021</v>
      </c>
      <c r="B171" s="462" t="s">
        <v>76</v>
      </c>
      <c r="C171" s="462" t="s">
        <v>1022</v>
      </c>
      <c r="D171" s="462">
        <v>15</v>
      </c>
      <c r="E171" s="462" t="s">
        <v>78</v>
      </c>
      <c r="F171" s="463">
        <v>72</v>
      </c>
      <c r="G171" s="463">
        <v>76.32</v>
      </c>
      <c r="H171" s="462">
        <v>5495.04</v>
      </c>
      <c r="I171" s="470">
        <f t="shared" si="8"/>
        <v>0.000732226115300445</v>
      </c>
      <c r="J171" s="471">
        <f t="shared" si="9"/>
        <v>0.95976957141144</v>
      </c>
      <c r="K171" s="463" t="str">
        <f t="shared" si="10"/>
        <v>C</v>
      </c>
    </row>
    <row r="172" ht="15.75" customHeight="1" spans="1:11">
      <c r="A172" s="462" t="s">
        <v>710</v>
      </c>
      <c r="B172" s="462" t="s">
        <v>76</v>
      </c>
      <c r="C172" s="462" t="s">
        <v>711</v>
      </c>
      <c r="D172" s="462">
        <v>6</v>
      </c>
      <c r="E172" s="462" t="s">
        <v>78</v>
      </c>
      <c r="F172" s="463">
        <v>45</v>
      </c>
      <c r="G172" s="463">
        <v>119.82</v>
      </c>
      <c r="H172" s="462">
        <v>5391.9</v>
      </c>
      <c r="I172" s="470">
        <f t="shared" si="8"/>
        <v>0.000718482484402018</v>
      </c>
      <c r="J172" s="471">
        <f t="shared" si="9"/>
        <v>0.960488053895842</v>
      </c>
      <c r="K172" s="463" t="str">
        <f t="shared" si="10"/>
        <v>C</v>
      </c>
    </row>
    <row r="173" ht="15.75" customHeight="1" spans="1:11">
      <c r="A173" s="462">
        <v>92992</v>
      </c>
      <c r="B173" s="462" t="s">
        <v>71</v>
      </c>
      <c r="C173" s="462" t="s">
        <v>785</v>
      </c>
      <c r="D173" s="462" t="s">
        <v>1638</v>
      </c>
      <c r="E173" s="462" t="s">
        <v>78</v>
      </c>
      <c r="F173" s="463">
        <v>40</v>
      </c>
      <c r="G173" s="463">
        <v>133.11</v>
      </c>
      <c r="H173" s="462">
        <v>5324.4</v>
      </c>
      <c r="I173" s="470">
        <f t="shared" si="8"/>
        <v>0.000709487961562734</v>
      </c>
      <c r="J173" s="471">
        <f t="shared" si="9"/>
        <v>0.961197541857405</v>
      </c>
      <c r="K173" s="463" t="str">
        <f t="shared" si="10"/>
        <v>C</v>
      </c>
    </row>
    <row r="174" ht="15.75" customHeight="1" spans="1:11">
      <c r="A174" s="462" t="s">
        <v>330</v>
      </c>
      <c r="B174" s="462" t="s">
        <v>76</v>
      </c>
      <c r="C174" s="462" t="s">
        <v>331</v>
      </c>
      <c r="D174" s="462">
        <v>12</v>
      </c>
      <c r="E174" s="462" t="s">
        <v>73</v>
      </c>
      <c r="F174" s="463">
        <v>39.3</v>
      </c>
      <c r="G174" s="463">
        <v>132.6</v>
      </c>
      <c r="H174" s="462">
        <v>5211.18</v>
      </c>
      <c r="I174" s="470">
        <f t="shared" si="8"/>
        <v>0.000694401148586975</v>
      </c>
      <c r="J174" s="471">
        <f t="shared" si="9"/>
        <v>0.961891943005992</v>
      </c>
      <c r="K174" s="463" t="str">
        <f t="shared" si="10"/>
        <v>C</v>
      </c>
    </row>
    <row r="175" ht="15.75" customHeight="1" spans="1:11">
      <c r="A175" s="462" t="s">
        <v>947</v>
      </c>
      <c r="B175" s="462" t="s">
        <v>76</v>
      </c>
      <c r="C175" s="462" t="s">
        <v>948</v>
      </c>
      <c r="D175" s="462">
        <v>15</v>
      </c>
      <c r="E175" s="462" t="s">
        <v>105</v>
      </c>
      <c r="F175" s="463">
        <v>9</v>
      </c>
      <c r="G175" s="463">
        <v>496.07</v>
      </c>
      <c r="H175" s="462">
        <v>4464.63</v>
      </c>
      <c r="I175" s="470">
        <f t="shared" si="8"/>
        <v>0.000594921725984492</v>
      </c>
      <c r="J175" s="471">
        <f t="shared" si="9"/>
        <v>0.962486864731977</v>
      </c>
      <c r="K175" s="463" t="str">
        <f t="shared" si="10"/>
        <v>C</v>
      </c>
    </row>
    <row r="176" ht="15.75" customHeight="1" spans="1:11">
      <c r="A176" s="462">
        <v>96645</v>
      </c>
      <c r="B176" s="462" t="s">
        <v>71</v>
      </c>
      <c r="C176" s="462" t="s">
        <v>1211</v>
      </c>
      <c r="D176" s="462" t="s">
        <v>1678</v>
      </c>
      <c r="E176" s="462" t="s">
        <v>78</v>
      </c>
      <c r="F176" s="463">
        <v>154</v>
      </c>
      <c r="G176" s="463">
        <v>28.93</v>
      </c>
      <c r="H176" s="462">
        <v>4455.22</v>
      </c>
      <c r="I176" s="470">
        <f t="shared" si="8"/>
        <v>0.000593667822874601</v>
      </c>
      <c r="J176" s="471">
        <f t="shared" si="9"/>
        <v>0.963080532554851</v>
      </c>
      <c r="K176" s="463" t="str">
        <f t="shared" si="10"/>
        <v>C</v>
      </c>
    </row>
    <row r="177" ht="15.75" customHeight="1" spans="1:11">
      <c r="A177" s="462" t="s">
        <v>804</v>
      </c>
      <c r="B177" s="462" t="s">
        <v>76</v>
      </c>
      <c r="C177" s="462" t="s">
        <v>805</v>
      </c>
      <c r="D177" s="462">
        <v>15</v>
      </c>
      <c r="E177" s="462" t="s">
        <v>78</v>
      </c>
      <c r="F177" s="463">
        <v>140</v>
      </c>
      <c r="G177" s="463">
        <v>30.11</v>
      </c>
      <c r="H177" s="462">
        <v>4215.4</v>
      </c>
      <c r="I177" s="470">
        <f t="shared" si="8"/>
        <v>0.000561711282618051</v>
      </c>
      <c r="J177" s="471">
        <f t="shared" si="9"/>
        <v>0.963642243837469</v>
      </c>
      <c r="K177" s="463" t="str">
        <f t="shared" si="10"/>
        <v>C</v>
      </c>
    </row>
    <row r="178" ht="15.75" customHeight="1" spans="1:11">
      <c r="A178" s="462" t="s">
        <v>1035</v>
      </c>
      <c r="B178" s="462" t="s">
        <v>65</v>
      </c>
      <c r="C178" s="462" t="s">
        <v>1036</v>
      </c>
      <c r="D178" s="462"/>
      <c r="E178" s="462" t="s">
        <v>67</v>
      </c>
      <c r="F178" s="463">
        <v>49</v>
      </c>
      <c r="G178" s="463">
        <v>85.59</v>
      </c>
      <c r="H178" s="462">
        <v>4193.91</v>
      </c>
      <c r="I178" s="470">
        <f t="shared" si="8"/>
        <v>0.000558847693050403</v>
      </c>
      <c r="J178" s="471">
        <f t="shared" si="9"/>
        <v>0.96420109153052</v>
      </c>
      <c r="K178" s="463" t="str">
        <f t="shared" si="10"/>
        <v>C</v>
      </c>
    </row>
    <row r="179" ht="15.75" customHeight="1" spans="1:11">
      <c r="A179" s="462" t="s">
        <v>1394</v>
      </c>
      <c r="B179" s="462" t="s">
        <v>65</v>
      </c>
      <c r="C179" s="462" t="s">
        <v>1395</v>
      </c>
      <c r="D179" s="462" t="s">
        <v>1637</v>
      </c>
      <c r="E179" s="462" t="s">
        <v>535</v>
      </c>
      <c r="F179" s="463">
        <v>10.82</v>
      </c>
      <c r="G179" s="463">
        <v>386.05</v>
      </c>
      <c r="H179" s="462">
        <v>4177.06</v>
      </c>
      <c r="I179" s="470">
        <f t="shared" si="8"/>
        <v>0.000556602393645338</v>
      </c>
      <c r="J179" s="471">
        <f t="shared" si="9"/>
        <v>0.964757693924165</v>
      </c>
      <c r="K179" s="463" t="str">
        <f t="shared" si="10"/>
        <v>C</v>
      </c>
    </row>
    <row r="180" ht="15.75" customHeight="1" spans="1:11">
      <c r="A180" s="462" t="s">
        <v>633</v>
      </c>
      <c r="B180" s="462" t="s">
        <v>65</v>
      </c>
      <c r="C180" s="462" t="s">
        <v>634</v>
      </c>
      <c r="D180" s="462"/>
      <c r="E180" s="462" t="s">
        <v>67</v>
      </c>
      <c r="F180" s="463">
        <v>10.8</v>
      </c>
      <c r="G180" s="463">
        <v>366.74</v>
      </c>
      <c r="H180" s="462">
        <v>3960.79</v>
      </c>
      <c r="I180" s="470">
        <f t="shared" si="8"/>
        <v>0.000527783942468271</v>
      </c>
      <c r="J180" s="471">
        <f t="shared" si="9"/>
        <v>0.965285477866633</v>
      </c>
      <c r="K180" s="463" t="str">
        <f t="shared" si="10"/>
        <v>C</v>
      </c>
    </row>
    <row r="181" ht="15.75" customHeight="1" spans="1:11">
      <c r="A181" s="462">
        <v>92773</v>
      </c>
      <c r="B181" s="462" t="s">
        <v>71</v>
      </c>
      <c r="C181" s="462" t="s">
        <v>268</v>
      </c>
      <c r="D181" s="462" t="s">
        <v>1632</v>
      </c>
      <c r="E181" s="462" t="s">
        <v>158</v>
      </c>
      <c r="F181" s="463">
        <v>340.9</v>
      </c>
      <c r="G181" s="463">
        <v>11.56</v>
      </c>
      <c r="H181" s="462">
        <v>3940.8</v>
      </c>
      <c r="I181" s="470">
        <f t="shared" si="8"/>
        <v>0.000525120231185941</v>
      </c>
      <c r="J181" s="471">
        <f t="shared" si="9"/>
        <v>0.965810598097819</v>
      </c>
      <c r="K181" s="463" t="str">
        <f t="shared" si="10"/>
        <v>C</v>
      </c>
    </row>
    <row r="182" ht="15.75" customHeight="1" spans="1:11">
      <c r="A182" s="462">
        <v>172880</v>
      </c>
      <c r="B182" s="462" t="s">
        <v>99</v>
      </c>
      <c r="C182" s="462" t="s">
        <v>970</v>
      </c>
      <c r="D182" s="462" t="s">
        <v>1679</v>
      </c>
      <c r="E182" s="462" t="s">
        <v>105</v>
      </c>
      <c r="F182" s="463">
        <v>16</v>
      </c>
      <c r="G182" s="463">
        <v>246.07</v>
      </c>
      <c r="H182" s="462">
        <v>3937.12</v>
      </c>
      <c r="I182" s="470">
        <f t="shared" si="8"/>
        <v>0.000524629863125962</v>
      </c>
      <c r="J182" s="471">
        <f t="shared" si="9"/>
        <v>0.966335227960945</v>
      </c>
      <c r="K182" s="463" t="str">
        <f t="shared" si="10"/>
        <v>C</v>
      </c>
    </row>
    <row r="183" ht="15.75" customHeight="1" spans="1:11">
      <c r="A183" s="462">
        <v>61042</v>
      </c>
      <c r="B183" s="462" t="s">
        <v>99</v>
      </c>
      <c r="C183" s="462" t="s">
        <v>104</v>
      </c>
      <c r="D183" s="462" t="s">
        <v>1680</v>
      </c>
      <c r="E183" s="462" t="s">
        <v>105</v>
      </c>
      <c r="F183" s="463">
        <v>1</v>
      </c>
      <c r="G183" s="462">
        <v>3935.2</v>
      </c>
      <c r="H183" s="462">
        <v>3935.2</v>
      </c>
      <c r="I183" s="470">
        <f t="shared" si="8"/>
        <v>0.000524374018920756</v>
      </c>
      <c r="J183" s="471">
        <f t="shared" si="9"/>
        <v>0.966859601979866</v>
      </c>
      <c r="K183" s="463" t="str">
        <f t="shared" si="10"/>
        <v>C</v>
      </c>
    </row>
    <row r="184" ht="15.75" customHeight="1" spans="1:11">
      <c r="A184" s="462">
        <v>59438</v>
      </c>
      <c r="B184" s="462" t="s">
        <v>65</v>
      </c>
      <c r="C184" s="462" t="s">
        <v>1128</v>
      </c>
      <c r="D184" s="462"/>
      <c r="E184" s="462" t="s">
        <v>67</v>
      </c>
      <c r="F184" s="463">
        <v>14</v>
      </c>
      <c r="G184" s="463">
        <v>276.49</v>
      </c>
      <c r="H184" s="462">
        <v>3870.86</v>
      </c>
      <c r="I184" s="470">
        <f t="shared" si="8"/>
        <v>0.00051580057300254</v>
      </c>
      <c r="J184" s="471">
        <f t="shared" si="9"/>
        <v>0.967375402552868</v>
      </c>
      <c r="K184" s="463" t="str">
        <f t="shared" si="10"/>
        <v>C</v>
      </c>
    </row>
    <row r="185" ht="15.75" customHeight="1" spans="1:11">
      <c r="A185" s="462">
        <v>87905</v>
      </c>
      <c r="B185" s="462" t="s">
        <v>71</v>
      </c>
      <c r="C185" s="462" t="s">
        <v>1249</v>
      </c>
      <c r="D185" s="462" t="s">
        <v>1681</v>
      </c>
      <c r="E185" s="462" t="s">
        <v>73</v>
      </c>
      <c r="F185" s="463">
        <v>312.21</v>
      </c>
      <c r="G185" s="463">
        <v>12.32</v>
      </c>
      <c r="H185" s="462">
        <v>3846.42</v>
      </c>
      <c r="I185" s="470">
        <f t="shared" si="8"/>
        <v>0.000512543889473768</v>
      </c>
      <c r="J185" s="471">
        <f t="shared" si="9"/>
        <v>0.967887946442342</v>
      </c>
      <c r="K185" s="463" t="str">
        <f t="shared" si="10"/>
        <v>C</v>
      </c>
    </row>
    <row r="186" ht="15.75" customHeight="1" spans="1:11">
      <c r="A186" s="462" t="s">
        <v>405</v>
      </c>
      <c r="B186" s="462" t="s">
        <v>65</v>
      </c>
      <c r="C186" s="462" t="s">
        <v>406</v>
      </c>
      <c r="D186" s="462"/>
      <c r="E186" s="462" t="s">
        <v>67</v>
      </c>
      <c r="F186" s="463">
        <v>25.5</v>
      </c>
      <c r="G186" s="463">
        <v>147.38</v>
      </c>
      <c r="H186" s="462">
        <v>3758.19</v>
      </c>
      <c r="I186" s="470">
        <f t="shared" si="8"/>
        <v>0.000500787048731397</v>
      </c>
      <c r="J186" s="471">
        <f t="shared" si="9"/>
        <v>0.968388733491074</v>
      </c>
      <c r="K186" s="463" t="str">
        <f t="shared" si="10"/>
        <v>C</v>
      </c>
    </row>
    <row r="187" ht="15.75" customHeight="1" spans="1:11">
      <c r="A187" s="462">
        <v>87531</v>
      </c>
      <c r="B187" s="462" t="s">
        <v>71</v>
      </c>
      <c r="C187" s="462" t="s">
        <v>1243</v>
      </c>
      <c r="D187" s="462" t="s">
        <v>1646</v>
      </c>
      <c r="E187" s="462" t="s">
        <v>73</v>
      </c>
      <c r="F187" s="463">
        <v>70.42</v>
      </c>
      <c r="G187" s="463">
        <v>52.49</v>
      </c>
      <c r="H187" s="462">
        <v>3696.34</v>
      </c>
      <c r="I187" s="470">
        <f t="shared" si="8"/>
        <v>0.000492545400766809</v>
      </c>
      <c r="J187" s="471">
        <f t="shared" si="9"/>
        <v>0.96888127889184</v>
      </c>
      <c r="K187" s="463" t="str">
        <f t="shared" si="10"/>
        <v>C</v>
      </c>
    </row>
    <row r="188" ht="15.75" customHeight="1" spans="1:11">
      <c r="A188" s="462" t="s">
        <v>897</v>
      </c>
      <c r="B188" s="462" t="s">
        <v>76</v>
      </c>
      <c r="C188" s="462" t="s">
        <v>898</v>
      </c>
      <c r="D188" s="462">
        <v>18</v>
      </c>
      <c r="E188" s="462" t="s">
        <v>105</v>
      </c>
      <c r="F188" s="463">
        <v>19</v>
      </c>
      <c r="G188" s="463">
        <v>192.72</v>
      </c>
      <c r="H188" s="462">
        <v>3661.68</v>
      </c>
      <c r="I188" s="470">
        <f t="shared" si="8"/>
        <v>0.000487926879854074</v>
      </c>
      <c r="J188" s="471">
        <f t="shared" si="9"/>
        <v>0.969369205771694</v>
      </c>
      <c r="K188" s="463" t="str">
        <f t="shared" si="10"/>
        <v>C</v>
      </c>
    </row>
    <row r="189" ht="15.75" customHeight="1" spans="1:11">
      <c r="A189" s="462" t="s">
        <v>827</v>
      </c>
      <c r="B189" s="462" t="s">
        <v>512</v>
      </c>
      <c r="C189" s="462" t="s">
        <v>828</v>
      </c>
      <c r="D189" s="462" t="s">
        <v>1648</v>
      </c>
      <c r="E189" s="462" t="s">
        <v>67</v>
      </c>
      <c r="F189" s="463">
        <v>22</v>
      </c>
      <c r="G189" s="463">
        <v>162.99</v>
      </c>
      <c r="H189" s="462">
        <v>3585.78</v>
      </c>
      <c r="I189" s="470">
        <f t="shared" si="8"/>
        <v>0.000477813038617013</v>
      </c>
      <c r="J189" s="471">
        <f t="shared" si="9"/>
        <v>0.969847018810312</v>
      </c>
      <c r="K189" s="463" t="str">
        <f t="shared" si="10"/>
        <v>C</v>
      </c>
    </row>
    <row r="190" ht="15.75" customHeight="1" spans="1:11">
      <c r="A190" s="462">
        <v>104411</v>
      </c>
      <c r="B190" s="462" t="s">
        <v>71</v>
      </c>
      <c r="C190" s="462" t="s">
        <v>1240</v>
      </c>
      <c r="D190" s="462" t="s">
        <v>1681</v>
      </c>
      <c r="E190" s="462" t="s">
        <v>73</v>
      </c>
      <c r="F190" s="463">
        <v>494.33</v>
      </c>
      <c r="G190" s="463">
        <v>7.21</v>
      </c>
      <c r="H190" s="462">
        <v>3564.11</v>
      </c>
      <c r="I190" s="470">
        <f t="shared" si="8"/>
        <v>0.000474925463655127</v>
      </c>
      <c r="J190" s="471">
        <f t="shared" si="9"/>
        <v>0.970321944273967</v>
      </c>
      <c r="K190" s="463" t="str">
        <f t="shared" si="10"/>
        <v>C</v>
      </c>
    </row>
    <row r="191" ht="15.75" customHeight="1" spans="1:11">
      <c r="A191" s="462">
        <v>103689</v>
      </c>
      <c r="B191" s="462" t="s">
        <v>71</v>
      </c>
      <c r="C191" s="462" t="s">
        <v>72</v>
      </c>
      <c r="D191" s="462" t="s">
        <v>1682</v>
      </c>
      <c r="E191" s="462" t="s">
        <v>73</v>
      </c>
      <c r="F191" s="463">
        <v>6</v>
      </c>
      <c r="G191" s="463">
        <v>593.73</v>
      </c>
      <c r="H191" s="462">
        <v>3562.38</v>
      </c>
      <c r="I191" s="470">
        <f t="shared" si="8"/>
        <v>0.000474694937366061</v>
      </c>
      <c r="J191" s="471">
        <f t="shared" si="9"/>
        <v>0.970796639211333</v>
      </c>
      <c r="K191" s="463" t="str">
        <f t="shared" si="10"/>
        <v>C</v>
      </c>
    </row>
    <row r="192" ht="15.75" customHeight="1" spans="1:11">
      <c r="A192" s="462">
        <v>98305</v>
      </c>
      <c r="B192" s="462" t="s">
        <v>71</v>
      </c>
      <c r="C192" s="462" t="s">
        <v>1040</v>
      </c>
      <c r="D192" s="462" t="s">
        <v>1630</v>
      </c>
      <c r="E192" s="462" t="s">
        <v>105</v>
      </c>
      <c r="F192" s="463">
        <v>1</v>
      </c>
      <c r="G192" s="462">
        <v>3544.2</v>
      </c>
      <c r="H192" s="462">
        <v>3544.2</v>
      </c>
      <c r="I192" s="470">
        <f t="shared" si="8"/>
        <v>0.000472272412548013</v>
      </c>
      <c r="J192" s="471">
        <f t="shared" si="9"/>
        <v>0.971268911623881</v>
      </c>
      <c r="K192" s="463" t="str">
        <f t="shared" si="10"/>
        <v>C</v>
      </c>
    </row>
    <row r="193" ht="15.75" customHeight="1" spans="1:11">
      <c r="A193" s="462">
        <v>89779</v>
      </c>
      <c r="B193" s="462" t="s">
        <v>71</v>
      </c>
      <c r="C193" s="462" t="s">
        <v>556</v>
      </c>
      <c r="D193" s="462" t="s">
        <v>1649</v>
      </c>
      <c r="E193" s="462" t="s">
        <v>105</v>
      </c>
      <c r="F193" s="463">
        <v>75</v>
      </c>
      <c r="G193" s="463">
        <v>47.1</v>
      </c>
      <c r="H193" s="462">
        <v>3532.5</v>
      </c>
      <c r="I193" s="470">
        <f t="shared" si="8"/>
        <v>0.000470713361922538</v>
      </c>
      <c r="J193" s="471">
        <f t="shared" si="9"/>
        <v>0.971739624985803</v>
      </c>
      <c r="K193" s="463" t="str">
        <f t="shared" si="10"/>
        <v>C</v>
      </c>
    </row>
    <row r="194" ht="15.75" customHeight="1" spans="1:11">
      <c r="A194" s="462">
        <v>89810</v>
      </c>
      <c r="B194" s="462" t="s">
        <v>71</v>
      </c>
      <c r="C194" s="462" t="s">
        <v>726</v>
      </c>
      <c r="D194" s="462" t="s">
        <v>1649</v>
      </c>
      <c r="E194" s="462" t="s">
        <v>105</v>
      </c>
      <c r="F194" s="463">
        <v>84</v>
      </c>
      <c r="G194" s="463">
        <v>41.74</v>
      </c>
      <c r="H194" s="462">
        <v>3506.16</v>
      </c>
      <c r="I194" s="470">
        <f t="shared" si="8"/>
        <v>0.000467203499232364</v>
      </c>
      <c r="J194" s="471">
        <f t="shared" si="9"/>
        <v>0.972206828485036</v>
      </c>
      <c r="K194" s="463" t="str">
        <f t="shared" si="10"/>
        <v>C</v>
      </c>
    </row>
    <row r="195" ht="15.75" customHeight="1" spans="1:11">
      <c r="A195" s="462">
        <v>59562</v>
      </c>
      <c r="B195" s="462" t="s">
        <v>99</v>
      </c>
      <c r="C195" s="462" t="s">
        <v>1072</v>
      </c>
      <c r="D195" s="462" t="s">
        <v>1644</v>
      </c>
      <c r="E195" s="462" t="s">
        <v>78</v>
      </c>
      <c r="F195" s="463">
        <v>180</v>
      </c>
      <c r="G195" s="463">
        <v>19.12</v>
      </c>
      <c r="H195" s="462">
        <v>3441.6</v>
      </c>
      <c r="I195" s="470">
        <f t="shared" si="8"/>
        <v>0.000458600737832302</v>
      </c>
      <c r="J195" s="471">
        <f t="shared" si="9"/>
        <v>0.972665429222868</v>
      </c>
      <c r="K195" s="463" t="str">
        <f t="shared" si="10"/>
        <v>C</v>
      </c>
    </row>
    <row r="196" ht="15.75" customHeight="1" spans="1:11">
      <c r="A196" s="462">
        <v>96977</v>
      </c>
      <c r="B196" s="462" t="s">
        <v>71</v>
      </c>
      <c r="C196" s="462" t="s">
        <v>811</v>
      </c>
      <c r="D196" s="462" t="s">
        <v>1683</v>
      </c>
      <c r="E196" s="462" t="s">
        <v>78</v>
      </c>
      <c r="F196" s="463">
        <v>45</v>
      </c>
      <c r="G196" s="463">
        <v>76.22</v>
      </c>
      <c r="H196" s="462">
        <v>3429.9</v>
      </c>
      <c r="I196" s="470">
        <f t="shared" si="8"/>
        <v>0.000457041687206826</v>
      </c>
      <c r="J196" s="471">
        <f t="shared" si="9"/>
        <v>0.973122470910075</v>
      </c>
      <c r="K196" s="463" t="str">
        <f t="shared" si="10"/>
        <v>C</v>
      </c>
    </row>
    <row r="197" ht="15.75" customHeight="1" spans="1:11">
      <c r="A197" s="462">
        <v>78563</v>
      </c>
      <c r="B197" s="462" t="s">
        <v>99</v>
      </c>
      <c r="C197" s="462" t="s">
        <v>1003</v>
      </c>
      <c r="D197" s="462" t="s">
        <v>1684</v>
      </c>
      <c r="E197" s="462" t="s">
        <v>105</v>
      </c>
      <c r="F197" s="463">
        <v>690</v>
      </c>
      <c r="G197" s="463">
        <v>4.82</v>
      </c>
      <c r="H197" s="462">
        <v>3325.8</v>
      </c>
      <c r="I197" s="470">
        <f t="shared" si="8"/>
        <v>0.000443170134205796</v>
      </c>
      <c r="J197" s="471">
        <f t="shared" si="9"/>
        <v>0.973565641044281</v>
      </c>
      <c r="K197" s="463" t="str">
        <f t="shared" si="10"/>
        <v>C</v>
      </c>
    </row>
    <row r="198" ht="15.75" customHeight="1" spans="1:11">
      <c r="A198" s="462">
        <v>97097</v>
      </c>
      <c r="B198" s="462" t="s">
        <v>71</v>
      </c>
      <c r="C198" s="462" t="s">
        <v>1328</v>
      </c>
      <c r="D198" s="462" t="s">
        <v>1685</v>
      </c>
      <c r="E198" s="462" t="s">
        <v>73</v>
      </c>
      <c r="F198" s="463">
        <v>60.29</v>
      </c>
      <c r="G198" s="462">
        <v>55.04</v>
      </c>
      <c r="H198" s="462">
        <v>3318.36</v>
      </c>
      <c r="I198" s="470">
        <f t="shared" si="8"/>
        <v>0.000442178737910622</v>
      </c>
      <c r="J198" s="471">
        <f t="shared" si="9"/>
        <v>0.974007819782191</v>
      </c>
      <c r="K198" s="463" t="str">
        <f t="shared" si="10"/>
        <v>C</v>
      </c>
    </row>
    <row r="199" ht="15.75" customHeight="1" spans="1:11">
      <c r="A199" s="462" t="s">
        <v>107</v>
      </c>
      <c r="B199" s="462" t="s">
        <v>65</v>
      </c>
      <c r="C199" s="462" t="s">
        <v>108</v>
      </c>
      <c r="D199" s="462" t="s">
        <v>1686</v>
      </c>
      <c r="E199" s="462" t="s">
        <v>105</v>
      </c>
      <c r="F199" s="463">
        <v>1</v>
      </c>
      <c r="G199" s="462">
        <v>3287.22</v>
      </c>
      <c r="H199" s="462">
        <v>3287.22</v>
      </c>
      <c r="I199" s="470">
        <f t="shared" si="8"/>
        <v>0.000438029264707432</v>
      </c>
      <c r="J199" s="471">
        <f t="shared" si="9"/>
        <v>0.974445849046899</v>
      </c>
      <c r="K199" s="463" t="str">
        <f t="shared" si="10"/>
        <v>C</v>
      </c>
    </row>
    <row r="200" ht="15.75" customHeight="1" spans="1:11">
      <c r="A200" s="462">
        <v>88485</v>
      </c>
      <c r="B200" s="462" t="s">
        <v>71</v>
      </c>
      <c r="C200" s="462" t="s">
        <v>1257</v>
      </c>
      <c r="D200" s="462" t="s">
        <v>1657</v>
      </c>
      <c r="E200" s="462" t="s">
        <v>73</v>
      </c>
      <c r="F200" s="463">
        <v>483.12</v>
      </c>
      <c r="G200" s="463">
        <v>6.8</v>
      </c>
      <c r="H200" s="462">
        <v>3285.21</v>
      </c>
      <c r="I200" s="470">
        <f t="shared" si="8"/>
        <v>0.000437761427805107</v>
      </c>
      <c r="J200" s="471">
        <f t="shared" si="9"/>
        <v>0.974883610474704</v>
      </c>
      <c r="K200" s="463" t="str">
        <f t="shared" si="10"/>
        <v>C</v>
      </c>
    </row>
    <row r="201" ht="15.75" customHeight="1" spans="1:11">
      <c r="A201" s="462">
        <v>92761</v>
      </c>
      <c r="B201" s="462" t="s">
        <v>71</v>
      </c>
      <c r="C201" s="462" t="s">
        <v>219</v>
      </c>
      <c r="D201" s="462" t="s">
        <v>1632</v>
      </c>
      <c r="E201" s="462" t="s">
        <v>158</v>
      </c>
      <c r="F201" s="463">
        <v>191.6</v>
      </c>
      <c r="G201" s="463">
        <v>17</v>
      </c>
      <c r="H201" s="462">
        <v>3257.2</v>
      </c>
      <c r="I201" s="470">
        <f t="shared" si="8"/>
        <v>0.000434029033957279</v>
      </c>
      <c r="J201" s="471">
        <f t="shared" si="9"/>
        <v>0.975317639508661</v>
      </c>
      <c r="K201" s="463" t="str">
        <f t="shared" si="10"/>
        <v>C</v>
      </c>
    </row>
    <row r="202" ht="15.75" customHeight="1" spans="1:11">
      <c r="A202" s="462" t="s">
        <v>793</v>
      </c>
      <c r="B202" s="462" t="s">
        <v>65</v>
      </c>
      <c r="C202" s="462" t="s">
        <v>794</v>
      </c>
      <c r="D202" s="462" t="s">
        <v>1670</v>
      </c>
      <c r="E202" s="462" t="s">
        <v>535</v>
      </c>
      <c r="F202" s="463">
        <v>90</v>
      </c>
      <c r="G202" s="463">
        <v>35.93</v>
      </c>
      <c r="H202" s="462">
        <v>3233.7</v>
      </c>
      <c r="I202" s="470">
        <f t="shared" si="8"/>
        <v>0.000430897607487306</v>
      </c>
      <c r="J202" s="471">
        <f t="shared" si="9"/>
        <v>0.975748537116148</v>
      </c>
      <c r="K202" s="463" t="str">
        <f t="shared" si="10"/>
        <v>C</v>
      </c>
    </row>
    <row r="203" ht="15.75" customHeight="1" spans="1:11">
      <c r="A203" s="462">
        <v>104171</v>
      </c>
      <c r="B203" s="462" t="s">
        <v>71</v>
      </c>
      <c r="C203" s="462" t="s">
        <v>717</v>
      </c>
      <c r="D203" s="462" t="s">
        <v>1687</v>
      </c>
      <c r="E203" s="462" t="s">
        <v>105</v>
      </c>
      <c r="F203" s="463">
        <v>25</v>
      </c>
      <c r="G203" s="463">
        <v>128.23</v>
      </c>
      <c r="H203" s="462">
        <v>3205.75</v>
      </c>
      <c r="I203" s="470">
        <f t="shared" si="8"/>
        <v>0.000427173208770892</v>
      </c>
      <c r="J203" s="471">
        <f t="shared" si="9"/>
        <v>0.976175710324919</v>
      </c>
      <c r="K203" s="463" t="str">
        <f t="shared" si="10"/>
        <v>C</v>
      </c>
    </row>
    <row r="204" ht="15.75" customHeight="1" spans="1:11">
      <c r="A204" s="462">
        <v>103336</v>
      </c>
      <c r="B204" s="462" t="s">
        <v>71</v>
      </c>
      <c r="C204" s="462" t="s">
        <v>325</v>
      </c>
      <c r="D204" s="462" t="s">
        <v>1677</v>
      </c>
      <c r="E204" s="462" t="s">
        <v>73</v>
      </c>
      <c r="F204" s="463">
        <v>27.62</v>
      </c>
      <c r="G204" s="463">
        <v>114.4</v>
      </c>
      <c r="H204" s="462">
        <v>3159.72</v>
      </c>
      <c r="I204" s="470">
        <f t="shared" si="8"/>
        <v>0.000421039610455451</v>
      </c>
      <c r="J204" s="471">
        <f t="shared" si="9"/>
        <v>0.976596749935375</v>
      </c>
      <c r="K204" s="463" t="str">
        <f t="shared" si="10"/>
        <v>C</v>
      </c>
    </row>
    <row r="205" ht="15.75" customHeight="1" spans="1:11">
      <c r="A205" s="462" t="s">
        <v>870</v>
      </c>
      <c r="B205" s="462" t="s">
        <v>65</v>
      </c>
      <c r="C205" s="462" t="s">
        <v>871</v>
      </c>
      <c r="D205" s="462"/>
      <c r="E205" s="462" t="s">
        <v>67</v>
      </c>
      <c r="F205" s="463">
        <v>300</v>
      </c>
      <c r="G205" s="463">
        <v>10.53</v>
      </c>
      <c r="H205" s="462">
        <v>3159</v>
      </c>
      <c r="I205" s="470">
        <f t="shared" si="8"/>
        <v>0.000420943668878499</v>
      </c>
      <c r="J205" s="471">
        <f t="shared" si="9"/>
        <v>0.977017693604253</v>
      </c>
      <c r="K205" s="463" t="str">
        <f t="shared" si="10"/>
        <v>C</v>
      </c>
    </row>
    <row r="206" ht="15.75" customHeight="1" spans="1:11">
      <c r="A206" s="462">
        <v>96973</v>
      </c>
      <c r="B206" s="462" t="s">
        <v>71</v>
      </c>
      <c r="C206" s="462" t="s">
        <v>808</v>
      </c>
      <c r="D206" s="462" t="s">
        <v>1683</v>
      </c>
      <c r="E206" s="462" t="s">
        <v>78</v>
      </c>
      <c r="F206" s="463">
        <v>30</v>
      </c>
      <c r="G206" s="462">
        <v>97.59</v>
      </c>
      <c r="H206" s="462">
        <v>2927.7</v>
      </c>
      <c r="I206" s="470">
        <f t="shared" si="8"/>
        <v>0.000390122437282551</v>
      </c>
      <c r="J206" s="471">
        <f t="shared" si="9"/>
        <v>0.977407816041536</v>
      </c>
      <c r="K206" s="463" t="str">
        <f t="shared" si="10"/>
        <v>C</v>
      </c>
    </row>
    <row r="207" ht="15.75" customHeight="1" spans="1:11">
      <c r="A207" s="462" t="s">
        <v>1295</v>
      </c>
      <c r="B207" s="462" t="s">
        <v>65</v>
      </c>
      <c r="C207" s="462" t="s">
        <v>1296</v>
      </c>
      <c r="D207" s="462"/>
      <c r="E207" s="462" t="s">
        <v>67</v>
      </c>
      <c r="F207" s="463">
        <v>16.29</v>
      </c>
      <c r="G207" s="462">
        <v>179.72</v>
      </c>
      <c r="H207" s="462">
        <v>2927.63</v>
      </c>
      <c r="I207" s="470">
        <f t="shared" si="8"/>
        <v>0.000390113109629237</v>
      </c>
      <c r="J207" s="471">
        <f t="shared" si="9"/>
        <v>0.977797929151165</v>
      </c>
      <c r="K207" s="463" t="str">
        <f t="shared" si="10"/>
        <v>C</v>
      </c>
    </row>
    <row r="208" ht="15.75" customHeight="1" spans="1:11">
      <c r="A208" s="462">
        <v>102609</v>
      </c>
      <c r="B208" s="462" t="s">
        <v>71</v>
      </c>
      <c r="C208" s="462" t="s">
        <v>504</v>
      </c>
      <c r="D208" s="462" t="s">
        <v>1688</v>
      </c>
      <c r="E208" s="462" t="s">
        <v>105</v>
      </c>
      <c r="F208" s="463">
        <v>2</v>
      </c>
      <c r="G208" s="462">
        <v>1454.64</v>
      </c>
      <c r="H208" s="462">
        <v>2909.28</v>
      </c>
      <c r="I208" s="470">
        <f t="shared" si="8"/>
        <v>0.000387667931938854</v>
      </c>
      <c r="J208" s="471">
        <f t="shared" si="9"/>
        <v>0.978185597083104</v>
      </c>
      <c r="K208" s="463" t="str">
        <f t="shared" si="10"/>
        <v>C</v>
      </c>
    </row>
    <row r="209" ht="15.75" customHeight="1" spans="1:11">
      <c r="A209" s="462" t="s">
        <v>1045</v>
      </c>
      <c r="B209" s="462" t="s">
        <v>65</v>
      </c>
      <c r="C209" s="462" t="s">
        <v>1046</v>
      </c>
      <c r="D209" s="462"/>
      <c r="E209" s="462" t="s">
        <v>67</v>
      </c>
      <c r="F209" s="463">
        <v>1</v>
      </c>
      <c r="G209" s="462">
        <v>2869.66</v>
      </c>
      <c r="H209" s="462">
        <v>2869.66</v>
      </c>
      <c r="I209" s="470">
        <f t="shared" ref="I209:I272" si="11">H209/$I$445</f>
        <v>0.000382388480162669</v>
      </c>
      <c r="J209" s="471">
        <f t="shared" si="9"/>
        <v>0.978567985563267</v>
      </c>
      <c r="K209" s="463" t="str">
        <f t="shared" si="10"/>
        <v>C</v>
      </c>
    </row>
    <row r="210" ht="15.75" customHeight="1" spans="1:11">
      <c r="A210" s="462">
        <v>97670</v>
      </c>
      <c r="B210" s="462" t="s">
        <v>71</v>
      </c>
      <c r="C210" s="462" t="s">
        <v>868</v>
      </c>
      <c r="D210" s="462" t="s">
        <v>1638</v>
      </c>
      <c r="E210" s="462" t="s">
        <v>78</v>
      </c>
      <c r="F210" s="463">
        <v>80</v>
      </c>
      <c r="G210" s="463">
        <v>34.99</v>
      </c>
      <c r="H210" s="462">
        <v>2799.2</v>
      </c>
      <c r="I210" s="470">
        <f t="shared" si="11"/>
        <v>0.000372999530840359</v>
      </c>
      <c r="J210" s="471">
        <f t="shared" si="9"/>
        <v>0.978940985094107</v>
      </c>
      <c r="K210" s="463" t="str">
        <f t="shared" si="10"/>
        <v>C</v>
      </c>
    </row>
    <row r="211" ht="15.75" customHeight="1" spans="1:11">
      <c r="A211" s="462">
        <v>96113</v>
      </c>
      <c r="B211" s="462" t="s">
        <v>71</v>
      </c>
      <c r="C211" s="462" t="s">
        <v>1341</v>
      </c>
      <c r="D211" s="462" t="s">
        <v>1689</v>
      </c>
      <c r="E211" s="462" t="s">
        <v>73</v>
      </c>
      <c r="F211" s="463">
        <v>39.47</v>
      </c>
      <c r="G211" s="463">
        <v>70.65</v>
      </c>
      <c r="H211" s="462">
        <v>2788.55</v>
      </c>
      <c r="I211" s="470">
        <f t="shared" si="11"/>
        <v>0.000371580395014605</v>
      </c>
      <c r="J211" s="471">
        <f t="shared" ref="J211:J274" si="12">I211+J210</f>
        <v>0.979312565489121</v>
      </c>
      <c r="K211" s="463" t="str">
        <f t="shared" ref="K211:K274" si="13">IF(J211&lt;=50%,"A",IF(J211&lt;=80%,"B","C"))</f>
        <v>C</v>
      </c>
    </row>
    <row r="212" ht="15.75" customHeight="1" spans="1:11">
      <c r="A212" s="462" t="s">
        <v>921</v>
      </c>
      <c r="B212" s="462" t="s">
        <v>65</v>
      </c>
      <c r="C212" s="462" t="s">
        <v>922</v>
      </c>
      <c r="D212" s="462"/>
      <c r="E212" s="462" t="s">
        <v>67</v>
      </c>
      <c r="F212" s="463">
        <v>175</v>
      </c>
      <c r="G212" s="463">
        <v>15.39</v>
      </c>
      <c r="H212" s="462">
        <v>2693.25</v>
      </c>
      <c r="I212" s="470">
        <f t="shared" si="11"/>
        <v>0.000358881461287438</v>
      </c>
      <c r="J212" s="471">
        <f t="shared" si="12"/>
        <v>0.979671446950409</v>
      </c>
      <c r="K212" s="463" t="str">
        <f t="shared" si="13"/>
        <v>C</v>
      </c>
    </row>
    <row r="213" ht="15.75" customHeight="1" spans="1:11">
      <c r="A213" s="462">
        <v>96536</v>
      </c>
      <c r="B213" s="462" t="s">
        <v>71</v>
      </c>
      <c r="C213" s="462" t="s">
        <v>190</v>
      </c>
      <c r="D213" s="462" t="s">
        <v>1634</v>
      </c>
      <c r="E213" s="462" t="s">
        <v>73</v>
      </c>
      <c r="F213" s="463">
        <v>25.99</v>
      </c>
      <c r="G213" s="463">
        <v>103.51</v>
      </c>
      <c r="H213" s="462">
        <v>2690.22</v>
      </c>
      <c r="I213" s="470">
        <f t="shared" si="11"/>
        <v>0.000358477707151097</v>
      </c>
      <c r="J213" s="471">
        <f t="shared" si="12"/>
        <v>0.98002992465756</v>
      </c>
      <c r="K213" s="463" t="str">
        <f t="shared" si="13"/>
        <v>C</v>
      </c>
    </row>
    <row r="214" ht="15.75" customHeight="1" spans="1:11">
      <c r="A214" s="462">
        <v>101114</v>
      </c>
      <c r="B214" s="462" t="s">
        <v>71</v>
      </c>
      <c r="C214" s="462" t="s">
        <v>128</v>
      </c>
      <c r="D214" s="462" t="s">
        <v>1690</v>
      </c>
      <c r="E214" s="462" t="s">
        <v>129</v>
      </c>
      <c r="F214" s="463">
        <v>419.38</v>
      </c>
      <c r="G214" s="463">
        <v>6.28</v>
      </c>
      <c r="H214" s="462">
        <v>2633.7</v>
      </c>
      <c r="I214" s="470">
        <f t="shared" si="11"/>
        <v>0.000350946293360336</v>
      </c>
      <c r="J214" s="471">
        <f t="shared" si="12"/>
        <v>0.98038087095092</v>
      </c>
      <c r="K214" s="463" t="str">
        <f t="shared" si="13"/>
        <v>C</v>
      </c>
    </row>
    <row r="215" ht="15.75" customHeight="1" spans="1:11">
      <c r="A215" s="462" t="s">
        <v>515</v>
      </c>
      <c r="B215" s="462" t="s">
        <v>76</v>
      </c>
      <c r="C215" s="462" t="s">
        <v>516</v>
      </c>
      <c r="D215" s="462">
        <v>6</v>
      </c>
      <c r="E215" s="462" t="s">
        <v>105</v>
      </c>
      <c r="F215" s="463">
        <v>6</v>
      </c>
      <c r="G215" s="463">
        <v>434.25</v>
      </c>
      <c r="H215" s="462">
        <v>2605.5</v>
      </c>
      <c r="I215" s="470">
        <f t="shared" si="11"/>
        <v>0.000347188581596368</v>
      </c>
      <c r="J215" s="471">
        <f t="shared" si="12"/>
        <v>0.980728059532517</v>
      </c>
      <c r="K215" s="463" t="str">
        <f t="shared" si="13"/>
        <v>C</v>
      </c>
    </row>
    <row r="216" ht="15.75" customHeight="1" spans="1:11">
      <c r="A216" s="462">
        <v>95945</v>
      </c>
      <c r="B216" s="462" t="s">
        <v>71</v>
      </c>
      <c r="C216" s="462" t="s">
        <v>291</v>
      </c>
      <c r="D216" s="462" t="s">
        <v>1672</v>
      </c>
      <c r="E216" s="462" t="s">
        <v>158</v>
      </c>
      <c r="F216" s="463">
        <v>112</v>
      </c>
      <c r="G216" s="462">
        <v>23.01</v>
      </c>
      <c r="H216" s="462">
        <v>2577.12</v>
      </c>
      <c r="I216" s="470">
        <f t="shared" si="11"/>
        <v>0.000343406884438163</v>
      </c>
      <c r="J216" s="471">
        <f t="shared" si="12"/>
        <v>0.981071466416955</v>
      </c>
      <c r="K216" s="463" t="str">
        <f t="shared" si="13"/>
        <v>C</v>
      </c>
    </row>
    <row r="217" ht="15.75" customHeight="1" spans="1:11">
      <c r="A217" s="462">
        <v>89987</v>
      </c>
      <c r="B217" s="462" t="s">
        <v>71</v>
      </c>
      <c r="C217" s="462" t="s">
        <v>495</v>
      </c>
      <c r="D217" s="462" t="s">
        <v>1691</v>
      </c>
      <c r="E217" s="462" t="s">
        <v>105</v>
      </c>
      <c r="F217" s="463">
        <v>26</v>
      </c>
      <c r="G217" s="463">
        <v>97.83</v>
      </c>
      <c r="H217" s="462">
        <v>2543.58</v>
      </c>
      <c r="I217" s="470">
        <f t="shared" si="11"/>
        <v>0.000338937605978465</v>
      </c>
      <c r="J217" s="471">
        <f t="shared" si="12"/>
        <v>0.981410404022933</v>
      </c>
      <c r="K217" s="463" t="str">
        <f t="shared" si="13"/>
        <v>C</v>
      </c>
    </row>
    <row r="218" ht="15.75" customHeight="1" spans="1:11">
      <c r="A218" s="462">
        <v>101881</v>
      </c>
      <c r="B218" s="462" t="s">
        <v>71</v>
      </c>
      <c r="C218" s="462" t="s">
        <v>1540</v>
      </c>
      <c r="D218" s="462" t="s">
        <v>1692</v>
      </c>
      <c r="E218" s="462" t="s">
        <v>105</v>
      </c>
      <c r="F218" s="463">
        <v>2</v>
      </c>
      <c r="G218" s="462">
        <v>1248.32</v>
      </c>
      <c r="H218" s="462">
        <v>2496.64</v>
      </c>
      <c r="I218" s="470">
        <f t="shared" si="11"/>
        <v>0.000332682748169932</v>
      </c>
      <c r="J218" s="471">
        <f t="shared" si="12"/>
        <v>0.981743086771103</v>
      </c>
      <c r="K218" s="463" t="str">
        <f t="shared" si="13"/>
        <v>C</v>
      </c>
    </row>
    <row r="219" ht="15.75" customHeight="1" spans="1:11">
      <c r="A219" s="462" t="s">
        <v>1179</v>
      </c>
      <c r="B219" s="462" t="s">
        <v>65</v>
      </c>
      <c r="C219" s="462" t="s">
        <v>1180</v>
      </c>
      <c r="D219" s="462"/>
      <c r="E219" s="462" t="s">
        <v>67</v>
      </c>
      <c r="F219" s="463">
        <v>10</v>
      </c>
      <c r="G219" s="463">
        <v>245.08</v>
      </c>
      <c r="H219" s="462">
        <v>2450.8</v>
      </c>
      <c r="I219" s="470">
        <f t="shared" si="11"/>
        <v>0.000326574467770631</v>
      </c>
      <c r="J219" s="471">
        <f t="shared" si="12"/>
        <v>0.982069661238874</v>
      </c>
      <c r="K219" s="463" t="str">
        <f t="shared" si="13"/>
        <v>C</v>
      </c>
    </row>
    <row r="220" ht="15.75" customHeight="1" spans="1:11">
      <c r="A220" s="462">
        <v>60211</v>
      </c>
      <c r="B220" s="462" t="s">
        <v>99</v>
      </c>
      <c r="C220" s="462" t="s">
        <v>910</v>
      </c>
      <c r="D220" s="462" t="s">
        <v>1663</v>
      </c>
      <c r="E220" s="462" t="s">
        <v>105</v>
      </c>
      <c r="F220" s="463">
        <v>3</v>
      </c>
      <c r="G220" s="463">
        <v>790.41</v>
      </c>
      <c r="H220" s="462">
        <v>2371.23</v>
      </c>
      <c r="I220" s="470">
        <f t="shared" si="11"/>
        <v>0.000315971590995493</v>
      </c>
      <c r="J220" s="471">
        <f t="shared" si="12"/>
        <v>0.982385632829869</v>
      </c>
      <c r="K220" s="463" t="str">
        <f t="shared" si="13"/>
        <v>C</v>
      </c>
    </row>
    <row r="221" ht="15.75" customHeight="1" spans="1:11">
      <c r="A221" s="462" t="s">
        <v>1176</v>
      </c>
      <c r="B221" s="462" t="s">
        <v>65</v>
      </c>
      <c r="C221" s="462" t="s">
        <v>1177</v>
      </c>
      <c r="D221" s="462"/>
      <c r="E221" s="462" t="s">
        <v>67</v>
      </c>
      <c r="F221" s="463">
        <v>6</v>
      </c>
      <c r="G221" s="462">
        <v>385.47</v>
      </c>
      <c r="H221" s="462">
        <v>2312.82</v>
      </c>
      <c r="I221" s="470">
        <f t="shared" si="11"/>
        <v>0.000308188330565232</v>
      </c>
      <c r="J221" s="471">
        <f t="shared" si="12"/>
        <v>0.982693821160435</v>
      </c>
      <c r="K221" s="463" t="str">
        <f t="shared" si="13"/>
        <v>C</v>
      </c>
    </row>
    <row r="222" ht="15.75" customHeight="1" spans="1:11">
      <c r="A222" s="462">
        <v>100868</v>
      </c>
      <c r="B222" s="462" t="s">
        <v>71</v>
      </c>
      <c r="C222" s="462" t="s">
        <v>678</v>
      </c>
      <c r="D222" s="462" t="s">
        <v>1673</v>
      </c>
      <c r="E222" s="462" t="s">
        <v>105</v>
      </c>
      <c r="F222" s="463">
        <v>6</v>
      </c>
      <c r="G222" s="463">
        <v>384.52</v>
      </c>
      <c r="H222" s="462">
        <v>2307.12</v>
      </c>
      <c r="I222" s="470">
        <f t="shared" si="11"/>
        <v>0.000307428793081026</v>
      </c>
      <c r="J222" s="471">
        <f t="shared" si="12"/>
        <v>0.983001249953516</v>
      </c>
      <c r="K222" s="463" t="str">
        <f t="shared" si="13"/>
        <v>C</v>
      </c>
    </row>
    <row r="223" ht="15.75" customHeight="1" spans="1:11">
      <c r="A223" s="462">
        <v>101907</v>
      </c>
      <c r="B223" s="462" t="s">
        <v>71</v>
      </c>
      <c r="C223" s="462" t="s">
        <v>1105</v>
      </c>
      <c r="D223" s="462" t="s">
        <v>1693</v>
      </c>
      <c r="E223" s="462" t="s">
        <v>105</v>
      </c>
      <c r="F223" s="463">
        <v>2</v>
      </c>
      <c r="G223" s="462">
        <v>1123.77</v>
      </c>
      <c r="H223" s="462">
        <v>2247.54</v>
      </c>
      <c r="I223" s="470">
        <f t="shared" si="11"/>
        <v>0.000299489627588218</v>
      </c>
      <c r="J223" s="471">
        <f t="shared" si="12"/>
        <v>0.983300739581104</v>
      </c>
      <c r="K223" s="463" t="str">
        <f t="shared" si="13"/>
        <v>C</v>
      </c>
    </row>
    <row r="224" ht="15.75" customHeight="1" spans="1:11">
      <c r="A224" s="462">
        <v>78051</v>
      </c>
      <c r="B224" s="462" t="s">
        <v>99</v>
      </c>
      <c r="C224" s="462" t="s">
        <v>817</v>
      </c>
      <c r="D224" s="462" t="s">
        <v>1684</v>
      </c>
      <c r="E224" s="462" t="s">
        <v>105</v>
      </c>
      <c r="F224" s="463">
        <v>28</v>
      </c>
      <c r="G224" s="463">
        <v>79.63</v>
      </c>
      <c r="H224" s="462">
        <v>2229.64</v>
      </c>
      <c r="I224" s="470">
        <f t="shared" si="11"/>
        <v>0.00029710441338343</v>
      </c>
      <c r="J224" s="471">
        <f t="shared" si="12"/>
        <v>0.983597843994487</v>
      </c>
      <c r="K224" s="463" t="str">
        <f t="shared" si="13"/>
        <v>C</v>
      </c>
    </row>
    <row r="225" ht="15.75" customHeight="1" spans="1:11">
      <c r="A225" s="462" t="s">
        <v>1032</v>
      </c>
      <c r="B225" s="462" t="s">
        <v>76</v>
      </c>
      <c r="C225" s="462" t="s">
        <v>1033</v>
      </c>
      <c r="D225" s="462">
        <v>15</v>
      </c>
      <c r="E225" s="462" t="s">
        <v>105</v>
      </c>
      <c r="F225" s="463">
        <v>46</v>
      </c>
      <c r="G225" s="463">
        <v>48.44</v>
      </c>
      <c r="H225" s="462">
        <v>2228.24</v>
      </c>
      <c r="I225" s="470">
        <f t="shared" si="11"/>
        <v>0.000296917860317134</v>
      </c>
      <c r="J225" s="471">
        <f t="shared" si="12"/>
        <v>0.983894761854804</v>
      </c>
      <c r="K225" s="463" t="str">
        <f t="shared" si="13"/>
        <v>C</v>
      </c>
    </row>
    <row r="226" ht="15.75" customHeight="1" spans="1:11">
      <c r="A226" s="462">
        <v>102500</v>
      </c>
      <c r="B226" s="462" t="s">
        <v>71</v>
      </c>
      <c r="C226" s="462" t="s">
        <v>1376</v>
      </c>
      <c r="D226" s="462" t="s">
        <v>1667</v>
      </c>
      <c r="E226" s="462" t="s">
        <v>78</v>
      </c>
      <c r="F226" s="463">
        <v>314.44</v>
      </c>
      <c r="G226" s="463">
        <v>6.98</v>
      </c>
      <c r="H226" s="462">
        <v>2194.79</v>
      </c>
      <c r="I226" s="470">
        <f t="shared" si="11"/>
        <v>0.000292460574554555</v>
      </c>
      <c r="J226" s="471">
        <f t="shared" si="12"/>
        <v>0.984187222429359</v>
      </c>
      <c r="K226" s="463" t="str">
        <f t="shared" si="13"/>
        <v>C</v>
      </c>
    </row>
    <row r="227" ht="15.75" customHeight="1" spans="1:11">
      <c r="A227" s="462">
        <v>91931</v>
      </c>
      <c r="B227" s="462" t="s">
        <v>71</v>
      </c>
      <c r="C227" s="462" t="s">
        <v>773</v>
      </c>
      <c r="D227" s="462" t="s">
        <v>1636</v>
      </c>
      <c r="E227" s="462" t="s">
        <v>78</v>
      </c>
      <c r="F227" s="463">
        <v>150</v>
      </c>
      <c r="G227" s="463">
        <v>14.16</v>
      </c>
      <c r="H227" s="462">
        <v>2124</v>
      </c>
      <c r="I227" s="470">
        <f t="shared" si="11"/>
        <v>0.000283027652009475</v>
      </c>
      <c r="J227" s="471">
        <f t="shared" si="12"/>
        <v>0.984470250081368</v>
      </c>
      <c r="K227" s="463" t="str">
        <f t="shared" si="13"/>
        <v>C</v>
      </c>
    </row>
    <row r="228" ht="15.75" customHeight="1" spans="1:11">
      <c r="A228" s="462" t="s">
        <v>695</v>
      </c>
      <c r="B228" s="462" t="s">
        <v>65</v>
      </c>
      <c r="C228" s="462" t="s">
        <v>696</v>
      </c>
      <c r="D228" s="462"/>
      <c r="E228" s="462" t="s">
        <v>67</v>
      </c>
      <c r="F228" s="463">
        <v>8</v>
      </c>
      <c r="G228" s="463">
        <v>262.83</v>
      </c>
      <c r="H228" s="462">
        <v>2102.64</v>
      </c>
      <c r="I228" s="470">
        <f t="shared" si="11"/>
        <v>0.000280181385226555</v>
      </c>
      <c r="J228" s="471">
        <f t="shared" si="12"/>
        <v>0.984750431466595</v>
      </c>
      <c r="K228" s="463" t="str">
        <f t="shared" si="13"/>
        <v>C</v>
      </c>
    </row>
    <row r="229" ht="15.75" customHeight="1" spans="1:11">
      <c r="A229" s="462">
        <v>87261</v>
      </c>
      <c r="B229" s="462" t="s">
        <v>71</v>
      </c>
      <c r="C229" s="462" t="s">
        <v>1317</v>
      </c>
      <c r="D229" s="462" t="s">
        <v>1651</v>
      </c>
      <c r="E229" s="462" t="s">
        <v>73</v>
      </c>
      <c r="F229" s="463">
        <v>11.4</v>
      </c>
      <c r="G229" s="463">
        <v>182.82</v>
      </c>
      <c r="H229" s="462">
        <v>2084.14</v>
      </c>
      <c r="I229" s="470">
        <f t="shared" si="11"/>
        <v>0.00027771621970764</v>
      </c>
      <c r="J229" s="471">
        <f t="shared" si="12"/>
        <v>0.985028147686303</v>
      </c>
      <c r="K229" s="463" t="str">
        <f t="shared" si="13"/>
        <v>C</v>
      </c>
    </row>
    <row r="230" ht="15.75" customHeight="1" spans="1:11">
      <c r="A230" s="462">
        <v>97667</v>
      </c>
      <c r="B230" s="462" t="s">
        <v>71</v>
      </c>
      <c r="C230" s="462" t="s">
        <v>859</v>
      </c>
      <c r="D230" s="462" t="s">
        <v>1638</v>
      </c>
      <c r="E230" s="462" t="s">
        <v>78</v>
      </c>
      <c r="F230" s="463">
        <v>160</v>
      </c>
      <c r="G230" s="463">
        <v>12.96</v>
      </c>
      <c r="H230" s="462">
        <v>2073.6</v>
      </c>
      <c r="I230" s="470">
        <f t="shared" si="11"/>
        <v>0.000276311741622809</v>
      </c>
      <c r="J230" s="471">
        <f t="shared" si="12"/>
        <v>0.985304459427925</v>
      </c>
      <c r="K230" s="463" t="str">
        <f t="shared" si="13"/>
        <v>C</v>
      </c>
    </row>
    <row r="231" ht="15.75" customHeight="1" spans="1:11">
      <c r="A231" s="462" t="s">
        <v>1008</v>
      </c>
      <c r="B231" s="462" t="s">
        <v>65</v>
      </c>
      <c r="C231" s="462" t="s">
        <v>1009</v>
      </c>
      <c r="D231" s="462" t="s">
        <v>1694</v>
      </c>
      <c r="E231" s="462" t="s">
        <v>67</v>
      </c>
      <c r="F231" s="463">
        <v>25</v>
      </c>
      <c r="G231" s="463">
        <v>81.02</v>
      </c>
      <c r="H231" s="462">
        <v>2025.5</v>
      </c>
      <c r="I231" s="470">
        <f t="shared" si="11"/>
        <v>0.000269902311273631</v>
      </c>
      <c r="J231" s="471">
        <f t="shared" si="12"/>
        <v>0.985574361739199</v>
      </c>
      <c r="K231" s="463" t="str">
        <f t="shared" si="13"/>
        <v>C</v>
      </c>
    </row>
    <row r="232" ht="15.75" customHeight="1" spans="1:11">
      <c r="A232" s="462">
        <v>101953</v>
      </c>
      <c r="B232" s="462" t="s">
        <v>71</v>
      </c>
      <c r="C232" s="462" t="s">
        <v>1559</v>
      </c>
      <c r="D232" s="462" t="s">
        <v>1654</v>
      </c>
      <c r="E232" s="462" t="s">
        <v>73</v>
      </c>
      <c r="F232" s="463">
        <v>8.55</v>
      </c>
      <c r="G232" s="462">
        <v>235.22</v>
      </c>
      <c r="H232" s="462">
        <v>2011.13</v>
      </c>
      <c r="I232" s="470">
        <f t="shared" si="11"/>
        <v>0.00026798747730029</v>
      </c>
      <c r="J232" s="471">
        <f t="shared" si="12"/>
        <v>0.985842349216499</v>
      </c>
      <c r="K232" s="463" t="str">
        <f t="shared" si="13"/>
        <v>C</v>
      </c>
    </row>
    <row r="233" ht="15.75" customHeight="1" spans="1:11">
      <c r="A233" s="462" t="s">
        <v>915</v>
      </c>
      <c r="B233" s="462" t="s">
        <v>65</v>
      </c>
      <c r="C233" s="462" t="s">
        <v>916</v>
      </c>
      <c r="D233" s="462"/>
      <c r="E233" s="462" t="s">
        <v>67</v>
      </c>
      <c r="F233" s="463">
        <v>365</v>
      </c>
      <c r="G233" s="463">
        <v>5.49</v>
      </c>
      <c r="H233" s="462">
        <v>2003.85</v>
      </c>
      <c r="I233" s="470">
        <f t="shared" si="11"/>
        <v>0.000267017401355549</v>
      </c>
      <c r="J233" s="471">
        <f t="shared" si="12"/>
        <v>0.986109366617855</v>
      </c>
      <c r="K233" s="463" t="str">
        <f t="shared" si="13"/>
        <v>C</v>
      </c>
    </row>
    <row r="234" ht="15.75" customHeight="1" spans="1:11">
      <c r="A234" s="462">
        <v>102040</v>
      </c>
      <c r="B234" s="462" t="s">
        <v>71</v>
      </c>
      <c r="C234" s="462" t="s">
        <v>282</v>
      </c>
      <c r="D234" s="462" t="s">
        <v>1672</v>
      </c>
      <c r="E234" s="462" t="s">
        <v>73</v>
      </c>
      <c r="F234" s="463">
        <v>3.1</v>
      </c>
      <c r="G234" s="463">
        <v>637.77</v>
      </c>
      <c r="H234" s="462">
        <v>1977.08</v>
      </c>
      <c r="I234" s="470">
        <f t="shared" si="11"/>
        <v>0.000263450240223584</v>
      </c>
      <c r="J234" s="471">
        <f t="shared" si="12"/>
        <v>0.986372816858078</v>
      </c>
      <c r="K234" s="463" t="str">
        <f t="shared" si="13"/>
        <v>C</v>
      </c>
    </row>
    <row r="235" ht="15.75" customHeight="1" spans="1:11">
      <c r="A235" s="462">
        <v>100555</v>
      </c>
      <c r="B235" s="462" t="s">
        <v>71</v>
      </c>
      <c r="C235" s="462" t="s">
        <v>1134</v>
      </c>
      <c r="D235" s="462" t="s">
        <v>1630</v>
      </c>
      <c r="E235" s="462" t="s">
        <v>105</v>
      </c>
      <c r="F235" s="463">
        <v>1</v>
      </c>
      <c r="G235" s="462">
        <v>1785.61</v>
      </c>
      <c r="H235" s="462">
        <v>1785.61</v>
      </c>
      <c r="I235" s="470">
        <f t="shared" si="11"/>
        <v>0.000237936443363766</v>
      </c>
      <c r="J235" s="471">
        <f t="shared" si="12"/>
        <v>0.986610753301442</v>
      </c>
      <c r="K235" s="463" t="str">
        <f t="shared" si="13"/>
        <v>C</v>
      </c>
    </row>
    <row r="236" ht="15.75" customHeight="1" spans="1:11">
      <c r="A236" s="462">
        <v>100858</v>
      </c>
      <c r="B236" s="462" t="s">
        <v>71</v>
      </c>
      <c r="C236" s="462" t="s">
        <v>648</v>
      </c>
      <c r="D236" s="462" t="s">
        <v>1673</v>
      </c>
      <c r="E236" s="462" t="s">
        <v>105</v>
      </c>
      <c r="F236" s="463">
        <v>2</v>
      </c>
      <c r="G236" s="463">
        <v>884.63</v>
      </c>
      <c r="H236" s="462">
        <v>1769.26</v>
      </c>
      <c r="I236" s="470">
        <f t="shared" si="11"/>
        <v>0.000235757770053806</v>
      </c>
      <c r="J236" s="471">
        <f t="shared" si="12"/>
        <v>0.986846511071496</v>
      </c>
      <c r="K236" s="463" t="str">
        <f t="shared" si="13"/>
        <v>C</v>
      </c>
    </row>
    <row r="237" ht="15.75" customHeight="1" spans="1:11">
      <c r="A237" s="462">
        <v>97333</v>
      </c>
      <c r="B237" s="462" t="s">
        <v>71</v>
      </c>
      <c r="C237" s="462" t="s">
        <v>1191</v>
      </c>
      <c r="D237" s="462" t="s">
        <v>1661</v>
      </c>
      <c r="E237" s="462" t="s">
        <v>78</v>
      </c>
      <c r="F237" s="463">
        <v>23</v>
      </c>
      <c r="G237" s="463">
        <v>76.03</v>
      </c>
      <c r="H237" s="462">
        <v>1748.69</v>
      </c>
      <c r="I237" s="470">
        <f t="shared" si="11"/>
        <v>0.000233016772501153</v>
      </c>
      <c r="J237" s="471">
        <f t="shared" si="12"/>
        <v>0.987079527843997</v>
      </c>
      <c r="K237" s="463" t="str">
        <f t="shared" si="13"/>
        <v>C</v>
      </c>
    </row>
    <row r="238" ht="15.75" customHeight="1" spans="1:11">
      <c r="A238" s="462" t="s">
        <v>1403</v>
      </c>
      <c r="B238" s="462" t="s">
        <v>512</v>
      </c>
      <c r="C238" s="462" t="s">
        <v>1404</v>
      </c>
      <c r="D238" s="462" t="s">
        <v>1695</v>
      </c>
      <c r="E238" s="462" t="s">
        <v>67</v>
      </c>
      <c r="F238" s="463">
        <v>1</v>
      </c>
      <c r="G238" s="462">
        <v>1731.9</v>
      </c>
      <c r="H238" s="462">
        <v>1731.9</v>
      </c>
      <c r="I238" s="470">
        <f t="shared" si="11"/>
        <v>0.0002307794682275</v>
      </c>
      <c r="J238" s="471">
        <f t="shared" si="12"/>
        <v>0.987310307312225</v>
      </c>
      <c r="K238" s="463" t="str">
        <f t="shared" si="13"/>
        <v>C</v>
      </c>
    </row>
    <row r="239" ht="15.75" customHeight="1" spans="1:11">
      <c r="A239" s="462">
        <v>89713</v>
      </c>
      <c r="B239" s="462" t="s">
        <v>71</v>
      </c>
      <c r="C239" s="462" t="s">
        <v>544</v>
      </c>
      <c r="D239" s="462" t="s">
        <v>1649</v>
      </c>
      <c r="E239" s="462" t="s">
        <v>78</v>
      </c>
      <c r="F239" s="463">
        <v>33</v>
      </c>
      <c r="G239" s="463">
        <v>51.07</v>
      </c>
      <c r="H239" s="462">
        <v>1685.31</v>
      </c>
      <c r="I239" s="470">
        <f t="shared" si="11"/>
        <v>0.00022457124868554</v>
      </c>
      <c r="J239" s="471">
        <f t="shared" si="12"/>
        <v>0.98753487856091</v>
      </c>
      <c r="K239" s="463" t="str">
        <f t="shared" si="13"/>
        <v>C</v>
      </c>
    </row>
    <row r="240" ht="15.75" customHeight="1" spans="1:11">
      <c r="A240" s="462" t="s">
        <v>953</v>
      </c>
      <c r="B240" s="462" t="s">
        <v>76</v>
      </c>
      <c r="C240" s="462" t="s">
        <v>954</v>
      </c>
      <c r="D240" s="462">
        <v>15</v>
      </c>
      <c r="E240" s="462" t="s">
        <v>105</v>
      </c>
      <c r="F240" s="463">
        <v>3</v>
      </c>
      <c r="G240" s="463">
        <v>556.83</v>
      </c>
      <c r="H240" s="462">
        <v>1670.49</v>
      </c>
      <c r="I240" s="470">
        <f t="shared" si="11"/>
        <v>0.000222596451226604</v>
      </c>
      <c r="J240" s="471">
        <f t="shared" si="12"/>
        <v>0.987757475012137</v>
      </c>
      <c r="K240" s="463" t="str">
        <f t="shared" si="13"/>
        <v>C</v>
      </c>
    </row>
    <row r="241" ht="15.75" customHeight="1" spans="1:11">
      <c r="A241" s="462" t="s">
        <v>900</v>
      </c>
      <c r="B241" s="462" t="s">
        <v>76</v>
      </c>
      <c r="C241" s="462" t="s">
        <v>901</v>
      </c>
      <c r="D241" s="462">
        <v>18</v>
      </c>
      <c r="E241" s="462" t="s">
        <v>105</v>
      </c>
      <c r="F241" s="463">
        <v>13</v>
      </c>
      <c r="G241" s="463">
        <v>128</v>
      </c>
      <c r="H241" s="462">
        <v>1664</v>
      </c>
      <c r="I241" s="470">
        <f t="shared" si="11"/>
        <v>0.000221731644512131</v>
      </c>
      <c r="J241" s="471">
        <f t="shared" si="12"/>
        <v>0.987979206656649</v>
      </c>
      <c r="K241" s="463" t="str">
        <f t="shared" si="13"/>
        <v>C</v>
      </c>
    </row>
    <row r="242" ht="15.75" customHeight="1" spans="1:11">
      <c r="A242" s="462" t="s">
        <v>511</v>
      </c>
      <c r="B242" s="462" t="s">
        <v>512</v>
      </c>
      <c r="C242" s="462" t="s">
        <v>513</v>
      </c>
      <c r="D242" s="462" t="s">
        <v>1696</v>
      </c>
      <c r="E242" s="462" t="s">
        <v>73</v>
      </c>
      <c r="F242" s="463">
        <v>3.6</v>
      </c>
      <c r="G242" s="463">
        <v>454.87</v>
      </c>
      <c r="H242" s="462">
        <v>1637.53</v>
      </c>
      <c r="I242" s="470">
        <f t="shared" si="11"/>
        <v>0.000218204459037229</v>
      </c>
      <c r="J242" s="471">
        <f t="shared" si="12"/>
        <v>0.988197411115686</v>
      </c>
      <c r="K242" s="463" t="str">
        <f t="shared" si="13"/>
        <v>C</v>
      </c>
    </row>
    <row r="243" ht="15.75" customHeight="1" spans="1:11">
      <c r="A243" s="462" t="s">
        <v>1378</v>
      </c>
      <c r="B243" s="462" t="s">
        <v>76</v>
      </c>
      <c r="C243" s="462" t="s">
        <v>1379</v>
      </c>
      <c r="D243" s="462">
        <v>18</v>
      </c>
      <c r="E243" s="462" t="s">
        <v>1380</v>
      </c>
      <c r="F243" s="463">
        <v>3</v>
      </c>
      <c r="G243" s="462">
        <v>532.78</v>
      </c>
      <c r="H243" s="462">
        <v>1598.34</v>
      </c>
      <c r="I243" s="470">
        <f t="shared" si="11"/>
        <v>0.000212982305702836</v>
      </c>
      <c r="J243" s="471">
        <f t="shared" si="12"/>
        <v>0.988410393421389</v>
      </c>
      <c r="K243" s="463" t="str">
        <f t="shared" si="13"/>
        <v>C</v>
      </c>
    </row>
    <row r="244" ht="15.75" customHeight="1" spans="1:11">
      <c r="A244" s="462">
        <v>55861</v>
      </c>
      <c r="B244" s="462" t="s">
        <v>65</v>
      </c>
      <c r="C244" s="462" t="s">
        <v>1102</v>
      </c>
      <c r="D244" s="462"/>
      <c r="E244" s="462" t="s">
        <v>67</v>
      </c>
      <c r="F244" s="463">
        <v>8</v>
      </c>
      <c r="G244" s="463">
        <v>193.44</v>
      </c>
      <c r="H244" s="462">
        <v>1547.52</v>
      </c>
      <c r="I244" s="470">
        <f t="shared" si="11"/>
        <v>0.000206210429396282</v>
      </c>
      <c r="J244" s="471">
        <f t="shared" si="12"/>
        <v>0.988616603850785</v>
      </c>
      <c r="K244" s="463" t="str">
        <f t="shared" si="13"/>
        <v>C</v>
      </c>
    </row>
    <row r="245" ht="15.75" customHeight="1" spans="1:11">
      <c r="A245" s="462">
        <v>101898</v>
      </c>
      <c r="B245" s="462" t="s">
        <v>71</v>
      </c>
      <c r="C245" s="462" t="s">
        <v>1531</v>
      </c>
      <c r="D245" s="462" t="s">
        <v>1692</v>
      </c>
      <c r="E245" s="462" t="s">
        <v>105</v>
      </c>
      <c r="F245" s="463">
        <v>1</v>
      </c>
      <c r="G245" s="462">
        <v>1512.93</v>
      </c>
      <c r="H245" s="462">
        <v>1512.93</v>
      </c>
      <c r="I245" s="470">
        <f t="shared" si="11"/>
        <v>0.000201601236136862</v>
      </c>
      <c r="J245" s="471">
        <f t="shared" si="12"/>
        <v>0.988818205086922</v>
      </c>
      <c r="K245" s="463" t="str">
        <f t="shared" si="13"/>
        <v>C</v>
      </c>
    </row>
    <row r="246" ht="15.75" customHeight="1" spans="1:11">
      <c r="A246" s="462">
        <v>101895</v>
      </c>
      <c r="B246" s="462" t="s">
        <v>71</v>
      </c>
      <c r="C246" s="462" t="s">
        <v>1519</v>
      </c>
      <c r="D246" s="462" t="s">
        <v>1692</v>
      </c>
      <c r="E246" s="462" t="s">
        <v>105</v>
      </c>
      <c r="F246" s="463">
        <v>3</v>
      </c>
      <c r="G246" s="463">
        <v>496.58</v>
      </c>
      <c r="H246" s="462">
        <v>1489.74</v>
      </c>
      <c r="I246" s="470">
        <f t="shared" si="11"/>
        <v>0.000198511117845855</v>
      </c>
      <c r="J246" s="471">
        <f t="shared" si="12"/>
        <v>0.989016716204768</v>
      </c>
      <c r="K246" s="463" t="str">
        <f t="shared" si="13"/>
        <v>C</v>
      </c>
    </row>
    <row r="247" ht="15.75" customHeight="1" spans="1:11">
      <c r="A247" s="462">
        <v>101896</v>
      </c>
      <c r="B247" s="462" t="s">
        <v>71</v>
      </c>
      <c r="C247" s="462" t="s">
        <v>1528</v>
      </c>
      <c r="D247" s="462" t="s">
        <v>1692</v>
      </c>
      <c r="E247" s="462" t="s">
        <v>105</v>
      </c>
      <c r="F247" s="463">
        <v>2</v>
      </c>
      <c r="G247" s="463">
        <v>728.57</v>
      </c>
      <c r="H247" s="462">
        <v>1457.14</v>
      </c>
      <c r="I247" s="470">
        <f t="shared" si="11"/>
        <v>0.000194167096444956</v>
      </c>
      <c r="J247" s="471">
        <f t="shared" si="12"/>
        <v>0.989210883301213</v>
      </c>
      <c r="K247" s="463" t="str">
        <f t="shared" si="13"/>
        <v>C</v>
      </c>
    </row>
    <row r="248" ht="15.75" customHeight="1" spans="1:11">
      <c r="A248" s="462" t="s">
        <v>852</v>
      </c>
      <c r="B248" s="462" t="s">
        <v>512</v>
      </c>
      <c r="C248" s="462" t="s">
        <v>853</v>
      </c>
      <c r="D248" s="462" t="s">
        <v>1648</v>
      </c>
      <c r="E248" s="462" t="s">
        <v>535</v>
      </c>
      <c r="F248" s="463">
        <v>15</v>
      </c>
      <c r="G248" s="462">
        <v>95.97</v>
      </c>
      <c r="H248" s="462">
        <v>1439.55</v>
      </c>
      <c r="I248" s="470">
        <f t="shared" si="11"/>
        <v>0.000191823190419133</v>
      </c>
      <c r="J248" s="471">
        <f t="shared" si="12"/>
        <v>0.989402706491632</v>
      </c>
      <c r="K248" s="463" t="str">
        <f t="shared" si="13"/>
        <v>C</v>
      </c>
    </row>
    <row r="249" ht="15.75" customHeight="1" spans="1:11">
      <c r="A249" s="462">
        <v>100866</v>
      </c>
      <c r="B249" s="462" t="s">
        <v>71</v>
      </c>
      <c r="C249" s="462" t="s">
        <v>675</v>
      </c>
      <c r="D249" s="462" t="s">
        <v>1673</v>
      </c>
      <c r="E249" s="462" t="s">
        <v>105</v>
      </c>
      <c r="F249" s="463">
        <v>4</v>
      </c>
      <c r="G249" s="463">
        <v>358.93</v>
      </c>
      <c r="H249" s="462">
        <v>1435.72</v>
      </c>
      <c r="I249" s="470">
        <f t="shared" si="11"/>
        <v>0.000191312834530623</v>
      </c>
      <c r="J249" s="471">
        <f t="shared" si="12"/>
        <v>0.989594019326163</v>
      </c>
      <c r="K249" s="463" t="str">
        <f t="shared" si="13"/>
        <v>C</v>
      </c>
    </row>
    <row r="250" ht="15.75" customHeight="1" spans="1:11">
      <c r="A250" s="462" t="s">
        <v>981</v>
      </c>
      <c r="B250" s="462" t="s">
        <v>65</v>
      </c>
      <c r="C250" s="462" t="s">
        <v>982</v>
      </c>
      <c r="D250" s="462"/>
      <c r="E250" s="462" t="s">
        <v>67</v>
      </c>
      <c r="F250" s="463">
        <v>1</v>
      </c>
      <c r="G250" s="462">
        <v>1391.49</v>
      </c>
      <c r="H250" s="462">
        <v>1391.49</v>
      </c>
      <c r="I250" s="470">
        <f t="shared" si="11"/>
        <v>0.000185419090157563</v>
      </c>
      <c r="J250" s="471">
        <f t="shared" si="12"/>
        <v>0.98977943841632</v>
      </c>
      <c r="K250" s="463" t="str">
        <f t="shared" si="13"/>
        <v>C</v>
      </c>
    </row>
    <row r="251" ht="15.75" customHeight="1" spans="1:11">
      <c r="A251" s="462">
        <v>91927</v>
      </c>
      <c r="B251" s="462" t="s">
        <v>71</v>
      </c>
      <c r="C251" s="462" t="s">
        <v>767</v>
      </c>
      <c r="D251" s="462" t="s">
        <v>1636</v>
      </c>
      <c r="E251" s="462" t="s">
        <v>78</v>
      </c>
      <c r="F251" s="463">
        <v>200</v>
      </c>
      <c r="G251" s="463">
        <v>6.9</v>
      </c>
      <c r="H251" s="462">
        <v>1380</v>
      </c>
      <c r="I251" s="470">
        <f t="shared" si="11"/>
        <v>0.000183888022492032</v>
      </c>
      <c r="J251" s="471">
        <f t="shared" si="12"/>
        <v>0.989963326438812</v>
      </c>
      <c r="K251" s="463" t="str">
        <f t="shared" si="13"/>
        <v>C</v>
      </c>
    </row>
    <row r="252" ht="15.75" customHeight="1" spans="1:11">
      <c r="A252" s="462">
        <v>101547</v>
      </c>
      <c r="B252" s="462" t="s">
        <v>71</v>
      </c>
      <c r="C252" s="462" t="s">
        <v>967</v>
      </c>
      <c r="D252" s="462" t="s">
        <v>1697</v>
      </c>
      <c r="E252" s="462" t="s">
        <v>105</v>
      </c>
      <c r="F252" s="463">
        <v>12</v>
      </c>
      <c r="G252" s="463">
        <v>113.86</v>
      </c>
      <c r="H252" s="462">
        <v>1366.32</v>
      </c>
      <c r="I252" s="470">
        <f t="shared" si="11"/>
        <v>0.000182065132529937</v>
      </c>
      <c r="J252" s="471">
        <f t="shared" si="12"/>
        <v>0.990145391571342</v>
      </c>
      <c r="K252" s="463" t="str">
        <f t="shared" si="13"/>
        <v>C</v>
      </c>
    </row>
    <row r="253" ht="15.75" customHeight="1" spans="1:11">
      <c r="A253" s="462">
        <v>89996</v>
      </c>
      <c r="B253" s="462" t="s">
        <v>71</v>
      </c>
      <c r="C253" s="462" t="s">
        <v>307</v>
      </c>
      <c r="D253" s="462" t="s">
        <v>1698</v>
      </c>
      <c r="E253" s="462" t="s">
        <v>158</v>
      </c>
      <c r="F253" s="463">
        <v>91</v>
      </c>
      <c r="G253" s="463">
        <v>14.88</v>
      </c>
      <c r="H253" s="462">
        <v>1354.08</v>
      </c>
      <c r="I253" s="470">
        <f t="shared" si="11"/>
        <v>0.000180434125721747</v>
      </c>
      <c r="J253" s="471">
        <f t="shared" si="12"/>
        <v>0.990325825697064</v>
      </c>
      <c r="K253" s="463" t="str">
        <f t="shared" si="13"/>
        <v>C</v>
      </c>
    </row>
    <row r="254" ht="15.75" customHeight="1" spans="1:11">
      <c r="A254" s="462">
        <v>69302</v>
      </c>
      <c r="B254" s="462" t="s">
        <v>99</v>
      </c>
      <c r="C254" s="462" t="s">
        <v>973</v>
      </c>
      <c r="D254" s="462" t="s">
        <v>1699</v>
      </c>
      <c r="E254" s="462" t="s">
        <v>105</v>
      </c>
      <c r="F254" s="463">
        <v>3</v>
      </c>
      <c r="G254" s="463">
        <v>444.64</v>
      </c>
      <c r="H254" s="462">
        <v>1333.92</v>
      </c>
      <c r="I254" s="470">
        <f t="shared" si="11"/>
        <v>0.00017774776156708</v>
      </c>
      <c r="J254" s="471">
        <f t="shared" si="12"/>
        <v>0.990503573458631</v>
      </c>
      <c r="K254" s="463" t="str">
        <f t="shared" si="13"/>
        <v>C</v>
      </c>
    </row>
    <row r="255" ht="15.75" customHeight="1" spans="1:11">
      <c r="A255" s="462">
        <v>89712</v>
      </c>
      <c r="B255" s="462" t="s">
        <v>71</v>
      </c>
      <c r="C255" s="462" t="s">
        <v>541</v>
      </c>
      <c r="D255" s="462" t="s">
        <v>1649</v>
      </c>
      <c r="E255" s="462" t="s">
        <v>78</v>
      </c>
      <c r="F255" s="463">
        <v>32</v>
      </c>
      <c r="G255" s="463">
        <v>41.15</v>
      </c>
      <c r="H255" s="462">
        <v>1316.8</v>
      </c>
      <c r="I255" s="470">
        <f t="shared" si="11"/>
        <v>0.000175466484070657</v>
      </c>
      <c r="J255" s="471">
        <f t="shared" si="12"/>
        <v>0.990679039942702</v>
      </c>
      <c r="K255" s="463" t="str">
        <f t="shared" si="13"/>
        <v>C</v>
      </c>
    </row>
    <row r="256" ht="15.75" customHeight="1" spans="1:11">
      <c r="A256" s="462">
        <v>190705</v>
      </c>
      <c r="B256" s="462" t="s">
        <v>99</v>
      </c>
      <c r="C256" s="462" t="s">
        <v>693</v>
      </c>
      <c r="D256" s="462" t="s">
        <v>1700</v>
      </c>
      <c r="E256" s="462" t="s">
        <v>105</v>
      </c>
      <c r="F256" s="463">
        <v>4</v>
      </c>
      <c r="G256" s="463">
        <v>321.39</v>
      </c>
      <c r="H256" s="462">
        <v>1285.56</v>
      </c>
      <c r="I256" s="470">
        <f t="shared" si="11"/>
        <v>0.000171303685648447</v>
      </c>
      <c r="J256" s="471">
        <f t="shared" si="12"/>
        <v>0.99085034362835</v>
      </c>
      <c r="K256" s="463" t="str">
        <f t="shared" si="13"/>
        <v>C</v>
      </c>
    </row>
    <row r="257" ht="15.75" customHeight="1" spans="1:11">
      <c r="A257" s="462" t="s">
        <v>650</v>
      </c>
      <c r="B257" s="462" t="s">
        <v>65</v>
      </c>
      <c r="C257" s="462" t="s">
        <v>651</v>
      </c>
      <c r="D257" s="462"/>
      <c r="E257" s="462" t="s">
        <v>67</v>
      </c>
      <c r="F257" s="463">
        <v>7</v>
      </c>
      <c r="G257" s="463">
        <v>181.2</v>
      </c>
      <c r="H257" s="462">
        <v>1268.4</v>
      </c>
      <c r="I257" s="470">
        <f t="shared" si="11"/>
        <v>0.000169017078064415</v>
      </c>
      <c r="J257" s="471">
        <f t="shared" si="12"/>
        <v>0.991019360706415</v>
      </c>
      <c r="K257" s="463" t="str">
        <f t="shared" si="13"/>
        <v>C</v>
      </c>
    </row>
    <row r="258" ht="15.75" customHeight="1" spans="1:11">
      <c r="A258" s="462" t="s">
        <v>936</v>
      </c>
      <c r="B258" s="462" t="s">
        <v>76</v>
      </c>
      <c r="C258" s="462" t="s">
        <v>937</v>
      </c>
      <c r="D258" s="462">
        <v>15</v>
      </c>
      <c r="E258" s="462" t="s">
        <v>105</v>
      </c>
      <c r="F258" s="463">
        <v>105</v>
      </c>
      <c r="G258" s="463">
        <v>11.89</v>
      </c>
      <c r="H258" s="462">
        <v>1248.45</v>
      </c>
      <c r="I258" s="470">
        <f t="shared" si="11"/>
        <v>0.000166358696869693</v>
      </c>
      <c r="J258" s="471">
        <f t="shared" si="12"/>
        <v>0.991185719403284</v>
      </c>
      <c r="K258" s="463" t="str">
        <f t="shared" si="13"/>
        <v>C</v>
      </c>
    </row>
    <row r="259" ht="15.75" customHeight="1" spans="1:11">
      <c r="A259" s="462" t="s">
        <v>978</v>
      </c>
      <c r="B259" s="462" t="s">
        <v>512</v>
      </c>
      <c r="C259" s="462" t="s">
        <v>979</v>
      </c>
      <c r="D259" s="462" t="s">
        <v>1648</v>
      </c>
      <c r="E259" s="462" t="s">
        <v>67</v>
      </c>
      <c r="F259" s="463">
        <v>3</v>
      </c>
      <c r="G259" s="463">
        <v>385.86</v>
      </c>
      <c r="H259" s="462">
        <v>1157.58</v>
      </c>
      <c r="I259" s="470">
        <f t="shared" si="11"/>
        <v>0.000154250070345164</v>
      </c>
      <c r="J259" s="471">
        <f t="shared" si="12"/>
        <v>0.991339969473629</v>
      </c>
      <c r="K259" s="463" t="str">
        <f t="shared" si="13"/>
        <v>C</v>
      </c>
    </row>
    <row r="260" ht="15.75" customHeight="1" spans="1:11">
      <c r="A260" s="462">
        <v>101875</v>
      </c>
      <c r="B260" s="462" t="s">
        <v>71</v>
      </c>
      <c r="C260" s="462" t="s">
        <v>1537</v>
      </c>
      <c r="D260" s="462" t="s">
        <v>1692</v>
      </c>
      <c r="E260" s="462" t="s">
        <v>105</v>
      </c>
      <c r="F260" s="463">
        <v>2</v>
      </c>
      <c r="G260" s="463">
        <v>559.89</v>
      </c>
      <c r="H260" s="462">
        <v>1119.78</v>
      </c>
      <c r="I260" s="470">
        <f t="shared" si="11"/>
        <v>0.000149213137555165</v>
      </c>
      <c r="J260" s="471">
        <f t="shared" si="12"/>
        <v>0.991489182611185</v>
      </c>
      <c r="K260" s="463" t="str">
        <f t="shared" si="13"/>
        <v>C</v>
      </c>
    </row>
    <row r="261" ht="15.75" customHeight="1" spans="1:11">
      <c r="A261" s="462" t="s">
        <v>366</v>
      </c>
      <c r="B261" s="462" t="s">
        <v>76</v>
      </c>
      <c r="C261" s="462" t="s">
        <v>367</v>
      </c>
      <c r="D261" s="462">
        <v>14</v>
      </c>
      <c r="E261" s="462" t="s">
        <v>73</v>
      </c>
      <c r="F261" s="463">
        <v>1.44</v>
      </c>
      <c r="G261" s="463">
        <v>767.39</v>
      </c>
      <c r="H261" s="462">
        <v>1105.04</v>
      </c>
      <c r="I261" s="470">
        <f t="shared" si="11"/>
        <v>0.000147249000271445</v>
      </c>
      <c r="J261" s="471">
        <f t="shared" si="12"/>
        <v>0.991636431611456</v>
      </c>
      <c r="K261" s="463" t="str">
        <f t="shared" si="13"/>
        <v>C</v>
      </c>
    </row>
    <row r="262" ht="15.75" customHeight="1" spans="1:11">
      <c r="A262" s="462">
        <v>91981</v>
      </c>
      <c r="B262" s="462" t="s">
        <v>71</v>
      </c>
      <c r="C262" s="462" t="s">
        <v>927</v>
      </c>
      <c r="D262" s="462" t="s">
        <v>1636</v>
      </c>
      <c r="E262" s="462" t="s">
        <v>105</v>
      </c>
      <c r="F262" s="463">
        <v>16</v>
      </c>
      <c r="G262" s="463">
        <v>68.52</v>
      </c>
      <c r="H262" s="462">
        <v>1096.32</v>
      </c>
      <c r="I262" s="470">
        <f t="shared" si="11"/>
        <v>0.0001460870411728</v>
      </c>
      <c r="J262" s="471">
        <f t="shared" si="12"/>
        <v>0.991782518652629</v>
      </c>
      <c r="K262" s="463" t="str">
        <f t="shared" si="13"/>
        <v>C</v>
      </c>
    </row>
    <row r="263" ht="15.75" customHeight="1" spans="1:11">
      <c r="A263" s="462">
        <v>98516</v>
      </c>
      <c r="B263" s="462" t="s">
        <v>71</v>
      </c>
      <c r="C263" s="462" t="s">
        <v>1359</v>
      </c>
      <c r="D263" s="462" t="s">
        <v>1701</v>
      </c>
      <c r="E263" s="462" t="s">
        <v>105</v>
      </c>
      <c r="F263" s="463">
        <v>3</v>
      </c>
      <c r="G263" s="463">
        <v>359.39</v>
      </c>
      <c r="H263" s="462">
        <v>1078.17</v>
      </c>
      <c r="I263" s="470">
        <f t="shared" si="11"/>
        <v>0.000143668513920459</v>
      </c>
      <c r="J263" s="471">
        <f t="shared" si="12"/>
        <v>0.991926187166549</v>
      </c>
      <c r="K263" s="463" t="str">
        <f t="shared" si="13"/>
        <v>C</v>
      </c>
    </row>
    <row r="264" ht="15.75" customHeight="1" spans="1:11">
      <c r="A264" s="462">
        <v>91935</v>
      </c>
      <c r="B264" s="462" t="s">
        <v>71</v>
      </c>
      <c r="C264" s="462" t="s">
        <v>776</v>
      </c>
      <c r="D264" s="462" t="s">
        <v>1636</v>
      </c>
      <c r="E264" s="462" t="s">
        <v>78</v>
      </c>
      <c r="F264" s="463">
        <v>30</v>
      </c>
      <c r="G264" s="463">
        <v>35.21</v>
      </c>
      <c r="H264" s="462">
        <v>1056.3</v>
      </c>
      <c r="I264" s="470">
        <f t="shared" si="11"/>
        <v>0.000140754288520531</v>
      </c>
      <c r="J264" s="471">
        <f t="shared" si="12"/>
        <v>0.99206694145507</v>
      </c>
      <c r="K264" s="463" t="str">
        <f t="shared" si="13"/>
        <v>C</v>
      </c>
    </row>
    <row r="265" ht="15.75" customHeight="1" spans="1:11">
      <c r="A265" s="462">
        <v>95623</v>
      </c>
      <c r="B265" s="462" t="s">
        <v>71</v>
      </c>
      <c r="C265" s="462" t="s">
        <v>1272</v>
      </c>
      <c r="D265" s="462" t="s">
        <v>1702</v>
      </c>
      <c r="E265" s="462" t="s">
        <v>73</v>
      </c>
      <c r="F265" s="463">
        <v>68.54</v>
      </c>
      <c r="G265" s="463">
        <v>15.23</v>
      </c>
      <c r="H265" s="462">
        <v>1043.86</v>
      </c>
      <c r="I265" s="470">
        <f t="shared" si="11"/>
        <v>0.000139096631274299</v>
      </c>
      <c r="J265" s="471">
        <f t="shared" si="12"/>
        <v>0.992206038086344</v>
      </c>
      <c r="K265" s="463" t="str">
        <f t="shared" si="13"/>
        <v>C</v>
      </c>
    </row>
    <row r="266" ht="15.75" customHeight="1" spans="1:11">
      <c r="A266" s="462" t="s">
        <v>1491</v>
      </c>
      <c r="B266" s="462" t="s">
        <v>76</v>
      </c>
      <c r="C266" s="462" t="s">
        <v>1492</v>
      </c>
      <c r="D266" s="462">
        <v>9</v>
      </c>
      <c r="E266" s="462" t="s">
        <v>105</v>
      </c>
      <c r="F266" s="463">
        <v>10</v>
      </c>
      <c r="G266" s="463">
        <v>103.55</v>
      </c>
      <c r="H266" s="462">
        <v>1035.5</v>
      </c>
      <c r="I266" s="470">
        <f t="shared" si="11"/>
        <v>0.00013798264296413</v>
      </c>
      <c r="J266" s="471">
        <f t="shared" si="12"/>
        <v>0.992344020729308</v>
      </c>
      <c r="K266" s="463" t="str">
        <f t="shared" si="13"/>
        <v>C</v>
      </c>
    </row>
    <row r="267" ht="15.75" customHeight="1" spans="1:11">
      <c r="A267" s="462">
        <v>89811</v>
      </c>
      <c r="B267" s="462" t="s">
        <v>71</v>
      </c>
      <c r="C267" s="462" t="s">
        <v>732</v>
      </c>
      <c r="D267" s="462" t="s">
        <v>1649</v>
      </c>
      <c r="E267" s="462" t="s">
        <v>105</v>
      </c>
      <c r="F267" s="463">
        <v>17</v>
      </c>
      <c r="G267" s="463">
        <v>60.89</v>
      </c>
      <c r="H267" s="462">
        <v>1035.13</v>
      </c>
      <c r="I267" s="470">
        <f t="shared" si="11"/>
        <v>0.000137933339653751</v>
      </c>
      <c r="J267" s="471">
        <f t="shared" si="12"/>
        <v>0.992481954068962</v>
      </c>
      <c r="K267" s="463" t="str">
        <f t="shared" si="13"/>
        <v>C</v>
      </c>
    </row>
    <row r="268" ht="15.75" customHeight="1" spans="1:11">
      <c r="A268" s="462" t="s">
        <v>1364</v>
      </c>
      <c r="B268" s="462" t="s">
        <v>65</v>
      </c>
      <c r="C268" s="462" t="s">
        <v>1365</v>
      </c>
      <c r="D268" s="462"/>
      <c r="E268" s="462" t="s">
        <v>67</v>
      </c>
      <c r="F268" s="463">
        <v>6</v>
      </c>
      <c r="G268" s="463">
        <v>172.08</v>
      </c>
      <c r="H268" s="462">
        <v>1032.48</v>
      </c>
      <c r="I268" s="470">
        <f t="shared" si="11"/>
        <v>0.00013758022134969</v>
      </c>
      <c r="J268" s="471">
        <f t="shared" si="12"/>
        <v>0.992619534290312</v>
      </c>
      <c r="K268" s="463" t="str">
        <f t="shared" si="13"/>
        <v>C</v>
      </c>
    </row>
    <row r="269" ht="15.75" customHeight="1" spans="1:11">
      <c r="A269" s="462">
        <v>91959</v>
      </c>
      <c r="B269" s="462" t="s">
        <v>71</v>
      </c>
      <c r="C269" s="462" t="s">
        <v>933</v>
      </c>
      <c r="D269" s="462" t="s">
        <v>1636</v>
      </c>
      <c r="E269" s="462" t="s">
        <v>105</v>
      </c>
      <c r="F269" s="463">
        <v>16</v>
      </c>
      <c r="G269" s="463">
        <v>64.13</v>
      </c>
      <c r="H269" s="462">
        <v>1026.08</v>
      </c>
      <c r="I269" s="470">
        <f t="shared" si="11"/>
        <v>0.000136727407332336</v>
      </c>
      <c r="J269" s="471">
        <f t="shared" si="12"/>
        <v>0.992756261697644</v>
      </c>
      <c r="K269" s="463" t="str">
        <f t="shared" si="13"/>
        <v>C</v>
      </c>
    </row>
    <row r="270" ht="15.75" customHeight="1" spans="1:11">
      <c r="A270" s="462" t="s">
        <v>1415</v>
      </c>
      <c r="B270" s="462" t="s">
        <v>65</v>
      </c>
      <c r="C270" s="462" t="s">
        <v>1416</v>
      </c>
      <c r="D270" s="462"/>
      <c r="E270" s="462" t="s">
        <v>67</v>
      </c>
      <c r="F270" s="463">
        <v>1</v>
      </c>
      <c r="G270" s="463">
        <v>990.51</v>
      </c>
      <c r="H270" s="463">
        <v>990.51</v>
      </c>
      <c r="I270" s="470">
        <f t="shared" si="11"/>
        <v>0.000131987626926509</v>
      </c>
      <c r="J270" s="471">
        <f t="shared" si="12"/>
        <v>0.99288824932457</v>
      </c>
      <c r="K270" s="463" t="str">
        <f t="shared" si="13"/>
        <v>C</v>
      </c>
    </row>
    <row r="271" ht="15.75" customHeight="1" spans="1:11">
      <c r="A271" s="462">
        <v>94319</v>
      </c>
      <c r="B271" s="462" t="s">
        <v>71</v>
      </c>
      <c r="C271" s="462" t="s">
        <v>1464</v>
      </c>
      <c r="D271" s="462" t="s">
        <v>1703</v>
      </c>
      <c r="E271" s="462" t="s">
        <v>129</v>
      </c>
      <c r="F271" s="463">
        <v>9</v>
      </c>
      <c r="G271" s="463">
        <v>109.82</v>
      </c>
      <c r="H271" s="463">
        <v>988.38</v>
      </c>
      <c r="I271" s="470">
        <f t="shared" si="11"/>
        <v>0.000131703799761358</v>
      </c>
      <c r="J271" s="471">
        <f t="shared" si="12"/>
        <v>0.993019953124332</v>
      </c>
      <c r="K271" s="463" t="str">
        <f t="shared" si="13"/>
        <v>C</v>
      </c>
    </row>
    <row r="272" ht="15.75" customHeight="1" spans="1:11">
      <c r="A272" s="462">
        <v>63511</v>
      </c>
      <c r="B272" s="462" t="s">
        <v>99</v>
      </c>
      <c r="C272" s="462" t="s">
        <v>758</v>
      </c>
      <c r="D272" s="462" t="s">
        <v>1704</v>
      </c>
      <c r="E272" s="462" t="s">
        <v>78</v>
      </c>
      <c r="F272" s="463">
        <v>100</v>
      </c>
      <c r="G272" s="463">
        <v>9.77</v>
      </c>
      <c r="H272" s="463">
        <v>977</v>
      </c>
      <c r="I272" s="470">
        <f t="shared" si="11"/>
        <v>0.00013018738983675</v>
      </c>
      <c r="J272" s="471">
        <f t="shared" si="12"/>
        <v>0.993150140514168</v>
      </c>
      <c r="K272" s="463" t="str">
        <f t="shared" si="13"/>
        <v>C</v>
      </c>
    </row>
    <row r="273" ht="15.75" customHeight="1" spans="1:11">
      <c r="A273" s="462" t="s">
        <v>1352</v>
      </c>
      <c r="B273" s="462" t="s">
        <v>76</v>
      </c>
      <c r="C273" s="462" t="s">
        <v>1353</v>
      </c>
      <c r="D273" s="462">
        <v>9</v>
      </c>
      <c r="E273" s="462" t="s">
        <v>105</v>
      </c>
      <c r="F273" s="463">
        <v>4</v>
      </c>
      <c r="G273" s="463">
        <v>243.98</v>
      </c>
      <c r="H273" s="463">
        <v>975.92</v>
      </c>
      <c r="I273" s="470">
        <f t="shared" ref="I273:I336" si="14">H273/$I$445</f>
        <v>0.000130043477471321</v>
      </c>
      <c r="J273" s="471">
        <f t="shared" si="12"/>
        <v>0.99328018399164</v>
      </c>
      <c r="K273" s="463" t="str">
        <f t="shared" si="13"/>
        <v>C</v>
      </c>
    </row>
    <row r="274" ht="15.75" customHeight="1" spans="1:11">
      <c r="A274" s="462" t="s">
        <v>918</v>
      </c>
      <c r="B274" s="462" t="s">
        <v>76</v>
      </c>
      <c r="C274" s="462" t="s">
        <v>919</v>
      </c>
      <c r="D274" s="462">
        <v>18</v>
      </c>
      <c r="E274" s="462" t="s">
        <v>105</v>
      </c>
      <c r="F274" s="463">
        <v>22</v>
      </c>
      <c r="G274" s="463">
        <v>42.43</v>
      </c>
      <c r="H274" s="463">
        <v>933.46</v>
      </c>
      <c r="I274" s="470">
        <f t="shared" si="14"/>
        <v>0.000124385589474936</v>
      </c>
      <c r="J274" s="471">
        <f t="shared" si="12"/>
        <v>0.993404569581115</v>
      </c>
      <c r="K274" s="463" t="str">
        <f t="shared" si="13"/>
        <v>C</v>
      </c>
    </row>
    <row r="275" ht="15.75" customHeight="1" spans="1:11">
      <c r="A275" s="462" t="s">
        <v>849</v>
      </c>
      <c r="B275" s="462" t="s">
        <v>512</v>
      </c>
      <c r="C275" s="462" t="s">
        <v>850</v>
      </c>
      <c r="D275" s="462" t="s">
        <v>1648</v>
      </c>
      <c r="E275" s="462" t="s">
        <v>535</v>
      </c>
      <c r="F275" s="463">
        <v>6</v>
      </c>
      <c r="G275" s="463">
        <v>150.72</v>
      </c>
      <c r="H275" s="463">
        <v>904.32</v>
      </c>
      <c r="I275" s="470">
        <f t="shared" si="14"/>
        <v>0.00012050262065217</v>
      </c>
      <c r="J275" s="471">
        <f t="shared" ref="J275:J338" si="15">I275+J274</f>
        <v>0.993525072201767</v>
      </c>
      <c r="K275" s="463" t="str">
        <f t="shared" ref="K275:K338" si="16">IF(J275&lt;=50%,"A",IF(J275&lt;=80%,"B","C"))</f>
        <v>C</v>
      </c>
    </row>
    <row r="276" ht="15.75" customHeight="1" spans="1:11">
      <c r="A276" s="462">
        <v>93660</v>
      </c>
      <c r="B276" s="462" t="s">
        <v>71</v>
      </c>
      <c r="C276" s="462" t="s">
        <v>1504</v>
      </c>
      <c r="D276" s="462" t="s">
        <v>1692</v>
      </c>
      <c r="E276" s="462" t="s">
        <v>105</v>
      </c>
      <c r="F276" s="463">
        <v>14</v>
      </c>
      <c r="G276" s="463">
        <v>64.29</v>
      </c>
      <c r="H276" s="463">
        <v>900.06</v>
      </c>
      <c r="I276" s="470">
        <f t="shared" si="14"/>
        <v>0.000119934966321868</v>
      </c>
      <c r="J276" s="471">
        <f t="shared" si="15"/>
        <v>0.993645007168089</v>
      </c>
      <c r="K276" s="463" t="str">
        <f t="shared" si="16"/>
        <v>C</v>
      </c>
    </row>
    <row r="277" ht="15.75" customHeight="1" spans="1:11">
      <c r="A277" s="462">
        <v>96527</v>
      </c>
      <c r="B277" s="462" t="s">
        <v>71</v>
      </c>
      <c r="C277" s="462" t="s">
        <v>187</v>
      </c>
      <c r="D277" s="462" t="s">
        <v>1634</v>
      </c>
      <c r="E277" s="462" t="s">
        <v>129</v>
      </c>
      <c r="F277" s="463">
        <v>4.932</v>
      </c>
      <c r="G277" s="463">
        <v>173.97</v>
      </c>
      <c r="H277" s="463">
        <v>858.02</v>
      </c>
      <c r="I277" s="470">
        <f t="shared" si="14"/>
        <v>0.000114333044245372</v>
      </c>
      <c r="J277" s="471">
        <f t="shared" si="15"/>
        <v>0.993759340212334</v>
      </c>
      <c r="K277" s="463" t="str">
        <f t="shared" si="16"/>
        <v>C</v>
      </c>
    </row>
    <row r="278" ht="15.75" customHeight="1" spans="1:11">
      <c r="A278" s="462">
        <v>96127</v>
      </c>
      <c r="B278" s="462" t="s">
        <v>71</v>
      </c>
      <c r="C278" s="462" t="s">
        <v>1269</v>
      </c>
      <c r="D278" s="462" t="s">
        <v>1702</v>
      </c>
      <c r="E278" s="462" t="s">
        <v>73</v>
      </c>
      <c r="F278" s="463">
        <v>49.67</v>
      </c>
      <c r="G278" s="463">
        <v>16.74</v>
      </c>
      <c r="H278" s="463">
        <v>831.47</v>
      </c>
      <c r="I278" s="470">
        <f t="shared" si="14"/>
        <v>0.000110795198595253</v>
      </c>
      <c r="J278" s="471">
        <f t="shared" si="15"/>
        <v>0.99387013541093</v>
      </c>
      <c r="K278" s="463" t="str">
        <f t="shared" si="16"/>
        <v>C</v>
      </c>
    </row>
    <row r="279" ht="15.75" customHeight="1" spans="1:11">
      <c r="A279" s="462" t="s">
        <v>659</v>
      </c>
      <c r="B279" s="462" t="s">
        <v>76</v>
      </c>
      <c r="C279" s="462" t="s">
        <v>660</v>
      </c>
      <c r="D279" s="462">
        <v>18</v>
      </c>
      <c r="E279" s="462" t="s">
        <v>105</v>
      </c>
      <c r="F279" s="463">
        <v>1</v>
      </c>
      <c r="G279" s="463">
        <v>826.34</v>
      </c>
      <c r="H279" s="463">
        <v>826.34</v>
      </c>
      <c r="I279" s="470">
        <f t="shared" si="14"/>
        <v>0.000110111614859468</v>
      </c>
      <c r="J279" s="471">
        <f t="shared" si="15"/>
        <v>0.993980247025789</v>
      </c>
      <c r="K279" s="463" t="str">
        <f t="shared" si="16"/>
        <v>C</v>
      </c>
    </row>
    <row r="280" ht="15.75" customHeight="1" spans="1:11">
      <c r="A280" s="462">
        <v>97669</v>
      </c>
      <c r="B280" s="462" t="s">
        <v>71</v>
      </c>
      <c r="C280" s="462" t="s">
        <v>865</v>
      </c>
      <c r="D280" s="462" t="s">
        <v>1638</v>
      </c>
      <c r="E280" s="462" t="s">
        <v>78</v>
      </c>
      <c r="F280" s="463">
        <v>30</v>
      </c>
      <c r="G280" s="463">
        <v>27.43</v>
      </c>
      <c r="H280" s="463">
        <v>822.9</v>
      </c>
      <c r="I280" s="470">
        <f t="shared" si="14"/>
        <v>0.00010965322732514</v>
      </c>
      <c r="J280" s="471">
        <f t="shared" si="15"/>
        <v>0.994089900253114</v>
      </c>
      <c r="K280" s="463" t="str">
        <f t="shared" si="16"/>
        <v>C</v>
      </c>
    </row>
    <row r="281" ht="15.75" customHeight="1" spans="1:11">
      <c r="A281" s="462">
        <v>96546</v>
      </c>
      <c r="B281" s="462" t="s">
        <v>71</v>
      </c>
      <c r="C281" s="462" t="s">
        <v>161</v>
      </c>
      <c r="D281" s="462" t="s">
        <v>1634</v>
      </c>
      <c r="E281" s="462" t="s">
        <v>158</v>
      </c>
      <c r="F281" s="463">
        <v>41</v>
      </c>
      <c r="G281" s="463">
        <v>19.84</v>
      </c>
      <c r="H281" s="463">
        <v>813.44</v>
      </c>
      <c r="I281" s="470">
        <f t="shared" si="14"/>
        <v>0.000108392661605738</v>
      </c>
      <c r="J281" s="471">
        <f t="shared" si="15"/>
        <v>0.99419829291472</v>
      </c>
      <c r="K281" s="463" t="str">
        <f t="shared" si="16"/>
        <v>C</v>
      </c>
    </row>
    <row r="282" ht="15.75" customHeight="1" spans="1:11">
      <c r="A282" s="462">
        <v>86935</v>
      </c>
      <c r="B282" s="462" t="s">
        <v>71</v>
      </c>
      <c r="C282" s="462" t="s">
        <v>657</v>
      </c>
      <c r="D282" s="462" t="s">
        <v>1673</v>
      </c>
      <c r="E282" s="462" t="s">
        <v>105</v>
      </c>
      <c r="F282" s="463">
        <v>2</v>
      </c>
      <c r="G282" s="463">
        <v>401.06</v>
      </c>
      <c r="H282" s="463">
        <v>802.12</v>
      </c>
      <c r="I282" s="470">
        <f t="shared" si="14"/>
        <v>0.000106884246812542</v>
      </c>
      <c r="J282" s="471">
        <f t="shared" si="15"/>
        <v>0.994305177161532</v>
      </c>
      <c r="K282" s="463" t="str">
        <f t="shared" si="16"/>
        <v>C</v>
      </c>
    </row>
    <row r="283" ht="15.75" customHeight="1" spans="1:11">
      <c r="A283" s="462">
        <v>96841</v>
      </c>
      <c r="B283" s="462" t="s">
        <v>71</v>
      </c>
      <c r="C283" s="462" t="s">
        <v>453</v>
      </c>
      <c r="D283" s="462" t="s">
        <v>1705</v>
      </c>
      <c r="E283" s="462" t="s">
        <v>105</v>
      </c>
      <c r="F283" s="463">
        <v>20</v>
      </c>
      <c r="G283" s="463">
        <v>39.55</v>
      </c>
      <c r="H283" s="463">
        <v>791</v>
      </c>
      <c r="I283" s="470">
        <f t="shared" si="14"/>
        <v>0.000105402482457389</v>
      </c>
      <c r="J283" s="471">
        <f t="shared" si="15"/>
        <v>0.99441057964399</v>
      </c>
      <c r="K283" s="463" t="str">
        <f t="shared" si="16"/>
        <v>C</v>
      </c>
    </row>
    <row r="284" ht="15.75" customHeight="1" spans="1:11">
      <c r="A284" s="462" t="s">
        <v>1422</v>
      </c>
      <c r="B284" s="462" t="s">
        <v>65</v>
      </c>
      <c r="C284" s="462" t="s">
        <v>1423</v>
      </c>
      <c r="D284" s="462"/>
      <c r="E284" s="462" t="s">
        <v>67</v>
      </c>
      <c r="F284" s="463">
        <v>17</v>
      </c>
      <c r="G284" s="463">
        <v>45.97</v>
      </c>
      <c r="H284" s="463">
        <v>781.49</v>
      </c>
      <c r="I284" s="470">
        <f t="shared" si="14"/>
        <v>0.000104135254128477</v>
      </c>
      <c r="J284" s="471">
        <f t="shared" si="15"/>
        <v>0.994514714898118</v>
      </c>
      <c r="K284" s="463" t="str">
        <f t="shared" si="16"/>
        <v>C</v>
      </c>
    </row>
    <row r="285" ht="15.75" customHeight="1" spans="1:11">
      <c r="A285" s="462">
        <v>98107</v>
      </c>
      <c r="B285" s="462" t="s">
        <v>71</v>
      </c>
      <c r="C285" s="462" t="s">
        <v>640</v>
      </c>
      <c r="D285" s="462" t="s">
        <v>1706</v>
      </c>
      <c r="E285" s="462" t="s">
        <v>105</v>
      </c>
      <c r="F285" s="463">
        <v>2</v>
      </c>
      <c r="G285" s="463">
        <v>390.59</v>
      </c>
      <c r="H285" s="463">
        <v>781.18</v>
      </c>
      <c r="I285" s="470">
        <f t="shared" si="14"/>
        <v>0.000104093945949511</v>
      </c>
      <c r="J285" s="471">
        <f t="shared" si="15"/>
        <v>0.994618808844068</v>
      </c>
      <c r="K285" s="463" t="str">
        <f t="shared" si="16"/>
        <v>C</v>
      </c>
    </row>
    <row r="286" ht="15.75" customHeight="1" spans="1:11">
      <c r="A286" s="462" t="s">
        <v>903</v>
      </c>
      <c r="B286" s="462" t="s">
        <v>512</v>
      </c>
      <c r="C286" s="462" t="s">
        <v>904</v>
      </c>
      <c r="D286" s="462" t="s">
        <v>1648</v>
      </c>
      <c r="E286" s="462" t="s">
        <v>67</v>
      </c>
      <c r="F286" s="463">
        <v>5</v>
      </c>
      <c r="G286" s="463">
        <v>154.24</v>
      </c>
      <c r="H286" s="463">
        <v>771.2</v>
      </c>
      <c r="I286" s="470">
        <f t="shared" si="14"/>
        <v>0.000102764089091199</v>
      </c>
      <c r="J286" s="471">
        <f t="shared" si="15"/>
        <v>0.994721572933159</v>
      </c>
      <c r="K286" s="463" t="str">
        <f t="shared" si="16"/>
        <v>C</v>
      </c>
    </row>
    <row r="287" ht="15.75" customHeight="1" spans="1:11">
      <c r="A287" s="462" t="s">
        <v>662</v>
      </c>
      <c r="B287" s="462" t="s">
        <v>76</v>
      </c>
      <c r="C287" s="462" t="s">
        <v>663</v>
      </c>
      <c r="D287" s="462">
        <v>18</v>
      </c>
      <c r="E287" s="462" t="s">
        <v>105</v>
      </c>
      <c r="F287" s="463">
        <v>9</v>
      </c>
      <c r="G287" s="463">
        <v>83.79</v>
      </c>
      <c r="H287" s="463">
        <v>754.11</v>
      </c>
      <c r="I287" s="470">
        <f t="shared" si="14"/>
        <v>0.000100486809160483</v>
      </c>
      <c r="J287" s="471">
        <f t="shared" si="15"/>
        <v>0.994822059742319</v>
      </c>
      <c r="K287" s="463" t="str">
        <f t="shared" si="16"/>
        <v>C</v>
      </c>
    </row>
    <row r="288" ht="15.75" customHeight="1" spans="1:11">
      <c r="A288" s="462">
        <v>59449</v>
      </c>
      <c r="B288" s="462" t="s">
        <v>99</v>
      </c>
      <c r="C288" s="462" t="s">
        <v>1078</v>
      </c>
      <c r="D288" s="462" t="s">
        <v>1644</v>
      </c>
      <c r="E288" s="462" t="s">
        <v>1079</v>
      </c>
      <c r="F288" s="463">
        <v>8</v>
      </c>
      <c r="G288" s="463">
        <v>93.49</v>
      </c>
      <c r="H288" s="463">
        <v>747.92</v>
      </c>
      <c r="I288" s="470">
        <f t="shared" si="14"/>
        <v>9.96619781030727e-5</v>
      </c>
      <c r="J288" s="471">
        <f t="shared" si="15"/>
        <v>0.994921721720422</v>
      </c>
      <c r="K288" s="463" t="str">
        <f t="shared" si="16"/>
        <v>C</v>
      </c>
    </row>
    <row r="289" ht="15.75" customHeight="1" spans="1:11">
      <c r="A289" s="462" t="s">
        <v>1156</v>
      </c>
      <c r="B289" s="462" t="s">
        <v>76</v>
      </c>
      <c r="C289" s="462" t="s">
        <v>1157</v>
      </c>
      <c r="D289" s="462">
        <v>0</v>
      </c>
      <c r="E289" s="462" t="s">
        <v>105</v>
      </c>
      <c r="F289" s="463">
        <v>1</v>
      </c>
      <c r="G289" s="463">
        <v>741.73</v>
      </c>
      <c r="H289" s="463">
        <v>741.73</v>
      </c>
      <c r="I289" s="470">
        <f t="shared" si="14"/>
        <v>9.88371470456628e-5</v>
      </c>
      <c r="J289" s="471">
        <f t="shared" si="15"/>
        <v>0.995020558867468</v>
      </c>
      <c r="K289" s="463" t="str">
        <f t="shared" si="16"/>
        <v>C</v>
      </c>
    </row>
    <row r="290" ht="15.75" customHeight="1" spans="1:11">
      <c r="A290" s="462">
        <v>79444</v>
      </c>
      <c r="B290" s="462" t="s">
        <v>99</v>
      </c>
      <c r="C290" s="462" t="s">
        <v>1049</v>
      </c>
      <c r="D290" s="462">
        <v>79</v>
      </c>
      <c r="E290" s="462" t="s">
        <v>105</v>
      </c>
      <c r="F290" s="463">
        <v>13</v>
      </c>
      <c r="G290" s="463">
        <v>52.66</v>
      </c>
      <c r="H290" s="463">
        <v>684.58</v>
      </c>
      <c r="I290" s="470">
        <f t="shared" si="14"/>
        <v>9.12217843750689e-5</v>
      </c>
      <c r="J290" s="471">
        <f t="shared" si="15"/>
        <v>0.995111780651843</v>
      </c>
      <c r="K290" s="463" t="str">
        <f t="shared" si="16"/>
        <v>C</v>
      </c>
    </row>
    <row r="291" ht="15.75" customHeight="1" spans="1:11">
      <c r="A291" s="462" t="s">
        <v>1173</v>
      </c>
      <c r="B291" s="462" t="s">
        <v>65</v>
      </c>
      <c r="C291" s="462" t="s">
        <v>1174</v>
      </c>
      <c r="D291" s="462"/>
      <c r="E291" s="462" t="s">
        <v>67</v>
      </c>
      <c r="F291" s="463">
        <v>2</v>
      </c>
      <c r="G291" s="463">
        <v>338.72</v>
      </c>
      <c r="H291" s="463">
        <v>677.44</v>
      </c>
      <c r="I291" s="470">
        <f t="shared" si="14"/>
        <v>9.02703637369579e-5</v>
      </c>
      <c r="J291" s="471">
        <f t="shared" si="15"/>
        <v>0.99520205101558</v>
      </c>
      <c r="K291" s="463" t="str">
        <f t="shared" si="16"/>
        <v>C</v>
      </c>
    </row>
    <row r="292" ht="15.75" customHeight="1" spans="1:11">
      <c r="A292" s="462" t="s">
        <v>813</v>
      </c>
      <c r="B292" s="462" t="s">
        <v>512</v>
      </c>
      <c r="C292" s="462" t="s">
        <v>814</v>
      </c>
      <c r="D292" s="462" t="s">
        <v>1648</v>
      </c>
      <c r="E292" s="462" t="s">
        <v>535</v>
      </c>
      <c r="F292" s="463">
        <v>20</v>
      </c>
      <c r="G292" s="463">
        <v>33.45</v>
      </c>
      <c r="H292" s="463">
        <v>669</v>
      </c>
      <c r="I292" s="470">
        <f t="shared" si="14"/>
        <v>8.91457152515719e-5</v>
      </c>
      <c r="J292" s="471">
        <f t="shared" si="15"/>
        <v>0.995291196730832</v>
      </c>
      <c r="K292" s="463" t="str">
        <f t="shared" si="16"/>
        <v>C</v>
      </c>
    </row>
    <row r="293" ht="15.75" customHeight="1" spans="1:11">
      <c r="A293" s="462">
        <v>89711</v>
      </c>
      <c r="B293" s="462" t="s">
        <v>71</v>
      </c>
      <c r="C293" s="462" t="s">
        <v>538</v>
      </c>
      <c r="D293" s="462" t="s">
        <v>1649</v>
      </c>
      <c r="E293" s="462" t="s">
        <v>78</v>
      </c>
      <c r="F293" s="463">
        <v>20</v>
      </c>
      <c r="G293" s="463">
        <v>33.05</v>
      </c>
      <c r="H293" s="463">
        <v>661</v>
      </c>
      <c r="I293" s="470">
        <f t="shared" si="14"/>
        <v>8.80796977298789e-5</v>
      </c>
      <c r="J293" s="471">
        <f t="shared" si="15"/>
        <v>0.995379276428561</v>
      </c>
      <c r="K293" s="463" t="str">
        <f t="shared" si="16"/>
        <v>C</v>
      </c>
    </row>
    <row r="294" ht="15.75" customHeight="1" spans="1:11">
      <c r="A294" s="462">
        <v>96652</v>
      </c>
      <c r="B294" s="462" t="s">
        <v>71</v>
      </c>
      <c r="C294" s="462" t="s">
        <v>1220</v>
      </c>
      <c r="D294" s="462" t="s">
        <v>1678</v>
      </c>
      <c r="E294" s="462" t="s">
        <v>105</v>
      </c>
      <c r="F294" s="463">
        <v>42</v>
      </c>
      <c r="G294" s="463">
        <v>15.73</v>
      </c>
      <c r="H294" s="463">
        <v>660.66</v>
      </c>
      <c r="I294" s="470">
        <f t="shared" si="14"/>
        <v>8.8034391985207e-5</v>
      </c>
      <c r="J294" s="471">
        <f t="shared" si="15"/>
        <v>0.995467310820547</v>
      </c>
      <c r="K294" s="463" t="str">
        <f t="shared" si="16"/>
        <v>C</v>
      </c>
    </row>
    <row r="295" ht="15.75" customHeight="1" spans="1:11">
      <c r="A295" s="462">
        <v>104916</v>
      </c>
      <c r="B295" s="462" t="s">
        <v>71</v>
      </c>
      <c r="C295" s="462" t="s">
        <v>164</v>
      </c>
      <c r="D295" s="462" t="s">
        <v>1634</v>
      </c>
      <c r="E295" s="462" t="s">
        <v>158</v>
      </c>
      <c r="F295" s="463">
        <v>27</v>
      </c>
      <c r="G295" s="463">
        <v>24.39</v>
      </c>
      <c r="H295" s="463">
        <v>658.53</v>
      </c>
      <c r="I295" s="470">
        <f t="shared" si="14"/>
        <v>8.77505648200562e-5</v>
      </c>
      <c r="J295" s="471">
        <f t="shared" si="15"/>
        <v>0.995555061385367</v>
      </c>
      <c r="K295" s="463" t="str">
        <f t="shared" si="16"/>
        <v>C</v>
      </c>
    </row>
    <row r="296" ht="15.75" customHeight="1" spans="1:11">
      <c r="A296" s="462">
        <v>97064</v>
      </c>
      <c r="B296" s="462" t="s">
        <v>71</v>
      </c>
      <c r="C296" s="462" t="s">
        <v>117</v>
      </c>
      <c r="D296" s="462" t="s">
        <v>1641</v>
      </c>
      <c r="E296" s="462" t="s">
        <v>78</v>
      </c>
      <c r="F296" s="463">
        <v>13</v>
      </c>
      <c r="G296" s="463">
        <v>47.89</v>
      </c>
      <c r="H296" s="463">
        <v>622.57</v>
      </c>
      <c r="I296" s="470">
        <f t="shared" si="14"/>
        <v>8.29588160600465e-5</v>
      </c>
      <c r="J296" s="471">
        <f t="shared" si="15"/>
        <v>0.995638020201427</v>
      </c>
      <c r="K296" s="463" t="str">
        <f t="shared" si="16"/>
        <v>C</v>
      </c>
    </row>
    <row r="297" ht="15.75" customHeight="1" spans="1:11">
      <c r="A297" s="462" t="s">
        <v>618</v>
      </c>
      <c r="B297" s="462" t="s">
        <v>65</v>
      </c>
      <c r="C297" s="462" t="s">
        <v>619</v>
      </c>
      <c r="D297" s="462"/>
      <c r="E297" s="462" t="s">
        <v>67</v>
      </c>
      <c r="F297" s="463">
        <v>3</v>
      </c>
      <c r="G297" s="463">
        <v>206.89</v>
      </c>
      <c r="H297" s="463">
        <v>620.67</v>
      </c>
      <c r="I297" s="470">
        <f t="shared" si="14"/>
        <v>8.27056368986444e-5</v>
      </c>
      <c r="J297" s="471">
        <f t="shared" si="15"/>
        <v>0.995720725838325</v>
      </c>
      <c r="K297" s="463" t="str">
        <f t="shared" si="16"/>
        <v>C</v>
      </c>
    </row>
    <row r="298" ht="15.75" customHeight="1" spans="1:11">
      <c r="A298" s="462">
        <v>61359</v>
      </c>
      <c r="B298" s="462" t="s">
        <v>99</v>
      </c>
      <c r="C298" s="462" t="s">
        <v>1149</v>
      </c>
      <c r="D298" s="462" t="s">
        <v>1680</v>
      </c>
      <c r="E298" s="462" t="s">
        <v>105</v>
      </c>
      <c r="F298" s="463">
        <v>25</v>
      </c>
      <c r="G298" s="463">
        <v>24.81</v>
      </c>
      <c r="H298" s="463">
        <v>620.25</v>
      </c>
      <c r="I298" s="470">
        <f t="shared" si="14"/>
        <v>8.26496709787555e-5</v>
      </c>
      <c r="J298" s="471">
        <f t="shared" si="15"/>
        <v>0.995803375509304</v>
      </c>
      <c r="K298" s="463" t="str">
        <f t="shared" si="16"/>
        <v>C</v>
      </c>
    </row>
    <row r="299" ht="15.75" customHeight="1" spans="1:11">
      <c r="A299" s="462">
        <v>102920</v>
      </c>
      <c r="B299" s="462" t="s">
        <v>71</v>
      </c>
      <c r="C299" s="462" t="s">
        <v>310</v>
      </c>
      <c r="D299" s="462" t="s">
        <v>1698</v>
      </c>
      <c r="E299" s="462" t="s">
        <v>158</v>
      </c>
      <c r="F299" s="463">
        <v>54</v>
      </c>
      <c r="G299" s="463">
        <v>11.34</v>
      </c>
      <c r="H299" s="463">
        <v>612.36</v>
      </c>
      <c r="I299" s="470">
        <f t="shared" si="14"/>
        <v>8.15983111979859e-5</v>
      </c>
      <c r="J299" s="471">
        <f t="shared" si="15"/>
        <v>0.995884973820502</v>
      </c>
      <c r="K299" s="463" t="str">
        <f t="shared" si="16"/>
        <v>C</v>
      </c>
    </row>
    <row r="300" ht="15.75" customHeight="1" spans="1:11">
      <c r="A300" s="462">
        <v>90282</v>
      </c>
      <c r="B300" s="462" t="s">
        <v>71</v>
      </c>
      <c r="C300" s="462" t="s">
        <v>316</v>
      </c>
      <c r="D300" s="462" t="s">
        <v>1698</v>
      </c>
      <c r="E300" s="462" t="s">
        <v>129</v>
      </c>
      <c r="F300" s="463">
        <v>1</v>
      </c>
      <c r="G300" s="463">
        <v>603.3</v>
      </c>
      <c r="H300" s="463">
        <v>603.3</v>
      </c>
      <c r="I300" s="470">
        <f t="shared" si="14"/>
        <v>8.03910463546686e-5</v>
      </c>
      <c r="J300" s="471">
        <f t="shared" si="15"/>
        <v>0.995965364866857</v>
      </c>
      <c r="K300" s="463" t="str">
        <f t="shared" si="16"/>
        <v>C</v>
      </c>
    </row>
    <row r="301" ht="15.75" customHeight="1" spans="1:11">
      <c r="A301" s="462">
        <v>95602</v>
      </c>
      <c r="B301" s="462" t="s">
        <v>71</v>
      </c>
      <c r="C301" s="462" t="s">
        <v>201</v>
      </c>
      <c r="D301" s="462" t="s">
        <v>1707</v>
      </c>
      <c r="E301" s="462" t="s">
        <v>105</v>
      </c>
      <c r="F301" s="463">
        <v>12</v>
      </c>
      <c r="G301" s="463">
        <v>49.49</v>
      </c>
      <c r="H301" s="463">
        <v>593.88</v>
      </c>
      <c r="I301" s="470">
        <f t="shared" si="14"/>
        <v>7.91358107228752e-5</v>
      </c>
      <c r="J301" s="471">
        <f t="shared" si="15"/>
        <v>0.99604450067758</v>
      </c>
      <c r="K301" s="463" t="str">
        <f t="shared" si="16"/>
        <v>C</v>
      </c>
    </row>
    <row r="302" ht="15.75" customHeight="1" spans="1:11">
      <c r="A302" s="462">
        <v>89774</v>
      </c>
      <c r="B302" s="462" t="s">
        <v>71</v>
      </c>
      <c r="C302" s="462" t="s">
        <v>553</v>
      </c>
      <c r="D302" s="462" t="s">
        <v>1649</v>
      </c>
      <c r="E302" s="462" t="s">
        <v>105</v>
      </c>
      <c r="F302" s="463">
        <v>26</v>
      </c>
      <c r="G302" s="463">
        <v>22.27</v>
      </c>
      <c r="H302" s="463">
        <v>579.02</v>
      </c>
      <c r="I302" s="470">
        <f t="shared" si="14"/>
        <v>7.71556831763306e-5</v>
      </c>
      <c r="J302" s="471">
        <f t="shared" si="15"/>
        <v>0.996121656360756</v>
      </c>
      <c r="K302" s="463" t="str">
        <f t="shared" si="16"/>
        <v>C</v>
      </c>
    </row>
    <row r="303" ht="15.75" customHeight="1" spans="1:11">
      <c r="A303" s="462">
        <v>59251</v>
      </c>
      <c r="B303" s="462" t="s">
        <v>99</v>
      </c>
      <c r="C303" s="462" t="s">
        <v>1061</v>
      </c>
      <c r="D303" s="462" t="s">
        <v>1644</v>
      </c>
      <c r="E303" s="462" t="s">
        <v>105</v>
      </c>
      <c r="F303" s="463">
        <v>1</v>
      </c>
      <c r="G303" s="463">
        <v>555.77</v>
      </c>
      <c r="H303" s="463">
        <v>555.77</v>
      </c>
      <c r="I303" s="470">
        <f t="shared" si="14"/>
        <v>7.40575697539105e-5</v>
      </c>
      <c r="J303" s="471">
        <f t="shared" si="15"/>
        <v>0.99619571393051</v>
      </c>
      <c r="K303" s="463" t="str">
        <f t="shared" si="16"/>
        <v>C</v>
      </c>
    </row>
    <row r="304" ht="15.75" customHeight="1" spans="1:11">
      <c r="A304" s="462" t="s">
        <v>878</v>
      </c>
      <c r="B304" s="462" t="s">
        <v>76</v>
      </c>
      <c r="C304" s="462" t="s">
        <v>879</v>
      </c>
      <c r="D304" s="462">
        <v>15</v>
      </c>
      <c r="E304" s="462" t="s">
        <v>105</v>
      </c>
      <c r="F304" s="463">
        <v>7</v>
      </c>
      <c r="G304" s="463">
        <v>78.89</v>
      </c>
      <c r="H304" s="463">
        <v>552.23</v>
      </c>
      <c r="I304" s="470">
        <f t="shared" si="14"/>
        <v>7.35858570005613e-5</v>
      </c>
      <c r="J304" s="471">
        <f t="shared" si="15"/>
        <v>0.99626929978751</v>
      </c>
      <c r="K304" s="463" t="str">
        <f t="shared" si="16"/>
        <v>C</v>
      </c>
    </row>
    <row r="305" ht="15.75" customHeight="1" spans="1:11">
      <c r="A305" s="462">
        <v>89362</v>
      </c>
      <c r="B305" s="462" t="s">
        <v>71</v>
      </c>
      <c r="C305" s="462" t="s">
        <v>438</v>
      </c>
      <c r="D305" s="462" t="s">
        <v>1659</v>
      </c>
      <c r="E305" s="462" t="s">
        <v>105</v>
      </c>
      <c r="F305" s="463">
        <v>37</v>
      </c>
      <c r="G305" s="463">
        <v>14.8</v>
      </c>
      <c r="H305" s="463">
        <v>547.6</v>
      </c>
      <c r="I305" s="470">
        <f t="shared" si="14"/>
        <v>7.29688993598816e-5</v>
      </c>
      <c r="J305" s="471">
        <f t="shared" si="15"/>
        <v>0.99634226868687</v>
      </c>
      <c r="K305" s="463" t="str">
        <f t="shared" si="16"/>
        <v>C</v>
      </c>
    </row>
    <row r="306" ht="15.75" customHeight="1" spans="1:11">
      <c r="A306" s="462">
        <v>90781</v>
      </c>
      <c r="B306" s="462" t="s">
        <v>71</v>
      </c>
      <c r="C306" s="462" t="s">
        <v>81</v>
      </c>
      <c r="D306" s="462" t="s">
        <v>1708</v>
      </c>
      <c r="E306" s="462" t="s">
        <v>82</v>
      </c>
      <c r="F306" s="463">
        <v>16</v>
      </c>
      <c r="G306" s="463">
        <v>33.87</v>
      </c>
      <c r="H306" s="463">
        <v>541.92</v>
      </c>
      <c r="I306" s="470">
        <f t="shared" si="14"/>
        <v>7.22120269194795e-5</v>
      </c>
      <c r="J306" s="471">
        <f t="shared" si="15"/>
        <v>0.99641448071379</v>
      </c>
      <c r="K306" s="463" t="str">
        <f t="shared" si="16"/>
        <v>C</v>
      </c>
    </row>
    <row r="307" ht="15.75" customHeight="1" spans="1:11">
      <c r="A307" s="462" t="s">
        <v>624</v>
      </c>
      <c r="B307" s="462" t="s">
        <v>65</v>
      </c>
      <c r="C307" s="462" t="s">
        <v>625</v>
      </c>
      <c r="D307" s="462"/>
      <c r="E307" s="462" t="s">
        <v>67</v>
      </c>
      <c r="F307" s="463">
        <v>3</v>
      </c>
      <c r="G307" s="463">
        <v>177.51</v>
      </c>
      <c r="H307" s="463">
        <v>532.53</v>
      </c>
      <c r="I307" s="470">
        <f t="shared" si="14"/>
        <v>7.09607888533925e-5</v>
      </c>
      <c r="J307" s="471">
        <f t="shared" si="15"/>
        <v>0.996485441502643</v>
      </c>
      <c r="K307" s="463" t="str">
        <f t="shared" si="16"/>
        <v>C</v>
      </c>
    </row>
    <row r="308" ht="15.75" customHeight="1" spans="1:11">
      <c r="A308" s="462">
        <v>86881</v>
      </c>
      <c r="B308" s="462" t="s">
        <v>71</v>
      </c>
      <c r="C308" s="462" t="s">
        <v>684</v>
      </c>
      <c r="D308" s="462" t="s">
        <v>1673</v>
      </c>
      <c r="E308" s="462" t="s">
        <v>105</v>
      </c>
      <c r="F308" s="463">
        <v>2</v>
      </c>
      <c r="G308" s="463">
        <v>264.57</v>
      </c>
      <c r="H308" s="463">
        <v>529.14</v>
      </c>
      <c r="I308" s="470">
        <f t="shared" si="14"/>
        <v>7.05090639285751e-5</v>
      </c>
      <c r="J308" s="471">
        <f t="shared" si="15"/>
        <v>0.996555950566572</v>
      </c>
      <c r="K308" s="463" t="str">
        <f t="shared" si="16"/>
        <v>C</v>
      </c>
    </row>
    <row r="309" ht="15.75" customHeight="1" spans="1:11">
      <c r="A309" s="462" t="s">
        <v>1361</v>
      </c>
      <c r="B309" s="462" t="s">
        <v>512</v>
      </c>
      <c r="C309" s="462" t="s">
        <v>1362</v>
      </c>
      <c r="D309" s="462" t="s">
        <v>1709</v>
      </c>
      <c r="E309" s="462" t="s">
        <v>67</v>
      </c>
      <c r="F309" s="463">
        <v>16</v>
      </c>
      <c r="G309" s="463">
        <v>33.03</v>
      </c>
      <c r="H309" s="463">
        <v>528.48</v>
      </c>
      <c r="I309" s="470">
        <f t="shared" si="14"/>
        <v>7.04211174830354e-5</v>
      </c>
      <c r="J309" s="471">
        <f t="shared" si="15"/>
        <v>0.996626371684055</v>
      </c>
      <c r="K309" s="463" t="str">
        <f t="shared" si="16"/>
        <v>C</v>
      </c>
    </row>
    <row r="310" ht="15.75" customHeight="1" spans="1:11">
      <c r="A310" s="462" t="s">
        <v>999</v>
      </c>
      <c r="B310" s="462" t="s">
        <v>65</v>
      </c>
      <c r="C310" s="462" t="s">
        <v>1000</v>
      </c>
      <c r="D310" s="462" t="s">
        <v>1694</v>
      </c>
      <c r="E310" s="462" t="s">
        <v>67</v>
      </c>
      <c r="F310" s="463">
        <v>24</v>
      </c>
      <c r="G310" s="463">
        <v>22.01</v>
      </c>
      <c r="H310" s="463">
        <v>528.24</v>
      </c>
      <c r="I310" s="470">
        <f t="shared" si="14"/>
        <v>7.03891369573846e-5</v>
      </c>
      <c r="J310" s="471">
        <f t="shared" si="15"/>
        <v>0.996696760821012</v>
      </c>
      <c r="K310" s="463" t="str">
        <f t="shared" si="16"/>
        <v>C</v>
      </c>
    </row>
    <row r="311" ht="15.75" customHeight="1" spans="1:11">
      <c r="A311" s="462">
        <v>7602</v>
      </c>
      <c r="B311" s="462" t="s">
        <v>65</v>
      </c>
      <c r="C311" s="462" t="s">
        <v>507</v>
      </c>
      <c r="D311" s="462"/>
      <c r="E311" s="462" t="s">
        <v>67</v>
      </c>
      <c r="F311" s="463">
        <v>8</v>
      </c>
      <c r="G311" s="463">
        <v>64.88</v>
      </c>
      <c r="H311" s="463">
        <v>519.04</v>
      </c>
      <c r="I311" s="470">
        <f t="shared" si="14"/>
        <v>6.91632168074378e-5</v>
      </c>
      <c r="J311" s="471">
        <f t="shared" si="15"/>
        <v>0.996765924037819</v>
      </c>
      <c r="K311" s="463" t="str">
        <f t="shared" si="16"/>
        <v>C</v>
      </c>
    </row>
    <row r="312" ht="15.75" customHeight="1" spans="1:11">
      <c r="A312" s="462" t="s">
        <v>960</v>
      </c>
      <c r="B312" s="462" t="s">
        <v>65</v>
      </c>
      <c r="C312" s="462" t="s">
        <v>961</v>
      </c>
      <c r="D312" s="462"/>
      <c r="E312" s="462" t="s">
        <v>67</v>
      </c>
      <c r="F312" s="463">
        <v>2</v>
      </c>
      <c r="G312" s="463">
        <v>250.82</v>
      </c>
      <c r="H312" s="463">
        <v>501.64</v>
      </c>
      <c r="I312" s="470">
        <f t="shared" si="14"/>
        <v>6.68446286977556e-5</v>
      </c>
      <c r="J312" s="471">
        <f t="shared" si="15"/>
        <v>0.996832768666517</v>
      </c>
      <c r="K312" s="463" t="str">
        <f t="shared" si="16"/>
        <v>C</v>
      </c>
    </row>
    <row r="313" ht="15.75" customHeight="1" spans="1:26">
      <c r="A313" s="462" t="s">
        <v>528</v>
      </c>
      <c r="B313" s="462" t="s">
        <v>65</v>
      </c>
      <c r="C313" s="462" t="s">
        <v>529</v>
      </c>
      <c r="D313" s="462"/>
      <c r="E313" s="462" t="s">
        <v>67</v>
      </c>
      <c r="F313" s="463">
        <v>1</v>
      </c>
      <c r="G313" s="463">
        <v>499.5</v>
      </c>
      <c r="H313" s="463">
        <v>499.5</v>
      </c>
      <c r="I313" s="470">
        <f t="shared" si="14"/>
        <v>6.65594690107028e-5</v>
      </c>
      <c r="J313" s="471">
        <f t="shared" si="15"/>
        <v>0.996899328135528</v>
      </c>
      <c r="K313" s="463" t="str">
        <f t="shared" si="16"/>
        <v>C</v>
      </c>
      <c r="L313" s="472"/>
      <c r="M313" s="472"/>
      <c r="N313" s="472"/>
      <c r="O313" s="472"/>
      <c r="P313" s="472"/>
      <c r="Q313" s="472"/>
      <c r="R313" s="472"/>
      <c r="S313" s="472"/>
      <c r="T313" s="472"/>
      <c r="U313" s="472"/>
      <c r="V313" s="472"/>
      <c r="W313" s="472"/>
      <c r="X313" s="472"/>
      <c r="Y313" s="472"/>
      <c r="Z313" s="472"/>
    </row>
    <row r="314" ht="15.75" customHeight="1" spans="1:11">
      <c r="A314" s="462">
        <v>89753</v>
      </c>
      <c r="B314" s="462" t="s">
        <v>71</v>
      </c>
      <c r="C314" s="462" t="s">
        <v>550</v>
      </c>
      <c r="D314" s="462" t="s">
        <v>1649</v>
      </c>
      <c r="E314" s="462" t="s">
        <v>105</v>
      </c>
      <c r="F314" s="463">
        <v>36</v>
      </c>
      <c r="G314" s="463">
        <v>13.78</v>
      </c>
      <c r="H314" s="463">
        <v>496.08</v>
      </c>
      <c r="I314" s="470">
        <f t="shared" si="14"/>
        <v>6.6103746520179e-5</v>
      </c>
      <c r="J314" s="471">
        <f t="shared" si="15"/>
        <v>0.996965431882048</v>
      </c>
      <c r="K314" s="463" t="str">
        <f t="shared" si="16"/>
        <v>C</v>
      </c>
    </row>
    <row r="315" ht="15.75" customHeight="1" spans="1:11">
      <c r="A315" s="462">
        <v>93654</v>
      </c>
      <c r="B315" s="462" t="s">
        <v>71</v>
      </c>
      <c r="C315" s="462" t="s">
        <v>1510</v>
      </c>
      <c r="D315" s="462" t="s">
        <v>1692</v>
      </c>
      <c r="E315" s="462" t="s">
        <v>105</v>
      </c>
      <c r="F315" s="463">
        <v>35</v>
      </c>
      <c r="G315" s="463">
        <v>14.01</v>
      </c>
      <c r="H315" s="463">
        <v>490.35</v>
      </c>
      <c r="I315" s="470">
        <f t="shared" si="14"/>
        <v>6.53402114702665e-5</v>
      </c>
      <c r="J315" s="471">
        <f t="shared" si="15"/>
        <v>0.997030772093518</v>
      </c>
      <c r="K315" s="463" t="str">
        <f t="shared" si="16"/>
        <v>C</v>
      </c>
    </row>
    <row r="316" ht="15.75" customHeight="1" spans="1:11">
      <c r="A316" s="462">
        <v>95545</v>
      </c>
      <c r="B316" s="462" t="s">
        <v>71</v>
      </c>
      <c r="C316" s="462" t="s">
        <v>690</v>
      </c>
      <c r="D316" s="462" t="s">
        <v>1673</v>
      </c>
      <c r="E316" s="462" t="s">
        <v>105</v>
      </c>
      <c r="F316" s="463">
        <v>6</v>
      </c>
      <c r="G316" s="463">
        <v>79.95</v>
      </c>
      <c r="H316" s="463">
        <v>479.7</v>
      </c>
      <c r="I316" s="470">
        <f t="shared" si="14"/>
        <v>6.39210756445127e-5</v>
      </c>
      <c r="J316" s="471">
        <f t="shared" si="15"/>
        <v>0.997094693169163</v>
      </c>
      <c r="K316" s="463" t="str">
        <f t="shared" si="16"/>
        <v>C</v>
      </c>
    </row>
    <row r="317" ht="15.75" customHeight="1" spans="1:11">
      <c r="A317" s="462">
        <v>94792</v>
      </c>
      <c r="B317" s="462" t="s">
        <v>71</v>
      </c>
      <c r="C317" s="462" t="s">
        <v>498</v>
      </c>
      <c r="D317" s="462" t="s">
        <v>1691</v>
      </c>
      <c r="E317" s="462" t="s">
        <v>105</v>
      </c>
      <c r="F317" s="463">
        <v>4</v>
      </c>
      <c r="G317" s="463">
        <v>118.83</v>
      </c>
      <c r="H317" s="463">
        <v>475.32</v>
      </c>
      <c r="I317" s="470">
        <f t="shared" si="14"/>
        <v>6.33374310513859e-5</v>
      </c>
      <c r="J317" s="471">
        <f t="shared" si="15"/>
        <v>0.997158030600214</v>
      </c>
      <c r="K317" s="463" t="str">
        <f t="shared" si="16"/>
        <v>C</v>
      </c>
    </row>
    <row r="318" ht="15.75" customHeight="1" spans="1:11">
      <c r="A318" s="462" t="s">
        <v>653</v>
      </c>
      <c r="B318" s="462" t="s">
        <v>65</v>
      </c>
      <c r="C318" s="462" t="s">
        <v>654</v>
      </c>
      <c r="D318" s="462"/>
      <c r="E318" s="462" t="s">
        <v>67</v>
      </c>
      <c r="F318" s="463">
        <v>2</v>
      </c>
      <c r="G318" s="463">
        <v>232.75</v>
      </c>
      <c r="H318" s="463">
        <v>465.5</v>
      </c>
      <c r="I318" s="470">
        <f t="shared" si="14"/>
        <v>6.20288945435078e-5</v>
      </c>
      <c r="J318" s="471">
        <f t="shared" si="15"/>
        <v>0.997220059494758</v>
      </c>
      <c r="K318" s="463" t="str">
        <f t="shared" si="16"/>
        <v>C</v>
      </c>
    </row>
    <row r="319" ht="15.75" customHeight="1" spans="1:11">
      <c r="A319" s="462">
        <v>93661</v>
      </c>
      <c r="B319" s="462" t="s">
        <v>71</v>
      </c>
      <c r="C319" s="462" t="s">
        <v>1513</v>
      </c>
      <c r="D319" s="462" t="s">
        <v>1692</v>
      </c>
      <c r="E319" s="462" t="s">
        <v>105</v>
      </c>
      <c r="F319" s="463">
        <v>7</v>
      </c>
      <c r="G319" s="463">
        <v>64.29</v>
      </c>
      <c r="H319" s="463">
        <v>450.03</v>
      </c>
      <c r="I319" s="470">
        <f t="shared" si="14"/>
        <v>5.99674831609341e-5</v>
      </c>
      <c r="J319" s="471">
        <f t="shared" si="15"/>
        <v>0.997280026977919</v>
      </c>
      <c r="K319" s="463" t="str">
        <f t="shared" si="16"/>
        <v>C</v>
      </c>
    </row>
    <row r="320" ht="15.75" customHeight="1" spans="1:11">
      <c r="A320" s="462">
        <v>88412</v>
      </c>
      <c r="B320" s="462" t="s">
        <v>71</v>
      </c>
      <c r="C320" s="462" t="s">
        <v>1266</v>
      </c>
      <c r="D320" s="462" t="s">
        <v>1702</v>
      </c>
      <c r="E320" s="462" t="s">
        <v>73</v>
      </c>
      <c r="F320" s="463">
        <v>68.54</v>
      </c>
      <c r="G320" s="463">
        <v>6.53</v>
      </c>
      <c r="H320" s="463">
        <v>447.56</v>
      </c>
      <c r="I320" s="470">
        <f t="shared" si="14"/>
        <v>5.96383502511114e-5</v>
      </c>
      <c r="J320" s="471">
        <f t="shared" si="15"/>
        <v>0.99733966532817</v>
      </c>
      <c r="K320" s="463" t="str">
        <f t="shared" si="16"/>
        <v>C</v>
      </c>
    </row>
    <row r="321" ht="15.75" customHeight="1" spans="1:11">
      <c r="A321" s="462">
        <v>89724</v>
      </c>
      <c r="B321" s="462" t="s">
        <v>71</v>
      </c>
      <c r="C321" s="462" t="s">
        <v>571</v>
      </c>
      <c r="D321" s="462" t="s">
        <v>1649</v>
      </c>
      <c r="E321" s="462" t="s">
        <v>105</v>
      </c>
      <c r="F321" s="463">
        <v>28</v>
      </c>
      <c r="G321" s="463">
        <v>15.58</v>
      </c>
      <c r="H321" s="463">
        <v>436.24</v>
      </c>
      <c r="I321" s="470">
        <f t="shared" si="14"/>
        <v>5.81299354579159e-5</v>
      </c>
      <c r="J321" s="471">
        <f t="shared" si="15"/>
        <v>0.997397795263628</v>
      </c>
      <c r="K321" s="463" t="str">
        <f t="shared" si="16"/>
        <v>C</v>
      </c>
    </row>
    <row r="322" ht="15.75" customHeight="1" spans="1:11">
      <c r="A322" s="462">
        <v>89797</v>
      </c>
      <c r="B322" s="462" t="s">
        <v>71</v>
      </c>
      <c r="C322" s="462" t="s">
        <v>595</v>
      </c>
      <c r="D322" s="462" t="s">
        <v>1649</v>
      </c>
      <c r="E322" s="462" t="s">
        <v>105</v>
      </c>
      <c r="F322" s="463">
        <v>6</v>
      </c>
      <c r="G322" s="463">
        <v>70.93</v>
      </c>
      <c r="H322" s="463">
        <v>425.58</v>
      </c>
      <c r="I322" s="470">
        <f t="shared" si="14"/>
        <v>5.670946711026e-5</v>
      </c>
      <c r="J322" s="471">
        <f t="shared" si="15"/>
        <v>0.997454504730738</v>
      </c>
      <c r="K322" s="463" t="str">
        <f t="shared" si="16"/>
        <v>C</v>
      </c>
    </row>
    <row r="323" ht="15.75" customHeight="1" spans="1:11">
      <c r="A323" s="462">
        <v>89731</v>
      </c>
      <c r="B323" s="462" t="s">
        <v>71</v>
      </c>
      <c r="C323" s="462" t="s">
        <v>577</v>
      </c>
      <c r="D323" s="462" t="s">
        <v>1649</v>
      </c>
      <c r="E323" s="462" t="s">
        <v>105</v>
      </c>
      <c r="F323" s="463">
        <v>19</v>
      </c>
      <c r="G323" s="463">
        <v>21.4</v>
      </c>
      <c r="H323" s="463">
        <v>406.6</v>
      </c>
      <c r="I323" s="470">
        <f t="shared" si="14"/>
        <v>5.41803405400435e-5</v>
      </c>
      <c r="J323" s="471">
        <f t="shared" si="15"/>
        <v>0.997508685071278</v>
      </c>
      <c r="K323" s="463" t="str">
        <f t="shared" si="16"/>
        <v>C</v>
      </c>
    </row>
    <row r="324" ht="15.75" customHeight="1" spans="1:26">
      <c r="A324" s="462">
        <v>95943</v>
      </c>
      <c r="B324" s="462" t="s">
        <v>71</v>
      </c>
      <c r="C324" s="462" t="s">
        <v>285</v>
      </c>
      <c r="D324" s="462" t="s">
        <v>1672</v>
      </c>
      <c r="E324" s="462" t="s">
        <v>158</v>
      </c>
      <c r="F324" s="463">
        <v>12</v>
      </c>
      <c r="G324" s="463">
        <v>33.18</v>
      </c>
      <c r="H324" s="463">
        <v>398.16</v>
      </c>
      <c r="I324" s="470">
        <f t="shared" si="14"/>
        <v>5.30556920546575e-5</v>
      </c>
      <c r="J324" s="471">
        <f t="shared" si="15"/>
        <v>0.997561740763333</v>
      </c>
      <c r="K324" s="463" t="str">
        <f t="shared" si="16"/>
        <v>C</v>
      </c>
      <c r="L324" s="472"/>
      <c r="M324" s="472"/>
      <c r="N324" s="472"/>
      <c r="O324" s="472"/>
      <c r="P324" s="472"/>
      <c r="Q324" s="472"/>
      <c r="R324" s="472"/>
      <c r="S324" s="472"/>
      <c r="T324" s="472"/>
      <c r="U324" s="472"/>
      <c r="V324" s="472"/>
      <c r="W324" s="472"/>
      <c r="X324" s="472"/>
      <c r="Y324" s="472"/>
      <c r="Z324" s="472"/>
    </row>
    <row r="325" ht="15.75" customHeight="1" spans="1:11">
      <c r="A325" s="462" t="s">
        <v>1488</v>
      </c>
      <c r="B325" s="462" t="s">
        <v>65</v>
      </c>
      <c r="C325" s="462" t="s">
        <v>1489</v>
      </c>
      <c r="D325" s="462"/>
      <c r="E325" s="462" t="s">
        <v>67</v>
      </c>
      <c r="F325" s="463">
        <v>2</v>
      </c>
      <c r="G325" s="463">
        <v>193.44</v>
      </c>
      <c r="H325" s="463">
        <v>386.88</v>
      </c>
      <c r="I325" s="470">
        <f t="shared" si="14"/>
        <v>5.15526073490704e-5</v>
      </c>
      <c r="J325" s="471">
        <f t="shared" si="15"/>
        <v>0.997613293370682</v>
      </c>
      <c r="K325" s="463" t="str">
        <f t="shared" si="16"/>
        <v>C</v>
      </c>
    </row>
    <row r="326" ht="15.75" customHeight="1" spans="1:11">
      <c r="A326" s="462" t="s">
        <v>1542</v>
      </c>
      <c r="B326" s="462" t="s">
        <v>65</v>
      </c>
      <c r="C326" s="462" t="s">
        <v>1543</v>
      </c>
      <c r="D326" s="462" t="s">
        <v>1670</v>
      </c>
      <c r="E326" s="462" t="s">
        <v>67</v>
      </c>
      <c r="F326" s="463">
        <v>1</v>
      </c>
      <c r="G326" s="463">
        <v>376.68</v>
      </c>
      <c r="H326" s="463">
        <v>376.68</v>
      </c>
      <c r="I326" s="470">
        <f t="shared" si="14"/>
        <v>5.01934350089119e-5</v>
      </c>
      <c r="J326" s="471">
        <f t="shared" si="15"/>
        <v>0.997663486805691</v>
      </c>
      <c r="K326" s="463" t="str">
        <f t="shared" si="16"/>
        <v>C</v>
      </c>
    </row>
    <row r="327" ht="15.75" customHeight="1" spans="1:11">
      <c r="A327" s="462">
        <v>89786</v>
      </c>
      <c r="B327" s="462" t="s">
        <v>71</v>
      </c>
      <c r="C327" s="462" t="s">
        <v>607</v>
      </c>
      <c r="D327" s="462" t="s">
        <v>1649</v>
      </c>
      <c r="E327" s="462" t="s">
        <v>105</v>
      </c>
      <c r="F327" s="463">
        <v>7</v>
      </c>
      <c r="G327" s="463">
        <v>53.8</v>
      </c>
      <c r="H327" s="463">
        <v>376.6</v>
      </c>
      <c r="I327" s="470">
        <f t="shared" si="14"/>
        <v>5.0182774833695e-5</v>
      </c>
      <c r="J327" s="471">
        <f t="shared" si="15"/>
        <v>0.997713669580524</v>
      </c>
      <c r="K327" s="463" t="str">
        <f t="shared" si="16"/>
        <v>C</v>
      </c>
    </row>
    <row r="328" ht="15.75" customHeight="1" spans="1:11">
      <c r="A328" s="462">
        <v>103978</v>
      </c>
      <c r="B328" s="462" t="s">
        <v>71</v>
      </c>
      <c r="C328" s="462" t="s">
        <v>423</v>
      </c>
      <c r="D328" s="462" t="s">
        <v>1659</v>
      </c>
      <c r="E328" s="462" t="s">
        <v>78</v>
      </c>
      <c r="F328" s="463">
        <v>10</v>
      </c>
      <c r="G328" s="463">
        <v>37.41</v>
      </c>
      <c r="H328" s="463">
        <v>374.1</v>
      </c>
      <c r="I328" s="470">
        <f t="shared" si="14"/>
        <v>4.9849644358166e-5</v>
      </c>
      <c r="J328" s="471">
        <f t="shared" si="15"/>
        <v>0.997763519224883</v>
      </c>
      <c r="K328" s="463" t="str">
        <f t="shared" si="16"/>
        <v>C</v>
      </c>
    </row>
    <row r="329" ht="15.75" customHeight="1" spans="1:11">
      <c r="A329" s="462" t="s">
        <v>665</v>
      </c>
      <c r="B329" s="462" t="s">
        <v>65</v>
      </c>
      <c r="C329" s="462" t="s">
        <v>666</v>
      </c>
      <c r="D329" s="462"/>
      <c r="E329" s="462" t="s">
        <v>67</v>
      </c>
      <c r="F329" s="463">
        <v>2</v>
      </c>
      <c r="G329" s="463">
        <v>187.01</v>
      </c>
      <c r="H329" s="463">
        <v>374.02</v>
      </c>
      <c r="I329" s="470">
        <f t="shared" si="14"/>
        <v>4.9838984182949e-5</v>
      </c>
      <c r="J329" s="471">
        <f t="shared" si="15"/>
        <v>0.997813358209066</v>
      </c>
      <c r="K329" s="463" t="str">
        <f t="shared" si="16"/>
        <v>C</v>
      </c>
    </row>
    <row r="330" ht="15.75" customHeight="1" spans="1:11">
      <c r="A330" s="462" t="s">
        <v>1419</v>
      </c>
      <c r="B330" s="462" t="s">
        <v>65</v>
      </c>
      <c r="C330" s="462" t="s">
        <v>1420</v>
      </c>
      <c r="D330" s="462"/>
      <c r="E330" s="462" t="s">
        <v>67</v>
      </c>
      <c r="F330" s="463">
        <v>8</v>
      </c>
      <c r="G330" s="463">
        <v>46.46</v>
      </c>
      <c r="H330" s="463">
        <v>371.68</v>
      </c>
      <c r="I330" s="470">
        <f t="shared" si="14"/>
        <v>4.95271740578539e-5</v>
      </c>
      <c r="J330" s="471">
        <f t="shared" si="15"/>
        <v>0.997862885383123</v>
      </c>
      <c r="K330" s="463" t="str">
        <f t="shared" si="16"/>
        <v>C</v>
      </c>
    </row>
    <row r="331" ht="15.75" customHeight="1" spans="1:11">
      <c r="A331" s="462">
        <v>105163</v>
      </c>
      <c r="B331" s="462" t="s">
        <v>71</v>
      </c>
      <c r="C331" s="462" t="s">
        <v>1223</v>
      </c>
      <c r="D331" s="462" t="s">
        <v>1710</v>
      </c>
      <c r="E331" s="462" t="s">
        <v>105</v>
      </c>
      <c r="F331" s="463">
        <v>18</v>
      </c>
      <c r="G331" s="463">
        <v>19.89</v>
      </c>
      <c r="H331" s="463">
        <v>358.02</v>
      </c>
      <c r="I331" s="470">
        <f t="shared" si="14"/>
        <v>4.77069491395632e-5</v>
      </c>
      <c r="J331" s="471">
        <f t="shared" si="15"/>
        <v>0.997910592332263</v>
      </c>
      <c r="K331" s="463" t="str">
        <f t="shared" si="16"/>
        <v>C</v>
      </c>
    </row>
    <row r="332" ht="15.75" customHeight="1" spans="1:11">
      <c r="A332" s="462" t="s">
        <v>996</v>
      </c>
      <c r="B332" s="462" t="s">
        <v>512</v>
      </c>
      <c r="C332" s="462" t="s">
        <v>997</v>
      </c>
      <c r="D332" s="462" t="s">
        <v>1645</v>
      </c>
      <c r="E332" s="462" t="s">
        <v>67</v>
      </c>
      <c r="F332" s="463">
        <v>153</v>
      </c>
      <c r="G332" s="463">
        <v>2.3</v>
      </c>
      <c r="H332" s="463">
        <v>351.9</v>
      </c>
      <c r="I332" s="470">
        <f t="shared" si="14"/>
        <v>4.68914457354681e-5</v>
      </c>
      <c r="J332" s="471">
        <f t="shared" si="15"/>
        <v>0.997957483777998</v>
      </c>
      <c r="K332" s="463" t="str">
        <f t="shared" si="16"/>
        <v>C</v>
      </c>
    </row>
    <row r="333" ht="15.75" customHeight="1" spans="1:11">
      <c r="A333" s="462">
        <v>89737</v>
      </c>
      <c r="B333" s="462" t="s">
        <v>71</v>
      </c>
      <c r="C333" s="462" t="s">
        <v>580</v>
      </c>
      <c r="D333" s="462" t="s">
        <v>1649</v>
      </c>
      <c r="E333" s="462" t="s">
        <v>105</v>
      </c>
      <c r="F333" s="463">
        <v>11</v>
      </c>
      <c r="G333" s="463">
        <v>31.81</v>
      </c>
      <c r="H333" s="463">
        <v>349.91</v>
      </c>
      <c r="I333" s="470">
        <f t="shared" si="14"/>
        <v>4.6626273876947e-5</v>
      </c>
      <c r="J333" s="471">
        <f t="shared" si="15"/>
        <v>0.998004110051875</v>
      </c>
      <c r="K333" s="463" t="str">
        <f t="shared" si="16"/>
        <v>C</v>
      </c>
    </row>
    <row r="334" ht="15.75" customHeight="1" spans="1:26">
      <c r="A334" s="462">
        <v>89744</v>
      </c>
      <c r="B334" s="462" t="s">
        <v>71</v>
      </c>
      <c r="C334" s="462" t="s">
        <v>565</v>
      </c>
      <c r="D334" s="462" t="s">
        <v>1649</v>
      </c>
      <c r="E334" s="462" t="s">
        <v>105</v>
      </c>
      <c r="F334" s="463">
        <v>9</v>
      </c>
      <c r="G334" s="463">
        <v>38.6</v>
      </c>
      <c r="H334" s="463">
        <v>347.4</v>
      </c>
      <c r="I334" s="470">
        <f t="shared" si="14"/>
        <v>4.62918108795158e-5</v>
      </c>
      <c r="J334" s="471">
        <f t="shared" si="15"/>
        <v>0.998050401862755</v>
      </c>
      <c r="K334" s="463" t="str">
        <f t="shared" si="16"/>
        <v>C</v>
      </c>
      <c r="L334" s="472"/>
      <c r="M334" s="472"/>
      <c r="N334" s="472"/>
      <c r="O334" s="472"/>
      <c r="P334" s="472"/>
      <c r="Q334" s="472"/>
      <c r="R334" s="472"/>
      <c r="S334" s="472"/>
      <c r="T334" s="472"/>
      <c r="U334" s="472"/>
      <c r="V334" s="472"/>
      <c r="W334" s="472"/>
      <c r="X334" s="472"/>
      <c r="Y334" s="472"/>
      <c r="Z334" s="472"/>
    </row>
    <row r="335" ht="15.75" customHeight="1" spans="1:11">
      <c r="A335" s="462" t="s">
        <v>1116</v>
      </c>
      <c r="B335" s="462" t="s">
        <v>76</v>
      </c>
      <c r="C335" s="462" t="s">
        <v>1117</v>
      </c>
      <c r="D335" s="462">
        <v>5</v>
      </c>
      <c r="E335" s="462" t="s">
        <v>105</v>
      </c>
      <c r="F335" s="463">
        <v>25</v>
      </c>
      <c r="G335" s="463">
        <v>13.3</v>
      </c>
      <c r="H335" s="463">
        <v>332.5</v>
      </c>
      <c r="I335" s="470">
        <f t="shared" si="14"/>
        <v>4.43063532453627e-5</v>
      </c>
      <c r="J335" s="471">
        <f t="shared" si="15"/>
        <v>0.998094708216</v>
      </c>
      <c r="K335" s="463" t="str">
        <f t="shared" si="16"/>
        <v>C</v>
      </c>
    </row>
    <row r="336" ht="15.75" customHeight="1" spans="1:11">
      <c r="A336" s="462">
        <v>12064</v>
      </c>
      <c r="B336" s="462" t="s">
        <v>99</v>
      </c>
      <c r="C336" s="462" t="s">
        <v>1064</v>
      </c>
      <c r="D336" s="462" t="s">
        <v>1631</v>
      </c>
      <c r="E336" s="462" t="s">
        <v>105</v>
      </c>
      <c r="F336" s="463">
        <v>1</v>
      </c>
      <c r="G336" s="463">
        <v>325.13</v>
      </c>
      <c r="H336" s="463">
        <v>325.13</v>
      </c>
      <c r="I336" s="470">
        <f t="shared" si="14"/>
        <v>4.33242846035031e-5</v>
      </c>
      <c r="J336" s="471">
        <f t="shared" si="15"/>
        <v>0.998138032500604</v>
      </c>
      <c r="K336" s="463" t="str">
        <f t="shared" si="16"/>
        <v>C</v>
      </c>
    </row>
    <row r="337" ht="15.75" customHeight="1" spans="1:11">
      <c r="A337" s="462">
        <v>94793</v>
      </c>
      <c r="B337" s="462" t="s">
        <v>71</v>
      </c>
      <c r="C337" s="462" t="s">
        <v>501</v>
      </c>
      <c r="D337" s="462" t="s">
        <v>1691</v>
      </c>
      <c r="E337" s="462" t="s">
        <v>105</v>
      </c>
      <c r="F337" s="463">
        <v>2</v>
      </c>
      <c r="G337" s="463">
        <v>161.34</v>
      </c>
      <c r="H337" s="463">
        <v>322.68</v>
      </c>
      <c r="I337" s="470">
        <f t="shared" ref="I337:I400" si="17">H337/$I$445</f>
        <v>4.29978167374846e-5</v>
      </c>
      <c r="J337" s="471">
        <f t="shared" si="15"/>
        <v>0.998181030317341</v>
      </c>
      <c r="K337" s="463" t="str">
        <f t="shared" si="16"/>
        <v>C</v>
      </c>
    </row>
    <row r="338" ht="15.75" customHeight="1" spans="1:11">
      <c r="A338" s="462">
        <v>89355</v>
      </c>
      <c r="B338" s="462" t="s">
        <v>71</v>
      </c>
      <c r="C338" s="462" t="s">
        <v>414</v>
      </c>
      <c r="D338" s="462" t="s">
        <v>1659</v>
      </c>
      <c r="E338" s="462" t="s">
        <v>78</v>
      </c>
      <c r="F338" s="463">
        <v>10</v>
      </c>
      <c r="G338" s="463">
        <v>31.78</v>
      </c>
      <c r="H338" s="463">
        <v>317.8</v>
      </c>
      <c r="I338" s="470">
        <f t="shared" si="17"/>
        <v>4.23475460492519e-5</v>
      </c>
      <c r="J338" s="471">
        <f t="shared" si="15"/>
        <v>0.998223377863391</v>
      </c>
      <c r="K338" s="463" t="str">
        <f t="shared" si="16"/>
        <v>C</v>
      </c>
    </row>
    <row r="339" ht="15.75" customHeight="1" spans="1:11">
      <c r="A339" s="462" t="s">
        <v>1107</v>
      </c>
      <c r="B339" s="462" t="s">
        <v>65</v>
      </c>
      <c r="C339" s="462" t="s">
        <v>1108</v>
      </c>
      <c r="D339" s="462" t="s">
        <v>1694</v>
      </c>
      <c r="E339" s="462" t="s">
        <v>67</v>
      </c>
      <c r="F339" s="463">
        <v>10</v>
      </c>
      <c r="G339" s="463">
        <v>29.89</v>
      </c>
      <c r="H339" s="463">
        <v>298.9</v>
      </c>
      <c r="I339" s="470">
        <f t="shared" si="17"/>
        <v>3.98290796542524e-5</v>
      </c>
      <c r="J339" s="471">
        <f t="shared" ref="J339:J402" si="18">I339+J338</f>
        <v>0.998263206943045</v>
      </c>
      <c r="K339" s="463" t="str">
        <f t="shared" ref="K339:K402" si="19">IF(J339&lt;=50%,"A",IF(J339&lt;=80%,"B","C"))</f>
        <v>C</v>
      </c>
    </row>
    <row r="340" ht="15.75" customHeight="1" spans="1:11">
      <c r="A340" s="462">
        <v>96543</v>
      </c>
      <c r="B340" s="462" t="s">
        <v>71</v>
      </c>
      <c r="C340" s="462" t="s">
        <v>157</v>
      </c>
      <c r="D340" s="462" t="s">
        <v>1634</v>
      </c>
      <c r="E340" s="462" t="s">
        <v>158</v>
      </c>
      <c r="F340" s="463">
        <v>10</v>
      </c>
      <c r="G340" s="463">
        <v>29.56</v>
      </c>
      <c r="H340" s="463">
        <v>295.6</v>
      </c>
      <c r="I340" s="470">
        <f t="shared" si="17"/>
        <v>3.9389347426554e-5</v>
      </c>
      <c r="J340" s="471">
        <f t="shared" si="18"/>
        <v>0.998302596290471</v>
      </c>
      <c r="K340" s="463" t="str">
        <f t="shared" si="19"/>
        <v>C</v>
      </c>
    </row>
    <row r="341" ht="15.75" customHeight="1" spans="1:11">
      <c r="A341" s="462">
        <v>95944</v>
      </c>
      <c r="B341" s="462" t="s">
        <v>71</v>
      </c>
      <c r="C341" s="462" t="s">
        <v>288</v>
      </c>
      <c r="D341" s="462" t="s">
        <v>1672</v>
      </c>
      <c r="E341" s="462" t="s">
        <v>158</v>
      </c>
      <c r="F341" s="463">
        <v>10</v>
      </c>
      <c r="G341" s="463">
        <v>29.48</v>
      </c>
      <c r="H341" s="463">
        <v>294.8</v>
      </c>
      <c r="I341" s="470">
        <f t="shared" si="17"/>
        <v>3.92827456743847e-5</v>
      </c>
      <c r="J341" s="471">
        <f t="shared" si="18"/>
        <v>0.998341879036146</v>
      </c>
      <c r="K341" s="463" t="str">
        <f t="shared" si="19"/>
        <v>C</v>
      </c>
    </row>
    <row r="342" ht="15.75" customHeight="1" spans="1:11">
      <c r="A342" s="462">
        <v>98689</v>
      </c>
      <c r="B342" s="462" t="s">
        <v>71</v>
      </c>
      <c r="C342" s="462" t="s">
        <v>1320</v>
      </c>
      <c r="D342" s="462" t="s">
        <v>1711</v>
      </c>
      <c r="E342" s="462" t="s">
        <v>78</v>
      </c>
      <c r="F342" s="463">
        <v>1.73</v>
      </c>
      <c r="G342" s="463">
        <v>168.54</v>
      </c>
      <c r="H342" s="463">
        <v>291.57</v>
      </c>
      <c r="I342" s="470">
        <f t="shared" si="17"/>
        <v>3.88523411000012e-5</v>
      </c>
      <c r="J342" s="471">
        <f t="shared" si="18"/>
        <v>0.998380731377246</v>
      </c>
      <c r="K342" s="463" t="str">
        <f t="shared" si="19"/>
        <v>C</v>
      </c>
    </row>
    <row r="343" ht="15.75" customHeight="1" spans="1:11">
      <c r="A343" s="462" t="s">
        <v>1090</v>
      </c>
      <c r="B343" s="462" t="s">
        <v>76</v>
      </c>
      <c r="C343" s="462" t="s">
        <v>1091</v>
      </c>
      <c r="D343" s="462">
        <v>15</v>
      </c>
      <c r="E343" s="462" t="s">
        <v>105</v>
      </c>
      <c r="F343" s="463">
        <v>1</v>
      </c>
      <c r="G343" s="463">
        <v>291.24</v>
      </c>
      <c r="H343" s="463">
        <v>291.24</v>
      </c>
      <c r="I343" s="470">
        <f t="shared" si="17"/>
        <v>3.88083678772314e-5</v>
      </c>
      <c r="J343" s="471">
        <f t="shared" si="18"/>
        <v>0.998419539745123</v>
      </c>
      <c r="K343" s="463" t="str">
        <f t="shared" si="19"/>
        <v>C</v>
      </c>
    </row>
    <row r="344" ht="15.75" customHeight="1" spans="1:11">
      <c r="A344" s="462">
        <v>60045</v>
      </c>
      <c r="B344" s="462" t="s">
        <v>99</v>
      </c>
      <c r="C344" s="462" t="s">
        <v>907</v>
      </c>
      <c r="D344" s="462" t="s">
        <v>1663</v>
      </c>
      <c r="E344" s="462" t="s">
        <v>105</v>
      </c>
      <c r="F344" s="463">
        <v>2</v>
      </c>
      <c r="G344" s="463">
        <v>144.73</v>
      </c>
      <c r="H344" s="463">
        <v>289.46</v>
      </c>
      <c r="I344" s="470">
        <f t="shared" si="17"/>
        <v>3.85711789786547e-5</v>
      </c>
      <c r="J344" s="471">
        <f t="shared" si="18"/>
        <v>0.998458110924102</v>
      </c>
      <c r="K344" s="463" t="str">
        <f t="shared" si="19"/>
        <v>C</v>
      </c>
    </row>
    <row r="345" ht="15.75" customHeight="1" spans="1:11">
      <c r="A345" s="462" t="s">
        <v>1521</v>
      </c>
      <c r="B345" s="462" t="s">
        <v>512</v>
      </c>
      <c r="C345" s="462" t="s">
        <v>1522</v>
      </c>
      <c r="D345" s="462" t="s">
        <v>1648</v>
      </c>
      <c r="E345" s="462" t="s">
        <v>67</v>
      </c>
      <c r="F345" s="463">
        <v>2</v>
      </c>
      <c r="G345" s="463">
        <v>143.27</v>
      </c>
      <c r="H345" s="463">
        <v>286.54</v>
      </c>
      <c r="I345" s="470">
        <f t="shared" si="17"/>
        <v>3.81820825832368e-5</v>
      </c>
      <c r="J345" s="471">
        <f t="shared" si="18"/>
        <v>0.998496293006685</v>
      </c>
      <c r="K345" s="463" t="str">
        <f t="shared" si="19"/>
        <v>C</v>
      </c>
    </row>
    <row r="346" ht="15.75" customHeight="1" spans="1:11">
      <c r="A346" s="462" t="s">
        <v>1084</v>
      </c>
      <c r="B346" s="462" t="s">
        <v>76</v>
      </c>
      <c r="C346" s="462" t="s">
        <v>1085</v>
      </c>
      <c r="D346" s="462">
        <v>15</v>
      </c>
      <c r="E346" s="462" t="s">
        <v>105</v>
      </c>
      <c r="F346" s="463">
        <v>2</v>
      </c>
      <c r="G346" s="463">
        <v>138.75</v>
      </c>
      <c r="H346" s="463">
        <v>277.5</v>
      </c>
      <c r="I346" s="470">
        <f t="shared" si="17"/>
        <v>3.69774827837238e-5</v>
      </c>
      <c r="J346" s="471">
        <f t="shared" si="18"/>
        <v>0.998533270489469</v>
      </c>
      <c r="K346" s="463" t="str">
        <f t="shared" si="19"/>
        <v>C</v>
      </c>
    </row>
    <row r="347" ht="15.75" customHeight="1" spans="1:11">
      <c r="A347" s="462">
        <v>60631</v>
      </c>
      <c r="B347" s="462" t="s">
        <v>99</v>
      </c>
      <c r="C347" s="462" t="s">
        <v>1099</v>
      </c>
      <c r="D347" s="462" t="s">
        <v>1663</v>
      </c>
      <c r="E347" s="462" t="s">
        <v>105</v>
      </c>
      <c r="F347" s="463">
        <v>2</v>
      </c>
      <c r="G347" s="463">
        <v>138.65</v>
      </c>
      <c r="H347" s="463">
        <v>277.3</v>
      </c>
      <c r="I347" s="470">
        <f t="shared" si="17"/>
        <v>3.69508323456814e-5</v>
      </c>
      <c r="J347" s="471">
        <f t="shared" si="18"/>
        <v>0.998570221321814</v>
      </c>
      <c r="K347" s="463" t="str">
        <f t="shared" si="19"/>
        <v>C</v>
      </c>
    </row>
    <row r="348" ht="15.75" customHeight="1" spans="1:11">
      <c r="A348" s="462" t="s">
        <v>956</v>
      </c>
      <c r="B348" s="462" t="s">
        <v>76</v>
      </c>
      <c r="C348" s="462" t="s">
        <v>957</v>
      </c>
      <c r="D348" s="462">
        <v>21</v>
      </c>
      <c r="E348" s="462" t="s">
        <v>105</v>
      </c>
      <c r="F348" s="463">
        <v>4</v>
      </c>
      <c r="G348" s="463">
        <v>67.11</v>
      </c>
      <c r="H348" s="463">
        <v>268.44</v>
      </c>
      <c r="I348" s="470">
        <f t="shared" si="17"/>
        <v>3.57702179404065e-5</v>
      </c>
      <c r="J348" s="471">
        <f t="shared" si="18"/>
        <v>0.998605991539755</v>
      </c>
      <c r="K348" s="463" t="str">
        <f t="shared" si="19"/>
        <v>C</v>
      </c>
    </row>
    <row r="349" ht="15.75" customHeight="1" spans="1:11">
      <c r="A349" s="462">
        <v>89379</v>
      </c>
      <c r="B349" s="462" t="s">
        <v>71</v>
      </c>
      <c r="C349" s="462" t="s">
        <v>426</v>
      </c>
      <c r="D349" s="462" t="s">
        <v>1659</v>
      </c>
      <c r="E349" s="462" t="s">
        <v>105</v>
      </c>
      <c r="F349" s="463">
        <v>10</v>
      </c>
      <c r="G349" s="463">
        <v>25.79</v>
      </c>
      <c r="H349" s="463">
        <v>257.9</v>
      </c>
      <c r="I349" s="470">
        <f t="shared" si="17"/>
        <v>3.43657398555761e-5</v>
      </c>
      <c r="J349" s="471">
        <f t="shared" si="18"/>
        <v>0.99864035727961</v>
      </c>
      <c r="K349" s="463" t="str">
        <f t="shared" si="19"/>
        <v>C</v>
      </c>
    </row>
    <row r="350" ht="15.75" customHeight="1" spans="1:11">
      <c r="A350" s="462">
        <v>89353</v>
      </c>
      <c r="B350" s="462" t="s">
        <v>71</v>
      </c>
      <c r="C350" s="462" t="s">
        <v>522</v>
      </c>
      <c r="D350" s="462" t="s">
        <v>1691</v>
      </c>
      <c r="E350" s="462" t="s">
        <v>105</v>
      </c>
      <c r="F350" s="463">
        <v>6</v>
      </c>
      <c r="G350" s="463">
        <v>41.77</v>
      </c>
      <c r="H350" s="463">
        <v>250.62</v>
      </c>
      <c r="I350" s="470">
        <f t="shared" si="17"/>
        <v>3.33956639108355e-5</v>
      </c>
      <c r="J350" s="471">
        <f t="shared" si="18"/>
        <v>0.998673752943521</v>
      </c>
      <c r="K350" s="463" t="str">
        <f t="shared" si="19"/>
        <v>C</v>
      </c>
    </row>
    <row r="351" ht="15.75" customHeight="1" spans="1:11">
      <c r="A351" s="462">
        <v>104346</v>
      </c>
      <c r="B351" s="462" t="s">
        <v>71</v>
      </c>
      <c r="C351" s="462" t="s">
        <v>610</v>
      </c>
      <c r="D351" s="462" t="s">
        <v>1649</v>
      </c>
      <c r="E351" s="462" t="s">
        <v>105</v>
      </c>
      <c r="F351" s="463">
        <v>4</v>
      </c>
      <c r="G351" s="463">
        <v>62.49</v>
      </c>
      <c r="H351" s="463">
        <v>249.96</v>
      </c>
      <c r="I351" s="470">
        <f t="shared" si="17"/>
        <v>3.33077174652958e-5</v>
      </c>
      <c r="J351" s="471">
        <f t="shared" si="18"/>
        <v>0.998707060660986</v>
      </c>
      <c r="K351" s="463" t="str">
        <f t="shared" si="19"/>
        <v>C</v>
      </c>
    </row>
    <row r="352" ht="15.75" customHeight="1" spans="1:11">
      <c r="A352" s="462">
        <v>89569</v>
      </c>
      <c r="B352" s="462" t="s">
        <v>71</v>
      </c>
      <c r="C352" s="462" t="s">
        <v>592</v>
      </c>
      <c r="D352" s="462" t="s">
        <v>1687</v>
      </c>
      <c r="E352" s="462" t="s">
        <v>105</v>
      </c>
      <c r="F352" s="463">
        <v>2</v>
      </c>
      <c r="G352" s="463">
        <v>124.13</v>
      </c>
      <c r="H352" s="463">
        <v>248.26</v>
      </c>
      <c r="I352" s="470">
        <f t="shared" si="17"/>
        <v>3.30811887419361e-5</v>
      </c>
      <c r="J352" s="471">
        <f t="shared" si="18"/>
        <v>0.998740141849728</v>
      </c>
      <c r="K352" s="463" t="str">
        <f t="shared" si="19"/>
        <v>C</v>
      </c>
    </row>
    <row r="353" ht="15.75" customHeight="1" spans="1:11">
      <c r="A353" s="462" t="s">
        <v>950</v>
      </c>
      <c r="B353" s="462" t="s">
        <v>76</v>
      </c>
      <c r="C353" s="462" t="s">
        <v>951</v>
      </c>
      <c r="D353" s="462">
        <v>14</v>
      </c>
      <c r="E353" s="462" t="s">
        <v>105</v>
      </c>
      <c r="F353" s="463">
        <v>4</v>
      </c>
      <c r="G353" s="463">
        <v>59.47</v>
      </c>
      <c r="H353" s="463">
        <v>237.88</v>
      </c>
      <c r="I353" s="470">
        <f t="shared" si="17"/>
        <v>3.16980310075395e-5</v>
      </c>
      <c r="J353" s="471">
        <f t="shared" si="18"/>
        <v>0.998771839880736</v>
      </c>
      <c r="K353" s="463" t="str">
        <f t="shared" si="19"/>
        <v>C</v>
      </c>
    </row>
    <row r="354" ht="15.75" customHeight="1" spans="1:11">
      <c r="A354" s="462" t="s">
        <v>1024</v>
      </c>
      <c r="B354" s="462" t="s">
        <v>65</v>
      </c>
      <c r="C354" s="462" t="s">
        <v>1025</v>
      </c>
      <c r="D354" s="462"/>
      <c r="E354" s="462" t="s">
        <v>67</v>
      </c>
      <c r="F354" s="463">
        <v>38</v>
      </c>
      <c r="G354" s="463">
        <v>6.25</v>
      </c>
      <c r="H354" s="463">
        <v>237.5</v>
      </c>
      <c r="I354" s="470">
        <f t="shared" si="17"/>
        <v>3.16473951752591e-5</v>
      </c>
      <c r="J354" s="471">
        <f t="shared" si="18"/>
        <v>0.998803487275911</v>
      </c>
      <c r="K354" s="463" t="str">
        <f t="shared" si="19"/>
        <v>C</v>
      </c>
    </row>
    <row r="355" ht="15.75" customHeight="1" spans="1:11">
      <c r="A355" s="462">
        <v>103686</v>
      </c>
      <c r="B355" s="462" t="s">
        <v>71</v>
      </c>
      <c r="C355" s="462" t="s">
        <v>300</v>
      </c>
      <c r="D355" s="462" t="s">
        <v>1621</v>
      </c>
      <c r="E355" s="462" t="s">
        <v>129</v>
      </c>
      <c r="F355" s="463">
        <v>0.25</v>
      </c>
      <c r="G355" s="463">
        <v>930.37</v>
      </c>
      <c r="H355" s="463">
        <v>232.59</v>
      </c>
      <c r="I355" s="470">
        <f t="shared" si="17"/>
        <v>3.099312692132e-5</v>
      </c>
      <c r="J355" s="471">
        <f t="shared" si="18"/>
        <v>0.998834480402833</v>
      </c>
      <c r="K355" s="463" t="str">
        <f t="shared" si="19"/>
        <v>C</v>
      </c>
    </row>
    <row r="356" ht="15.75" customHeight="1" spans="1:11">
      <c r="A356" s="462">
        <v>90373</v>
      </c>
      <c r="B356" s="462" t="s">
        <v>71</v>
      </c>
      <c r="C356" s="462" t="s">
        <v>450</v>
      </c>
      <c r="D356" s="462" t="s">
        <v>1659</v>
      </c>
      <c r="E356" s="462" t="s">
        <v>105</v>
      </c>
      <c r="F356" s="463">
        <v>12</v>
      </c>
      <c r="G356" s="463">
        <v>18.89</v>
      </c>
      <c r="H356" s="463">
        <v>226.68</v>
      </c>
      <c r="I356" s="470">
        <f t="shared" si="17"/>
        <v>3.02056064771694e-5</v>
      </c>
      <c r="J356" s="471">
        <f t="shared" si="18"/>
        <v>0.99886468600931</v>
      </c>
      <c r="K356" s="463" t="str">
        <f t="shared" si="19"/>
        <v>C</v>
      </c>
    </row>
    <row r="357" ht="15.75" customHeight="1" spans="1:11">
      <c r="A357" s="462">
        <v>86883</v>
      </c>
      <c r="B357" s="462" t="s">
        <v>71</v>
      </c>
      <c r="C357" s="462" t="s">
        <v>681</v>
      </c>
      <c r="D357" s="462" t="s">
        <v>1673</v>
      </c>
      <c r="E357" s="462" t="s">
        <v>105</v>
      </c>
      <c r="F357" s="463">
        <v>10</v>
      </c>
      <c r="G357" s="463">
        <v>21.61</v>
      </c>
      <c r="H357" s="463">
        <v>216.1</v>
      </c>
      <c r="I357" s="470">
        <f t="shared" si="17"/>
        <v>2.87957983047305e-5</v>
      </c>
      <c r="J357" s="471">
        <f t="shared" si="18"/>
        <v>0.998893481807614</v>
      </c>
      <c r="K357" s="463" t="str">
        <f t="shared" si="19"/>
        <v>C</v>
      </c>
    </row>
    <row r="358" ht="15.75" customHeight="1" spans="1:11">
      <c r="A358" s="462" t="s">
        <v>1349</v>
      </c>
      <c r="B358" s="462" t="s">
        <v>76</v>
      </c>
      <c r="C358" s="462" t="s">
        <v>1350</v>
      </c>
      <c r="D358" s="462">
        <v>9</v>
      </c>
      <c r="E358" s="462" t="s">
        <v>105</v>
      </c>
      <c r="F358" s="463">
        <v>1</v>
      </c>
      <c r="G358" s="463">
        <v>210.84</v>
      </c>
      <c r="H358" s="463">
        <v>210.84</v>
      </c>
      <c r="I358" s="470">
        <f t="shared" si="17"/>
        <v>2.80948917842174e-5</v>
      </c>
      <c r="J358" s="471">
        <f t="shared" si="18"/>
        <v>0.998921576699399</v>
      </c>
      <c r="K358" s="463" t="str">
        <f t="shared" si="19"/>
        <v>C</v>
      </c>
    </row>
    <row r="359" ht="15.75" customHeight="1" spans="1:11">
      <c r="A359" s="462">
        <v>2393</v>
      </c>
      <c r="B359" s="462" t="s">
        <v>76</v>
      </c>
      <c r="C359" s="462" t="s">
        <v>519</v>
      </c>
      <c r="D359" s="462" t="s">
        <v>1631</v>
      </c>
      <c r="E359" s="462" t="s">
        <v>105</v>
      </c>
      <c r="F359" s="463">
        <v>6</v>
      </c>
      <c r="G359" s="463">
        <v>35</v>
      </c>
      <c r="H359" s="463">
        <v>210</v>
      </c>
      <c r="I359" s="470">
        <f t="shared" si="17"/>
        <v>2.79829599444396e-5</v>
      </c>
      <c r="J359" s="471">
        <f t="shared" si="18"/>
        <v>0.998949559659343</v>
      </c>
      <c r="K359" s="463" t="str">
        <f t="shared" si="19"/>
        <v>C</v>
      </c>
    </row>
    <row r="360" ht="15.75" customHeight="1" spans="1:11">
      <c r="A360" s="462">
        <v>96646</v>
      </c>
      <c r="B360" s="462" t="s">
        <v>71</v>
      </c>
      <c r="C360" s="462" t="s">
        <v>1214</v>
      </c>
      <c r="D360" s="462" t="s">
        <v>1678</v>
      </c>
      <c r="E360" s="462" t="s">
        <v>78</v>
      </c>
      <c r="F360" s="463">
        <v>6</v>
      </c>
      <c r="G360" s="463">
        <v>34.95</v>
      </c>
      <c r="H360" s="463">
        <v>209.7</v>
      </c>
      <c r="I360" s="470">
        <f t="shared" si="17"/>
        <v>2.79429842873761e-5</v>
      </c>
      <c r="J360" s="471">
        <f t="shared" si="18"/>
        <v>0.99897750264363</v>
      </c>
      <c r="K360" s="463" t="str">
        <f t="shared" si="19"/>
        <v>C</v>
      </c>
    </row>
    <row r="361" ht="15.75" customHeight="1" spans="1:11">
      <c r="A361" s="462">
        <v>89784</v>
      </c>
      <c r="B361" s="462" t="s">
        <v>71</v>
      </c>
      <c r="C361" s="462" t="s">
        <v>604</v>
      </c>
      <c r="D361" s="462" t="s">
        <v>1649</v>
      </c>
      <c r="E361" s="462" t="s">
        <v>105</v>
      </c>
      <c r="F361" s="463">
        <v>6</v>
      </c>
      <c r="G361" s="463">
        <v>34.18</v>
      </c>
      <c r="H361" s="463">
        <v>205.08</v>
      </c>
      <c r="I361" s="470">
        <f t="shared" si="17"/>
        <v>2.73273591685984e-5</v>
      </c>
      <c r="J361" s="471">
        <f t="shared" si="18"/>
        <v>0.999004830002799</v>
      </c>
      <c r="K361" s="463" t="str">
        <f t="shared" si="19"/>
        <v>C</v>
      </c>
    </row>
    <row r="362" ht="15.75" customHeight="1" spans="1:11">
      <c r="A362" s="462" t="s">
        <v>1051</v>
      </c>
      <c r="B362" s="462" t="s">
        <v>65</v>
      </c>
      <c r="C362" s="462" t="s">
        <v>1052</v>
      </c>
      <c r="D362" s="462"/>
      <c r="E362" s="462" t="s">
        <v>67</v>
      </c>
      <c r="F362" s="463">
        <v>2</v>
      </c>
      <c r="G362" s="463">
        <v>102.08</v>
      </c>
      <c r="H362" s="463">
        <v>204.16</v>
      </c>
      <c r="I362" s="470">
        <f t="shared" si="17"/>
        <v>2.72047671536038e-5</v>
      </c>
      <c r="J362" s="471">
        <f t="shared" si="18"/>
        <v>0.999032034769953</v>
      </c>
      <c r="K362" s="463" t="str">
        <f t="shared" si="19"/>
        <v>C</v>
      </c>
    </row>
    <row r="363" ht="15.75" customHeight="1" spans="1:11">
      <c r="A363" s="462" t="s">
        <v>1533</v>
      </c>
      <c r="B363" s="462" t="s">
        <v>76</v>
      </c>
      <c r="C363" s="462" t="s">
        <v>1534</v>
      </c>
      <c r="D363" s="462">
        <v>15</v>
      </c>
      <c r="E363" s="462" t="s">
        <v>105</v>
      </c>
      <c r="F363" s="463">
        <v>3</v>
      </c>
      <c r="G363" s="463">
        <v>66.94</v>
      </c>
      <c r="H363" s="463">
        <v>200.82</v>
      </c>
      <c r="I363" s="470">
        <f t="shared" si="17"/>
        <v>2.6759704838297e-5</v>
      </c>
      <c r="J363" s="471">
        <f t="shared" si="18"/>
        <v>0.999058794474791</v>
      </c>
      <c r="K363" s="463" t="str">
        <f t="shared" si="19"/>
        <v>C</v>
      </c>
    </row>
    <row r="364" ht="15.75" customHeight="1" spans="1:11">
      <c r="A364" s="462" t="s">
        <v>846</v>
      </c>
      <c r="B364" s="462" t="s">
        <v>512</v>
      </c>
      <c r="C364" s="462" t="s">
        <v>847</v>
      </c>
      <c r="D364" s="462" t="s">
        <v>1648</v>
      </c>
      <c r="E364" s="462" t="s">
        <v>535</v>
      </c>
      <c r="F364" s="463">
        <v>6</v>
      </c>
      <c r="G364" s="463">
        <v>33.17</v>
      </c>
      <c r="H364" s="463">
        <v>199.02</v>
      </c>
      <c r="I364" s="470">
        <f t="shared" si="17"/>
        <v>2.6519850895916e-5</v>
      </c>
      <c r="J364" s="471">
        <f t="shared" si="18"/>
        <v>0.999085314325687</v>
      </c>
      <c r="K364" s="463" t="str">
        <f t="shared" si="19"/>
        <v>C</v>
      </c>
    </row>
    <row r="365" ht="15.75" customHeight="1" spans="1:11">
      <c r="A365" s="462">
        <v>78369</v>
      </c>
      <c r="B365" s="462" t="s">
        <v>99</v>
      </c>
      <c r="C365" s="462" t="s">
        <v>1012</v>
      </c>
      <c r="D365" s="462" t="s">
        <v>1684</v>
      </c>
      <c r="E365" s="462" t="s">
        <v>105</v>
      </c>
      <c r="F365" s="463">
        <v>3</v>
      </c>
      <c r="G365" s="463">
        <v>65.84</v>
      </c>
      <c r="H365" s="463">
        <v>197.52</v>
      </c>
      <c r="I365" s="470">
        <f t="shared" si="17"/>
        <v>2.63199726105986e-5</v>
      </c>
      <c r="J365" s="471">
        <f t="shared" si="18"/>
        <v>0.999111634298297</v>
      </c>
      <c r="K365" s="463" t="str">
        <f t="shared" si="19"/>
        <v>C</v>
      </c>
    </row>
    <row r="366" ht="15.75" customHeight="1" spans="1:11">
      <c r="A366" s="462">
        <v>93671</v>
      </c>
      <c r="B366" s="462" t="s">
        <v>71</v>
      </c>
      <c r="C366" s="462" t="s">
        <v>1525</v>
      </c>
      <c r="D366" s="462" t="s">
        <v>1692</v>
      </c>
      <c r="E366" s="462" t="s">
        <v>105</v>
      </c>
      <c r="F366" s="463">
        <v>2</v>
      </c>
      <c r="G366" s="463">
        <v>96.29</v>
      </c>
      <c r="H366" s="463">
        <v>192.58</v>
      </c>
      <c r="I366" s="470">
        <f t="shared" si="17"/>
        <v>2.56617067909532e-5</v>
      </c>
      <c r="J366" s="471">
        <f t="shared" si="18"/>
        <v>0.999137296005088</v>
      </c>
      <c r="K366" s="463" t="str">
        <f t="shared" si="19"/>
        <v>C</v>
      </c>
    </row>
    <row r="367" ht="15.75" customHeight="1" spans="1:11">
      <c r="A367" s="462" t="s">
        <v>1515</v>
      </c>
      <c r="B367" s="462" t="s">
        <v>76</v>
      </c>
      <c r="C367" s="462" t="s">
        <v>1516</v>
      </c>
      <c r="D367" s="462">
        <v>15</v>
      </c>
      <c r="E367" s="462" t="s">
        <v>105</v>
      </c>
      <c r="F367" s="463">
        <v>1</v>
      </c>
      <c r="G367" s="463">
        <v>188.82</v>
      </c>
      <c r="H367" s="463">
        <v>188.82</v>
      </c>
      <c r="I367" s="470">
        <f t="shared" si="17"/>
        <v>2.51606785557575e-5</v>
      </c>
      <c r="J367" s="471">
        <f t="shared" si="18"/>
        <v>0.999162456683644</v>
      </c>
      <c r="K367" s="463" t="str">
        <f t="shared" si="19"/>
        <v>C</v>
      </c>
    </row>
    <row r="368" ht="15.75" customHeight="1" spans="1:11">
      <c r="A368" s="462" t="s">
        <v>1406</v>
      </c>
      <c r="B368" s="462" t="s">
        <v>65</v>
      </c>
      <c r="C368" s="462" t="s">
        <v>1407</v>
      </c>
      <c r="D368" s="462"/>
      <c r="E368" s="462" t="s">
        <v>67</v>
      </c>
      <c r="F368" s="463">
        <v>1</v>
      </c>
      <c r="G368" s="463">
        <v>178.92</v>
      </c>
      <c r="H368" s="463">
        <v>178.92</v>
      </c>
      <c r="I368" s="470">
        <f t="shared" si="17"/>
        <v>2.38414818726625e-5</v>
      </c>
      <c r="J368" s="471">
        <f t="shared" si="18"/>
        <v>0.999186298165517</v>
      </c>
      <c r="K368" s="463" t="str">
        <f t="shared" si="19"/>
        <v>C</v>
      </c>
    </row>
    <row r="369" ht="15.75" customHeight="1" spans="1:11">
      <c r="A369" s="462">
        <v>104345</v>
      </c>
      <c r="B369" s="462" t="s">
        <v>71</v>
      </c>
      <c r="C369" s="462" t="s">
        <v>589</v>
      </c>
      <c r="D369" s="462" t="s">
        <v>1649</v>
      </c>
      <c r="E369" s="462" t="s">
        <v>105</v>
      </c>
      <c r="F369" s="463">
        <v>3</v>
      </c>
      <c r="G369" s="463">
        <v>59.43</v>
      </c>
      <c r="H369" s="463">
        <v>178.29</v>
      </c>
      <c r="I369" s="470">
        <f t="shared" si="17"/>
        <v>2.37575329928292e-5</v>
      </c>
      <c r="J369" s="471">
        <f t="shared" si="18"/>
        <v>0.99921005569851</v>
      </c>
      <c r="K369" s="463" t="str">
        <f t="shared" si="19"/>
        <v>C</v>
      </c>
    </row>
    <row r="370" ht="15.75" customHeight="1" spans="1:11">
      <c r="A370" s="462">
        <v>89617</v>
      </c>
      <c r="B370" s="462" t="s">
        <v>71</v>
      </c>
      <c r="C370" s="462" t="s">
        <v>468</v>
      </c>
      <c r="D370" s="462" t="s">
        <v>1659</v>
      </c>
      <c r="E370" s="462" t="s">
        <v>105</v>
      </c>
      <c r="F370" s="463">
        <v>15</v>
      </c>
      <c r="G370" s="463">
        <v>11.39</v>
      </c>
      <c r="H370" s="463">
        <v>170.85</v>
      </c>
      <c r="I370" s="470">
        <f t="shared" si="17"/>
        <v>2.27661366976548e-5</v>
      </c>
      <c r="J370" s="471">
        <f t="shared" si="18"/>
        <v>0.999232821835207</v>
      </c>
      <c r="K370" s="463" t="str">
        <f t="shared" si="19"/>
        <v>C</v>
      </c>
    </row>
    <row r="371" ht="15.75" customHeight="1" spans="1:11">
      <c r="A371" s="462" t="s">
        <v>668</v>
      </c>
      <c r="B371" s="462" t="s">
        <v>65</v>
      </c>
      <c r="C371" s="462" t="s">
        <v>669</v>
      </c>
      <c r="D371" s="462"/>
      <c r="E371" s="462" t="s">
        <v>67</v>
      </c>
      <c r="F371" s="463">
        <v>1</v>
      </c>
      <c r="G371" s="463">
        <v>166.75</v>
      </c>
      <c r="H371" s="463">
        <v>166.75</v>
      </c>
      <c r="I371" s="470">
        <f t="shared" si="17"/>
        <v>2.22198027177872e-5</v>
      </c>
      <c r="J371" s="471">
        <f t="shared" si="18"/>
        <v>0.999255041637925</v>
      </c>
      <c r="K371" s="463" t="str">
        <f t="shared" si="19"/>
        <v>C</v>
      </c>
    </row>
    <row r="372" ht="15.75" customHeight="1" spans="1:11">
      <c r="A372" s="462" t="s">
        <v>830</v>
      </c>
      <c r="B372" s="462" t="s">
        <v>512</v>
      </c>
      <c r="C372" s="462" t="s">
        <v>831</v>
      </c>
      <c r="D372" s="462" t="s">
        <v>1648</v>
      </c>
      <c r="E372" s="462" t="s">
        <v>67</v>
      </c>
      <c r="F372" s="463">
        <v>1</v>
      </c>
      <c r="G372" s="463">
        <v>165.53</v>
      </c>
      <c r="H372" s="463">
        <v>165.53</v>
      </c>
      <c r="I372" s="470">
        <f t="shared" si="17"/>
        <v>2.2057235045729e-5</v>
      </c>
      <c r="J372" s="471">
        <f t="shared" si="18"/>
        <v>0.999277098872971</v>
      </c>
      <c r="K372" s="463" t="str">
        <f t="shared" si="19"/>
        <v>C</v>
      </c>
    </row>
    <row r="373" ht="15.75" customHeight="1" spans="1:11">
      <c r="A373" s="462">
        <v>89442</v>
      </c>
      <c r="B373" s="462" t="s">
        <v>71</v>
      </c>
      <c r="C373" s="462" t="s">
        <v>474</v>
      </c>
      <c r="D373" s="462" t="s">
        <v>1659</v>
      </c>
      <c r="E373" s="462" t="s">
        <v>105</v>
      </c>
      <c r="F373" s="463">
        <v>8</v>
      </c>
      <c r="G373" s="463">
        <v>20.63</v>
      </c>
      <c r="H373" s="463">
        <v>165.04</v>
      </c>
      <c r="I373" s="470">
        <f t="shared" si="17"/>
        <v>2.19919414725253e-5</v>
      </c>
      <c r="J373" s="471">
        <f t="shared" si="18"/>
        <v>0.999299090814443</v>
      </c>
      <c r="K373" s="463" t="str">
        <f t="shared" si="19"/>
        <v>C</v>
      </c>
    </row>
    <row r="374" ht="15.75" customHeight="1" spans="1:11">
      <c r="A374" s="462" t="s">
        <v>939</v>
      </c>
      <c r="B374" s="462" t="s">
        <v>76</v>
      </c>
      <c r="C374" s="462" t="s">
        <v>940</v>
      </c>
      <c r="D374" s="462">
        <v>15</v>
      </c>
      <c r="E374" s="462" t="s">
        <v>105</v>
      </c>
      <c r="F374" s="463">
        <v>11</v>
      </c>
      <c r="G374" s="463">
        <v>14.62</v>
      </c>
      <c r="H374" s="463">
        <v>160.82</v>
      </c>
      <c r="I374" s="470">
        <f t="shared" si="17"/>
        <v>2.14296172298323e-5</v>
      </c>
      <c r="J374" s="471">
        <f t="shared" si="18"/>
        <v>0.999320520431673</v>
      </c>
      <c r="K374" s="463" t="str">
        <f t="shared" si="19"/>
        <v>C</v>
      </c>
    </row>
    <row r="375" ht="15.75" customHeight="1" spans="1:11">
      <c r="A375" s="462" t="s">
        <v>671</v>
      </c>
      <c r="B375" s="462" t="s">
        <v>76</v>
      </c>
      <c r="C375" s="462" t="s">
        <v>672</v>
      </c>
      <c r="D375" s="462">
        <v>18</v>
      </c>
      <c r="E375" s="462" t="s">
        <v>105</v>
      </c>
      <c r="F375" s="463">
        <v>2</v>
      </c>
      <c r="G375" s="463">
        <v>79.45</v>
      </c>
      <c r="H375" s="463">
        <v>158.9</v>
      </c>
      <c r="I375" s="470">
        <f t="shared" si="17"/>
        <v>2.1173773024626e-5</v>
      </c>
      <c r="J375" s="471">
        <f t="shared" si="18"/>
        <v>0.999341694204698</v>
      </c>
      <c r="K375" s="463" t="str">
        <f t="shared" si="19"/>
        <v>C</v>
      </c>
    </row>
    <row r="376" ht="15.75" customHeight="1" spans="1:11">
      <c r="A376" s="462">
        <v>96659</v>
      </c>
      <c r="B376" s="462" t="s">
        <v>71</v>
      </c>
      <c r="C376" s="462" t="s">
        <v>1217</v>
      </c>
      <c r="D376" s="462" t="s">
        <v>1678</v>
      </c>
      <c r="E376" s="462" t="s">
        <v>105</v>
      </c>
      <c r="F376" s="463">
        <v>12</v>
      </c>
      <c r="G376" s="463">
        <v>12.2</v>
      </c>
      <c r="H376" s="463">
        <v>146.4</v>
      </c>
      <c r="I376" s="470">
        <f t="shared" si="17"/>
        <v>1.95081206469808e-5</v>
      </c>
      <c r="J376" s="471">
        <f t="shared" si="18"/>
        <v>0.999361202325345</v>
      </c>
      <c r="K376" s="463" t="str">
        <f t="shared" si="19"/>
        <v>C</v>
      </c>
    </row>
    <row r="377" ht="15.75" customHeight="1" spans="1:11">
      <c r="A377" s="462">
        <v>96666</v>
      </c>
      <c r="B377" s="462" t="s">
        <v>71</v>
      </c>
      <c r="C377" s="462" t="s">
        <v>1226</v>
      </c>
      <c r="D377" s="462" t="s">
        <v>1678</v>
      </c>
      <c r="E377" s="462" t="s">
        <v>105</v>
      </c>
      <c r="F377" s="463">
        <v>6</v>
      </c>
      <c r="G377" s="463">
        <v>24.34</v>
      </c>
      <c r="H377" s="463">
        <v>146.04</v>
      </c>
      <c r="I377" s="470">
        <f t="shared" si="17"/>
        <v>1.94601498585046e-5</v>
      </c>
      <c r="J377" s="471">
        <f t="shared" si="18"/>
        <v>0.999380662475203</v>
      </c>
      <c r="K377" s="463" t="str">
        <f t="shared" si="19"/>
        <v>C</v>
      </c>
    </row>
    <row r="378" ht="15.75" customHeight="1" spans="1:11">
      <c r="A378" s="462">
        <v>89576</v>
      </c>
      <c r="B378" s="462" t="s">
        <v>71</v>
      </c>
      <c r="C378" s="462" t="s">
        <v>704</v>
      </c>
      <c r="D378" s="462" t="s">
        <v>1687</v>
      </c>
      <c r="E378" s="462" t="s">
        <v>78</v>
      </c>
      <c r="F378" s="463">
        <v>4</v>
      </c>
      <c r="G378" s="463">
        <v>36.46</v>
      </c>
      <c r="H378" s="463">
        <v>145.84</v>
      </c>
      <c r="I378" s="470">
        <f t="shared" si="17"/>
        <v>1.94334994204622e-5</v>
      </c>
      <c r="J378" s="471">
        <f t="shared" si="18"/>
        <v>0.999400095974624</v>
      </c>
      <c r="K378" s="463" t="str">
        <f t="shared" si="19"/>
        <v>C</v>
      </c>
    </row>
    <row r="379" ht="15.75" customHeight="1" spans="1:11">
      <c r="A379" s="462">
        <v>89726</v>
      </c>
      <c r="B379" s="462" t="s">
        <v>71</v>
      </c>
      <c r="C379" s="462" t="s">
        <v>568</v>
      </c>
      <c r="D379" s="462" t="s">
        <v>1649</v>
      </c>
      <c r="E379" s="462" t="s">
        <v>105</v>
      </c>
      <c r="F379" s="463">
        <v>9</v>
      </c>
      <c r="G379" s="463">
        <v>15.89</v>
      </c>
      <c r="H379" s="463">
        <v>143.01</v>
      </c>
      <c r="I379" s="470">
        <f t="shared" si="17"/>
        <v>1.90563957221634e-5</v>
      </c>
      <c r="J379" s="471">
        <f t="shared" si="18"/>
        <v>0.999419152370346</v>
      </c>
      <c r="K379" s="463" t="str">
        <f t="shared" si="19"/>
        <v>C</v>
      </c>
    </row>
    <row r="380" ht="15.75" customHeight="1" spans="1:11">
      <c r="A380" s="462" t="s">
        <v>884</v>
      </c>
      <c r="B380" s="462" t="s">
        <v>76</v>
      </c>
      <c r="C380" s="462" t="s">
        <v>885</v>
      </c>
      <c r="D380" s="462">
        <v>15</v>
      </c>
      <c r="E380" s="462" t="s">
        <v>105</v>
      </c>
      <c r="F380" s="463">
        <v>2</v>
      </c>
      <c r="G380" s="463">
        <v>67.6</v>
      </c>
      <c r="H380" s="463">
        <v>135.2</v>
      </c>
      <c r="I380" s="470">
        <f t="shared" si="17"/>
        <v>1.80156961166106e-5</v>
      </c>
      <c r="J380" s="471">
        <f t="shared" si="18"/>
        <v>0.999437168066462</v>
      </c>
      <c r="K380" s="463" t="str">
        <f t="shared" si="19"/>
        <v>C</v>
      </c>
    </row>
    <row r="381" ht="15.75" customHeight="1" spans="1:11">
      <c r="A381" s="462">
        <v>89492</v>
      </c>
      <c r="B381" s="462" t="s">
        <v>71</v>
      </c>
      <c r="C381" s="462" t="s">
        <v>441</v>
      </c>
      <c r="D381" s="462" t="s">
        <v>1659</v>
      </c>
      <c r="E381" s="462" t="s">
        <v>105</v>
      </c>
      <c r="F381" s="463">
        <v>11</v>
      </c>
      <c r="G381" s="463">
        <v>12.1</v>
      </c>
      <c r="H381" s="463">
        <v>133.1</v>
      </c>
      <c r="I381" s="470">
        <f t="shared" si="17"/>
        <v>1.77358665171662e-5</v>
      </c>
      <c r="J381" s="471">
        <f t="shared" si="18"/>
        <v>0.99945490393298</v>
      </c>
      <c r="K381" s="463" t="str">
        <f t="shared" si="19"/>
        <v>C</v>
      </c>
    </row>
    <row r="382" ht="15.75" customHeight="1" spans="1:11">
      <c r="A382" s="462">
        <v>89690</v>
      </c>
      <c r="B382" s="462" t="s">
        <v>71</v>
      </c>
      <c r="C382" s="462" t="s">
        <v>738</v>
      </c>
      <c r="D382" s="462" t="s">
        <v>1687</v>
      </c>
      <c r="E382" s="462" t="s">
        <v>105</v>
      </c>
      <c r="F382" s="463">
        <v>1</v>
      </c>
      <c r="G382" s="463">
        <v>122.3</v>
      </c>
      <c r="H382" s="463">
        <v>122.3</v>
      </c>
      <c r="I382" s="470">
        <f t="shared" si="17"/>
        <v>1.62967428628808e-5</v>
      </c>
      <c r="J382" s="471">
        <f t="shared" si="18"/>
        <v>0.999471200675842</v>
      </c>
      <c r="K382" s="463" t="str">
        <f t="shared" si="19"/>
        <v>C</v>
      </c>
    </row>
    <row r="383" ht="15.75" customHeight="1" spans="1:11">
      <c r="A383" s="462">
        <v>91969</v>
      </c>
      <c r="B383" s="462" t="s">
        <v>71</v>
      </c>
      <c r="C383" s="462" t="s">
        <v>930</v>
      </c>
      <c r="D383" s="462" t="s">
        <v>1636</v>
      </c>
      <c r="E383" s="462" t="s">
        <v>105</v>
      </c>
      <c r="F383" s="463">
        <v>1</v>
      </c>
      <c r="G383" s="463">
        <v>113.91</v>
      </c>
      <c r="H383" s="463">
        <v>113.91</v>
      </c>
      <c r="I383" s="470">
        <f t="shared" si="17"/>
        <v>1.51787569870053e-5</v>
      </c>
      <c r="J383" s="471">
        <f t="shared" si="18"/>
        <v>0.999486379432829</v>
      </c>
      <c r="K383" s="463" t="str">
        <f t="shared" si="19"/>
        <v>C</v>
      </c>
    </row>
    <row r="384" ht="15.75" customHeight="1" spans="1:11">
      <c r="A384" s="462" t="s">
        <v>1119</v>
      </c>
      <c r="B384" s="462" t="s">
        <v>76</v>
      </c>
      <c r="C384" s="462" t="s">
        <v>1120</v>
      </c>
      <c r="D384" s="462">
        <v>5</v>
      </c>
      <c r="E384" s="462" t="s">
        <v>105</v>
      </c>
      <c r="F384" s="463">
        <v>8</v>
      </c>
      <c r="G384" s="463">
        <v>14.18</v>
      </c>
      <c r="H384" s="463">
        <v>113.44</v>
      </c>
      <c r="I384" s="470">
        <f t="shared" si="17"/>
        <v>1.51161284576058e-5</v>
      </c>
      <c r="J384" s="471">
        <f t="shared" si="18"/>
        <v>0.999501495561287</v>
      </c>
      <c r="K384" s="463" t="str">
        <f t="shared" si="19"/>
        <v>C</v>
      </c>
    </row>
    <row r="385" ht="15.75" customHeight="1" spans="1:11">
      <c r="A385" s="462">
        <v>89358</v>
      </c>
      <c r="B385" s="462" t="s">
        <v>71</v>
      </c>
      <c r="C385" s="462" t="s">
        <v>435</v>
      </c>
      <c r="D385" s="462" t="s">
        <v>1659</v>
      </c>
      <c r="E385" s="462" t="s">
        <v>105</v>
      </c>
      <c r="F385" s="463">
        <v>9</v>
      </c>
      <c r="G385" s="463">
        <v>12.51</v>
      </c>
      <c r="H385" s="463">
        <v>112.59</v>
      </c>
      <c r="I385" s="470">
        <f t="shared" si="17"/>
        <v>1.5002864095926e-5</v>
      </c>
      <c r="J385" s="471">
        <f t="shared" si="18"/>
        <v>0.999516498425383</v>
      </c>
      <c r="K385" s="463" t="str">
        <f t="shared" si="19"/>
        <v>C</v>
      </c>
    </row>
    <row r="386" ht="15.75" customHeight="1" spans="1:11">
      <c r="A386" s="462">
        <v>89732</v>
      </c>
      <c r="B386" s="462" t="s">
        <v>71</v>
      </c>
      <c r="C386" s="462" t="s">
        <v>559</v>
      </c>
      <c r="D386" s="462" t="s">
        <v>1649</v>
      </c>
      <c r="E386" s="462" t="s">
        <v>105</v>
      </c>
      <c r="F386" s="463">
        <v>5</v>
      </c>
      <c r="G386" s="463">
        <v>22.37</v>
      </c>
      <c r="H386" s="463">
        <v>111.85</v>
      </c>
      <c r="I386" s="470">
        <f t="shared" si="17"/>
        <v>1.49042574751694e-5</v>
      </c>
      <c r="J386" s="471">
        <f t="shared" si="18"/>
        <v>0.999531402682858</v>
      </c>
      <c r="K386" s="463" t="str">
        <f t="shared" si="19"/>
        <v>C</v>
      </c>
    </row>
    <row r="387" ht="15.75" customHeight="1" spans="1:11">
      <c r="A387" s="462">
        <v>89445</v>
      </c>
      <c r="B387" s="462" t="s">
        <v>71</v>
      </c>
      <c r="C387" s="462" t="s">
        <v>459</v>
      </c>
      <c r="D387" s="462" t="s">
        <v>1659</v>
      </c>
      <c r="E387" s="462" t="s">
        <v>105</v>
      </c>
      <c r="F387" s="463">
        <v>4</v>
      </c>
      <c r="G387" s="463">
        <v>27.49</v>
      </c>
      <c r="H387" s="463">
        <v>109.96</v>
      </c>
      <c r="I387" s="470">
        <f t="shared" si="17"/>
        <v>1.46524108356694e-5</v>
      </c>
      <c r="J387" s="471">
        <f t="shared" si="18"/>
        <v>0.999546055093694</v>
      </c>
      <c r="K387" s="463" t="str">
        <f t="shared" si="19"/>
        <v>C</v>
      </c>
    </row>
    <row r="388" ht="15.75" customHeight="1" spans="1:11">
      <c r="A388" s="462" t="s">
        <v>1440</v>
      </c>
      <c r="B388" s="462" t="s">
        <v>65</v>
      </c>
      <c r="C388" s="462" t="s">
        <v>1441</v>
      </c>
      <c r="D388" s="462"/>
      <c r="E388" s="462" t="s">
        <v>67</v>
      </c>
      <c r="F388" s="463">
        <v>2</v>
      </c>
      <c r="G388" s="463">
        <v>54.93</v>
      </c>
      <c r="H388" s="463">
        <v>109.86</v>
      </c>
      <c r="I388" s="470">
        <f t="shared" si="17"/>
        <v>1.46390856166483e-5</v>
      </c>
      <c r="J388" s="471">
        <f t="shared" si="18"/>
        <v>0.99956069417931</v>
      </c>
      <c r="K388" s="463" t="str">
        <f t="shared" si="19"/>
        <v>C</v>
      </c>
    </row>
    <row r="389" ht="15.75" customHeight="1" spans="1:11">
      <c r="A389" s="462" t="s">
        <v>1443</v>
      </c>
      <c r="B389" s="462" t="s">
        <v>65</v>
      </c>
      <c r="C389" s="462" t="s">
        <v>1444</v>
      </c>
      <c r="D389" s="462"/>
      <c r="E389" s="462" t="s">
        <v>67</v>
      </c>
      <c r="F389" s="463">
        <v>2</v>
      </c>
      <c r="G389" s="463">
        <v>54.93</v>
      </c>
      <c r="H389" s="463">
        <v>109.86</v>
      </c>
      <c r="I389" s="470">
        <f t="shared" si="17"/>
        <v>1.46390856166483e-5</v>
      </c>
      <c r="J389" s="471">
        <f t="shared" si="18"/>
        <v>0.999575333264927</v>
      </c>
      <c r="K389" s="463" t="str">
        <f t="shared" si="19"/>
        <v>C</v>
      </c>
    </row>
    <row r="390" ht="15.75" customHeight="1" spans="1:11">
      <c r="A390" s="462" t="s">
        <v>1485</v>
      </c>
      <c r="B390" s="462" t="s">
        <v>76</v>
      </c>
      <c r="C390" s="462" t="s">
        <v>1486</v>
      </c>
      <c r="D390" s="462">
        <v>14</v>
      </c>
      <c r="E390" s="462" t="s">
        <v>73</v>
      </c>
      <c r="F390" s="463">
        <v>0.14</v>
      </c>
      <c r="G390" s="463">
        <v>784.01</v>
      </c>
      <c r="H390" s="463">
        <v>109.76</v>
      </c>
      <c r="I390" s="470">
        <f t="shared" si="17"/>
        <v>1.46257603976271e-5</v>
      </c>
      <c r="J390" s="471">
        <f t="shared" si="18"/>
        <v>0.999589959025325</v>
      </c>
      <c r="K390" s="463" t="str">
        <f t="shared" si="19"/>
        <v>C</v>
      </c>
    </row>
    <row r="391" ht="15.75" customHeight="1" spans="1:11">
      <c r="A391" s="462">
        <v>94704</v>
      </c>
      <c r="B391" s="462" t="s">
        <v>71</v>
      </c>
      <c r="C391" s="462" t="s">
        <v>489</v>
      </c>
      <c r="D391" s="462" t="s">
        <v>1710</v>
      </c>
      <c r="E391" s="462" t="s">
        <v>105</v>
      </c>
      <c r="F391" s="463">
        <v>3</v>
      </c>
      <c r="G391" s="463">
        <v>36.21</v>
      </c>
      <c r="H391" s="463">
        <v>108.63</v>
      </c>
      <c r="I391" s="470">
        <f t="shared" si="17"/>
        <v>1.4475185422688e-5</v>
      </c>
      <c r="J391" s="471">
        <f t="shared" si="18"/>
        <v>0.999604434210747</v>
      </c>
      <c r="K391" s="463" t="str">
        <f t="shared" si="19"/>
        <v>C</v>
      </c>
    </row>
    <row r="392" ht="15.75" customHeight="1" spans="1:11">
      <c r="A392" s="462" t="s">
        <v>881</v>
      </c>
      <c r="B392" s="462" t="s">
        <v>76</v>
      </c>
      <c r="C392" s="462" t="s">
        <v>882</v>
      </c>
      <c r="D392" s="462">
        <v>15</v>
      </c>
      <c r="E392" s="462" t="s">
        <v>105</v>
      </c>
      <c r="F392" s="463">
        <v>1</v>
      </c>
      <c r="G392" s="463">
        <v>108.25</v>
      </c>
      <c r="H392" s="463">
        <v>108.25</v>
      </c>
      <c r="I392" s="470">
        <f t="shared" si="17"/>
        <v>1.44245495904076e-5</v>
      </c>
      <c r="J392" s="471">
        <f t="shared" si="18"/>
        <v>0.999618858760338</v>
      </c>
      <c r="K392" s="463" t="str">
        <f t="shared" si="19"/>
        <v>C</v>
      </c>
    </row>
    <row r="393" ht="15.75" customHeight="1" spans="1:11">
      <c r="A393" s="462">
        <v>89693</v>
      </c>
      <c r="B393" s="462" t="s">
        <v>71</v>
      </c>
      <c r="C393" s="462" t="s">
        <v>735</v>
      </c>
      <c r="D393" s="462" t="s">
        <v>1687</v>
      </c>
      <c r="E393" s="462" t="s">
        <v>105</v>
      </c>
      <c r="F393" s="463">
        <v>1</v>
      </c>
      <c r="G393" s="463">
        <v>108.24</v>
      </c>
      <c r="H393" s="463">
        <v>108.24</v>
      </c>
      <c r="I393" s="470">
        <f t="shared" si="17"/>
        <v>1.44232170685054e-5</v>
      </c>
      <c r="J393" s="471">
        <f t="shared" si="18"/>
        <v>0.999633281977406</v>
      </c>
      <c r="K393" s="463" t="str">
        <f t="shared" si="19"/>
        <v>C</v>
      </c>
    </row>
    <row r="394" ht="15.75" customHeight="1" spans="1:11">
      <c r="A394" s="462">
        <v>89620</v>
      </c>
      <c r="B394" s="462" t="s">
        <v>71</v>
      </c>
      <c r="C394" s="462" t="s">
        <v>471</v>
      </c>
      <c r="D394" s="462" t="s">
        <v>1659</v>
      </c>
      <c r="E394" s="462" t="s">
        <v>105</v>
      </c>
      <c r="F394" s="463">
        <v>6</v>
      </c>
      <c r="G394" s="463">
        <v>17.24</v>
      </c>
      <c r="H394" s="463">
        <v>103.44</v>
      </c>
      <c r="I394" s="470">
        <f t="shared" si="17"/>
        <v>1.37836065554897e-5</v>
      </c>
      <c r="J394" s="471">
        <f t="shared" si="18"/>
        <v>0.999647065583962</v>
      </c>
      <c r="K394" s="463" t="str">
        <f t="shared" si="19"/>
        <v>C</v>
      </c>
    </row>
    <row r="395" ht="15.75" customHeight="1" spans="1:11">
      <c r="A395" s="462">
        <v>94705</v>
      </c>
      <c r="B395" s="462" t="s">
        <v>71</v>
      </c>
      <c r="C395" s="462" t="s">
        <v>492</v>
      </c>
      <c r="D395" s="462" t="s">
        <v>1710</v>
      </c>
      <c r="E395" s="462" t="s">
        <v>105</v>
      </c>
      <c r="F395" s="463">
        <v>2</v>
      </c>
      <c r="G395" s="463">
        <v>48.8</v>
      </c>
      <c r="H395" s="463">
        <v>97.6</v>
      </c>
      <c r="I395" s="470">
        <f t="shared" si="17"/>
        <v>1.30054137646538e-5</v>
      </c>
      <c r="J395" s="471">
        <f t="shared" si="18"/>
        <v>0.999660070997726</v>
      </c>
      <c r="K395" s="463" t="str">
        <f t="shared" si="19"/>
        <v>C</v>
      </c>
    </row>
    <row r="396" ht="15.75" customHeight="1" spans="1:11">
      <c r="A396" s="462" t="s">
        <v>743</v>
      </c>
      <c r="B396" s="462" t="s">
        <v>512</v>
      </c>
      <c r="C396" s="462" t="s">
        <v>744</v>
      </c>
      <c r="D396" s="462" t="s">
        <v>1648</v>
      </c>
      <c r="E396" s="462" t="s">
        <v>67</v>
      </c>
      <c r="F396" s="463">
        <v>1</v>
      </c>
      <c r="G396" s="463">
        <v>97.2</v>
      </c>
      <c r="H396" s="463">
        <v>97.2</v>
      </c>
      <c r="I396" s="470">
        <f t="shared" si="17"/>
        <v>1.29521128885692e-5</v>
      </c>
      <c r="J396" s="471">
        <f t="shared" si="18"/>
        <v>0.999673023110615</v>
      </c>
      <c r="K396" s="463" t="str">
        <f t="shared" si="19"/>
        <v>C</v>
      </c>
    </row>
    <row r="397" ht="15.75" customHeight="1" spans="1:11">
      <c r="A397" s="462">
        <v>104351</v>
      </c>
      <c r="B397" s="462" t="s">
        <v>71</v>
      </c>
      <c r="C397" s="462" t="s">
        <v>631</v>
      </c>
      <c r="D397" s="462" t="s">
        <v>1649</v>
      </c>
      <c r="E397" s="462" t="s">
        <v>105</v>
      </c>
      <c r="F397" s="463">
        <v>3</v>
      </c>
      <c r="G397" s="463">
        <v>31.32</v>
      </c>
      <c r="H397" s="463">
        <v>93.96</v>
      </c>
      <c r="I397" s="470">
        <f t="shared" si="17"/>
        <v>1.25203757922835e-5</v>
      </c>
      <c r="J397" s="471">
        <f t="shared" si="18"/>
        <v>0.999685543486407</v>
      </c>
      <c r="K397" s="463" t="str">
        <f t="shared" si="19"/>
        <v>C</v>
      </c>
    </row>
    <row r="398" ht="15.75" customHeight="1" spans="1:11">
      <c r="A398" s="462">
        <v>89396</v>
      </c>
      <c r="B398" s="462" t="s">
        <v>71</v>
      </c>
      <c r="C398" s="462" t="s">
        <v>477</v>
      </c>
      <c r="D398" s="462" t="s">
        <v>1659</v>
      </c>
      <c r="E398" s="462" t="s">
        <v>105</v>
      </c>
      <c r="F398" s="463">
        <v>3</v>
      </c>
      <c r="G398" s="463">
        <v>29.15</v>
      </c>
      <c r="H398" s="463">
        <v>87.45</v>
      </c>
      <c r="I398" s="470">
        <f t="shared" si="17"/>
        <v>1.16529040340059e-5</v>
      </c>
      <c r="J398" s="471">
        <f t="shared" si="18"/>
        <v>0.999697196390441</v>
      </c>
      <c r="K398" s="463" t="str">
        <f t="shared" si="19"/>
        <v>C</v>
      </c>
    </row>
    <row r="399" ht="15.75" customHeight="1" spans="1:11">
      <c r="A399" s="462" t="s">
        <v>746</v>
      </c>
      <c r="B399" s="462" t="s">
        <v>512</v>
      </c>
      <c r="C399" s="462" t="s">
        <v>747</v>
      </c>
      <c r="D399" s="462" t="s">
        <v>1648</v>
      </c>
      <c r="E399" s="462" t="s">
        <v>67</v>
      </c>
      <c r="F399" s="463">
        <v>1</v>
      </c>
      <c r="G399" s="463">
        <v>83.59</v>
      </c>
      <c r="H399" s="463">
        <v>83.59</v>
      </c>
      <c r="I399" s="470">
        <f t="shared" si="17"/>
        <v>1.11385505797891e-5</v>
      </c>
      <c r="J399" s="471">
        <f t="shared" si="18"/>
        <v>0.999708334941021</v>
      </c>
      <c r="K399" s="463" t="str">
        <f t="shared" si="19"/>
        <v>C</v>
      </c>
    </row>
    <row r="400" ht="15.75" customHeight="1" spans="1:11">
      <c r="A400" s="462">
        <v>94703</v>
      </c>
      <c r="B400" s="462" t="s">
        <v>71</v>
      </c>
      <c r="C400" s="462" t="s">
        <v>486</v>
      </c>
      <c r="D400" s="462" t="s">
        <v>1710</v>
      </c>
      <c r="E400" s="462" t="s">
        <v>105</v>
      </c>
      <c r="F400" s="463">
        <v>3</v>
      </c>
      <c r="G400" s="463">
        <v>27.56</v>
      </c>
      <c r="H400" s="463">
        <v>82.68</v>
      </c>
      <c r="I400" s="470">
        <f t="shared" si="17"/>
        <v>1.10172910866965e-5</v>
      </c>
      <c r="J400" s="471">
        <f t="shared" si="18"/>
        <v>0.999719352232108</v>
      </c>
      <c r="K400" s="463" t="str">
        <f t="shared" si="19"/>
        <v>C</v>
      </c>
    </row>
    <row r="401" ht="15.75" customHeight="1" spans="1:11">
      <c r="A401" s="462">
        <v>89746</v>
      </c>
      <c r="B401" s="462" t="s">
        <v>71</v>
      </c>
      <c r="C401" s="462" t="s">
        <v>562</v>
      </c>
      <c r="D401" s="462" t="s">
        <v>1649</v>
      </c>
      <c r="E401" s="462" t="s">
        <v>105</v>
      </c>
      <c r="F401" s="463">
        <v>2</v>
      </c>
      <c r="G401" s="463">
        <v>39.74</v>
      </c>
      <c r="H401" s="463">
        <v>79.48</v>
      </c>
      <c r="I401" s="470">
        <f t="shared" ref="I401:I464" si="20">H401/$I$445</f>
        <v>1.05908840780193e-5</v>
      </c>
      <c r="J401" s="471">
        <f t="shared" si="18"/>
        <v>0.999729943116186</v>
      </c>
      <c r="K401" s="463" t="str">
        <f t="shared" si="19"/>
        <v>C</v>
      </c>
    </row>
    <row r="402" ht="15.75" customHeight="1" spans="1:11">
      <c r="A402" s="462">
        <v>89707</v>
      </c>
      <c r="B402" s="462" t="s">
        <v>71</v>
      </c>
      <c r="C402" s="462" t="s">
        <v>622</v>
      </c>
      <c r="D402" s="462" t="s">
        <v>1712</v>
      </c>
      <c r="E402" s="462" t="s">
        <v>105</v>
      </c>
      <c r="F402" s="463">
        <v>1</v>
      </c>
      <c r="G402" s="463">
        <v>79.43</v>
      </c>
      <c r="H402" s="463">
        <v>79.43</v>
      </c>
      <c r="I402" s="470">
        <f t="shared" si="20"/>
        <v>1.05842214685087e-5</v>
      </c>
      <c r="J402" s="471">
        <f t="shared" si="18"/>
        <v>0.999740527337654</v>
      </c>
      <c r="K402" s="463" t="str">
        <f t="shared" si="19"/>
        <v>C</v>
      </c>
    </row>
    <row r="403" ht="15.75" customHeight="1" spans="1:11">
      <c r="A403" s="462" t="s">
        <v>1145</v>
      </c>
      <c r="B403" s="462" t="s">
        <v>65</v>
      </c>
      <c r="C403" s="462" t="s">
        <v>1146</v>
      </c>
      <c r="D403" s="462" t="s">
        <v>1694</v>
      </c>
      <c r="E403" s="462" t="s">
        <v>105</v>
      </c>
      <c r="F403" s="463">
        <v>2</v>
      </c>
      <c r="G403" s="463">
        <v>39.09</v>
      </c>
      <c r="H403" s="463">
        <v>78.18</v>
      </c>
      <c r="I403" s="470">
        <f t="shared" si="20"/>
        <v>1.04176562307442e-5</v>
      </c>
      <c r="J403" s="471">
        <f t="shared" ref="J403:J437" si="21">I403+J402</f>
        <v>0.999750944993885</v>
      </c>
      <c r="K403" s="463" t="str">
        <f t="shared" ref="K403:K437" si="22">IF(J403&lt;=50%,"A",IF(J403&lt;=80%,"B","C"))</f>
        <v>C</v>
      </c>
    </row>
    <row r="404" ht="15.75" customHeight="1" spans="1:11">
      <c r="A404" s="462">
        <v>91937</v>
      </c>
      <c r="B404" s="462" t="s">
        <v>71</v>
      </c>
      <c r="C404" s="462" t="s">
        <v>825</v>
      </c>
      <c r="D404" s="462" t="s">
        <v>1636</v>
      </c>
      <c r="E404" s="462" t="s">
        <v>105</v>
      </c>
      <c r="F404" s="463">
        <v>3</v>
      </c>
      <c r="G404" s="463">
        <v>25.39</v>
      </c>
      <c r="H404" s="463">
        <v>76.17</v>
      </c>
      <c r="I404" s="470">
        <f t="shared" si="20"/>
        <v>1.01498193284189e-5</v>
      </c>
      <c r="J404" s="471">
        <f t="shared" si="21"/>
        <v>0.999761094813214</v>
      </c>
      <c r="K404" s="463" t="str">
        <f t="shared" si="22"/>
        <v>C</v>
      </c>
    </row>
    <row r="405" ht="15.75" customHeight="1" spans="1:11">
      <c r="A405" s="462">
        <v>97331</v>
      </c>
      <c r="B405" s="462" t="s">
        <v>71</v>
      </c>
      <c r="C405" s="462" t="s">
        <v>1185</v>
      </c>
      <c r="D405" s="462" t="s">
        <v>1661</v>
      </c>
      <c r="E405" s="462" t="s">
        <v>78</v>
      </c>
      <c r="F405" s="463">
        <v>2</v>
      </c>
      <c r="G405" s="463">
        <v>36.62</v>
      </c>
      <c r="H405" s="463">
        <v>73.24</v>
      </c>
      <c r="I405" s="470">
        <f t="shared" si="20"/>
        <v>9.75939041109884e-6</v>
      </c>
      <c r="J405" s="471">
        <f t="shared" si="21"/>
        <v>0.999770854203625</v>
      </c>
      <c r="K405" s="463" t="str">
        <f t="shared" si="22"/>
        <v>C</v>
      </c>
    </row>
    <row r="406" ht="15.75" customHeight="1" spans="1:11">
      <c r="A406" s="462" t="s">
        <v>1122</v>
      </c>
      <c r="B406" s="462" t="s">
        <v>65</v>
      </c>
      <c r="C406" s="462" t="s">
        <v>1123</v>
      </c>
      <c r="D406" s="462"/>
      <c r="E406" s="462" t="s">
        <v>67</v>
      </c>
      <c r="F406" s="463">
        <v>2</v>
      </c>
      <c r="G406" s="463">
        <v>34.56</v>
      </c>
      <c r="H406" s="463">
        <v>69.12</v>
      </c>
      <c r="I406" s="470">
        <f t="shared" si="20"/>
        <v>9.21039138742698e-6</v>
      </c>
      <c r="J406" s="471">
        <f t="shared" si="21"/>
        <v>0.999780064595012</v>
      </c>
      <c r="K406" s="463" t="str">
        <f t="shared" si="22"/>
        <v>C</v>
      </c>
    </row>
    <row r="407" ht="15.75" customHeight="1" spans="1:11">
      <c r="A407" s="462">
        <v>104012</v>
      </c>
      <c r="B407" s="462" t="s">
        <v>71</v>
      </c>
      <c r="C407" s="462" t="s">
        <v>462</v>
      </c>
      <c r="D407" s="462" t="s">
        <v>1659</v>
      </c>
      <c r="E407" s="462" t="s">
        <v>105</v>
      </c>
      <c r="F407" s="463">
        <v>2</v>
      </c>
      <c r="G407" s="463">
        <v>33.91</v>
      </c>
      <c r="H407" s="463">
        <v>67.82</v>
      </c>
      <c r="I407" s="470">
        <f t="shared" si="20"/>
        <v>9.03716354015187e-6</v>
      </c>
      <c r="J407" s="471">
        <f t="shared" si="21"/>
        <v>0.999789101758552</v>
      </c>
      <c r="K407" s="463" t="str">
        <f t="shared" si="22"/>
        <v>C</v>
      </c>
    </row>
    <row r="408" ht="15.75" customHeight="1" spans="1:11">
      <c r="A408" s="462">
        <v>91943</v>
      </c>
      <c r="B408" s="462" t="s">
        <v>71</v>
      </c>
      <c r="C408" s="462" t="s">
        <v>822</v>
      </c>
      <c r="D408" s="462" t="s">
        <v>1636</v>
      </c>
      <c r="E408" s="462" t="s">
        <v>105</v>
      </c>
      <c r="F408" s="463">
        <v>2</v>
      </c>
      <c r="G408" s="463">
        <v>33.75</v>
      </c>
      <c r="H408" s="463">
        <v>67.5</v>
      </c>
      <c r="I408" s="470">
        <f t="shared" si="20"/>
        <v>8.99452283928416e-6</v>
      </c>
      <c r="J408" s="471">
        <f t="shared" si="21"/>
        <v>0.999798096281392</v>
      </c>
      <c r="K408" s="463" t="str">
        <f t="shared" si="22"/>
        <v>C</v>
      </c>
    </row>
    <row r="409" ht="15.75" customHeight="1" spans="1:11">
      <c r="A409" s="462">
        <v>89783</v>
      </c>
      <c r="B409" s="462" t="s">
        <v>71</v>
      </c>
      <c r="C409" s="462" t="s">
        <v>583</v>
      </c>
      <c r="D409" s="462" t="s">
        <v>1649</v>
      </c>
      <c r="E409" s="462" t="s">
        <v>105</v>
      </c>
      <c r="F409" s="463">
        <v>3</v>
      </c>
      <c r="G409" s="463">
        <v>22.5</v>
      </c>
      <c r="H409" s="463">
        <v>67.5</v>
      </c>
      <c r="I409" s="470">
        <f t="shared" si="20"/>
        <v>8.99452283928416e-6</v>
      </c>
      <c r="J409" s="471">
        <f t="shared" si="21"/>
        <v>0.999807090804231</v>
      </c>
      <c r="K409" s="463" t="str">
        <f t="shared" si="22"/>
        <v>C</v>
      </c>
    </row>
    <row r="410" ht="15.75" customHeight="1" spans="1:11">
      <c r="A410" s="462">
        <v>89739</v>
      </c>
      <c r="B410" s="462" t="s">
        <v>71</v>
      </c>
      <c r="C410" s="462" t="s">
        <v>574</v>
      </c>
      <c r="D410" s="462" t="s">
        <v>1649</v>
      </c>
      <c r="E410" s="462" t="s">
        <v>105</v>
      </c>
      <c r="F410" s="463">
        <v>2</v>
      </c>
      <c r="G410" s="463">
        <v>33.12</v>
      </c>
      <c r="H410" s="463">
        <v>66.24</v>
      </c>
      <c r="I410" s="470">
        <f t="shared" si="20"/>
        <v>8.82662507961752e-6</v>
      </c>
      <c r="J410" s="471">
        <f t="shared" si="21"/>
        <v>0.999815917429311</v>
      </c>
      <c r="K410" s="463" t="str">
        <f t="shared" si="22"/>
        <v>C</v>
      </c>
    </row>
    <row r="411" ht="15.75" customHeight="1" spans="1:11">
      <c r="A411" s="462">
        <v>89584</v>
      </c>
      <c r="B411" s="462" t="s">
        <v>71</v>
      </c>
      <c r="C411" s="462" t="s">
        <v>723</v>
      </c>
      <c r="D411" s="462" t="s">
        <v>1687</v>
      </c>
      <c r="E411" s="462" t="s">
        <v>105</v>
      </c>
      <c r="F411" s="463">
        <v>1</v>
      </c>
      <c r="G411" s="463">
        <v>61.43</v>
      </c>
      <c r="H411" s="463">
        <v>61.43</v>
      </c>
      <c r="I411" s="470">
        <f t="shared" si="20"/>
        <v>8.18568204469964e-6</v>
      </c>
      <c r="J411" s="471">
        <f t="shared" si="21"/>
        <v>0.999824103111355</v>
      </c>
      <c r="K411" s="463" t="str">
        <f t="shared" si="22"/>
        <v>C</v>
      </c>
    </row>
    <row r="412" ht="15.75" customHeight="1" spans="1:11">
      <c r="A412" s="462" t="s">
        <v>740</v>
      </c>
      <c r="B412" s="462" t="s">
        <v>65</v>
      </c>
      <c r="C412" s="462" t="s">
        <v>741</v>
      </c>
      <c r="D412" s="462"/>
      <c r="E412" s="462" t="s">
        <v>67</v>
      </c>
      <c r="F412" s="463">
        <v>1</v>
      </c>
      <c r="G412" s="463">
        <v>58.93</v>
      </c>
      <c r="H412" s="463">
        <v>58.93</v>
      </c>
      <c r="I412" s="470">
        <f t="shared" si="20"/>
        <v>7.8525515691706e-6</v>
      </c>
      <c r="J412" s="471">
        <f t="shared" si="21"/>
        <v>0.999831955662924</v>
      </c>
      <c r="K412" s="463" t="str">
        <f t="shared" si="22"/>
        <v>C</v>
      </c>
    </row>
    <row r="413" ht="15.75" customHeight="1" spans="1:11">
      <c r="A413" s="462">
        <v>104344</v>
      </c>
      <c r="B413" s="462" t="s">
        <v>71</v>
      </c>
      <c r="C413" s="462" t="s">
        <v>613</v>
      </c>
      <c r="D413" s="462" t="s">
        <v>1649</v>
      </c>
      <c r="E413" s="462" t="s">
        <v>105</v>
      </c>
      <c r="F413" s="463">
        <v>1</v>
      </c>
      <c r="G413" s="463">
        <v>56.64</v>
      </c>
      <c r="H413" s="463">
        <v>56.64</v>
      </c>
      <c r="I413" s="470">
        <f t="shared" si="20"/>
        <v>7.547404053586e-6</v>
      </c>
      <c r="J413" s="471">
        <f t="shared" si="21"/>
        <v>0.999839503066978</v>
      </c>
      <c r="K413" s="463" t="str">
        <f t="shared" si="22"/>
        <v>C</v>
      </c>
    </row>
    <row r="414" ht="15.75" customHeight="1" spans="1:11">
      <c r="A414" s="462">
        <v>89429</v>
      </c>
      <c r="B414" s="462" t="s">
        <v>71</v>
      </c>
      <c r="C414" s="462" t="s">
        <v>525</v>
      </c>
      <c r="D414" s="462" t="s">
        <v>1659</v>
      </c>
      <c r="E414" s="462" t="s">
        <v>105</v>
      </c>
      <c r="F414" s="463">
        <v>6</v>
      </c>
      <c r="G414" s="463">
        <v>9.29</v>
      </c>
      <c r="H414" s="463">
        <v>55.74</v>
      </c>
      <c r="I414" s="470">
        <f t="shared" si="20"/>
        <v>7.42747708239554e-6</v>
      </c>
      <c r="J414" s="471">
        <f t="shared" si="21"/>
        <v>0.99984693054406</v>
      </c>
      <c r="K414" s="463" t="str">
        <f t="shared" si="22"/>
        <v>C</v>
      </c>
    </row>
    <row r="415" ht="15.75" customHeight="1" spans="1:11">
      <c r="A415" s="462">
        <v>89623</v>
      </c>
      <c r="B415" s="462" t="s">
        <v>71</v>
      </c>
      <c r="C415" s="462" t="s">
        <v>465</v>
      </c>
      <c r="D415" s="462" t="s">
        <v>1659</v>
      </c>
      <c r="E415" s="462" t="s">
        <v>105</v>
      </c>
      <c r="F415" s="463">
        <v>2</v>
      </c>
      <c r="G415" s="463">
        <v>27.11</v>
      </c>
      <c r="H415" s="463">
        <v>54.22</v>
      </c>
      <c r="I415" s="470">
        <f t="shared" si="20"/>
        <v>7.22493375327388e-6</v>
      </c>
      <c r="J415" s="471">
        <f t="shared" si="21"/>
        <v>0.999854155477814</v>
      </c>
      <c r="K415" s="463" t="str">
        <f t="shared" si="22"/>
        <v>C</v>
      </c>
    </row>
    <row r="416" ht="15.75" customHeight="1" spans="1:11">
      <c r="A416" s="462" t="s">
        <v>1431</v>
      </c>
      <c r="B416" s="462" t="s">
        <v>65</v>
      </c>
      <c r="C416" s="462" t="s">
        <v>1432</v>
      </c>
      <c r="D416" s="462"/>
      <c r="E416" s="462" t="s">
        <v>67</v>
      </c>
      <c r="F416" s="463">
        <v>1</v>
      </c>
      <c r="G416" s="463">
        <v>52.74</v>
      </c>
      <c r="H416" s="463">
        <v>52.74</v>
      </c>
      <c r="I416" s="470">
        <f t="shared" si="20"/>
        <v>7.02772051176069e-6</v>
      </c>
      <c r="J416" s="471">
        <f t="shared" si="21"/>
        <v>0.999861183198326</v>
      </c>
      <c r="K416" s="463" t="str">
        <f t="shared" si="22"/>
        <v>C</v>
      </c>
    </row>
    <row r="417" ht="15.75" customHeight="1" spans="1:11">
      <c r="A417" s="462" t="s">
        <v>1434</v>
      </c>
      <c r="B417" s="462" t="s">
        <v>65</v>
      </c>
      <c r="C417" s="462" t="s">
        <v>1435</v>
      </c>
      <c r="D417" s="462"/>
      <c r="E417" s="462" t="s">
        <v>67</v>
      </c>
      <c r="F417" s="463">
        <v>1</v>
      </c>
      <c r="G417" s="463">
        <v>52.58</v>
      </c>
      <c r="H417" s="463">
        <v>52.58</v>
      </c>
      <c r="I417" s="470">
        <f t="shared" si="20"/>
        <v>7.00640016132683e-6</v>
      </c>
      <c r="J417" s="471">
        <f t="shared" si="21"/>
        <v>0.999868189598487</v>
      </c>
      <c r="K417" s="463" t="str">
        <f t="shared" si="22"/>
        <v>C</v>
      </c>
    </row>
    <row r="418" ht="15.75" customHeight="1" spans="1:11">
      <c r="A418" s="462" t="s">
        <v>85</v>
      </c>
      <c r="B418" s="462" t="s">
        <v>65</v>
      </c>
      <c r="C418" s="462" t="s">
        <v>86</v>
      </c>
      <c r="D418" s="462"/>
      <c r="E418" s="462" t="s">
        <v>67</v>
      </c>
      <c r="F418" s="463">
        <v>1</v>
      </c>
      <c r="G418" s="463">
        <v>52.17</v>
      </c>
      <c r="H418" s="463">
        <v>52.17</v>
      </c>
      <c r="I418" s="470">
        <f t="shared" si="20"/>
        <v>6.95176676334007e-6</v>
      </c>
      <c r="J418" s="471">
        <f t="shared" si="21"/>
        <v>0.99987514136525</v>
      </c>
      <c r="K418" s="463" t="str">
        <f t="shared" si="22"/>
        <v>C</v>
      </c>
    </row>
    <row r="419" ht="15.75" customHeight="1" spans="1:11">
      <c r="A419" s="462" t="s">
        <v>1590</v>
      </c>
      <c r="B419" s="462" t="s">
        <v>65</v>
      </c>
      <c r="C419" s="462" t="s">
        <v>1591</v>
      </c>
      <c r="D419" s="462"/>
      <c r="E419" s="462" t="s">
        <v>67</v>
      </c>
      <c r="F419" s="463">
        <v>1</v>
      </c>
      <c r="G419" s="463">
        <v>52.17</v>
      </c>
      <c r="H419" s="463">
        <v>52.17</v>
      </c>
      <c r="I419" s="470">
        <f t="shared" si="20"/>
        <v>6.95176676334007e-6</v>
      </c>
      <c r="J419" s="471">
        <f t="shared" si="21"/>
        <v>0.999882093132014</v>
      </c>
      <c r="K419" s="463" t="str">
        <f t="shared" si="22"/>
        <v>C</v>
      </c>
    </row>
    <row r="420" ht="15.75" customHeight="1" spans="1:11">
      <c r="A420" s="462">
        <v>89807</v>
      </c>
      <c r="B420" s="462" t="s">
        <v>71</v>
      </c>
      <c r="C420" s="462" t="s">
        <v>729</v>
      </c>
      <c r="D420" s="462" t="s">
        <v>1649</v>
      </c>
      <c r="E420" s="462" t="s">
        <v>105</v>
      </c>
      <c r="F420" s="463">
        <v>1</v>
      </c>
      <c r="G420" s="463">
        <v>51.6</v>
      </c>
      <c r="H420" s="463">
        <v>51.6</v>
      </c>
      <c r="I420" s="470">
        <f t="shared" si="20"/>
        <v>6.87581301491944e-6</v>
      </c>
      <c r="J420" s="471">
        <f t="shared" si="21"/>
        <v>0.999888968945029</v>
      </c>
      <c r="K420" s="463" t="str">
        <f t="shared" si="22"/>
        <v>C</v>
      </c>
    </row>
    <row r="421" ht="15.75" customHeight="1" spans="1:11">
      <c r="A421" s="462">
        <v>89549</v>
      </c>
      <c r="B421" s="462" t="s">
        <v>71</v>
      </c>
      <c r="C421" s="462" t="s">
        <v>601</v>
      </c>
      <c r="D421" s="462" t="s">
        <v>1687</v>
      </c>
      <c r="E421" s="462" t="s">
        <v>105</v>
      </c>
      <c r="F421" s="463">
        <v>2</v>
      </c>
      <c r="G421" s="463">
        <v>25.23</v>
      </c>
      <c r="H421" s="463">
        <v>50.46</v>
      </c>
      <c r="I421" s="470">
        <f t="shared" si="20"/>
        <v>6.7239055180782e-6</v>
      </c>
      <c r="J421" s="471">
        <f t="shared" si="21"/>
        <v>0.999895692850547</v>
      </c>
      <c r="K421" s="463" t="str">
        <f t="shared" si="22"/>
        <v>C</v>
      </c>
    </row>
    <row r="422" ht="15.75" customHeight="1" spans="1:11">
      <c r="A422" s="462">
        <v>61702</v>
      </c>
      <c r="B422" s="462" t="s">
        <v>99</v>
      </c>
      <c r="C422" s="462" t="s">
        <v>1006</v>
      </c>
      <c r="D422" s="462" t="s">
        <v>1680</v>
      </c>
      <c r="E422" s="462" t="s">
        <v>105</v>
      </c>
      <c r="F422" s="463">
        <v>10</v>
      </c>
      <c r="G422" s="463">
        <v>4.99</v>
      </c>
      <c r="H422" s="463">
        <v>49.9</v>
      </c>
      <c r="I422" s="470">
        <f t="shared" si="20"/>
        <v>6.6492842915597e-6</v>
      </c>
      <c r="J422" s="471">
        <f t="shared" si="21"/>
        <v>0.999902342134838</v>
      </c>
      <c r="K422" s="463" t="str">
        <f t="shared" si="22"/>
        <v>C</v>
      </c>
    </row>
    <row r="423" ht="15.75" customHeight="1" spans="1:11">
      <c r="A423" s="462">
        <v>104159</v>
      </c>
      <c r="B423" s="462" t="s">
        <v>71</v>
      </c>
      <c r="C423" s="462" t="s">
        <v>432</v>
      </c>
      <c r="D423" s="462" t="s">
        <v>1659</v>
      </c>
      <c r="E423" s="462" t="s">
        <v>105</v>
      </c>
      <c r="F423" s="463">
        <v>1</v>
      </c>
      <c r="G423" s="463">
        <v>49.78</v>
      </c>
      <c r="H423" s="463">
        <v>49.78</v>
      </c>
      <c r="I423" s="470">
        <f t="shared" si="20"/>
        <v>6.6332940287343e-6</v>
      </c>
      <c r="J423" s="471">
        <f t="shared" si="21"/>
        <v>0.999908975428867</v>
      </c>
      <c r="K423" s="463" t="str">
        <f t="shared" si="22"/>
        <v>C</v>
      </c>
    </row>
    <row r="424" ht="15.75" customHeight="1" spans="1:11">
      <c r="A424" s="462" t="s">
        <v>1425</v>
      </c>
      <c r="B424" s="462" t="s">
        <v>65</v>
      </c>
      <c r="C424" s="462" t="s">
        <v>1426</v>
      </c>
      <c r="D424" s="462"/>
      <c r="E424" s="462" t="s">
        <v>67</v>
      </c>
      <c r="F424" s="463">
        <v>1</v>
      </c>
      <c r="G424" s="463">
        <v>47.88</v>
      </c>
      <c r="H424" s="463">
        <v>47.88</v>
      </c>
      <c r="I424" s="470">
        <f t="shared" si="20"/>
        <v>6.38011486733223e-6</v>
      </c>
      <c r="J424" s="471">
        <f t="shared" si="21"/>
        <v>0.999915355543734</v>
      </c>
      <c r="K424" s="463" t="str">
        <f t="shared" si="22"/>
        <v>C</v>
      </c>
    </row>
    <row r="425" ht="15.75" customHeight="1" spans="1:11">
      <c r="A425" s="462" t="s">
        <v>1428</v>
      </c>
      <c r="B425" s="462" t="s">
        <v>65</v>
      </c>
      <c r="C425" s="462" t="s">
        <v>1429</v>
      </c>
      <c r="D425" s="462"/>
      <c r="E425" s="462" t="s">
        <v>67</v>
      </c>
      <c r="F425" s="463">
        <v>1</v>
      </c>
      <c r="G425" s="463">
        <v>47.88</v>
      </c>
      <c r="H425" s="463">
        <v>47.88</v>
      </c>
      <c r="I425" s="470">
        <f t="shared" si="20"/>
        <v>6.38011486733223e-6</v>
      </c>
      <c r="J425" s="471">
        <f t="shared" si="21"/>
        <v>0.999921735658601</v>
      </c>
      <c r="K425" s="463" t="str">
        <f t="shared" si="22"/>
        <v>C</v>
      </c>
    </row>
    <row r="426" ht="15.75" customHeight="1" spans="1:11">
      <c r="A426" s="462">
        <v>104341</v>
      </c>
      <c r="B426" s="462" t="s">
        <v>71</v>
      </c>
      <c r="C426" s="462" t="s">
        <v>598</v>
      </c>
      <c r="D426" s="462" t="s">
        <v>1649</v>
      </c>
      <c r="E426" s="462" t="s">
        <v>105</v>
      </c>
      <c r="F426" s="463">
        <v>3</v>
      </c>
      <c r="G426" s="463">
        <v>15.55</v>
      </c>
      <c r="H426" s="463">
        <v>46.65</v>
      </c>
      <c r="I426" s="470">
        <f t="shared" si="20"/>
        <v>6.21621467337194e-6</v>
      </c>
      <c r="J426" s="471">
        <f t="shared" si="21"/>
        <v>0.999927951873275</v>
      </c>
      <c r="K426" s="463" t="str">
        <f t="shared" si="22"/>
        <v>C</v>
      </c>
    </row>
    <row r="427" ht="15.75" customHeight="1" spans="1:11">
      <c r="A427" s="462" t="s">
        <v>1437</v>
      </c>
      <c r="B427" s="462" t="s">
        <v>65</v>
      </c>
      <c r="C427" s="462" t="s">
        <v>1438</v>
      </c>
      <c r="D427" s="462"/>
      <c r="E427" s="462" t="s">
        <v>67</v>
      </c>
      <c r="F427" s="463">
        <v>1</v>
      </c>
      <c r="G427" s="463">
        <v>45.66</v>
      </c>
      <c r="H427" s="463">
        <v>45.66</v>
      </c>
      <c r="I427" s="470">
        <f t="shared" si="20"/>
        <v>6.08429500506244e-6</v>
      </c>
      <c r="J427" s="471">
        <f t="shared" si="21"/>
        <v>0.99993403616828</v>
      </c>
      <c r="K427" s="463" t="str">
        <f t="shared" si="22"/>
        <v>C</v>
      </c>
    </row>
    <row r="428" ht="15.75" customHeight="1" spans="1:11">
      <c r="A428" s="462">
        <v>104348</v>
      </c>
      <c r="B428" s="462" t="s">
        <v>71</v>
      </c>
      <c r="C428" s="462" t="s">
        <v>628</v>
      </c>
      <c r="D428" s="462" t="s">
        <v>1649</v>
      </c>
      <c r="E428" s="462" t="s">
        <v>105</v>
      </c>
      <c r="F428" s="463">
        <v>3</v>
      </c>
      <c r="G428" s="463">
        <v>15.03</v>
      </c>
      <c r="H428" s="463">
        <v>45.09</v>
      </c>
      <c r="I428" s="470">
        <f t="shared" si="20"/>
        <v>6.00834125664182e-6</v>
      </c>
      <c r="J428" s="471">
        <f t="shared" si="21"/>
        <v>0.999940044509536</v>
      </c>
      <c r="K428" s="463" t="str">
        <f t="shared" si="22"/>
        <v>C</v>
      </c>
    </row>
    <row r="429" ht="15.75" customHeight="1" spans="1:11">
      <c r="A429" s="462">
        <v>89802</v>
      </c>
      <c r="B429" s="462" t="s">
        <v>71</v>
      </c>
      <c r="C429" s="462" t="s">
        <v>720</v>
      </c>
      <c r="D429" s="462" t="s">
        <v>1649</v>
      </c>
      <c r="E429" s="462" t="s">
        <v>105</v>
      </c>
      <c r="F429" s="463">
        <v>3</v>
      </c>
      <c r="G429" s="463">
        <v>13.96</v>
      </c>
      <c r="H429" s="463">
        <v>41.88</v>
      </c>
      <c r="I429" s="470">
        <f t="shared" si="20"/>
        <v>5.58060172606253e-6</v>
      </c>
      <c r="J429" s="471">
        <f t="shared" si="21"/>
        <v>0.999945625111263</v>
      </c>
      <c r="K429" s="463" t="str">
        <f t="shared" si="22"/>
        <v>C</v>
      </c>
    </row>
    <row r="430" ht="15.75" customHeight="1" spans="1:11">
      <c r="A430" s="462">
        <v>89387</v>
      </c>
      <c r="B430" s="462" t="s">
        <v>71</v>
      </c>
      <c r="C430" s="462" t="s">
        <v>429</v>
      </c>
      <c r="D430" s="462" t="s">
        <v>1659</v>
      </c>
      <c r="E430" s="462" t="s">
        <v>105</v>
      </c>
      <c r="F430" s="463">
        <v>1</v>
      </c>
      <c r="G430" s="463">
        <v>40.32</v>
      </c>
      <c r="H430" s="463">
        <v>40.32</v>
      </c>
      <c r="I430" s="470">
        <f t="shared" si="20"/>
        <v>5.3727283093324e-6</v>
      </c>
      <c r="J430" s="471">
        <f t="shared" si="21"/>
        <v>0.999950997839572</v>
      </c>
      <c r="K430" s="463" t="str">
        <f t="shared" si="22"/>
        <v>C</v>
      </c>
    </row>
    <row r="431" ht="15.75" customHeight="1" spans="1:11">
      <c r="A431" s="462">
        <v>104918</v>
      </c>
      <c r="B431" s="462" t="s">
        <v>71</v>
      </c>
      <c r="C431" s="462" t="s">
        <v>167</v>
      </c>
      <c r="D431" s="462" t="s">
        <v>1634</v>
      </c>
      <c r="E431" s="462" t="s">
        <v>158</v>
      </c>
      <c r="F431" s="463">
        <v>2</v>
      </c>
      <c r="G431" s="463">
        <v>20.12</v>
      </c>
      <c r="H431" s="463">
        <v>40.24</v>
      </c>
      <c r="I431" s="470">
        <f t="shared" si="20"/>
        <v>5.36206813411547e-6</v>
      </c>
      <c r="J431" s="471">
        <f t="shared" si="21"/>
        <v>0.999956359907706</v>
      </c>
      <c r="K431" s="463" t="str">
        <f t="shared" si="22"/>
        <v>C</v>
      </c>
    </row>
    <row r="432" ht="15.75" customHeight="1" spans="1:11">
      <c r="A432" s="462" t="s">
        <v>1113</v>
      </c>
      <c r="B432" s="462" t="s">
        <v>65</v>
      </c>
      <c r="C432" s="462" t="s">
        <v>1114</v>
      </c>
      <c r="D432" s="462"/>
      <c r="E432" s="462" t="s">
        <v>67</v>
      </c>
      <c r="F432" s="463">
        <v>1</v>
      </c>
      <c r="G432" s="463">
        <v>37.56</v>
      </c>
      <c r="H432" s="463">
        <v>37.56</v>
      </c>
      <c r="I432" s="470">
        <f t="shared" si="20"/>
        <v>5.00495226434834e-6</v>
      </c>
      <c r="J432" s="471">
        <f t="shared" si="21"/>
        <v>0.99996136485997</v>
      </c>
      <c r="K432" s="463" t="str">
        <f t="shared" si="22"/>
        <v>C</v>
      </c>
    </row>
    <row r="433" customHeight="1" spans="1:11">
      <c r="A433" s="462">
        <v>89497</v>
      </c>
      <c r="B433" s="462" t="s">
        <v>71</v>
      </c>
      <c r="C433" s="462" t="s">
        <v>444</v>
      </c>
      <c r="D433" s="462" t="s">
        <v>1659</v>
      </c>
      <c r="E433" s="462" t="s">
        <v>105</v>
      </c>
      <c r="F433" s="463">
        <v>2</v>
      </c>
      <c r="G433" s="463">
        <v>18.68</v>
      </c>
      <c r="H433" s="463">
        <v>37.36</v>
      </c>
      <c r="I433" s="470">
        <f t="shared" si="20"/>
        <v>4.97830182630602e-6</v>
      </c>
      <c r="J433" s="471">
        <f t="shared" si="21"/>
        <v>0.999966343161797</v>
      </c>
      <c r="K433" s="463" t="str">
        <f t="shared" si="22"/>
        <v>C</v>
      </c>
    </row>
    <row r="434" customHeight="1" spans="1:11">
      <c r="A434" s="462">
        <v>89785</v>
      </c>
      <c r="B434" s="462" t="s">
        <v>71</v>
      </c>
      <c r="C434" s="462" t="s">
        <v>586</v>
      </c>
      <c r="D434" s="462" t="s">
        <v>1649</v>
      </c>
      <c r="E434" s="462" t="s">
        <v>105</v>
      </c>
      <c r="F434" s="463">
        <v>1</v>
      </c>
      <c r="G434" s="463">
        <v>37.34</v>
      </c>
      <c r="H434" s="463">
        <v>37.34</v>
      </c>
      <c r="I434" s="470">
        <f t="shared" si="20"/>
        <v>4.97563678250178e-6</v>
      </c>
      <c r="J434" s="471">
        <f t="shared" si="21"/>
        <v>0.999971318798579</v>
      </c>
      <c r="K434" s="463" t="str">
        <f t="shared" si="22"/>
        <v>C</v>
      </c>
    </row>
    <row r="435" ht="15.75" customHeight="1" spans="1:11">
      <c r="A435" s="462">
        <v>103948</v>
      </c>
      <c r="B435" s="462" t="s">
        <v>71</v>
      </c>
      <c r="C435" s="462" t="s">
        <v>483</v>
      </c>
      <c r="D435" s="462" t="s">
        <v>1659</v>
      </c>
      <c r="E435" s="462" t="s">
        <v>105</v>
      </c>
      <c r="F435" s="463">
        <v>3</v>
      </c>
      <c r="G435" s="463">
        <v>12.02</v>
      </c>
      <c r="H435" s="463">
        <v>36.06</v>
      </c>
      <c r="I435" s="470">
        <f t="shared" si="20"/>
        <v>4.80507397903091e-6</v>
      </c>
      <c r="J435" s="471">
        <f t="shared" si="21"/>
        <v>0.999976123872558</v>
      </c>
      <c r="K435" s="463" t="str">
        <f t="shared" si="22"/>
        <v>C</v>
      </c>
    </row>
    <row r="436" ht="15.75" customHeight="1" spans="1:11">
      <c r="A436" s="462">
        <v>96667</v>
      </c>
      <c r="B436" s="462" t="s">
        <v>71</v>
      </c>
      <c r="C436" s="462" t="s">
        <v>1229</v>
      </c>
      <c r="D436" s="462" t="s">
        <v>1678</v>
      </c>
      <c r="E436" s="462" t="s">
        <v>105</v>
      </c>
      <c r="F436" s="463">
        <v>1</v>
      </c>
      <c r="G436" s="463">
        <v>33.5</v>
      </c>
      <c r="H436" s="463">
        <v>33.5</v>
      </c>
      <c r="I436" s="470">
        <f t="shared" si="20"/>
        <v>4.46394837208917e-6</v>
      </c>
      <c r="J436" s="471">
        <f t="shared" si="21"/>
        <v>0.99998058782093</v>
      </c>
      <c r="K436" s="463" t="str">
        <f t="shared" si="22"/>
        <v>C</v>
      </c>
    </row>
    <row r="437" ht="15.75" customHeight="1" spans="1:11">
      <c r="A437" s="462">
        <v>104326</v>
      </c>
      <c r="B437" s="462" t="s">
        <v>71</v>
      </c>
      <c r="C437" s="462" t="s">
        <v>616</v>
      </c>
      <c r="D437" s="462" t="s">
        <v>1712</v>
      </c>
      <c r="E437" s="462" t="s">
        <v>105</v>
      </c>
      <c r="F437" s="463">
        <v>1</v>
      </c>
      <c r="G437" s="463">
        <v>33.05</v>
      </c>
      <c r="H437" s="463">
        <v>33.05</v>
      </c>
      <c r="I437" s="470">
        <f t="shared" si="20"/>
        <v>4.40398488649395e-6</v>
      </c>
      <c r="J437" s="471">
        <f t="shared" si="21"/>
        <v>0.999984991805817</v>
      </c>
      <c r="K437" s="463" t="str">
        <f t="shared" si="22"/>
        <v>C</v>
      </c>
    </row>
    <row r="438" ht="15.75" customHeight="1" spans="1:11">
      <c r="A438" s="462">
        <v>103981</v>
      </c>
      <c r="B438" s="462" t="s">
        <v>71</v>
      </c>
      <c r="C438" s="462" t="s">
        <v>447</v>
      </c>
      <c r="D438" s="462" t="s">
        <v>1659</v>
      </c>
      <c r="E438" s="462" t="s">
        <v>105</v>
      </c>
      <c r="F438" s="463">
        <v>1</v>
      </c>
      <c r="G438" s="463">
        <v>25.9</v>
      </c>
      <c r="H438" s="463">
        <v>25.9</v>
      </c>
      <c r="I438" s="470">
        <f t="shared" ref="I438:I443" si="23">H438/$I$445</f>
        <v>3.45123172648088e-6</v>
      </c>
      <c r="J438" s="471">
        <f t="shared" ref="J438:J443" si="24">I438+J437</f>
        <v>0.999988443037543</v>
      </c>
      <c r="K438" s="463" t="str">
        <f t="shared" ref="K438:K443" si="25">IF(J438&lt;=50%,"A",IF(J438&lt;=80%,"B","C"))</f>
        <v>C</v>
      </c>
    </row>
    <row r="439" ht="15.75" customHeight="1" spans="1:11">
      <c r="A439" s="462">
        <v>89366</v>
      </c>
      <c r="B439" s="462" t="s">
        <v>71</v>
      </c>
      <c r="C439" s="462" t="s">
        <v>456</v>
      </c>
      <c r="D439" s="462" t="s">
        <v>1659</v>
      </c>
      <c r="E439" s="462" t="s">
        <v>105</v>
      </c>
      <c r="F439" s="463">
        <v>1</v>
      </c>
      <c r="G439" s="463">
        <v>23.27</v>
      </c>
      <c r="H439" s="463">
        <v>23.27</v>
      </c>
      <c r="I439" s="470">
        <f t="shared" si="23"/>
        <v>3.10077846622433e-6</v>
      </c>
      <c r="J439" s="471">
        <f t="shared" si="24"/>
        <v>0.999991543816009</v>
      </c>
      <c r="K439" s="463" t="str">
        <f t="shared" si="25"/>
        <v>C</v>
      </c>
    </row>
    <row r="440" ht="15.75" customHeight="1" spans="1:11">
      <c r="A440" s="462" t="s">
        <v>1087</v>
      </c>
      <c r="B440" s="462" t="s">
        <v>512</v>
      </c>
      <c r="C440" s="462" t="s">
        <v>1088</v>
      </c>
      <c r="D440" s="462" t="s">
        <v>1648</v>
      </c>
      <c r="E440" s="462" t="s">
        <v>67</v>
      </c>
      <c r="F440" s="463">
        <v>1</v>
      </c>
      <c r="G440" s="463">
        <v>22.75</v>
      </c>
      <c r="H440" s="463">
        <v>22.75</v>
      </c>
      <c r="I440" s="470">
        <f t="shared" si="23"/>
        <v>3.03148732731429e-6</v>
      </c>
      <c r="J440" s="471">
        <f t="shared" si="24"/>
        <v>0.999994575303337</v>
      </c>
      <c r="K440" s="463" t="str">
        <f t="shared" si="25"/>
        <v>C</v>
      </c>
    </row>
    <row r="441" ht="15.75" customHeight="1" spans="1:11">
      <c r="A441" s="462">
        <v>103947</v>
      </c>
      <c r="B441" s="462" t="s">
        <v>71</v>
      </c>
      <c r="C441" s="462" t="s">
        <v>480</v>
      </c>
      <c r="D441" s="462" t="s">
        <v>1659</v>
      </c>
      <c r="E441" s="462" t="s">
        <v>105</v>
      </c>
      <c r="F441" s="463">
        <v>2</v>
      </c>
      <c r="G441" s="463">
        <v>9.72</v>
      </c>
      <c r="H441" s="463">
        <v>19.44</v>
      </c>
      <c r="I441" s="470">
        <f t="shared" si="23"/>
        <v>2.59042257771384e-6</v>
      </c>
      <c r="J441" s="471">
        <f t="shared" si="24"/>
        <v>0.999997165725914</v>
      </c>
      <c r="K441" s="463" t="str">
        <f t="shared" si="25"/>
        <v>C</v>
      </c>
    </row>
    <row r="442" ht="15.75" customHeight="1" spans="1:11">
      <c r="A442" s="462">
        <v>93653</v>
      </c>
      <c r="B442" s="462" t="s">
        <v>71</v>
      </c>
      <c r="C442" s="462" t="s">
        <v>1507</v>
      </c>
      <c r="D442" s="462" t="s">
        <v>1692</v>
      </c>
      <c r="E442" s="462" t="s">
        <v>105</v>
      </c>
      <c r="F442" s="463">
        <v>1</v>
      </c>
      <c r="G442" s="463">
        <v>14.01</v>
      </c>
      <c r="H442" s="463">
        <v>14.01</v>
      </c>
      <c r="I442" s="470">
        <f t="shared" si="23"/>
        <v>1.86686318486476e-6</v>
      </c>
      <c r="J442" s="471">
        <f t="shared" si="24"/>
        <v>0.999999032589099</v>
      </c>
      <c r="K442" s="463" t="str">
        <f t="shared" si="25"/>
        <v>C</v>
      </c>
    </row>
    <row r="443" ht="15.75" customHeight="1" spans="1:11">
      <c r="A443" s="462" t="s">
        <v>1110</v>
      </c>
      <c r="B443" s="462" t="s">
        <v>65</v>
      </c>
      <c r="C443" s="462" t="s">
        <v>1111</v>
      </c>
      <c r="D443" s="462"/>
      <c r="E443" s="462" t="s">
        <v>67</v>
      </c>
      <c r="F443" s="463">
        <v>1</v>
      </c>
      <c r="G443" s="463">
        <v>7.26</v>
      </c>
      <c r="H443" s="463">
        <v>7.26</v>
      </c>
      <c r="I443" s="470">
        <f t="shared" si="23"/>
        <v>9.6741090093634e-7</v>
      </c>
      <c r="J443" s="471">
        <f t="shared" si="24"/>
        <v>1</v>
      </c>
      <c r="K443" s="463" t="str">
        <f t="shared" si="25"/>
        <v>C</v>
      </c>
    </row>
    <row r="444" ht="15.75" customHeight="1" spans="9:9">
      <c r="I444" s="473"/>
    </row>
    <row r="445" ht="15.75" customHeight="1" spans="9:9">
      <c r="I445" s="474">
        <f>SUM(H17:H443)</f>
        <v>7504567.08</v>
      </c>
    </row>
    <row r="446" ht="15.75" customHeight="1" spans="9:9">
      <c r="I446" s="473"/>
    </row>
    <row r="447" ht="15.75" customHeight="1" spans="9:9">
      <c r="I447" s="473"/>
    </row>
    <row r="448" ht="15.75" customHeight="1" spans="9:9">
      <c r="I448" s="473"/>
    </row>
    <row r="449" ht="15.75" customHeight="1" spans="9:9">
      <c r="I449" s="473"/>
    </row>
    <row r="450" ht="15.75" customHeight="1" spans="9:9">
      <c r="I450" s="473"/>
    </row>
    <row r="451" ht="15.75" customHeight="1" spans="9:9">
      <c r="I451" s="473"/>
    </row>
    <row r="452" ht="15.75" customHeight="1" spans="9:9">
      <c r="I452" s="473"/>
    </row>
    <row r="453" ht="15.75" customHeight="1" spans="9:9">
      <c r="I453" s="473"/>
    </row>
    <row r="454" ht="15.75" customHeight="1" spans="9:9">
      <c r="I454" s="473"/>
    </row>
    <row r="455" ht="15.75" customHeight="1" spans="9:9">
      <c r="I455" s="473"/>
    </row>
    <row r="456" ht="15.75" customHeight="1" spans="9:9">
      <c r="I456" s="473"/>
    </row>
    <row r="457" ht="15.75" customHeight="1" spans="9:9">
      <c r="I457" s="473"/>
    </row>
    <row r="458" ht="15.75" customHeight="1" spans="9:9">
      <c r="I458" s="473"/>
    </row>
    <row r="459" ht="15.75" customHeight="1" spans="9:9">
      <c r="I459" s="473"/>
    </row>
    <row r="460" ht="15.75" customHeight="1" spans="9:9">
      <c r="I460" s="473"/>
    </row>
    <row r="461" ht="15.75" customHeight="1" spans="9:9">
      <c r="I461" s="473"/>
    </row>
    <row r="462" ht="15.75" customHeight="1" spans="9:9">
      <c r="I462" s="473"/>
    </row>
    <row r="463" ht="15.75" customHeight="1" spans="9:9">
      <c r="I463" s="473"/>
    </row>
    <row r="464" ht="15.75" customHeight="1" spans="9:9">
      <c r="I464" s="473"/>
    </row>
    <row r="465" ht="15.75" customHeight="1" spans="9:9">
      <c r="I465" s="473"/>
    </row>
    <row r="466" ht="15.75" customHeight="1" spans="9:9">
      <c r="I466" s="473"/>
    </row>
    <row r="467" ht="15.75" customHeight="1" spans="9:9">
      <c r="I467" s="473"/>
    </row>
    <row r="468" ht="15.75" customHeight="1" spans="9:9">
      <c r="I468" s="473"/>
    </row>
    <row r="469" ht="15.75" customHeight="1" spans="9:9">
      <c r="I469" s="473"/>
    </row>
    <row r="470" ht="15.75" customHeight="1" spans="9:9">
      <c r="I470" s="473"/>
    </row>
    <row r="471" ht="15.75" customHeight="1" spans="9:9">
      <c r="I471" s="473"/>
    </row>
    <row r="472" ht="15.75" customHeight="1" spans="9:9">
      <c r="I472" s="473"/>
    </row>
    <row r="473" ht="15.75" customHeight="1" spans="9:9">
      <c r="I473" s="473"/>
    </row>
    <row r="474" ht="15.75" customHeight="1" spans="9:9">
      <c r="I474" s="473"/>
    </row>
    <row r="475" ht="15.75" customHeight="1" spans="9:9">
      <c r="I475" s="473"/>
    </row>
    <row r="476" ht="15.75" customHeight="1" spans="9:9">
      <c r="I476" s="473"/>
    </row>
    <row r="477" ht="15.75" customHeight="1" spans="9:9">
      <c r="I477" s="473"/>
    </row>
    <row r="478" ht="15.75" customHeight="1" spans="9:9">
      <c r="I478" s="473"/>
    </row>
    <row r="479" ht="15.75" customHeight="1" spans="9:9">
      <c r="I479" s="473"/>
    </row>
    <row r="480" ht="15.75" customHeight="1" spans="9:9">
      <c r="I480" s="473"/>
    </row>
    <row r="481" ht="15.75" customHeight="1" spans="9:9">
      <c r="I481" s="473"/>
    </row>
    <row r="482" ht="15.75" customHeight="1" spans="9:9">
      <c r="I482" s="473"/>
    </row>
    <row r="483" ht="15.75" customHeight="1" spans="9:9">
      <c r="I483" s="473"/>
    </row>
    <row r="484" ht="15.75" customHeight="1" spans="9:9">
      <c r="I484" s="473"/>
    </row>
    <row r="485" ht="15.75" customHeight="1" spans="9:9">
      <c r="I485" s="473"/>
    </row>
    <row r="486" ht="15.75" customHeight="1" spans="9:9">
      <c r="I486" s="473"/>
    </row>
    <row r="487" ht="15.75" customHeight="1" spans="9:9">
      <c r="I487" s="473"/>
    </row>
    <row r="488" ht="15.75" customHeight="1" spans="9:9">
      <c r="I488" s="473"/>
    </row>
    <row r="489" ht="15.75" customHeight="1" spans="9:9">
      <c r="I489" s="473"/>
    </row>
    <row r="490" ht="15.75" customHeight="1" spans="9:9">
      <c r="I490" s="473"/>
    </row>
    <row r="491" ht="15.75" customHeight="1" spans="9:9">
      <c r="I491" s="473"/>
    </row>
    <row r="492" ht="15.75" customHeight="1" spans="9:9">
      <c r="I492" s="473"/>
    </row>
    <row r="493" ht="15.75" customHeight="1" spans="9:9">
      <c r="I493" s="473"/>
    </row>
    <row r="494" ht="15.75" customHeight="1" spans="9:9">
      <c r="I494" s="473"/>
    </row>
    <row r="495" ht="15.75" customHeight="1" spans="9:9">
      <c r="I495" s="473"/>
    </row>
    <row r="496" ht="15.75" customHeight="1" spans="9:9">
      <c r="I496" s="473"/>
    </row>
    <row r="497" ht="15.75" customHeight="1" spans="9:9">
      <c r="I497" s="473"/>
    </row>
    <row r="498" ht="15.75" customHeight="1" spans="9:9">
      <c r="I498" s="473"/>
    </row>
    <row r="499" ht="15.75" customHeight="1" spans="9:9">
      <c r="I499" s="473"/>
    </row>
    <row r="500" ht="15.75" customHeight="1" spans="9:9">
      <c r="I500" s="473"/>
    </row>
    <row r="501" ht="15.75" customHeight="1" spans="9:9">
      <c r="I501" s="473"/>
    </row>
    <row r="502" ht="15.75" customHeight="1" spans="9:9">
      <c r="I502" s="473"/>
    </row>
    <row r="503" ht="15.75" customHeight="1" spans="9:9">
      <c r="I503" s="473"/>
    </row>
    <row r="504" ht="15.75" customHeight="1" spans="9:9">
      <c r="I504" s="473"/>
    </row>
    <row r="505" ht="15.75" customHeight="1" spans="9:9">
      <c r="I505" s="473"/>
    </row>
    <row r="506" ht="15.75" customHeight="1" spans="9:9">
      <c r="I506" s="473"/>
    </row>
    <row r="507" ht="15.75" customHeight="1" spans="9:9">
      <c r="I507" s="473"/>
    </row>
    <row r="508" ht="15.75" customHeight="1" spans="9:9">
      <c r="I508" s="473"/>
    </row>
    <row r="509" ht="15.75" customHeight="1" spans="9:9">
      <c r="I509" s="473"/>
    </row>
    <row r="510" ht="15.75" customHeight="1" spans="9:9">
      <c r="I510" s="473"/>
    </row>
    <row r="511" ht="15.75" customHeight="1" spans="9:9">
      <c r="I511" s="473"/>
    </row>
    <row r="512" ht="15.75" customHeight="1" spans="9:9">
      <c r="I512" s="473"/>
    </row>
    <row r="513" ht="15.75" customHeight="1" spans="9:9">
      <c r="I513" s="473"/>
    </row>
    <row r="514" ht="15.75" customHeight="1" spans="9:9">
      <c r="I514" s="473"/>
    </row>
    <row r="515" ht="15.75" customHeight="1" spans="9:9">
      <c r="I515" s="473"/>
    </row>
    <row r="516" ht="15.75" customHeight="1" spans="9:9">
      <c r="I516" s="473"/>
    </row>
    <row r="517" ht="15.75" customHeight="1" spans="9:9">
      <c r="I517" s="473"/>
    </row>
    <row r="518" ht="15.75" customHeight="1" spans="9:9">
      <c r="I518" s="473"/>
    </row>
    <row r="519" ht="15.75" customHeight="1" spans="9:9">
      <c r="I519" s="473"/>
    </row>
    <row r="520" ht="15.75" customHeight="1" spans="9:9">
      <c r="I520" s="473"/>
    </row>
    <row r="521" ht="15.75" customHeight="1" spans="9:9">
      <c r="I521" s="473"/>
    </row>
    <row r="522" ht="15.75" customHeight="1" spans="9:9">
      <c r="I522" s="473"/>
    </row>
    <row r="523" ht="15.75" customHeight="1" spans="9:9">
      <c r="I523" s="473"/>
    </row>
    <row r="524" ht="15.75" customHeight="1" spans="9:9">
      <c r="I524" s="473"/>
    </row>
    <row r="525" ht="15.75" customHeight="1" spans="9:9">
      <c r="I525" s="473"/>
    </row>
    <row r="526" ht="15.75" customHeight="1" spans="9:9">
      <c r="I526" s="473"/>
    </row>
    <row r="527" ht="15.75" customHeight="1" spans="9:9">
      <c r="I527" s="473"/>
    </row>
    <row r="528" ht="15.75" customHeight="1" spans="9:9">
      <c r="I528" s="473"/>
    </row>
    <row r="529" ht="15.75" customHeight="1" spans="9:9">
      <c r="I529" s="473"/>
    </row>
    <row r="530" ht="15.75" customHeight="1" spans="9:9">
      <c r="I530" s="473"/>
    </row>
    <row r="531" ht="15.75" customHeight="1" spans="9:9">
      <c r="I531" s="473"/>
    </row>
    <row r="532" ht="15.75" customHeight="1" spans="9:9">
      <c r="I532" s="473"/>
    </row>
    <row r="533" ht="15.75" customHeight="1" spans="9:9">
      <c r="I533" s="473"/>
    </row>
    <row r="534" ht="15.75" customHeight="1" spans="9:9">
      <c r="I534" s="473"/>
    </row>
    <row r="535" ht="15.75" customHeight="1" spans="9:9">
      <c r="I535" s="473"/>
    </row>
    <row r="536" ht="15.75" customHeight="1" spans="9:9">
      <c r="I536" s="473"/>
    </row>
    <row r="537" ht="15.75" customHeight="1" spans="9:9">
      <c r="I537" s="473"/>
    </row>
    <row r="538" ht="15.75" customHeight="1" spans="9:9">
      <c r="I538" s="473"/>
    </row>
    <row r="539" ht="15.75" customHeight="1" spans="9:9">
      <c r="I539" s="473"/>
    </row>
    <row r="540" ht="15.75" customHeight="1" spans="9:9">
      <c r="I540" s="473"/>
    </row>
    <row r="541" ht="15.75" customHeight="1" spans="9:9">
      <c r="I541" s="473"/>
    </row>
    <row r="542" ht="15.75" customHeight="1" spans="9:9">
      <c r="I542" s="473"/>
    </row>
    <row r="543" ht="15.75" customHeight="1" spans="9:9">
      <c r="I543" s="473"/>
    </row>
    <row r="544" ht="15.75" customHeight="1" spans="9:9">
      <c r="I544" s="473"/>
    </row>
    <row r="545" ht="15.75" customHeight="1" spans="9:9">
      <c r="I545" s="473"/>
    </row>
    <row r="546" ht="15.75" customHeight="1" spans="9:9">
      <c r="I546" s="473"/>
    </row>
    <row r="547" ht="15.75" customHeight="1" spans="9:9">
      <c r="I547" s="473"/>
    </row>
    <row r="548" ht="15.75" customHeight="1" spans="9:9">
      <c r="I548" s="473"/>
    </row>
    <row r="549" ht="15.75" customHeight="1" spans="9:9">
      <c r="I549" s="473"/>
    </row>
    <row r="550" ht="15.75" customHeight="1" spans="9:9">
      <c r="I550" s="473"/>
    </row>
    <row r="551" ht="15.75" customHeight="1" spans="9:9">
      <c r="I551" s="473"/>
    </row>
    <row r="552" ht="15.75" customHeight="1" spans="9:9">
      <c r="I552" s="473"/>
    </row>
    <row r="553" ht="15.75" customHeight="1" spans="9:9">
      <c r="I553" s="473"/>
    </row>
    <row r="554" ht="15.75" customHeight="1" spans="9:9">
      <c r="I554" s="473"/>
    </row>
    <row r="555" ht="15.75" customHeight="1" spans="9:9">
      <c r="I555" s="473"/>
    </row>
    <row r="556" ht="15.75" customHeight="1" spans="9:9">
      <c r="I556" s="473"/>
    </row>
    <row r="557" ht="15.75" customHeight="1" spans="9:9">
      <c r="I557" s="473"/>
    </row>
    <row r="558" ht="15.75" customHeight="1" spans="9:9">
      <c r="I558" s="473"/>
    </row>
    <row r="559" ht="15.75" customHeight="1" spans="9:9">
      <c r="I559" s="473"/>
    </row>
    <row r="560" ht="15.75" customHeight="1" spans="9:9">
      <c r="I560" s="473"/>
    </row>
    <row r="561" ht="15.75" customHeight="1" spans="9:9">
      <c r="I561" s="473"/>
    </row>
    <row r="562" ht="15.75" customHeight="1" spans="9:9">
      <c r="I562" s="473"/>
    </row>
    <row r="563" ht="15.75" customHeight="1" spans="9:9">
      <c r="I563" s="473"/>
    </row>
    <row r="564" ht="15.75" customHeight="1" spans="9:9">
      <c r="I564" s="473"/>
    </row>
    <row r="565" ht="15.75" customHeight="1" spans="9:9">
      <c r="I565" s="473"/>
    </row>
    <row r="566" ht="15.75" customHeight="1" spans="9:9">
      <c r="I566" s="473"/>
    </row>
    <row r="567" ht="15.75" customHeight="1" spans="9:9">
      <c r="I567" s="473"/>
    </row>
    <row r="568" ht="15.75" customHeight="1" spans="9:9">
      <c r="I568" s="473"/>
    </row>
    <row r="569" ht="15.75" customHeight="1" spans="9:9">
      <c r="I569" s="473"/>
    </row>
    <row r="570" ht="15.75" customHeight="1" spans="9:9">
      <c r="I570" s="473"/>
    </row>
    <row r="571" ht="15.75" customHeight="1" spans="9:9">
      <c r="I571" s="473"/>
    </row>
    <row r="572" ht="15.75" customHeight="1" spans="9:9">
      <c r="I572" s="473"/>
    </row>
    <row r="573" ht="15.75" customHeight="1" spans="9:9">
      <c r="I573" s="473"/>
    </row>
    <row r="574" ht="15.75" customHeight="1" spans="9:9">
      <c r="I574" s="473"/>
    </row>
    <row r="575" ht="15.75" customHeight="1" spans="9:9">
      <c r="I575" s="473"/>
    </row>
    <row r="576" ht="15.75" customHeight="1" spans="9:9">
      <c r="I576" s="473"/>
    </row>
    <row r="577" ht="15.75" customHeight="1" spans="9:9">
      <c r="I577" s="473"/>
    </row>
    <row r="578" ht="15.75" customHeight="1" spans="9:9">
      <c r="I578" s="473"/>
    </row>
    <row r="579" ht="15.75" customHeight="1" spans="9:9">
      <c r="I579" s="473"/>
    </row>
    <row r="580" ht="15.75" customHeight="1" spans="9:9">
      <c r="I580" s="473"/>
    </row>
    <row r="581" ht="15.75" customHeight="1" spans="9:9">
      <c r="I581" s="473"/>
    </row>
    <row r="582" ht="15.75" customHeight="1" spans="9:9">
      <c r="I582" s="473"/>
    </row>
    <row r="583" ht="15.75" customHeight="1" spans="9:9">
      <c r="I583" s="473"/>
    </row>
    <row r="584" ht="15.75" customHeight="1" spans="9:9">
      <c r="I584" s="473"/>
    </row>
    <row r="585" ht="15.75" customHeight="1" spans="9:9">
      <c r="I585" s="473"/>
    </row>
    <row r="586" ht="15.75" customHeight="1" spans="9:9">
      <c r="I586" s="473"/>
    </row>
    <row r="587" ht="15.75" customHeight="1" spans="9:9">
      <c r="I587" s="473"/>
    </row>
    <row r="588" ht="15.75" customHeight="1" spans="9:9">
      <c r="I588" s="473"/>
    </row>
    <row r="589" ht="15.75" customHeight="1" spans="9:9">
      <c r="I589" s="473"/>
    </row>
    <row r="590" ht="15.75" customHeight="1" spans="9:9">
      <c r="I590" s="473"/>
    </row>
    <row r="591" ht="15.75" customHeight="1" spans="9:9">
      <c r="I591" s="473"/>
    </row>
    <row r="592" ht="15.75" customHeight="1" spans="9:9">
      <c r="I592" s="473"/>
    </row>
    <row r="593" ht="15.75" customHeight="1" spans="9:9">
      <c r="I593" s="473"/>
    </row>
    <row r="594" ht="15.75" customHeight="1" spans="9:9">
      <c r="I594" s="473"/>
    </row>
    <row r="595" ht="15.75" customHeight="1" spans="9:9">
      <c r="I595" s="473"/>
    </row>
    <row r="596" ht="15.75" customHeight="1" spans="9:9">
      <c r="I596" s="473"/>
    </row>
    <row r="597" ht="15.75" customHeight="1" spans="9:9">
      <c r="I597" s="473"/>
    </row>
    <row r="598" ht="15.75" customHeight="1" spans="9:9">
      <c r="I598" s="473"/>
    </row>
    <row r="599" ht="15.75" customHeight="1" spans="9:9">
      <c r="I599" s="473"/>
    </row>
    <row r="600" ht="15.75" customHeight="1" spans="9:9">
      <c r="I600" s="473"/>
    </row>
    <row r="601" ht="15.75" customHeight="1" spans="9:9">
      <c r="I601" s="473"/>
    </row>
    <row r="602" ht="15.75" customHeight="1" spans="9:9">
      <c r="I602" s="473"/>
    </row>
    <row r="603" ht="15.75" customHeight="1" spans="9:9">
      <c r="I603" s="473"/>
    </row>
    <row r="604" ht="15.75" customHeight="1" spans="9:9">
      <c r="I604" s="473"/>
    </row>
    <row r="605" ht="15.75" customHeight="1" spans="9:9">
      <c r="I605" s="473"/>
    </row>
    <row r="606" ht="15.75" customHeight="1" spans="9:9">
      <c r="I606" s="473"/>
    </row>
    <row r="607" ht="15.75" customHeight="1" spans="9:9">
      <c r="I607" s="473"/>
    </row>
    <row r="608" ht="15.75" customHeight="1" spans="9:9">
      <c r="I608" s="473"/>
    </row>
    <row r="609" ht="15.75" customHeight="1" spans="9:9">
      <c r="I609" s="473"/>
    </row>
    <row r="610" ht="15.75" customHeight="1" spans="9:9">
      <c r="I610" s="473"/>
    </row>
    <row r="611" ht="15.75" customHeight="1" spans="9:9">
      <c r="I611" s="473"/>
    </row>
    <row r="612" ht="15.75" customHeight="1" spans="9:9">
      <c r="I612" s="473"/>
    </row>
    <row r="613" ht="15.75" customHeight="1" spans="9:9">
      <c r="I613" s="473"/>
    </row>
    <row r="614" ht="15.75" customHeight="1" spans="9:9">
      <c r="I614" s="473"/>
    </row>
    <row r="615" ht="15.75" customHeight="1" spans="9:9">
      <c r="I615" s="473"/>
    </row>
    <row r="616" ht="15.75" customHeight="1" spans="9:9">
      <c r="I616" s="473"/>
    </row>
    <row r="617" ht="15.75" customHeight="1" spans="9:9">
      <c r="I617" s="473"/>
    </row>
    <row r="618" ht="15.75" customHeight="1" spans="9:9">
      <c r="I618" s="473"/>
    </row>
    <row r="619" ht="15.75" customHeight="1" spans="9:9">
      <c r="I619" s="473"/>
    </row>
    <row r="620" ht="15.75" customHeight="1" spans="9:9">
      <c r="I620" s="473"/>
    </row>
    <row r="621" ht="15.75" customHeight="1" spans="9:9">
      <c r="I621" s="473"/>
    </row>
    <row r="622" ht="15.75" customHeight="1" spans="9:9">
      <c r="I622" s="473"/>
    </row>
    <row r="623" ht="15.75" customHeight="1" spans="9:9">
      <c r="I623" s="473"/>
    </row>
    <row r="624" ht="15.75" customHeight="1" spans="9:9">
      <c r="I624" s="473"/>
    </row>
    <row r="625" ht="15.75" customHeight="1" spans="9:9">
      <c r="I625" s="473"/>
    </row>
    <row r="626" ht="15.75" customHeight="1" spans="9:9">
      <c r="I626" s="473"/>
    </row>
    <row r="627" ht="15.75" customHeight="1" spans="9:9">
      <c r="I627" s="473"/>
    </row>
    <row r="628" ht="15.75" customHeight="1" spans="9:9">
      <c r="I628" s="473"/>
    </row>
    <row r="629" ht="15.75" customHeight="1" spans="9:9">
      <c r="I629" s="473"/>
    </row>
    <row r="630" ht="15.75" customHeight="1" spans="9:9">
      <c r="I630" s="473"/>
    </row>
    <row r="631" ht="15.75" customHeight="1" spans="9:9">
      <c r="I631" s="473"/>
    </row>
    <row r="632" ht="15.75" customHeight="1" spans="9:9">
      <c r="I632" s="473"/>
    </row>
    <row r="633" ht="15.75" customHeight="1" spans="9:9">
      <c r="I633" s="473"/>
    </row>
    <row r="634" ht="15.75" customHeight="1" spans="9:9">
      <c r="I634" s="473"/>
    </row>
    <row r="635" ht="15.75" customHeight="1" spans="9:9">
      <c r="I635" s="473"/>
    </row>
    <row r="636" ht="15.75" customHeight="1" spans="9:9">
      <c r="I636" s="473"/>
    </row>
    <row r="637" ht="15.75" customHeight="1" spans="9:9">
      <c r="I637" s="473"/>
    </row>
    <row r="638" ht="15.75" customHeight="1" spans="9:9">
      <c r="I638" s="473"/>
    </row>
    <row r="639" ht="15.75" customHeight="1" spans="9:9">
      <c r="I639" s="473"/>
    </row>
    <row r="640" ht="15.75" customHeight="1" spans="9:9">
      <c r="I640" s="473"/>
    </row>
    <row r="641" ht="15.75" customHeight="1" spans="9:9">
      <c r="I641" s="473"/>
    </row>
    <row r="642" ht="15.75" customHeight="1" spans="9:9">
      <c r="I642" s="473"/>
    </row>
    <row r="643" ht="15.75" customHeight="1" spans="9:9">
      <c r="I643" s="473"/>
    </row>
    <row r="644" ht="15.75" customHeight="1" spans="9:9">
      <c r="I644" s="473"/>
    </row>
    <row r="645" ht="15.75" customHeight="1" spans="9:9">
      <c r="I645" s="473"/>
    </row>
    <row r="646" ht="15.75" customHeight="1" spans="9:9">
      <c r="I646" s="473"/>
    </row>
    <row r="647" ht="15.75" customHeight="1" spans="9:9">
      <c r="I647" s="473"/>
    </row>
    <row r="648" ht="15.75" customHeight="1" spans="9:9">
      <c r="I648" s="473"/>
    </row>
    <row r="649" ht="15.75" customHeight="1" spans="9:9">
      <c r="I649" s="473"/>
    </row>
    <row r="650" ht="15.75" customHeight="1" spans="9:9">
      <c r="I650" s="473"/>
    </row>
    <row r="651" ht="15.75" customHeight="1" spans="9:9">
      <c r="I651" s="473"/>
    </row>
    <row r="652" ht="15.75" customHeight="1" spans="9:9">
      <c r="I652" s="473"/>
    </row>
    <row r="653" ht="15.75" customHeight="1" spans="9:9">
      <c r="I653" s="473"/>
    </row>
    <row r="654" ht="15.75" customHeight="1" spans="9:9">
      <c r="I654" s="473"/>
    </row>
    <row r="655" ht="15.75" customHeight="1" spans="9:9">
      <c r="I655" s="473"/>
    </row>
    <row r="656" ht="15.75" customHeight="1" spans="9:9">
      <c r="I656" s="473"/>
    </row>
    <row r="657" ht="15.75" customHeight="1" spans="9:9">
      <c r="I657" s="473"/>
    </row>
    <row r="658" ht="15.75" customHeight="1" spans="9:9">
      <c r="I658" s="473"/>
    </row>
    <row r="659" ht="15.75" customHeight="1" spans="9:9">
      <c r="I659" s="473"/>
    </row>
    <row r="660" ht="15.75" customHeight="1" spans="9:9">
      <c r="I660" s="473"/>
    </row>
    <row r="661" ht="15.75" customHeight="1" spans="9:9">
      <c r="I661" s="473"/>
    </row>
    <row r="662" ht="15.75" customHeight="1" spans="9:9">
      <c r="I662" s="473"/>
    </row>
    <row r="663" ht="15.75" customHeight="1" spans="9:9">
      <c r="I663" s="473"/>
    </row>
    <row r="664" ht="15.75" customHeight="1" spans="9:9">
      <c r="I664" s="473"/>
    </row>
    <row r="665" ht="15.75" customHeight="1" spans="9:9">
      <c r="I665" s="473"/>
    </row>
    <row r="666" ht="15.75" customHeight="1" spans="9:9">
      <c r="I666" s="473"/>
    </row>
    <row r="667" ht="15.75" customHeight="1" spans="9:9">
      <c r="I667" s="473"/>
    </row>
    <row r="668" ht="15.75" customHeight="1" spans="9:9">
      <c r="I668" s="473"/>
    </row>
    <row r="669" ht="15.75" customHeight="1" spans="9:9">
      <c r="I669" s="473"/>
    </row>
    <row r="670" ht="15.75" customHeight="1" spans="9:9">
      <c r="I670" s="473"/>
    </row>
    <row r="671" ht="15.75" customHeight="1" spans="9:9">
      <c r="I671" s="473"/>
    </row>
    <row r="672" ht="15.75" customHeight="1" spans="9:9">
      <c r="I672" s="473"/>
    </row>
    <row r="673" ht="15.75" customHeight="1" spans="9:9">
      <c r="I673" s="473"/>
    </row>
    <row r="674" ht="15.75" customHeight="1" spans="9:9">
      <c r="I674" s="473"/>
    </row>
    <row r="675" ht="15.75" customHeight="1" spans="9:9">
      <c r="I675" s="473"/>
    </row>
    <row r="676" ht="15.75" customHeight="1" spans="9:9">
      <c r="I676" s="473"/>
    </row>
    <row r="677" ht="15.75" customHeight="1" spans="9:9">
      <c r="I677" s="473"/>
    </row>
    <row r="678" ht="15.75" customHeight="1" spans="9:9">
      <c r="I678" s="473"/>
    </row>
    <row r="679" ht="15.75" customHeight="1" spans="9:9">
      <c r="I679" s="473"/>
    </row>
    <row r="680" ht="15.75" customHeight="1" spans="9:9">
      <c r="I680" s="473"/>
    </row>
    <row r="681" ht="15.75" customHeight="1" spans="9:9">
      <c r="I681" s="473"/>
    </row>
    <row r="682" ht="15.75" customHeight="1" spans="9:9">
      <c r="I682" s="473"/>
    </row>
    <row r="683" ht="15.75" customHeight="1" spans="9:9">
      <c r="I683" s="473"/>
    </row>
    <row r="684" ht="15.75" customHeight="1" spans="9:9">
      <c r="I684" s="473"/>
    </row>
    <row r="685" ht="15.75" customHeight="1" spans="9:9">
      <c r="I685" s="473"/>
    </row>
    <row r="686" ht="15.75" customHeight="1" spans="9:9">
      <c r="I686" s="473"/>
    </row>
    <row r="687" ht="15.75" customHeight="1" spans="9:9">
      <c r="I687" s="473"/>
    </row>
    <row r="688" ht="15.75" customHeight="1" spans="9:9">
      <c r="I688" s="473"/>
    </row>
    <row r="689" ht="15.75" customHeight="1" spans="9:9">
      <c r="I689" s="473"/>
    </row>
    <row r="690" ht="15.75" customHeight="1" spans="9:9">
      <c r="I690" s="473"/>
    </row>
    <row r="691" ht="15.75" customHeight="1" spans="9:9">
      <c r="I691" s="473"/>
    </row>
    <row r="692" ht="15.75" customHeight="1" spans="9:9">
      <c r="I692" s="473"/>
    </row>
    <row r="693" ht="15.75" customHeight="1" spans="9:9">
      <c r="I693" s="473"/>
    </row>
    <row r="694" ht="15.75" customHeight="1" spans="9:9">
      <c r="I694" s="473"/>
    </row>
    <row r="695" ht="15.75" customHeight="1" spans="9:9">
      <c r="I695" s="473"/>
    </row>
    <row r="696" ht="15.75" customHeight="1" spans="9:9">
      <c r="I696" s="473"/>
    </row>
    <row r="697" ht="15.75" customHeight="1" spans="9:9">
      <c r="I697" s="473"/>
    </row>
    <row r="698" ht="15.75" customHeight="1" spans="9:9">
      <c r="I698" s="473"/>
    </row>
    <row r="699" ht="15.75" customHeight="1" spans="9:9">
      <c r="I699" s="473"/>
    </row>
    <row r="700" ht="15.75" customHeight="1" spans="9:9">
      <c r="I700" s="473"/>
    </row>
    <row r="701" ht="15.75" customHeight="1" spans="9:9">
      <c r="I701" s="473"/>
    </row>
    <row r="702" ht="15.75" customHeight="1" spans="9:9">
      <c r="I702" s="473"/>
    </row>
    <row r="703" ht="15.75" customHeight="1" spans="9:9">
      <c r="I703" s="473"/>
    </row>
    <row r="704" ht="15.75" customHeight="1" spans="9:9">
      <c r="I704" s="473"/>
    </row>
    <row r="705" ht="15.75" customHeight="1" spans="9:9">
      <c r="I705" s="473"/>
    </row>
    <row r="706" ht="15.75" customHeight="1" spans="9:9">
      <c r="I706" s="473"/>
    </row>
    <row r="707" ht="15.75" customHeight="1" spans="9:9">
      <c r="I707" s="473"/>
    </row>
    <row r="708" ht="15.75" customHeight="1" spans="9:9">
      <c r="I708" s="473"/>
    </row>
    <row r="709" ht="15.75" customHeight="1" spans="9:9">
      <c r="I709" s="473"/>
    </row>
    <row r="710" ht="15.75" customHeight="1" spans="9:9">
      <c r="I710" s="473"/>
    </row>
    <row r="711" ht="15.75" customHeight="1" spans="9:9">
      <c r="I711" s="473"/>
    </row>
    <row r="712" ht="15.75" customHeight="1" spans="9:9">
      <c r="I712" s="473"/>
    </row>
    <row r="713" ht="15.75" customHeight="1" spans="9:9">
      <c r="I713" s="473"/>
    </row>
    <row r="714" ht="15.75" customHeight="1" spans="9:9">
      <c r="I714" s="473"/>
    </row>
    <row r="715" ht="15.75" customHeight="1" spans="9:9">
      <c r="I715" s="473"/>
    </row>
    <row r="716" ht="15.75" customHeight="1" spans="9:9">
      <c r="I716" s="473"/>
    </row>
    <row r="717" ht="15.75" customHeight="1" spans="9:9">
      <c r="I717" s="473"/>
    </row>
    <row r="718" ht="15.75" customHeight="1" spans="9:9">
      <c r="I718" s="473"/>
    </row>
    <row r="719" ht="15.75" customHeight="1" spans="9:9">
      <c r="I719" s="473"/>
    </row>
    <row r="720" ht="15.75" customHeight="1" spans="9:9">
      <c r="I720" s="473"/>
    </row>
    <row r="721" ht="15.75" customHeight="1" spans="9:9">
      <c r="I721" s="473"/>
    </row>
    <row r="722" ht="15.75" customHeight="1" spans="9:9">
      <c r="I722" s="473"/>
    </row>
    <row r="723" ht="15.75" customHeight="1" spans="9:9">
      <c r="I723" s="473"/>
    </row>
    <row r="724" ht="15.75" customHeight="1" spans="9:9">
      <c r="I724" s="473"/>
    </row>
    <row r="725" ht="15.75" customHeight="1" spans="9:9">
      <c r="I725" s="473"/>
    </row>
    <row r="726" ht="15.75" customHeight="1" spans="9:9">
      <c r="I726" s="473"/>
    </row>
    <row r="727" ht="15.75" customHeight="1" spans="9:9">
      <c r="I727" s="473"/>
    </row>
    <row r="728" ht="15.75" customHeight="1" spans="9:9">
      <c r="I728" s="473"/>
    </row>
    <row r="729" ht="15.75" customHeight="1" spans="9:9">
      <c r="I729" s="473"/>
    </row>
    <row r="730" ht="15.75" customHeight="1" spans="9:9">
      <c r="I730" s="473"/>
    </row>
    <row r="731" ht="15.75" customHeight="1" spans="9:9">
      <c r="I731" s="473"/>
    </row>
    <row r="732" ht="15.75" customHeight="1" spans="9:9">
      <c r="I732" s="473"/>
    </row>
    <row r="733" ht="15.75" customHeight="1" spans="9:9">
      <c r="I733" s="473"/>
    </row>
    <row r="734" ht="15.75" customHeight="1" spans="9:9">
      <c r="I734" s="473"/>
    </row>
    <row r="735" ht="15.75" customHeight="1" spans="9:9">
      <c r="I735" s="473"/>
    </row>
    <row r="736" ht="15.75" customHeight="1" spans="9:9">
      <c r="I736" s="473"/>
    </row>
    <row r="737" ht="15.75" customHeight="1" spans="9:9">
      <c r="I737" s="473"/>
    </row>
    <row r="738" ht="15.75" customHeight="1" spans="9:9">
      <c r="I738" s="473"/>
    </row>
    <row r="739" ht="15.75" customHeight="1" spans="9:9">
      <c r="I739" s="473"/>
    </row>
    <row r="740" ht="15.75" customHeight="1" spans="9:9">
      <c r="I740" s="473"/>
    </row>
    <row r="741" ht="15.75" customHeight="1" spans="9:9">
      <c r="I741" s="473"/>
    </row>
    <row r="742" ht="15.75" customHeight="1" spans="9:9">
      <c r="I742" s="473"/>
    </row>
    <row r="743" ht="15.75" customHeight="1" spans="9:9">
      <c r="I743" s="473"/>
    </row>
    <row r="744" ht="15.75" customHeight="1" spans="9:9">
      <c r="I744" s="473"/>
    </row>
    <row r="745" ht="15.75" customHeight="1" spans="9:9">
      <c r="I745" s="473"/>
    </row>
    <row r="746" ht="15.75" customHeight="1" spans="9:9">
      <c r="I746" s="473"/>
    </row>
    <row r="747" ht="15.75" customHeight="1" spans="9:9">
      <c r="I747" s="473"/>
    </row>
    <row r="748" ht="15.75" customHeight="1" spans="9:9">
      <c r="I748" s="473"/>
    </row>
    <row r="749" ht="15.75" customHeight="1" spans="9:9">
      <c r="I749" s="473"/>
    </row>
    <row r="750" ht="15.75" customHeight="1" spans="9:9">
      <c r="I750" s="473"/>
    </row>
    <row r="751" ht="15.75" customHeight="1" spans="9:9">
      <c r="I751" s="473"/>
    </row>
    <row r="752" ht="15.75" customHeight="1" spans="9:9">
      <c r="I752" s="473"/>
    </row>
    <row r="753" ht="15.75" customHeight="1" spans="9:9">
      <c r="I753" s="473"/>
    </row>
    <row r="754" ht="15.75" customHeight="1" spans="9:9">
      <c r="I754" s="473"/>
    </row>
    <row r="755" ht="15.75" customHeight="1" spans="9:9">
      <c r="I755" s="473"/>
    </row>
    <row r="756" ht="15.75" customHeight="1" spans="9:9">
      <c r="I756" s="473"/>
    </row>
    <row r="757" ht="15.75" customHeight="1" spans="9:9">
      <c r="I757" s="473"/>
    </row>
    <row r="758" ht="15.75" customHeight="1" spans="9:9">
      <c r="I758" s="473"/>
    </row>
    <row r="759" ht="15.75" customHeight="1" spans="9:9">
      <c r="I759" s="473"/>
    </row>
    <row r="760" ht="15.75" customHeight="1" spans="9:9">
      <c r="I760" s="473"/>
    </row>
    <row r="761" ht="15.75" customHeight="1" spans="9:9">
      <c r="I761" s="473"/>
    </row>
    <row r="762" ht="15.75" customHeight="1" spans="9:9">
      <c r="I762" s="473"/>
    </row>
    <row r="763" ht="15.75" customHeight="1" spans="9:9">
      <c r="I763" s="473"/>
    </row>
    <row r="764" ht="15.75" customHeight="1" spans="9:9">
      <c r="I764" s="473"/>
    </row>
    <row r="765" ht="15.75" customHeight="1" spans="9:9">
      <c r="I765" s="473"/>
    </row>
    <row r="766" ht="15.75" customHeight="1" spans="9:9">
      <c r="I766" s="473"/>
    </row>
    <row r="767" ht="15.75" customHeight="1" spans="9:9">
      <c r="I767" s="473"/>
    </row>
    <row r="768" ht="15.75" customHeight="1" spans="9:9">
      <c r="I768" s="473"/>
    </row>
    <row r="769" ht="15.75" customHeight="1" spans="9:9">
      <c r="I769" s="473"/>
    </row>
    <row r="770" ht="15.75" customHeight="1" spans="9:9">
      <c r="I770" s="473"/>
    </row>
    <row r="771" ht="15.75" customHeight="1" spans="9:9">
      <c r="I771" s="473"/>
    </row>
    <row r="772" ht="15.75" customHeight="1" spans="9:9">
      <c r="I772" s="473"/>
    </row>
    <row r="773" ht="15.75" customHeight="1" spans="9:9">
      <c r="I773" s="473"/>
    </row>
    <row r="774" ht="15.75" customHeight="1" spans="9:9">
      <c r="I774" s="473"/>
    </row>
    <row r="775" ht="15.75" customHeight="1" spans="9:9">
      <c r="I775" s="473"/>
    </row>
    <row r="776" ht="15.75" customHeight="1" spans="9:9">
      <c r="I776" s="473"/>
    </row>
    <row r="777" ht="15.75" customHeight="1" spans="9:9">
      <c r="I777" s="473"/>
    </row>
    <row r="778" ht="15.75" customHeight="1" spans="9:9">
      <c r="I778" s="473"/>
    </row>
    <row r="779" ht="15.75" customHeight="1" spans="9:9">
      <c r="I779" s="473"/>
    </row>
    <row r="780" ht="15.75" customHeight="1" spans="9:9">
      <c r="I780" s="473"/>
    </row>
    <row r="781" ht="15.75" customHeight="1" spans="9:9">
      <c r="I781" s="473"/>
    </row>
    <row r="782" ht="15.75" customHeight="1" spans="9:9">
      <c r="I782" s="473"/>
    </row>
    <row r="783" ht="15.75" customHeight="1" spans="9:9">
      <c r="I783" s="473"/>
    </row>
    <row r="784" ht="15.75" customHeight="1" spans="9:9">
      <c r="I784" s="473"/>
    </row>
    <row r="785" ht="15.75" customHeight="1" spans="9:9">
      <c r="I785" s="473"/>
    </row>
    <row r="786" ht="15.75" customHeight="1" spans="9:9">
      <c r="I786" s="473"/>
    </row>
    <row r="787" ht="15.75" customHeight="1" spans="9:9">
      <c r="I787" s="473"/>
    </row>
    <row r="788" ht="15.75" customHeight="1" spans="9:9">
      <c r="I788" s="473"/>
    </row>
    <row r="789" ht="15.75" customHeight="1" spans="9:9">
      <c r="I789" s="473"/>
    </row>
    <row r="790" ht="15.75" customHeight="1" spans="9:9">
      <c r="I790" s="473"/>
    </row>
    <row r="791" ht="15.75" customHeight="1" spans="9:9">
      <c r="I791" s="473"/>
    </row>
    <row r="792" ht="15.75" customHeight="1" spans="9:9">
      <c r="I792" s="473"/>
    </row>
    <row r="793" ht="15.75" customHeight="1" spans="9:9">
      <c r="I793" s="473"/>
    </row>
    <row r="794" ht="15.75" customHeight="1" spans="9:9">
      <c r="I794" s="473"/>
    </row>
    <row r="795" ht="15.75" customHeight="1" spans="9:9">
      <c r="I795" s="473"/>
    </row>
    <row r="796" ht="15.75" customHeight="1" spans="9:9">
      <c r="I796" s="473"/>
    </row>
    <row r="797" ht="15.75" customHeight="1" spans="9:9">
      <c r="I797" s="473"/>
    </row>
    <row r="798" ht="15.75" customHeight="1" spans="9:9">
      <c r="I798" s="473"/>
    </row>
    <row r="799" ht="15.75" customHeight="1" spans="9:9">
      <c r="I799" s="473"/>
    </row>
    <row r="800" ht="15.75" customHeight="1" spans="9:9">
      <c r="I800" s="473"/>
    </row>
    <row r="801" ht="15.75" customHeight="1" spans="9:9">
      <c r="I801" s="473"/>
    </row>
    <row r="802" ht="15.75" customHeight="1" spans="9:9">
      <c r="I802" s="473"/>
    </row>
    <row r="803" ht="15.75" customHeight="1" spans="9:9">
      <c r="I803" s="473"/>
    </row>
    <row r="804" ht="15.75" customHeight="1" spans="9:9">
      <c r="I804" s="473"/>
    </row>
    <row r="805" ht="15.75" customHeight="1" spans="9:9">
      <c r="I805" s="473"/>
    </row>
    <row r="806" ht="15.75" customHeight="1" spans="9:9">
      <c r="I806" s="473"/>
    </row>
    <row r="807" ht="15.75" customHeight="1" spans="9:9">
      <c r="I807" s="473"/>
    </row>
    <row r="808" ht="15.75" customHeight="1" spans="9:9">
      <c r="I808" s="473"/>
    </row>
    <row r="809" ht="15.75" customHeight="1" spans="9:9">
      <c r="I809" s="473"/>
    </row>
    <row r="810" ht="15.75" customHeight="1" spans="9:9">
      <c r="I810" s="473"/>
    </row>
    <row r="811" ht="15.75" customHeight="1" spans="9:9">
      <c r="I811" s="473"/>
    </row>
    <row r="812" ht="15.75" customHeight="1" spans="9:9">
      <c r="I812" s="473"/>
    </row>
    <row r="813" ht="15.75" customHeight="1" spans="9:9">
      <c r="I813" s="473"/>
    </row>
    <row r="814" ht="15.75" customHeight="1" spans="9:9">
      <c r="I814" s="473"/>
    </row>
    <row r="815" ht="15.75" customHeight="1" spans="9:9">
      <c r="I815" s="473"/>
    </row>
    <row r="816" ht="15.75" customHeight="1" spans="9:9">
      <c r="I816" s="473"/>
    </row>
    <row r="817" ht="15.75" customHeight="1" spans="9:9">
      <c r="I817" s="473"/>
    </row>
    <row r="818" ht="15.75" customHeight="1" spans="9:9">
      <c r="I818" s="473"/>
    </row>
    <row r="819" ht="15.75" customHeight="1" spans="9:9">
      <c r="I819" s="473"/>
    </row>
    <row r="820" ht="15.75" customHeight="1" spans="9:9">
      <c r="I820" s="473"/>
    </row>
    <row r="821" ht="15.75" customHeight="1" spans="9:9">
      <c r="I821" s="473"/>
    </row>
    <row r="822" ht="15.75" customHeight="1" spans="9:9">
      <c r="I822" s="473"/>
    </row>
    <row r="823" ht="15.75" customHeight="1" spans="9:9">
      <c r="I823" s="473"/>
    </row>
    <row r="824" ht="15.75" customHeight="1" spans="9:9">
      <c r="I824" s="473"/>
    </row>
    <row r="825" ht="15.75" customHeight="1" spans="9:9">
      <c r="I825" s="473"/>
    </row>
    <row r="826" ht="15.75" customHeight="1" spans="9:9">
      <c r="I826" s="473"/>
    </row>
    <row r="827" ht="15.75" customHeight="1" spans="9:9">
      <c r="I827" s="473"/>
    </row>
    <row r="828" ht="15.75" customHeight="1" spans="9:9">
      <c r="I828" s="473"/>
    </row>
    <row r="829" ht="15.75" customHeight="1" spans="9:9">
      <c r="I829" s="473"/>
    </row>
    <row r="830" ht="15.75" customHeight="1" spans="9:9">
      <c r="I830" s="473"/>
    </row>
    <row r="831" ht="15.75" customHeight="1" spans="9:9">
      <c r="I831" s="473"/>
    </row>
    <row r="832" ht="15.75" customHeight="1" spans="9:9">
      <c r="I832" s="473"/>
    </row>
    <row r="833" ht="15.75" customHeight="1" spans="9:9">
      <c r="I833" s="473"/>
    </row>
    <row r="834" ht="15.75" customHeight="1" spans="9:9">
      <c r="I834" s="473"/>
    </row>
    <row r="835" ht="15.75" customHeight="1" spans="9:9">
      <c r="I835" s="473"/>
    </row>
    <row r="836" ht="15.75" customHeight="1" spans="9:9">
      <c r="I836" s="473"/>
    </row>
    <row r="837" ht="15.75" customHeight="1" spans="9:9">
      <c r="I837" s="473"/>
    </row>
    <row r="838" ht="15.75" customHeight="1" spans="9:9">
      <c r="I838" s="473"/>
    </row>
    <row r="839" ht="15.75" customHeight="1" spans="9:9">
      <c r="I839" s="473"/>
    </row>
    <row r="840" ht="15.75" customHeight="1" spans="9:9">
      <c r="I840" s="473"/>
    </row>
    <row r="841" ht="15.75" customHeight="1" spans="9:9">
      <c r="I841" s="473"/>
    </row>
    <row r="842" ht="15.75" customHeight="1" spans="9:9">
      <c r="I842" s="473"/>
    </row>
    <row r="843" ht="15.75" customHeight="1" spans="9:9">
      <c r="I843" s="473"/>
    </row>
    <row r="844" ht="15.75" customHeight="1" spans="9:9">
      <c r="I844" s="473"/>
    </row>
    <row r="845" ht="15.75" customHeight="1" spans="9:9">
      <c r="I845" s="473"/>
    </row>
    <row r="846" ht="15.75" customHeight="1" spans="9:9">
      <c r="I846" s="473"/>
    </row>
    <row r="847" ht="15.75" customHeight="1" spans="9:9">
      <c r="I847" s="473"/>
    </row>
    <row r="848" ht="15.75" customHeight="1" spans="9:9">
      <c r="I848" s="473"/>
    </row>
    <row r="849" ht="15.75" customHeight="1" spans="9:9">
      <c r="I849" s="473"/>
    </row>
    <row r="850" ht="15.75" customHeight="1" spans="9:9">
      <c r="I850" s="473"/>
    </row>
    <row r="851" ht="15.75" customHeight="1" spans="9:9">
      <c r="I851" s="473"/>
    </row>
    <row r="852" ht="15.75" customHeight="1" spans="9:9">
      <c r="I852" s="473"/>
    </row>
    <row r="853" ht="15.75" customHeight="1" spans="9:9">
      <c r="I853" s="473"/>
    </row>
    <row r="854" ht="15.75" customHeight="1" spans="9:9">
      <c r="I854" s="473"/>
    </row>
    <row r="855" ht="15.75" customHeight="1" spans="9:9">
      <c r="I855" s="473"/>
    </row>
    <row r="856" ht="15.75" customHeight="1" spans="9:9">
      <c r="I856" s="473"/>
    </row>
    <row r="857" ht="15.75" customHeight="1" spans="9:9">
      <c r="I857" s="473"/>
    </row>
    <row r="858" ht="15.75" customHeight="1" spans="9:9">
      <c r="I858" s="473"/>
    </row>
    <row r="859" ht="15.75" customHeight="1" spans="9:9">
      <c r="I859" s="473"/>
    </row>
    <row r="860" ht="15.75" customHeight="1" spans="9:9">
      <c r="I860" s="473"/>
    </row>
    <row r="861" ht="15.75" customHeight="1" spans="9:9">
      <c r="I861" s="473"/>
    </row>
    <row r="862" ht="15.75" customHeight="1" spans="9:9">
      <c r="I862" s="473"/>
    </row>
    <row r="863" ht="15.75" customHeight="1" spans="9:9">
      <c r="I863" s="473"/>
    </row>
    <row r="864" ht="15.75" customHeight="1" spans="9:9">
      <c r="I864" s="473"/>
    </row>
    <row r="865" ht="15.75" customHeight="1" spans="9:9">
      <c r="I865" s="473"/>
    </row>
    <row r="866" ht="15.75" customHeight="1" spans="9:9">
      <c r="I866" s="473"/>
    </row>
    <row r="867" ht="15.75" customHeight="1" spans="9:9">
      <c r="I867" s="473"/>
    </row>
    <row r="868" ht="15.75" customHeight="1" spans="9:9">
      <c r="I868" s="473"/>
    </row>
    <row r="869" ht="15.75" customHeight="1" spans="9:9">
      <c r="I869" s="473"/>
    </row>
    <row r="870" ht="15.75" customHeight="1" spans="9:9">
      <c r="I870" s="473"/>
    </row>
    <row r="871" ht="15.75" customHeight="1" spans="9:9">
      <c r="I871" s="473"/>
    </row>
    <row r="872" ht="15.75" customHeight="1" spans="9:9">
      <c r="I872" s="473"/>
    </row>
    <row r="873" ht="15.75" customHeight="1" spans="9:9">
      <c r="I873" s="473"/>
    </row>
    <row r="874" ht="15.75" customHeight="1" spans="9:9">
      <c r="I874" s="473"/>
    </row>
    <row r="875" ht="15.75" customHeight="1" spans="9:9">
      <c r="I875" s="473"/>
    </row>
    <row r="876" ht="15.75" customHeight="1" spans="9:9">
      <c r="I876" s="473"/>
    </row>
    <row r="877" ht="15.75" customHeight="1" spans="9:9">
      <c r="I877" s="473"/>
    </row>
    <row r="878" ht="15.75" customHeight="1" spans="9:9">
      <c r="I878" s="473"/>
    </row>
    <row r="879" ht="15.75" customHeight="1" spans="9:9">
      <c r="I879" s="473"/>
    </row>
    <row r="880" ht="15.75" customHeight="1" spans="9:9">
      <c r="I880" s="473"/>
    </row>
    <row r="881" ht="15.75" customHeight="1" spans="9:9">
      <c r="I881" s="473"/>
    </row>
    <row r="882" ht="15.75" customHeight="1" spans="9:9">
      <c r="I882" s="473"/>
    </row>
    <row r="883" ht="15.75" customHeight="1" spans="9:9">
      <c r="I883" s="473"/>
    </row>
    <row r="884" ht="15.75" customHeight="1" spans="9:9">
      <c r="I884" s="473"/>
    </row>
    <row r="885" ht="15.75" customHeight="1" spans="9:9">
      <c r="I885" s="473"/>
    </row>
    <row r="886" ht="15.75" customHeight="1" spans="9:9">
      <c r="I886" s="473"/>
    </row>
    <row r="887" ht="15.75" customHeight="1" spans="9:9">
      <c r="I887" s="473"/>
    </row>
    <row r="888" ht="15.75" customHeight="1" spans="9:9">
      <c r="I888" s="473"/>
    </row>
    <row r="889" ht="15.75" customHeight="1" spans="9:9">
      <c r="I889" s="473"/>
    </row>
    <row r="890" ht="15.75" customHeight="1" spans="9:9">
      <c r="I890" s="473"/>
    </row>
    <row r="891" ht="15.75" customHeight="1" spans="9:9">
      <c r="I891" s="473"/>
    </row>
    <row r="892" ht="15.75" customHeight="1" spans="9:9">
      <c r="I892" s="473"/>
    </row>
    <row r="893" ht="15.75" customHeight="1" spans="9:9">
      <c r="I893" s="473"/>
    </row>
    <row r="894" ht="15.75" customHeight="1" spans="9:9">
      <c r="I894" s="473"/>
    </row>
    <row r="895" ht="15.75" customHeight="1" spans="9:9">
      <c r="I895" s="473"/>
    </row>
    <row r="896" ht="15.75" customHeight="1" spans="9:9">
      <c r="I896" s="473"/>
    </row>
    <row r="897" ht="15.75" customHeight="1" spans="9:9">
      <c r="I897" s="473"/>
    </row>
    <row r="898" ht="15.75" customHeight="1" spans="9:9">
      <c r="I898" s="473"/>
    </row>
    <row r="899" ht="15.75" customHeight="1" spans="9:9">
      <c r="I899" s="473"/>
    </row>
    <row r="900" ht="15.75" customHeight="1" spans="9:9">
      <c r="I900" s="473"/>
    </row>
    <row r="901" ht="15.75" customHeight="1" spans="9:9">
      <c r="I901" s="473"/>
    </row>
    <row r="902" ht="15.75" customHeight="1" spans="9:9">
      <c r="I902" s="473"/>
    </row>
    <row r="903" ht="15.75" customHeight="1" spans="9:9">
      <c r="I903" s="473"/>
    </row>
    <row r="904" ht="15.75" customHeight="1" spans="9:9">
      <c r="I904" s="473"/>
    </row>
    <row r="905" ht="15.75" customHeight="1" spans="9:9">
      <c r="I905" s="473"/>
    </row>
    <row r="906" ht="15.75" customHeight="1" spans="9:9">
      <c r="I906" s="473"/>
    </row>
    <row r="907" ht="15.75" customHeight="1" spans="9:9">
      <c r="I907" s="473"/>
    </row>
    <row r="908" ht="15.75" customHeight="1" spans="9:9">
      <c r="I908" s="473"/>
    </row>
    <row r="909" ht="15.75" customHeight="1" spans="9:9">
      <c r="I909" s="473"/>
    </row>
    <row r="910" ht="15.75" customHeight="1" spans="9:9">
      <c r="I910" s="473"/>
    </row>
    <row r="911" ht="15.75" customHeight="1" spans="9:9">
      <c r="I911" s="473"/>
    </row>
    <row r="912" ht="15.75" customHeight="1" spans="9:9">
      <c r="I912" s="473"/>
    </row>
    <row r="913" ht="15.75" customHeight="1" spans="9:9">
      <c r="I913" s="473"/>
    </row>
    <row r="914" ht="15.75" customHeight="1" spans="9:9">
      <c r="I914" s="473"/>
    </row>
    <row r="915" ht="15.75" customHeight="1" spans="9:9">
      <c r="I915" s="473"/>
    </row>
    <row r="916" ht="15.75" customHeight="1" spans="9:9">
      <c r="I916" s="473"/>
    </row>
    <row r="917" ht="15.75" customHeight="1" spans="9:9">
      <c r="I917" s="473"/>
    </row>
    <row r="918" ht="15.75" customHeight="1" spans="9:9">
      <c r="I918" s="473"/>
    </row>
    <row r="919" ht="15.75" customHeight="1" spans="9:9">
      <c r="I919" s="473"/>
    </row>
    <row r="920" ht="15.75" customHeight="1" spans="9:9">
      <c r="I920" s="473"/>
    </row>
    <row r="921" ht="15.75" customHeight="1" spans="9:9">
      <c r="I921" s="473"/>
    </row>
    <row r="922" ht="15.75" customHeight="1" spans="9:9">
      <c r="I922" s="473"/>
    </row>
    <row r="923" ht="15.75" customHeight="1" spans="9:9">
      <c r="I923" s="473"/>
    </row>
    <row r="924" ht="15.75" customHeight="1" spans="9:9">
      <c r="I924" s="473"/>
    </row>
    <row r="925" ht="15.75" customHeight="1" spans="9:9">
      <c r="I925" s="473"/>
    </row>
    <row r="926" ht="15.75" customHeight="1" spans="9:9">
      <c r="I926" s="473"/>
    </row>
    <row r="927" ht="15.75" customHeight="1" spans="9:9">
      <c r="I927" s="473"/>
    </row>
    <row r="928" ht="15.75" customHeight="1" spans="9:9">
      <c r="I928" s="473"/>
    </row>
    <row r="929" ht="15.75" customHeight="1" spans="9:9">
      <c r="I929" s="473"/>
    </row>
    <row r="930" ht="15.75" customHeight="1" spans="9:9">
      <c r="I930" s="473"/>
    </row>
    <row r="931" ht="15.75" customHeight="1" spans="9:9">
      <c r="I931" s="473"/>
    </row>
    <row r="932" ht="15.75" customHeight="1" spans="9:9">
      <c r="I932" s="473"/>
    </row>
    <row r="933" ht="15.75" customHeight="1" spans="9:9">
      <c r="I933" s="473"/>
    </row>
    <row r="934" ht="15.75" customHeight="1" spans="9:9">
      <c r="I934" s="473"/>
    </row>
    <row r="935" ht="15.75" customHeight="1" spans="9:9">
      <c r="I935" s="473"/>
    </row>
    <row r="936" ht="15.75" customHeight="1" spans="9:9">
      <c r="I936" s="473"/>
    </row>
    <row r="937" ht="15.75" customHeight="1" spans="9:9">
      <c r="I937" s="473"/>
    </row>
    <row r="938" ht="15.75" customHeight="1" spans="9:9">
      <c r="I938" s="473"/>
    </row>
    <row r="939" ht="15.75" customHeight="1" spans="9:9">
      <c r="I939" s="473"/>
    </row>
    <row r="940" ht="15.75" customHeight="1" spans="9:9">
      <c r="I940" s="473"/>
    </row>
    <row r="941" ht="15.75" customHeight="1" spans="9:9">
      <c r="I941" s="473"/>
    </row>
    <row r="942" ht="15.75" customHeight="1" spans="9:9">
      <c r="I942" s="473"/>
    </row>
    <row r="943" ht="15.75" customHeight="1" spans="9:9">
      <c r="I943" s="473"/>
    </row>
    <row r="944" ht="15.75" customHeight="1" spans="9:9">
      <c r="I944" s="473"/>
    </row>
    <row r="945" ht="15.75" customHeight="1" spans="9:9">
      <c r="I945" s="473"/>
    </row>
    <row r="946" ht="15.75" customHeight="1" spans="9:9">
      <c r="I946" s="473"/>
    </row>
    <row r="947" ht="15.75" customHeight="1" spans="9:9">
      <c r="I947" s="473"/>
    </row>
    <row r="948" ht="15.75" customHeight="1" spans="9:9">
      <c r="I948" s="473"/>
    </row>
    <row r="949" ht="15.75" customHeight="1" spans="9:9">
      <c r="I949" s="473"/>
    </row>
    <row r="950" ht="15.75" customHeight="1" spans="9:9">
      <c r="I950" s="473"/>
    </row>
    <row r="951" ht="15.75" customHeight="1" spans="9:9">
      <c r="I951" s="473"/>
    </row>
    <row r="952" ht="15.75" customHeight="1" spans="9:9">
      <c r="I952" s="473"/>
    </row>
    <row r="953" ht="15.75" customHeight="1" spans="9:9">
      <c r="I953" s="473"/>
    </row>
    <row r="954" ht="15.75" customHeight="1" spans="9:9">
      <c r="I954" s="473"/>
    </row>
    <row r="955" ht="15.75" customHeight="1" spans="9:9">
      <c r="I955" s="473"/>
    </row>
    <row r="956" ht="15.75" customHeight="1" spans="9:9">
      <c r="I956" s="473"/>
    </row>
    <row r="957" ht="15.75" customHeight="1" spans="9:9">
      <c r="I957" s="473"/>
    </row>
    <row r="958" ht="15.75" customHeight="1" spans="9:9">
      <c r="I958" s="473"/>
    </row>
    <row r="959" ht="15.75" customHeight="1" spans="9:9">
      <c r="I959" s="473"/>
    </row>
    <row r="960" ht="15.75" customHeight="1" spans="9:9">
      <c r="I960" s="473"/>
    </row>
    <row r="961" ht="15.75" customHeight="1" spans="9:9">
      <c r="I961" s="473"/>
    </row>
    <row r="962" ht="15.75" customHeight="1" spans="9:9">
      <c r="I962" s="473"/>
    </row>
    <row r="963" ht="15.75" customHeight="1" spans="9:9">
      <c r="I963" s="473"/>
    </row>
    <row r="964" ht="15.75" customHeight="1" spans="9:9">
      <c r="I964" s="473"/>
    </row>
    <row r="965" ht="15.75" customHeight="1" spans="9:9">
      <c r="I965" s="473"/>
    </row>
    <row r="966" ht="15.75" customHeight="1" spans="9:9">
      <c r="I966" s="473"/>
    </row>
    <row r="967" ht="15.75" customHeight="1" spans="9:9">
      <c r="I967" s="473"/>
    </row>
    <row r="968" ht="15.75" customHeight="1" spans="9:9">
      <c r="I968" s="473"/>
    </row>
    <row r="969" ht="15.75" customHeight="1" spans="9:9">
      <c r="I969" s="473"/>
    </row>
    <row r="970" ht="15.75" customHeight="1" spans="9:9">
      <c r="I970" s="473"/>
    </row>
    <row r="971" ht="15.75" customHeight="1" spans="9:9">
      <c r="I971" s="473"/>
    </row>
    <row r="972" ht="15.75" customHeight="1" spans="9:9">
      <c r="I972" s="473"/>
    </row>
    <row r="973" ht="15.75" customHeight="1" spans="9:9">
      <c r="I973" s="473"/>
    </row>
  </sheetData>
  <mergeCells count="11">
    <mergeCell ref="A11:K11"/>
    <mergeCell ref="A12:G12"/>
    <mergeCell ref="H12:I12"/>
    <mergeCell ref="J12:K12"/>
    <mergeCell ref="A13:G13"/>
    <mergeCell ref="H13:I13"/>
    <mergeCell ref="J13:K13"/>
    <mergeCell ref="A14:G14"/>
    <mergeCell ref="A15:G15"/>
    <mergeCell ref="I445:K445"/>
    <mergeCell ref="A1:K10"/>
  </mergeCells>
  <pageMargins left="0.511805555555556" right="0.511805555555556" top="0.7875" bottom="0.7875" header="0" footer="0"/>
  <pageSetup paperSize="9" scale="74" fitToHeight="0"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5502"/>
  <sheetViews>
    <sheetView showGridLines="0" zoomScale="120" zoomScaleNormal="120" topLeftCell="E3998" workbookViewId="0">
      <selection activeCell="D4010" sqref="D4010"/>
    </sheetView>
  </sheetViews>
  <sheetFormatPr defaultColWidth="14.4380952380952" defaultRowHeight="15" customHeight="1"/>
  <cols>
    <col min="1" max="1" width="14.3333333333333" customWidth="1"/>
    <col min="2" max="2" width="11.552380952381" customWidth="1"/>
    <col min="3" max="3" width="12.552380952381" customWidth="1"/>
    <col min="4" max="4" width="61.4380952380952" customWidth="1"/>
    <col min="5" max="5" width="13.3333333333333" customWidth="1"/>
    <col min="6" max="6" width="46.4380952380952" customWidth="1"/>
    <col min="7" max="7" width="14.6666666666667" customWidth="1"/>
    <col min="8" max="8" width="12.6666666666667" customWidth="1"/>
    <col min="9" max="9" width="13.6666666666667" customWidth="1"/>
    <col min="10" max="10" width="17.6666666666667" customWidth="1"/>
    <col min="11" max="11" width="10.552380952381" customWidth="1"/>
    <col min="12" max="25" width="8" customWidth="1"/>
  </cols>
  <sheetData>
    <row r="1" spans="1:25">
      <c r="A1" s="411"/>
      <c r="B1" s="412"/>
      <c r="C1" s="412"/>
      <c r="D1" s="412"/>
      <c r="E1" s="412"/>
      <c r="F1" s="412"/>
      <c r="G1" s="412"/>
      <c r="H1" s="412"/>
      <c r="I1" s="412"/>
      <c r="J1" s="412"/>
      <c r="K1" s="412"/>
      <c r="L1" s="230"/>
      <c r="M1" s="230"/>
      <c r="N1" s="230"/>
      <c r="O1" s="230"/>
      <c r="P1" s="230"/>
      <c r="Q1" s="230"/>
      <c r="R1" s="230"/>
      <c r="S1" s="230"/>
      <c r="T1" s="230"/>
      <c r="U1" s="230"/>
      <c r="V1" s="230"/>
      <c r="W1" s="230"/>
      <c r="X1" s="230"/>
      <c r="Y1" s="335"/>
    </row>
    <row r="2" spans="1:25">
      <c r="A2" s="411"/>
      <c r="B2" s="412"/>
      <c r="C2" s="412"/>
      <c r="D2" s="412"/>
      <c r="E2" s="412"/>
      <c r="F2" s="412"/>
      <c r="G2" s="412"/>
      <c r="H2" s="412"/>
      <c r="I2" s="412"/>
      <c r="J2" s="412"/>
      <c r="K2" s="412"/>
      <c r="L2" s="230"/>
      <c r="M2" s="230"/>
      <c r="N2" s="230"/>
      <c r="O2" s="230"/>
      <c r="P2" s="230"/>
      <c r="Q2" s="230"/>
      <c r="R2" s="230"/>
      <c r="S2" s="230"/>
      <c r="T2" s="230"/>
      <c r="U2" s="230"/>
      <c r="V2" s="230"/>
      <c r="W2" s="230"/>
      <c r="X2" s="230"/>
      <c r="Y2" s="335"/>
    </row>
    <row r="3" spans="1:25">
      <c r="A3" s="411"/>
      <c r="B3" s="412"/>
      <c r="C3" s="412"/>
      <c r="D3" s="412"/>
      <c r="E3" s="412"/>
      <c r="F3" s="412"/>
      <c r="G3" s="412"/>
      <c r="H3" s="412"/>
      <c r="I3" s="412"/>
      <c r="J3" s="412"/>
      <c r="K3" s="412"/>
      <c r="L3" s="230"/>
      <c r="M3" s="230"/>
      <c r="N3" s="230"/>
      <c r="O3" s="230"/>
      <c r="P3" s="230"/>
      <c r="Q3" s="230"/>
      <c r="R3" s="230"/>
      <c r="S3" s="230"/>
      <c r="T3" s="230"/>
      <c r="U3" s="230"/>
      <c r="V3" s="230"/>
      <c r="W3" s="230"/>
      <c r="X3" s="230"/>
      <c r="Y3" s="335"/>
    </row>
    <row r="4" spans="1:25">
      <c r="A4" s="411"/>
      <c r="B4" s="412"/>
      <c r="C4" s="412"/>
      <c r="D4" s="412"/>
      <c r="E4" s="412"/>
      <c r="F4" s="412"/>
      <c r="G4" s="412"/>
      <c r="H4" s="412"/>
      <c r="I4" s="412"/>
      <c r="J4" s="412"/>
      <c r="K4" s="412"/>
      <c r="L4" s="230"/>
      <c r="M4" s="230"/>
      <c r="N4" s="230"/>
      <c r="O4" s="230"/>
      <c r="P4" s="230"/>
      <c r="Q4" s="230"/>
      <c r="R4" s="230"/>
      <c r="S4" s="230"/>
      <c r="T4" s="230"/>
      <c r="U4" s="230"/>
      <c r="V4" s="230"/>
      <c r="W4" s="230"/>
      <c r="X4" s="230"/>
      <c r="Y4" s="335"/>
    </row>
    <row r="5" spans="1:25">
      <c r="A5" s="411"/>
      <c r="B5" s="412"/>
      <c r="C5" s="412"/>
      <c r="D5" s="412"/>
      <c r="E5" s="412"/>
      <c r="F5" s="412"/>
      <c r="G5" s="412"/>
      <c r="H5" s="412"/>
      <c r="I5" s="412"/>
      <c r="J5" s="412"/>
      <c r="K5" s="412"/>
      <c r="L5" s="230"/>
      <c r="M5" s="230"/>
      <c r="N5" s="230"/>
      <c r="O5" s="230"/>
      <c r="P5" s="230"/>
      <c r="Q5" s="230"/>
      <c r="R5" s="230"/>
      <c r="S5" s="230"/>
      <c r="T5" s="230"/>
      <c r="U5" s="230"/>
      <c r="V5" s="230"/>
      <c r="W5" s="230"/>
      <c r="X5" s="230"/>
      <c r="Y5" s="336"/>
    </row>
    <row r="6" spans="1:25">
      <c r="A6" s="411"/>
      <c r="B6" s="412"/>
      <c r="C6" s="412"/>
      <c r="D6" s="412"/>
      <c r="E6" s="412"/>
      <c r="F6" s="412"/>
      <c r="G6" s="412"/>
      <c r="H6" s="412"/>
      <c r="I6" s="412"/>
      <c r="J6" s="412"/>
      <c r="K6" s="412"/>
      <c r="L6" s="230"/>
      <c r="M6" s="230"/>
      <c r="N6" s="230"/>
      <c r="O6" s="230"/>
      <c r="P6" s="230"/>
      <c r="Q6" s="230"/>
      <c r="R6" s="230"/>
      <c r="S6" s="230"/>
      <c r="T6" s="230"/>
      <c r="U6" s="230"/>
      <c r="V6" s="230"/>
      <c r="W6" s="230"/>
      <c r="X6" s="230"/>
      <c r="Y6" s="336"/>
    </row>
    <row r="7" spans="1:25">
      <c r="A7" s="411"/>
      <c r="B7" s="412"/>
      <c r="C7" s="412"/>
      <c r="D7" s="412"/>
      <c r="E7" s="412"/>
      <c r="F7" s="412"/>
      <c r="G7" s="412"/>
      <c r="H7" s="412"/>
      <c r="I7" s="412"/>
      <c r="J7" s="412"/>
      <c r="K7" s="412"/>
      <c r="L7" s="230"/>
      <c r="M7" s="230"/>
      <c r="N7" s="230"/>
      <c r="O7" s="230"/>
      <c r="P7" s="230"/>
      <c r="Q7" s="230"/>
      <c r="R7" s="230"/>
      <c r="S7" s="230"/>
      <c r="T7" s="230"/>
      <c r="U7" s="230"/>
      <c r="V7" s="230"/>
      <c r="W7" s="230"/>
      <c r="X7" s="230"/>
      <c r="Y7" s="336"/>
    </row>
    <row r="8" spans="1:25">
      <c r="A8" s="411"/>
      <c r="B8" s="412"/>
      <c r="C8" s="412"/>
      <c r="D8" s="412"/>
      <c r="E8" s="412"/>
      <c r="F8" s="412"/>
      <c r="G8" s="412"/>
      <c r="H8" s="412"/>
      <c r="I8" s="412"/>
      <c r="J8" s="412"/>
      <c r="K8" s="412"/>
      <c r="L8" s="230"/>
      <c r="M8" s="230"/>
      <c r="N8" s="230"/>
      <c r="O8" s="230"/>
      <c r="P8" s="230"/>
      <c r="Q8" s="230"/>
      <c r="R8" s="230"/>
      <c r="S8" s="230"/>
      <c r="T8" s="230"/>
      <c r="U8" s="230"/>
      <c r="V8" s="230"/>
      <c r="W8" s="230"/>
      <c r="X8" s="230"/>
      <c r="Y8" s="336"/>
    </row>
    <row r="9" spans="1:25">
      <c r="A9" s="411"/>
      <c r="B9" s="412"/>
      <c r="C9" s="412"/>
      <c r="D9" s="412"/>
      <c r="E9" s="412"/>
      <c r="F9" s="412"/>
      <c r="G9" s="412"/>
      <c r="H9" s="412"/>
      <c r="I9" s="412"/>
      <c r="J9" s="412"/>
      <c r="K9" s="412"/>
      <c r="L9" s="230"/>
      <c r="M9" s="230"/>
      <c r="N9" s="230"/>
      <c r="O9" s="230"/>
      <c r="P9" s="230"/>
      <c r="Q9" s="230"/>
      <c r="R9" s="230"/>
      <c r="S9" s="230"/>
      <c r="T9" s="230"/>
      <c r="U9" s="230"/>
      <c r="V9" s="230"/>
      <c r="W9" s="230"/>
      <c r="X9" s="230"/>
      <c r="Y9" s="336"/>
    </row>
    <row r="10" spans="1:25">
      <c r="A10" s="411"/>
      <c r="B10" s="412"/>
      <c r="C10" s="412"/>
      <c r="D10" s="412"/>
      <c r="E10" s="412"/>
      <c r="F10" s="412"/>
      <c r="G10" s="412"/>
      <c r="H10" s="412"/>
      <c r="I10" s="412"/>
      <c r="J10" s="412"/>
      <c r="K10" s="412"/>
      <c r="L10" s="230"/>
      <c r="M10" s="230"/>
      <c r="N10" s="230"/>
      <c r="O10" s="230"/>
      <c r="P10" s="230"/>
      <c r="Q10" s="230"/>
      <c r="R10" s="230"/>
      <c r="S10" s="230"/>
      <c r="T10" s="230"/>
      <c r="U10" s="230"/>
      <c r="V10" s="230"/>
      <c r="W10" s="230"/>
      <c r="X10" s="230"/>
      <c r="Y10" s="335"/>
    </row>
    <row r="11" spans="1:25">
      <c r="A11" s="413" t="s">
        <v>1713</v>
      </c>
      <c r="B11" s="414"/>
      <c r="C11" s="414"/>
      <c r="D11" s="414"/>
      <c r="E11" s="414"/>
      <c r="F11" s="414"/>
      <c r="G11" s="414"/>
      <c r="H11" s="414"/>
      <c r="I11" s="414"/>
      <c r="J11" s="414"/>
      <c r="K11" s="414"/>
      <c r="L11" s="230"/>
      <c r="M11" s="230"/>
      <c r="N11" s="230"/>
      <c r="O11" s="230"/>
      <c r="P11" s="230"/>
      <c r="Q11" s="230"/>
      <c r="R11" s="230"/>
      <c r="S11" s="230"/>
      <c r="T11" s="230"/>
      <c r="U11" s="230"/>
      <c r="V11" s="230"/>
      <c r="W11" s="230"/>
      <c r="X11" s="230"/>
      <c r="Y11" s="335"/>
    </row>
    <row r="12" spans="1:25">
      <c r="A12" s="415" t="str">
        <f>Planilha!A12</f>
        <v>UFF- CAMPUS NITERÓI</v>
      </c>
      <c r="B12" s="415"/>
      <c r="C12" s="415"/>
      <c r="D12" s="415"/>
      <c r="E12" s="415"/>
      <c r="F12" s="415"/>
      <c r="G12" s="415"/>
      <c r="H12" s="416" t="str">
        <f>Planilha!E12</f>
        <v>AUTOR:</v>
      </c>
      <c r="I12" s="210"/>
      <c r="J12" s="211" t="str">
        <f>Planilha!H12</f>
        <v>FUNÇÃO:</v>
      </c>
      <c r="K12" s="260"/>
      <c r="L12" s="378"/>
      <c r="M12" s="230"/>
      <c r="N12" s="230"/>
      <c r="O12" s="230"/>
      <c r="P12" s="230"/>
      <c r="Q12" s="230"/>
      <c r="R12" s="230"/>
      <c r="S12" s="230"/>
      <c r="T12" s="230"/>
      <c r="U12" s="230"/>
      <c r="V12" s="230"/>
      <c r="W12" s="230"/>
      <c r="X12" s="230"/>
      <c r="Y12" s="335"/>
    </row>
    <row r="13" ht="15.75" spans="1:25">
      <c r="A13" s="417" t="str">
        <f>Planilha!A13</f>
        <v>LOCAL: RUA VERA CRISPINO DE FREITAS, 190-2 - BOA VIAGEM, NITERÓI-RJ</v>
      </c>
      <c r="B13" s="418"/>
      <c r="C13" s="418"/>
      <c r="D13" s="418"/>
      <c r="E13" s="418"/>
      <c r="F13" s="418"/>
      <c r="G13" s="419"/>
      <c r="H13" s="297" t="str">
        <f>Planilha!E13</f>
        <v>PROCESSO: </v>
      </c>
      <c r="I13" s="216"/>
      <c r="J13" s="217" t="str">
        <f>Planilha!H13</f>
        <v>ART/RRT:</v>
      </c>
      <c r="K13" s="261"/>
      <c r="L13" s="378"/>
      <c r="M13" s="230"/>
      <c r="N13" s="230"/>
      <c r="O13" s="230"/>
      <c r="P13" s="230"/>
      <c r="Q13" s="230"/>
      <c r="R13" s="230"/>
      <c r="S13" s="230"/>
      <c r="T13" s="230"/>
      <c r="U13" s="230"/>
      <c r="V13" s="230"/>
      <c r="W13" s="230"/>
      <c r="X13" s="230"/>
      <c r="Y13" s="335"/>
    </row>
    <row r="14" ht="15.75" spans="1:25">
      <c r="A14" s="415" t="str">
        <f>Planilha!A14</f>
        <v>NOME DA OBRA: AGÊNCIA DE INOVAÇÃO DA UFF</v>
      </c>
      <c r="B14" s="415"/>
      <c r="C14" s="415"/>
      <c r="D14" s="415"/>
      <c r="E14" s="415"/>
      <c r="F14" s="415"/>
      <c r="G14" s="415"/>
      <c r="H14" s="420" t="str">
        <f>Planilha!E14</f>
        <v>BDI</v>
      </c>
      <c r="I14" s="218" t="str">
        <f>Planilha!F14</f>
        <v>BDI EQUIP.</v>
      </c>
      <c r="J14" s="218" t="str">
        <f>Planilha!H14</f>
        <v>DATA</v>
      </c>
      <c r="K14" s="218" t="str">
        <f>Planilha!I14</f>
        <v>REVISÃO</v>
      </c>
      <c r="L14" s="378"/>
      <c r="M14" s="230"/>
      <c r="N14" s="230"/>
      <c r="O14" s="230"/>
      <c r="P14" s="230"/>
      <c r="Q14" s="230"/>
      <c r="R14" s="230"/>
      <c r="S14" s="230"/>
      <c r="T14" s="230"/>
      <c r="U14" s="230"/>
      <c r="V14" s="230"/>
      <c r="W14" s="230"/>
      <c r="X14" s="230"/>
      <c r="Y14" s="335"/>
    </row>
    <row r="15" ht="15.75" spans="1:25">
      <c r="A15" s="417" t="str">
        <f>Planilha!A15</f>
        <v>BASE DE DADOS: SINAPI/2025.7 - EMOP/2025.7 - SCO/2025.7 - SBC/2025.7</v>
      </c>
      <c r="B15" s="418"/>
      <c r="C15" s="418"/>
      <c r="D15" s="418"/>
      <c r="E15" s="418"/>
      <c r="F15" s="418"/>
      <c r="G15" s="419"/>
      <c r="H15" s="421">
        <f>Planilha!E15</f>
        <v>0.24657</v>
      </c>
      <c r="I15" s="358">
        <f>Planilha!F15</f>
        <v>0</v>
      </c>
      <c r="J15" s="442">
        <f>Planilha!H15</f>
        <v>45957</v>
      </c>
      <c r="K15" s="381" t="str">
        <f>Planilha!I15</f>
        <v>R03</v>
      </c>
      <c r="L15" s="378"/>
      <c r="M15" s="230"/>
      <c r="N15" s="230"/>
      <c r="O15" s="230"/>
      <c r="P15" s="230"/>
      <c r="Q15" s="230"/>
      <c r="R15" s="230"/>
      <c r="S15" s="230"/>
      <c r="T15" s="230"/>
      <c r="U15" s="230"/>
      <c r="V15" s="230"/>
      <c r="W15" s="230"/>
      <c r="X15" s="230"/>
      <c r="Y15" s="335"/>
    </row>
    <row r="16" customHeight="1" spans="1:11">
      <c r="A16" s="422" t="s">
        <v>60</v>
      </c>
      <c r="B16" s="422"/>
      <c r="C16" s="422"/>
      <c r="D16" s="422" t="s">
        <v>20</v>
      </c>
      <c r="E16" s="422"/>
      <c r="F16" s="422"/>
      <c r="G16" s="422"/>
      <c r="H16" s="422"/>
      <c r="I16" s="443"/>
      <c r="J16" s="422"/>
      <c r="K16" s="444">
        <v>496956.26</v>
      </c>
    </row>
    <row r="17" customHeight="1" spans="1:11">
      <c r="A17" s="423" t="s">
        <v>63</v>
      </c>
      <c r="B17" s="424" t="s">
        <v>1714</v>
      </c>
      <c r="C17" s="423" t="s">
        <v>1715</v>
      </c>
      <c r="D17" s="423" t="s">
        <v>1716</v>
      </c>
      <c r="E17" s="423" t="s">
        <v>1717</v>
      </c>
      <c r="F17" s="423"/>
      <c r="G17" s="425" t="s">
        <v>1718</v>
      </c>
      <c r="H17" s="424" t="s">
        <v>1719</v>
      </c>
      <c r="I17" s="424" t="s">
        <v>1720</v>
      </c>
      <c r="J17" s="424" t="s">
        <v>1721</v>
      </c>
      <c r="K17" s="424" t="s">
        <v>1722</v>
      </c>
    </row>
    <row r="18" customHeight="1" spans="1:11">
      <c r="A18" s="426" t="s">
        <v>1723</v>
      </c>
      <c r="B18" s="427" t="s">
        <v>64</v>
      </c>
      <c r="C18" s="426" t="s">
        <v>65</v>
      </c>
      <c r="D18" s="426" t="s">
        <v>66</v>
      </c>
      <c r="E18" s="426" t="s">
        <v>62</v>
      </c>
      <c r="F18" s="426"/>
      <c r="G18" s="428" t="s">
        <v>67</v>
      </c>
      <c r="H18" s="429">
        <v>1</v>
      </c>
      <c r="I18" s="445"/>
      <c r="J18" s="445">
        <v>398649.34</v>
      </c>
      <c r="K18" s="445">
        <v>398649.34</v>
      </c>
    </row>
    <row r="19" customHeight="1" spans="1:11">
      <c r="A19" s="430" t="s">
        <v>1724</v>
      </c>
      <c r="B19" s="431" t="s">
        <v>1725</v>
      </c>
      <c r="C19" s="430" t="s">
        <v>76</v>
      </c>
      <c r="D19" s="430" t="s">
        <v>1726</v>
      </c>
      <c r="E19" s="430">
        <v>5</v>
      </c>
      <c r="F19" s="430"/>
      <c r="G19" s="432" t="s">
        <v>101</v>
      </c>
      <c r="H19" s="433">
        <v>13</v>
      </c>
      <c r="I19" s="433">
        <v>0</v>
      </c>
      <c r="J19" s="446">
        <v>3555.2</v>
      </c>
      <c r="K19" s="446">
        <v>46217.6</v>
      </c>
    </row>
    <row r="20" customHeight="1" spans="1:11">
      <c r="A20" s="430" t="s">
        <v>1724</v>
      </c>
      <c r="B20" s="431" t="s">
        <v>1727</v>
      </c>
      <c r="C20" s="430" t="s">
        <v>71</v>
      </c>
      <c r="D20" s="430" t="s">
        <v>1728</v>
      </c>
      <c r="E20" s="430" t="s">
        <v>1708</v>
      </c>
      <c r="F20" s="430"/>
      <c r="G20" s="432" t="s">
        <v>101</v>
      </c>
      <c r="H20" s="433">
        <v>13</v>
      </c>
      <c r="I20" s="433">
        <v>0</v>
      </c>
      <c r="J20" s="446">
        <v>8154.68</v>
      </c>
      <c r="K20" s="446">
        <v>106010.84</v>
      </c>
    </row>
    <row r="21" customHeight="1" spans="1:11">
      <c r="A21" s="430" t="s">
        <v>1724</v>
      </c>
      <c r="B21" s="431" t="s">
        <v>1729</v>
      </c>
      <c r="C21" s="430" t="s">
        <v>71</v>
      </c>
      <c r="D21" s="430" t="s">
        <v>1730</v>
      </c>
      <c r="E21" s="430" t="s">
        <v>1708</v>
      </c>
      <c r="F21" s="430"/>
      <c r="G21" s="432" t="s">
        <v>101</v>
      </c>
      <c r="H21" s="433">
        <v>7</v>
      </c>
      <c r="I21" s="433">
        <v>0</v>
      </c>
      <c r="J21" s="446">
        <v>22233.45</v>
      </c>
      <c r="K21" s="446">
        <v>155634.15</v>
      </c>
    </row>
    <row r="22" customHeight="1" spans="1:11">
      <c r="A22" s="430" t="s">
        <v>1724</v>
      </c>
      <c r="B22" s="431" t="s">
        <v>1731</v>
      </c>
      <c r="C22" s="430" t="s">
        <v>71</v>
      </c>
      <c r="D22" s="430" t="s">
        <v>1732</v>
      </c>
      <c r="E22" s="430" t="s">
        <v>1708</v>
      </c>
      <c r="F22" s="430"/>
      <c r="G22" s="432" t="s">
        <v>101</v>
      </c>
      <c r="H22" s="433">
        <v>2</v>
      </c>
      <c r="I22" s="433">
        <v>0</v>
      </c>
      <c r="J22" s="446">
        <v>7782.88</v>
      </c>
      <c r="K22" s="446">
        <v>15565.76</v>
      </c>
    </row>
    <row r="23" customHeight="1" spans="1:11">
      <c r="A23" s="430" t="s">
        <v>1724</v>
      </c>
      <c r="B23" s="431" t="s">
        <v>1733</v>
      </c>
      <c r="C23" s="430" t="s">
        <v>71</v>
      </c>
      <c r="D23" s="430" t="s">
        <v>1734</v>
      </c>
      <c r="E23" s="430" t="s">
        <v>1708</v>
      </c>
      <c r="F23" s="430"/>
      <c r="G23" s="432" t="s">
        <v>101</v>
      </c>
      <c r="H23" s="433">
        <v>13</v>
      </c>
      <c r="I23" s="433">
        <v>0</v>
      </c>
      <c r="J23" s="446">
        <v>5786.23</v>
      </c>
      <c r="K23" s="446">
        <v>75220.99</v>
      </c>
    </row>
    <row r="24" customHeight="1" spans="1:11">
      <c r="A24" s="434"/>
      <c r="B24" s="434"/>
      <c r="C24" s="434"/>
      <c r="D24" s="434"/>
      <c r="E24" s="434"/>
      <c r="F24" s="434" t="s">
        <v>1735</v>
      </c>
      <c r="G24" s="435">
        <v>244364.42</v>
      </c>
      <c r="H24" s="434" t="s">
        <v>1736</v>
      </c>
      <c r="I24" s="435">
        <v>137420.47</v>
      </c>
      <c r="J24" s="434" t="s">
        <v>1737</v>
      </c>
      <c r="K24" s="435">
        <v>381784.89</v>
      </c>
    </row>
    <row r="25" customHeight="1" spans="1:11">
      <c r="A25" s="434"/>
      <c r="B25" s="434"/>
      <c r="C25" s="434"/>
      <c r="D25" s="434"/>
      <c r="E25" s="434"/>
      <c r="F25" s="434" t="s">
        <v>1738</v>
      </c>
      <c r="G25" s="435">
        <v>98306.92</v>
      </c>
      <c r="H25" s="434"/>
      <c r="I25" s="434" t="s">
        <v>1739</v>
      </c>
      <c r="J25" s="434"/>
      <c r="K25" s="435">
        <v>496956.26</v>
      </c>
    </row>
    <row r="26" customHeight="1" spans="1:11">
      <c r="A26" s="436"/>
      <c r="B26" s="436"/>
      <c r="C26" s="436"/>
      <c r="D26" s="436"/>
      <c r="E26" s="436"/>
      <c r="F26" s="436"/>
      <c r="G26" s="436"/>
      <c r="H26" s="436" t="s">
        <v>1740</v>
      </c>
      <c r="I26" s="447" t="s">
        <v>1741</v>
      </c>
      <c r="J26" s="436" t="s">
        <v>1742</v>
      </c>
      <c r="K26" s="448">
        <v>496956.26</v>
      </c>
    </row>
    <row r="27" customHeight="1" spans="1:11">
      <c r="A27" s="437"/>
      <c r="B27" s="437"/>
      <c r="C27" s="437"/>
      <c r="D27" s="437"/>
      <c r="E27" s="437"/>
      <c r="F27" s="437"/>
      <c r="G27" s="437"/>
      <c r="H27" s="437"/>
      <c r="I27" s="437"/>
      <c r="J27" s="437"/>
      <c r="K27" s="437"/>
    </row>
    <row r="28" customHeight="1" spans="1:11">
      <c r="A28" s="422" t="s">
        <v>68</v>
      </c>
      <c r="B28" s="422"/>
      <c r="C28" s="422"/>
      <c r="D28" s="422" t="s">
        <v>21</v>
      </c>
      <c r="E28" s="422"/>
      <c r="F28" s="422"/>
      <c r="G28" s="422"/>
      <c r="H28" s="422"/>
      <c r="I28" s="443"/>
      <c r="J28" s="422"/>
      <c r="K28" s="444">
        <v>34553.01</v>
      </c>
    </row>
    <row r="29" customHeight="1" spans="1:11">
      <c r="A29" s="423" t="s">
        <v>69</v>
      </c>
      <c r="B29" s="424" t="s">
        <v>1714</v>
      </c>
      <c r="C29" s="423" t="s">
        <v>1715</v>
      </c>
      <c r="D29" s="423" t="s">
        <v>1716</v>
      </c>
      <c r="E29" s="423" t="s">
        <v>1717</v>
      </c>
      <c r="F29" s="423"/>
      <c r="G29" s="425" t="s">
        <v>1718</v>
      </c>
      <c r="H29" s="424" t="s">
        <v>1719</v>
      </c>
      <c r="I29" s="424" t="s">
        <v>1720</v>
      </c>
      <c r="J29" s="424" t="s">
        <v>1721</v>
      </c>
      <c r="K29" s="424" t="s">
        <v>1722</v>
      </c>
    </row>
    <row r="30" customHeight="1" spans="1:11">
      <c r="A30" s="426" t="s">
        <v>1723</v>
      </c>
      <c r="B30" s="427" t="s">
        <v>70</v>
      </c>
      <c r="C30" s="426" t="s">
        <v>71</v>
      </c>
      <c r="D30" s="426" t="s">
        <v>72</v>
      </c>
      <c r="E30" s="426" t="s">
        <v>1682</v>
      </c>
      <c r="F30" s="426"/>
      <c r="G30" s="428" t="s">
        <v>73</v>
      </c>
      <c r="H30" s="429">
        <v>1</v>
      </c>
      <c r="I30" s="445"/>
      <c r="J30" s="445">
        <v>476.28</v>
      </c>
      <c r="K30" s="445">
        <v>476.28</v>
      </c>
    </row>
    <row r="31" customHeight="1" spans="1:11">
      <c r="A31" s="430" t="s">
        <v>1724</v>
      </c>
      <c r="B31" s="431" t="s">
        <v>1743</v>
      </c>
      <c r="C31" s="430" t="s">
        <v>71</v>
      </c>
      <c r="D31" s="430" t="s">
        <v>1744</v>
      </c>
      <c r="E31" s="430" t="s">
        <v>1708</v>
      </c>
      <c r="F31" s="430"/>
      <c r="G31" s="432" t="s">
        <v>82</v>
      </c>
      <c r="H31" s="433">
        <v>0.3729</v>
      </c>
      <c r="I31" s="433">
        <v>0</v>
      </c>
      <c r="J31" s="446">
        <v>37.51</v>
      </c>
      <c r="K31" s="446">
        <v>13.98</v>
      </c>
    </row>
    <row r="32" customHeight="1" spans="1:11">
      <c r="A32" s="430" t="s">
        <v>1724</v>
      </c>
      <c r="B32" s="431" t="s">
        <v>1745</v>
      </c>
      <c r="C32" s="430" t="s">
        <v>71</v>
      </c>
      <c r="D32" s="430" t="s">
        <v>1746</v>
      </c>
      <c r="E32" s="430" t="s">
        <v>1708</v>
      </c>
      <c r="F32" s="430"/>
      <c r="G32" s="432" t="s">
        <v>82</v>
      </c>
      <c r="H32" s="433">
        <v>1.1186</v>
      </c>
      <c r="I32" s="433">
        <v>0</v>
      </c>
      <c r="J32" s="446">
        <v>29.15</v>
      </c>
      <c r="K32" s="446">
        <v>32.6</v>
      </c>
    </row>
    <row r="33" customHeight="1" spans="1:11">
      <c r="A33" s="430" t="s">
        <v>1724</v>
      </c>
      <c r="B33" s="431" t="s">
        <v>1747</v>
      </c>
      <c r="C33" s="430" t="s">
        <v>71</v>
      </c>
      <c r="D33" s="430" t="s">
        <v>1748</v>
      </c>
      <c r="E33" s="430" t="s">
        <v>1749</v>
      </c>
      <c r="F33" s="430"/>
      <c r="G33" s="432" t="s">
        <v>73</v>
      </c>
      <c r="H33" s="433">
        <v>0.5</v>
      </c>
      <c r="I33" s="433">
        <v>0</v>
      </c>
      <c r="J33" s="446">
        <v>29.54</v>
      </c>
      <c r="K33" s="446">
        <v>14.77</v>
      </c>
    </row>
    <row r="34" customHeight="1" spans="1:11">
      <c r="A34" s="438" t="s">
        <v>1750</v>
      </c>
      <c r="B34" s="439" t="s">
        <v>1751</v>
      </c>
      <c r="C34" s="438" t="s">
        <v>71</v>
      </c>
      <c r="D34" s="438" t="s">
        <v>1752</v>
      </c>
      <c r="E34" s="438" t="s">
        <v>1631</v>
      </c>
      <c r="F34" s="438"/>
      <c r="G34" s="440" t="s">
        <v>158</v>
      </c>
      <c r="H34" s="441">
        <v>0.0132</v>
      </c>
      <c r="I34" s="441">
        <v>0</v>
      </c>
      <c r="J34" s="449">
        <v>18.73</v>
      </c>
      <c r="K34" s="449">
        <v>0.24</v>
      </c>
    </row>
    <row r="35" customHeight="1" spans="1:11">
      <c r="A35" s="438" t="s">
        <v>1750</v>
      </c>
      <c r="B35" s="439" t="s">
        <v>1753</v>
      </c>
      <c r="C35" s="438" t="s">
        <v>71</v>
      </c>
      <c r="D35" s="438" t="s">
        <v>1754</v>
      </c>
      <c r="E35" s="438" t="s">
        <v>1631</v>
      </c>
      <c r="F35" s="438"/>
      <c r="G35" s="440" t="s">
        <v>78</v>
      </c>
      <c r="H35" s="441">
        <v>3.2083</v>
      </c>
      <c r="I35" s="441">
        <v>0</v>
      </c>
      <c r="J35" s="449">
        <v>4.46</v>
      </c>
      <c r="K35" s="449">
        <v>14.3</v>
      </c>
    </row>
    <row r="36" customHeight="1" spans="1:11">
      <c r="A36" s="438" t="s">
        <v>1750</v>
      </c>
      <c r="B36" s="439" t="s">
        <v>1755</v>
      </c>
      <c r="C36" s="438" t="s">
        <v>71</v>
      </c>
      <c r="D36" s="438" t="s">
        <v>1756</v>
      </c>
      <c r="E36" s="438" t="s">
        <v>1631</v>
      </c>
      <c r="F36" s="438"/>
      <c r="G36" s="440" t="s">
        <v>158</v>
      </c>
      <c r="H36" s="441">
        <v>0.0113</v>
      </c>
      <c r="I36" s="441">
        <v>0</v>
      </c>
      <c r="J36" s="449">
        <v>34.96</v>
      </c>
      <c r="K36" s="449">
        <v>0.39</v>
      </c>
    </row>
    <row r="37" customHeight="1" spans="1:11">
      <c r="A37" s="438" t="s">
        <v>1750</v>
      </c>
      <c r="B37" s="439" t="s">
        <v>1757</v>
      </c>
      <c r="C37" s="438" t="s">
        <v>71</v>
      </c>
      <c r="D37" s="438" t="s">
        <v>1758</v>
      </c>
      <c r="E37" s="438" t="s">
        <v>1631</v>
      </c>
      <c r="F37" s="438"/>
      <c r="G37" s="440" t="s">
        <v>73</v>
      </c>
      <c r="H37" s="441">
        <v>1</v>
      </c>
      <c r="I37" s="441">
        <v>0</v>
      </c>
      <c r="J37" s="449">
        <v>400</v>
      </c>
      <c r="K37" s="449">
        <v>400</v>
      </c>
    </row>
    <row r="38" customHeight="1" spans="1:11">
      <c r="A38" s="434"/>
      <c r="B38" s="434"/>
      <c r="C38" s="434"/>
      <c r="D38" s="434"/>
      <c r="E38" s="434"/>
      <c r="F38" s="434" t="s">
        <v>1735</v>
      </c>
      <c r="G38" s="435">
        <v>19.78</v>
      </c>
      <c r="H38" s="434" t="s">
        <v>1736</v>
      </c>
      <c r="I38" s="435">
        <v>17.97</v>
      </c>
      <c r="J38" s="434" t="s">
        <v>1737</v>
      </c>
      <c r="K38" s="435">
        <v>37.75</v>
      </c>
    </row>
    <row r="39" customHeight="1" spans="1:11">
      <c r="A39" s="434"/>
      <c r="B39" s="434"/>
      <c r="C39" s="434"/>
      <c r="D39" s="434"/>
      <c r="E39" s="434"/>
      <c r="F39" s="434" t="s">
        <v>1738</v>
      </c>
      <c r="G39" s="435">
        <v>117.45</v>
      </c>
      <c r="H39" s="434"/>
      <c r="I39" s="434" t="s">
        <v>1739</v>
      </c>
      <c r="J39" s="434"/>
      <c r="K39" s="435">
        <v>593.73</v>
      </c>
    </row>
    <row r="40" customHeight="1" spans="1:11">
      <c r="A40" s="436"/>
      <c r="B40" s="436"/>
      <c r="C40" s="436"/>
      <c r="D40" s="436"/>
      <c r="E40" s="436"/>
      <c r="F40" s="436"/>
      <c r="G40" s="436"/>
      <c r="H40" s="436" t="s">
        <v>1740</v>
      </c>
      <c r="I40" s="447" t="s">
        <v>1759</v>
      </c>
      <c r="J40" s="436" t="s">
        <v>1742</v>
      </c>
      <c r="K40" s="448">
        <v>3562.38</v>
      </c>
    </row>
    <row r="41" customHeight="1" spans="1:11">
      <c r="A41" s="437"/>
      <c r="B41" s="437"/>
      <c r="C41" s="437"/>
      <c r="D41" s="437"/>
      <c r="E41" s="437"/>
      <c r="F41" s="437"/>
      <c r="G41" s="437"/>
      <c r="H41" s="437"/>
      <c r="I41" s="437"/>
      <c r="J41" s="437"/>
      <c r="K41" s="437"/>
    </row>
    <row r="42" customHeight="1" spans="1:11">
      <c r="A42" s="423" t="s">
        <v>74</v>
      </c>
      <c r="B42" s="424" t="s">
        <v>1714</v>
      </c>
      <c r="C42" s="423" t="s">
        <v>1715</v>
      </c>
      <c r="D42" s="423" t="s">
        <v>1716</v>
      </c>
      <c r="E42" s="423" t="s">
        <v>1717</v>
      </c>
      <c r="F42" s="423"/>
      <c r="G42" s="425" t="s">
        <v>1718</v>
      </c>
      <c r="H42" s="424" t="s">
        <v>1719</v>
      </c>
      <c r="I42" s="424" t="s">
        <v>1720</v>
      </c>
      <c r="J42" s="424" t="s">
        <v>1721</v>
      </c>
      <c r="K42" s="424" t="s">
        <v>1722</v>
      </c>
    </row>
    <row r="43" customHeight="1" spans="1:11">
      <c r="A43" s="426" t="s">
        <v>1723</v>
      </c>
      <c r="B43" s="427" t="s">
        <v>75</v>
      </c>
      <c r="C43" s="426" t="s">
        <v>76</v>
      </c>
      <c r="D43" s="426" t="s">
        <v>77</v>
      </c>
      <c r="E43" s="426">
        <v>1</v>
      </c>
      <c r="F43" s="426"/>
      <c r="G43" s="428" t="s">
        <v>78</v>
      </c>
      <c r="H43" s="429">
        <v>1</v>
      </c>
      <c r="I43" s="445"/>
      <c r="J43" s="445">
        <v>25.94</v>
      </c>
      <c r="K43" s="445">
        <v>25.94</v>
      </c>
    </row>
    <row r="44" customHeight="1" spans="1:11">
      <c r="A44" s="430" t="s">
        <v>1724</v>
      </c>
      <c r="B44" s="431" t="s">
        <v>1760</v>
      </c>
      <c r="C44" s="430" t="s">
        <v>76</v>
      </c>
      <c r="D44" s="430" t="s">
        <v>1761</v>
      </c>
      <c r="E44" s="430">
        <v>19</v>
      </c>
      <c r="F44" s="430"/>
      <c r="G44" s="432" t="s">
        <v>82</v>
      </c>
      <c r="H44" s="433">
        <v>0.125</v>
      </c>
      <c r="I44" s="433">
        <v>0</v>
      </c>
      <c r="J44" s="446">
        <v>1.05</v>
      </c>
      <c r="K44" s="446">
        <v>0.13</v>
      </c>
    </row>
    <row r="45" customHeight="1" spans="1:11">
      <c r="A45" s="438" t="s">
        <v>1750</v>
      </c>
      <c r="B45" s="439" t="s">
        <v>1762</v>
      </c>
      <c r="C45" s="438" t="s">
        <v>76</v>
      </c>
      <c r="D45" s="438" t="s">
        <v>1763</v>
      </c>
      <c r="E45" s="438" t="s">
        <v>1764</v>
      </c>
      <c r="F45" s="438"/>
      <c r="G45" s="440" t="s">
        <v>82</v>
      </c>
      <c r="H45" s="441">
        <v>0.115</v>
      </c>
      <c r="I45" s="441">
        <v>3</v>
      </c>
      <c r="J45" s="449">
        <v>26.52</v>
      </c>
      <c r="K45" s="449">
        <v>3.14</v>
      </c>
    </row>
    <row r="46" customHeight="1" spans="1:11">
      <c r="A46" s="438" t="s">
        <v>1750</v>
      </c>
      <c r="B46" s="439" t="s">
        <v>1765</v>
      </c>
      <c r="C46" s="438" t="s">
        <v>76</v>
      </c>
      <c r="D46" s="438" t="s">
        <v>1766</v>
      </c>
      <c r="E46" s="438" t="s">
        <v>1764</v>
      </c>
      <c r="F46" s="438"/>
      <c r="G46" s="440" t="s">
        <v>82</v>
      </c>
      <c r="H46" s="441">
        <v>0.125</v>
      </c>
      <c r="I46" s="441">
        <v>3</v>
      </c>
      <c r="J46" s="449">
        <v>28.55</v>
      </c>
      <c r="K46" s="449">
        <v>3.67</v>
      </c>
    </row>
    <row r="47" customHeight="1" spans="1:11">
      <c r="A47" s="438" t="s">
        <v>1750</v>
      </c>
      <c r="B47" s="439" t="s">
        <v>1767</v>
      </c>
      <c r="C47" s="438" t="s">
        <v>76</v>
      </c>
      <c r="D47" s="438" t="s">
        <v>1768</v>
      </c>
      <c r="E47" s="438" t="s">
        <v>1764</v>
      </c>
      <c r="F47" s="438"/>
      <c r="G47" s="440" t="s">
        <v>82</v>
      </c>
      <c r="H47" s="441">
        <v>0.355</v>
      </c>
      <c r="I47" s="441">
        <v>3</v>
      </c>
      <c r="J47" s="449">
        <v>19.16</v>
      </c>
      <c r="K47" s="449">
        <v>7</v>
      </c>
    </row>
    <row r="48" customHeight="1" spans="1:11">
      <c r="A48" s="438" t="s">
        <v>1750</v>
      </c>
      <c r="B48" s="439" t="s">
        <v>1769</v>
      </c>
      <c r="C48" s="438" t="s">
        <v>76</v>
      </c>
      <c r="D48" s="438" t="s">
        <v>1770</v>
      </c>
      <c r="E48" s="438" t="s">
        <v>1631</v>
      </c>
      <c r="F48" s="438"/>
      <c r="G48" s="440" t="s">
        <v>158</v>
      </c>
      <c r="H48" s="441">
        <v>0.015</v>
      </c>
      <c r="I48" s="441">
        <v>0</v>
      </c>
      <c r="J48" s="449">
        <v>15.35</v>
      </c>
      <c r="K48" s="449">
        <v>0.23</v>
      </c>
    </row>
    <row r="49" customHeight="1" spans="1:11">
      <c r="A49" s="438" t="s">
        <v>1750</v>
      </c>
      <c r="B49" s="439" t="s">
        <v>1771</v>
      </c>
      <c r="C49" s="438" t="s">
        <v>76</v>
      </c>
      <c r="D49" s="438" t="s">
        <v>1772</v>
      </c>
      <c r="E49" s="438" t="s">
        <v>1764</v>
      </c>
      <c r="F49" s="438"/>
      <c r="G49" s="440" t="s">
        <v>82</v>
      </c>
      <c r="H49" s="441">
        <v>0.125</v>
      </c>
      <c r="I49" s="441">
        <v>3</v>
      </c>
      <c r="J49" s="449">
        <v>20.2</v>
      </c>
      <c r="K49" s="449">
        <v>2.6</v>
      </c>
    </row>
    <row r="50" customHeight="1" spans="1:11">
      <c r="A50" s="438" t="s">
        <v>1750</v>
      </c>
      <c r="B50" s="439" t="s">
        <v>1773</v>
      </c>
      <c r="C50" s="438" t="s">
        <v>76</v>
      </c>
      <c r="D50" s="438" t="s">
        <v>1774</v>
      </c>
      <c r="E50" s="438" t="s">
        <v>1631</v>
      </c>
      <c r="F50" s="438"/>
      <c r="G50" s="440" t="s">
        <v>78</v>
      </c>
      <c r="H50" s="441">
        <v>0.45</v>
      </c>
      <c r="I50" s="441">
        <v>0</v>
      </c>
      <c r="J50" s="449">
        <v>12.67</v>
      </c>
      <c r="K50" s="449">
        <v>5.7</v>
      </c>
    </row>
    <row r="51" customHeight="1" spans="1:11">
      <c r="A51" s="438" t="s">
        <v>1750</v>
      </c>
      <c r="B51" s="439" t="s">
        <v>1775</v>
      </c>
      <c r="C51" s="438" t="s">
        <v>76</v>
      </c>
      <c r="D51" s="438" t="s">
        <v>1776</v>
      </c>
      <c r="E51" s="438" t="s">
        <v>1631</v>
      </c>
      <c r="F51" s="438"/>
      <c r="G51" s="440" t="s">
        <v>78</v>
      </c>
      <c r="H51" s="441">
        <v>0.45</v>
      </c>
      <c r="I51" s="441">
        <v>0</v>
      </c>
      <c r="J51" s="449">
        <v>6.95</v>
      </c>
      <c r="K51" s="449">
        <v>3.12</v>
      </c>
    </row>
    <row r="52" customHeight="1" spans="1:11">
      <c r="A52" s="438" t="s">
        <v>1750</v>
      </c>
      <c r="B52" s="439" t="s">
        <v>1777</v>
      </c>
      <c r="C52" s="438" t="s">
        <v>76</v>
      </c>
      <c r="D52" s="438" t="s">
        <v>1778</v>
      </c>
      <c r="E52" s="438" t="s">
        <v>1631</v>
      </c>
      <c r="F52" s="438"/>
      <c r="G52" s="440" t="s">
        <v>158</v>
      </c>
      <c r="H52" s="441">
        <v>0.025</v>
      </c>
      <c r="I52" s="441">
        <v>0</v>
      </c>
      <c r="J52" s="449">
        <v>14.32</v>
      </c>
      <c r="K52" s="449">
        <v>0.35</v>
      </c>
    </row>
    <row r="53" customHeight="1" spans="1:11">
      <c r="A53" s="434"/>
      <c r="B53" s="434"/>
      <c r="C53" s="434"/>
      <c r="D53" s="434"/>
      <c r="E53" s="434"/>
      <c r="F53" s="434" t="s">
        <v>1735</v>
      </c>
      <c r="G53" s="435">
        <v>8.59</v>
      </c>
      <c r="H53" s="434" t="s">
        <v>1736</v>
      </c>
      <c r="I53" s="435">
        <v>7.82</v>
      </c>
      <c r="J53" s="434" t="s">
        <v>1737</v>
      </c>
      <c r="K53" s="435">
        <v>16.41</v>
      </c>
    </row>
    <row r="54" customHeight="1" spans="1:11">
      <c r="A54" s="434"/>
      <c r="B54" s="434"/>
      <c r="C54" s="434"/>
      <c r="D54" s="434"/>
      <c r="E54" s="434"/>
      <c r="F54" s="434" t="s">
        <v>1738</v>
      </c>
      <c r="G54" s="435">
        <v>6.39</v>
      </c>
      <c r="H54" s="434"/>
      <c r="I54" s="434" t="s">
        <v>1739</v>
      </c>
      <c r="J54" s="434"/>
      <c r="K54" s="435">
        <v>32.33</v>
      </c>
    </row>
    <row r="55" customHeight="1" spans="1:11">
      <c r="A55" s="436"/>
      <c r="B55" s="436"/>
      <c r="C55" s="436"/>
      <c r="D55" s="436"/>
      <c r="E55" s="436"/>
      <c r="F55" s="436"/>
      <c r="G55" s="436"/>
      <c r="H55" s="436" t="s">
        <v>1740</v>
      </c>
      <c r="I55" s="447" t="s">
        <v>1779</v>
      </c>
      <c r="J55" s="436" t="s">
        <v>1742</v>
      </c>
      <c r="K55" s="448">
        <v>30448.71</v>
      </c>
    </row>
    <row r="56" customHeight="1" spans="1:11">
      <c r="A56" s="437"/>
      <c r="B56" s="437"/>
      <c r="C56" s="437"/>
      <c r="D56" s="437"/>
      <c r="E56" s="437"/>
      <c r="F56" s="437"/>
      <c r="G56" s="437"/>
      <c r="H56" s="437"/>
      <c r="I56" s="437"/>
      <c r="J56" s="437"/>
      <c r="K56" s="437"/>
    </row>
    <row r="57" customHeight="1" spans="1:11">
      <c r="A57" s="423" t="s">
        <v>79</v>
      </c>
      <c r="B57" s="424" t="s">
        <v>1714</v>
      </c>
      <c r="C57" s="423" t="s">
        <v>1715</v>
      </c>
      <c r="D57" s="423" t="s">
        <v>1716</v>
      </c>
      <c r="E57" s="423" t="s">
        <v>1717</v>
      </c>
      <c r="F57" s="423"/>
      <c r="G57" s="425" t="s">
        <v>1718</v>
      </c>
      <c r="H57" s="424" t="s">
        <v>1719</v>
      </c>
      <c r="I57" s="424" t="s">
        <v>1720</v>
      </c>
      <c r="J57" s="424" t="s">
        <v>1721</v>
      </c>
      <c r="K57" s="424" t="s">
        <v>1722</v>
      </c>
    </row>
    <row r="58" customHeight="1" spans="1:11">
      <c r="A58" s="426" t="s">
        <v>1723</v>
      </c>
      <c r="B58" s="427" t="s">
        <v>80</v>
      </c>
      <c r="C58" s="426" t="s">
        <v>71</v>
      </c>
      <c r="D58" s="426" t="s">
        <v>81</v>
      </c>
      <c r="E58" s="426" t="s">
        <v>1708</v>
      </c>
      <c r="F58" s="426"/>
      <c r="G58" s="428" t="s">
        <v>82</v>
      </c>
      <c r="H58" s="429">
        <v>1</v>
      </c>
      <c r="I58" s="445"/>
      <c r="J58" s="445">
        <v>27.17</v>
      </c>
      <c r="K58" s="445">
        <v>27.17</v>
      </c>
    </row>
    <row r="59" customHeight="1" spans="1:11">
      <c r="A59" s="430" t="s">
        <v>1724</v>
      </c>
      <c r="B59" s="431" t="s">
        <v>1780</v>
      </c>
      <c r="C59" s="430" t="s">
        <v>71</v>
      </c>
      <c r="D59" s="430" t="s">
        <v>1781</v>
      </c>
      <c r="E59" s="430" t="s">
        <v>1708</v>
      </c>
      <c r="F59" s="430"/>
      <c r="G59" s="432" t="s">
        <v>82</v>
      </c>
      <c r="H59" s="433">
        <v>1</v>
      </c>
      <c r="I59" s="433">
        <v>0</v>
      </c>
      <c r="J59" s="446">
        <v>0.2</v>
      </c>
      <c r="K59" s="446">
        <v>0.2</v>
      </c>
    </row>
    <row r="60" customHeight="1" spans="1:11">
      <c r="A60" s="438" t="s">
        <v>1750</v>
      </c>
      <c r="B60" s="439" t="s">
        <v>1782</v>
      </c>
      <c r="C60" s="438" t="s">
        <v>71</v>
      </c>
      <c r="D60" s="438" t="s">
        <v>1783</v>
      </c>
      <c r="E60" s="438" t="s">
        <v>1631</v>
      </c>
      <c r="F60" s="438"/>
      <c r="G60" s="440" t="s">
        <v>82</v>
      </c>
      <c r="H60" s="441">
        <v>1</v>
      </c>
      <c r="I60" s="441">
        <v>0</v>
      </c>
      <c r="J60" s="449">
        <v>0.05</v>
      </c>
      <c r="K60" s="449">
        <v>0.05</v>
      </c>
    </row>
    <row r="61" customHeight="1" spans="1:11">
      <c r="A61" s="438" t="s">
        <v>1750</v>
      </c>
      <c r="B61" s="439" t="s">
        <v>1784</v>
      </c>
      <c r="C61" s="438" t="s">
        <v>71</v>
      </c>
      <c r="D61" s="438" t="s">
        <v>1785</v>
      </c>
      <c r="E61" s="438" t="s">
        <v>1631</v>
      </c>
      <c r="F61" s="438"/>
      <c r="G61" s="440" t="s">
        <v>82</v>
      </c>
      <c r="H61" s="441">
        <v>1</v>
      </c>
      <c r="I61" s="441">
        <v>0</v>
      </c>
      <c r="J61" s="449">
        <v>0.74</v>
      </c>
      <c r="K61" s="449">
        <v>0.74</v>
      </c>
    </row>
    <row r="62" customHeight="1" spans="1:11">
      <c r="A62" s="438" t="s">
        <v>1750</v>
      </c>
      <c r="B62" s="439" t="s">
        <v>1786</v>
      </c>
      <c r="C62" s="438" t="s">
        <v>71</v>
      </c>
      <c r="D62" s="438" t="s">
        <v>1787</v>
      </c>
      <c r="E62" s="438" t="s">
        <v>1631</v>
      </c>
      <c r="F62" s="438"/>
      <c r="G62" s="440" t="s">
        <v>82</v>
      </c>
      <c r="H62" s="441">
        <v>1</v>
      </c>
      <c r="I62" s="441">
        <v>0</v>
      </c>
      <c r="J62" s="449">
        <v>1.43</v>
      </c>
      <c r="K62" s="449">
        <v>1.43</v>
      </c>
    </row>
    <row r="63" customHeight="1" spans="1:11">
      <c r="A63" s="438" t="s">
        <v>1750</v>
      </c>
      <c r="B63" s="439" t="s">
        <v>1788</v>
      </c>
      <c r="C63" s="438" t="s">
        <v>71</v>
      </c>
      <c r="D63" s="438" t="s">
        <v>1789</v>
      </c>
      <c r="E63" s="438" t="s">
        <v>1764</v>
      </c>
      <c r="F63" s="438"/>
      <c r="G63" s="440" t="s">
        <v>82</v>
      </c>
      <c r="H63" s="441">
        <v>1</v>
      </c>
      <c r="I63" s="441">
        <v>0</v>
      </c>
      <c r="J63" s="449">
        <v>24.67</v>
      </c>
      <c r="K63" s="449">
        <v>24.67</v>
      </c>
    </row>
    <row r="64" customHeight="1" spans="1:11">
      <c r="A64" s="438" t="s">
        <v>1750</v>
      </c>
      <c r="B64" s="439" t="s">
        <v>1790</v>
      </c>
      <c r="C64" s="438" t="s">
        <v>71</v>
      </c>
      <c r="D64" s="438" t="s">
        <v>1791</v>
      </c>
      <c r="E64" s="438" t="s">
        <v>1631</v>
      </c>
      <c r="F64" s="438"/>
      <c r="G64" s="440" t="s">
        <v>82</v>
      </c>
      <c r="H64" s="441">
        <v>1</v>
      </c>
      <c r="I64" s="441">
        <v>0</v>
      </c>
      <c r="J64" s="449">
        <v>0.08</v>
      </c>
      <c r="K64" s="449">
        <v>0.08</v>
      </c>
    </row>
    <row r="65" customHeight="1" spans="1:11">
      <c r="A65" s="434"/>
      <c r="B65" s="434"/>
      <c r="C65" s="434"/>
      <c r="D65" s="434"/>
      <c r="E65" s="434"/>
      <c r="F65" s="434" t="s">
        <v>1735</v>
      </c>
      <c r="G65" s="435">
        <v>13.03</v>
      </c>
      <c r="H65" s="434" t="s">
        <v>1736</v>
      </c>
      <c r="I65" s="435">
        <v>11.84</v>
      </c>
      <c r="J65" s="434" t="s">
        <v>1737</v>
      </c>
      <c r="K65" s="435">
        <v>24.87</v>
      </c>
    </row>
    <row r="66" customHeight="1" spans="1:11">
      <c r="A66" s="434"/>
      <c r="B66" s="434"/>
      <c r="C66" s="434"/>
      <c r="D66" s="434"/>
      <c r="E66" s="434"/>
      <c r="F66" s="434" t="s">
        <v>1738</v>
      </c>
      <c r="G66" s="435">
        <v>6.7</v>
      </c>
      <c r="H66" s="434"/>
      <c r="I66" s="434" t="s">
        <v>1739</v>
      </c>
      <c r="J66" s="434"/>
      <c r="K66" s="435">
        <v>33.87</v>
      </c>
    </row>
    <row r="67" customHeight="1" spans="1:11">
      <c r="A67" s="436"/>
      <c r="B67" s="436"/>
      <c r="C67" s="436"/>
      <c r="D67" s="436"/>
      <c r="E67" s="436"/>
      <c r="F67" s="436"/>
      <c r="G67" s="436"/>
      <c r="H67" s="436" t="s">
        <v>1740</v>
      </c>
      <c r="I67" s="447" t="s">
        <v>1792</v>
      </c>
      <c r="J67" s="436" t="s">
        <v>1742</v>
      </c>
      <c r="K67" s="448">
        <v>541.92</v>
      </c>
    </row>
    <row r="68" customHeight="1" spans="1:11">
      <c r="A68" s="437"/>
      <c r="B68" s="437"/>
      <c r="C68" s="437"/>
      <c r="D68" s="437"/>
      <c r="E68" s="437"/>
      <c r="F68" s="437"/>
      <c r="G68" s="437"/>
      <c r="H68" s="437"/>
      <c r="I68" s="437"/>
      <c r="J68" s="437"/>
      <c r="K68" s="437"/>
    </row>
    <row r="69" customHeight="1" spans="1:11">
      <c r="A69" s="422" t="s">
        <v>83</v>
      </c>
      <c r="B69" s="422"/>
      <c r="C69" s="422"/>
      <c r="D69" s="422" t="s">
        <v>22</v>
      </c>
      <c r="E69" s="422"/>
      <c r="F69" s="422"/>
      <c r="G69" s="422"/>
      <c r="H69" s="422"/>
      <c r="I69" s="443"/>
      <c r="J69" s="422"/>
      <c r="K69" s="444">
        <v>339265.3</v>
      </c>
    </row>
    <row r="70" customHeight="1" spans="1:11">
      <c r="A70" s="423" t="s">
        <v>84</v>
      </c>
      <c r="B70" s="424" t="s">
        <v>1714</v>
      </c>
      <c r="C70" s="423" t="s">
        <v>1715</v>
      </c>
      <c r="D70" s="423" t="s">
        <v>1716</v>
      </c>
      <c r="E70" s="423" t="s">
        <v>1717</v>
      </c>
      <c r="F70" s="423"/>
      <c r="G70" s="425" t="s">
        <v>1718</v>
      </c>
      <c r="H70" s="424" t="s">
        <v>1719</v>
      </c>
      <c r="I70" s="424" t="s">
        <v>1720</v>
      </c>
      <c r="J70" s="424" t="s">
        <v>1721</v>
      </c>
      <c r="K70" s="424" t="s">
        <v>1722</v>
      </c>
    </row>
    <row r="71" customHeight="1" spans="1:11">
      <c r="A71" s="426" t="s">
        <v>1723</v>
      </c>
      <c r="B71" s="427" t="s">
        <v>85</v>
      </c>
      <c r="C71" s="426" t="s">
        <v>65</v>
      </c>
      <c r="D71" s="426" t="s">
        <v>86</v>
      </c>
      <c r="E71" s="426" t="s">
        <v>62</v>
      </c>
      <c r="F71" s="426"/>
      <c r="G71" s="428" t="s">
        <v>67</v>
      </c>
      <c r="H71" s="429">
        <v>1</v>
      </c>
      <c r="I71" s="445"/>
      <c r="J71" s="445">
        <v>41.85</v>
      </c>
      <c r="K71" s="445">
        <v>41.85</v>
      </c>
    </row>
    <row r="72" customHeight="1" spans="1:11">
      <c r="A72" s="430" t="s">
        <v>1724</v>
      </c>
      <c r="B72" s="431" t="s">
        <v>1745</v>
      </c>
      <c r="C72" s="430" t="s">
        <v>71</v>
      </c>
      <c r="D72" s="430" t="s">
        <v>1746</v>
      </c>
      <c r="E72" s="430" t="s">
        <v>1708</v>
      </c>
      <c r="F72" s="430"/>
      <c r="G72" s="432" t="s">
        <v>82</v>
      </c>
      <c r="H72" s="433">
        <v>0.2</v>
      </c>
      <c r="I72" s="433">
        <v>0</v>
      </c>
      <c r="J72" s="446">
        <v>29.15</v>
      </c>
      <c r="K72" s="446">
        <v>5.83</v>
      </c>
    </row>
    <row r="73" customHeight="1" spans="1:11">
      <c r="A73" s="430" t="s">
        <v>1724</v>
      </c>
      <c r="B73" s="431" t="s">
        <v>1793</v>
      </c>
      <c r="C73" s="430" t="s">
        <v>71</v>
      </c>
      <c r="D73" s="430" t="s">
        <v>1794</v>
      </c>
      <c r="E73" s="430" t="s">
        <v>1795</v>
      </c>
      <c r="F73" s="430"/>
      <c r="G73" s="432" t="s">
        <v>1796</v>
      </c>
      <c r="H73" s="433">
        <v>0.1</v>
      </c>
      <c r="I73" s="433">
        <v>0</v>
      </c>
      <c r="J73" s="446">
        <v>360.22</v>
      </c>
      <c r="K73" s="446">
        <v>36.02</v>
      </c>
    </row>
    <row r="74" customHeight="1" spans="1:11">
      <c r="A74" s="434"/>
      <c r="B74" s="434"/>
      <c r="C74" s="434"/>
      <c r="D74" s="434"/>
      <c r="E74" s="434"/>
      <c r="F74" s="434" t="s">
        <v>1735</v>
      </c>
      <c r="G74" s="435">
        <v>4.24</v>
      </c>
      <c r="H74" s="434" t="s">
        <v>1736</v>
      </c>
      <c r="I74" s="435">
        <v>3.86</v>
      </c>
      <c r="J74" s="434" t="s">
        <v>1737</v>
      </c>
      <c r="K74" s="435">
        <v>8.1</v>
      </c>
    </row>
    <row r="75" customHeight="1" spans="1:11">
      <c r="A75" s="434"/>
      <c r="B75" s="434"/>
      <c r="C75" s="434"/>
      <c r="D75" s="434"/>
      <c r="E75" s="434"/>
      <c r="F75" s="434" t="s">
        <v>1738</v>
      </c>
      <c r="G75" s="435">
        <v>10.32</v>
      </c>
      <c r="H75" s="434"/>
      <c r="I75" s="434" t="s">
        <v>1739</v>
      </c>
      <c r="J75" s="434"/>
      <c r="K75" s="435">
        <v>52.17</v>
      </c>
    </row>
    <row r="76" customHeight="1" spans="1:11">
      <c r="A76" s="436"/>
      <c r="B76" s="436"/>
      <c r="C76" s="436"/>
      <c r="D76" s="436"/>
      <c r="E76" s="436"/>
      <c r="F76" s="436"/>
      <c r="G76" s="436"/>
      <c r="H76" s="436" t="s">
        <v>1740</v>
      </c>
      <c r="I76" s="447" t="s">
        <v>1741</v>
      </c>
      <c r="J76" s="436" t="s">
        <v>1742</v>
      </c>
      <c r="K76" s="448">
        <v>52.17</v>
      </c>
    </row>
    <row r="77" customHeight="1" spans="1:11">
      <c r="A77" s="437"/>
      <c r="B77" s="437"/>
      <c r="C77" s="437"/>
      <c r="D77" s="437"/>
      <c r="E77" s="437"/>
      <c r="F77" s="437"/>
      <c r="G77" s="437"/>
      <c r="H77" s="437"/>
      <c r="I77" s="437"/>
      <c r="J77" s="437"/>
      <c r="K77" s="437"/>
    </row>
    <row r="78" customHeight="1" spans="1:11">
      <c r="A78" s="423" t="s">
        <v>87</v>
      </c>
      <c r="B78" s="424" t="s">
        <v>1714</v>
      </c>
      <c r="C78" s="423" t="s">
        <v>1715</v>
      </c>
      <c r="D78" s="423" t="s">
        <v>1716</v>
      </c>
      <c r="E78" s="423" t="s">
        <v>1717</v>
      </c>
      <c r="F78" s="423"/>
      <c r="G78" s="425" t="s">
        <v>1718</v>
      </c>
      <c r="H78" s="424" t="s">
        <v>1719</v>
      </c>
      <c r="I78" s="424" t="s">
        <v>1720</v>
      </c>
      <c r="J78" s="424" t="s">
        <v>1721</v>
      </c>
      <c r="K78" s="424" t="s">
        <v>1722</v>
      </c>
    </row>
    <row r="79" customHeight="1" spans="1:11">
      <c r="A79" s="426" t="s">
        <v>1723</v>
      </c>
      <c r="B79" s="427" t="s">
        <v>88</v>
      </c>
      <c r="C79" s="426" t="s">
        <v>71</v>
      </c>
      <c r="D79" s="426" t="s">
        <v>89</v>
      </c>
      <c r="E79" s="426" t="s">
        <v>1628</v>
      </c>
      <c r="F79" s="426"/>
      <c r="G79" s="428" t="s">
        <v>73</v>
      </c>
      <c r="H79" s="429">
        <v>1</v>
      </c>
      <c r="I79" s="445"/>
      <c r="J79" s="445">
        <v>105.08</v>
      </c>
      <c r="K79" s="445">
        <v>105.08</v>
      </c>
    </row>
    <row r="80" customHeight="1" spans="1:11">
      <c r="A80" s="430" t="s">
        <v>1724</v>
      </c>
      <c r="B80" s="431" t="s">
        <v>1797</v>
      </c>
      <c r="C80" s="430" t="s">
        <v>71</v>
      </c>
      <c r="D80" s="430" t="s">
        <v>1798</v>
      </c>
      <c r="E80" s="430" t="s">
        <v>1799</v>
      </c>
      <c r="F80" s="430"/>
      <c r="G80" s="432" t="s">
        <v>129</v>
      </c>
      <c r="H80" s="433">
        <v>0.0061</v>
      </c>
      <c r="I80" s="433">
        <v>0</v>
      </c>
      <c r="J80" s="446">
        <v>464.77</v>
      </c>
      <c r="K80" s="446">
        <v>2.83</v>
      </c>
    </row>
    <row r="81" customHeight="1" spans="1:11">
      <c r="A81" s="430" t="s">
        <v>1724</v>
      </c>
      <c r="B81" s="431" t="s">
        <v>1800</v>
      </c>
      <c r="C81" s="430" t="s">
        <v>71</v>
      </c>
      <c r="D81" s="430" t="s">
        <v>1801</v>
      </c>
      <c r="E81" s="430" t="s">
        <v>1708</v>
      </c>
      <c r="F81" s="430"/>
      <c r="G81" s="432" t="s">
        <v>82</v>
      </c>
      <c r="H81" s="433">
        <v>0.492</v>
      </c>
      <c r="I81" s="433">
        <v>0</v>
      </c>
      <c r="J81" s="446">
        <v>29.91</v>
      </c>
      <c r="K81" s="446">
        <v>14.71</v>
      </c>
    </row>
    <row r="82" customHeight="1" spans="1:11">
      <c r="A82" s="430" t="s">
        <v>1724</v>
      </c>
      <c r="B82" s="431" t="s">
        <v>1802</v>
      </c>
      <c r="C82" s="430" t="s">
        <v>71</v>
      </c>
      <c r="D82" s="430" t="s">
        <v>1803</v>
      </c>
      <c r="E82" s="430" t="s">
        <v>1795</v>
      </c>
      <c r="F82" s="430"/>
      <c r="G82" s="432" t="s">
        <v>1804</v>
      </c>
      <c r="H82" s="433">
        <v>0.0264</v>
      </c>
      <c r="I82" s="433">
        <v>0</v>
      </c>
      <c r="J82" s="446">
        <v>39.98</v>
      </c>
      <c r="K82" s="446">
        <v>1.05</v>
      </c>
    </row>
    <row r="83" customHeight="1" spans="1:11">
      <c r="A83" s="430" t="s">
        <v>1724</v>
      </c>
      <c r="B83" s="431" t="s">
        <v>1743</v>
      </c>
      <c r="C83" s="430" t="s">
        <v>71</v>
      </c>
      <c r="D83" s="430" t="s">
        <v>1744</v>
      </c>
      <c r="E83" s="430" t="s">
        <v>1708</v>
      </c>
      <c r="F83" s="430"/>
      <c r="G83" s="432" t="s">
        <v>82</v>
      </c>
      <c r="H83" s="433">
        <v>0.735</v>
      </c>
      <c r="I83" s="433">
        <v>0</v>
      </c>
      <c r="J83" s="446">
        <v>37.51</v>
      </c>
      <c r="K83" s="446">
        <v>27.56</v>
      </c>
    </row>
    <row r="84" customHeight="1" spans="1:11">
      <c r="A84" s="430" t="s">
        <v>1724</v>
      </c>
      <c r="B84" s="431" t="s">
        <v>1805</v>
      </c>
      <c r="C84" s="430" t="s">
        <v>71</v>
      </c>
      <c r="D84" s="430" t="s">
        <v>1806</v>
      </c>
      <c r="E84" s="430" t="s">
        <v>1795</v>
      </c>
      <c r="F84" s="430"/>
      <c r="G84" s="432" t="s">
        <v>1796</v>
      </c>
      <c r="H84" s="433">
        <v>0.0066</v>
      </c>
      <c r="I84" s="433">
        <v>0</v>
      </c>
      <c r="J84" s="446">
        <v>41.6</v>
      </c>
      <c r="K84" s="446">
        <v>0.27</v>
      </c>
    </row>
    <row r="85" customHeight="1" spans="1:11">
      <c r="A85" s="438" t="s">
        <v>1750</v>
      </c>
      <c r="B85" s="439" t="s">
        <v>1807</v>
      </c>
      <c r="C85" s="438" t="s">
        <v>71</v>
      </c>
      <c r="D85" s="438" t="s">
        <v>1808</v>
      </c>
      <c r="E85" s="438" t="s">
        <v>1631</v>
      </c>
      <c r="F85" s="438"/>
      <c r="G85" s="440" t="s">
        <v>78</v>
      </c>
      <c r="H85" s="441">
        <v>1.2273</v>
      </c>
      <c r="I85" s="441">
        <v>0</v>
      </c>
      <c r="J85" s="449">
        <v>8.79</v>
      </c>
      <c r="K85" s="449">
        <v>10.78</v>
      </c>
    </row>
    <row r="86" customHeight="1" spans="1:11">
      <c r="A86" s="438" t="s">
        <v>1750</v>
      </c>
      <c r="B86" s="439" t="s">
        <v>1809</v>
      </c>
      <c r="C86" s="438" t="s">
        <v>71</v>
      </c>
      <c r="D86" s="438" t="s">
        <v>1810</v>
      </c>
      <c r="E86" s="438" t="s">
        <v>1631</v>
      </c>
      <c r="F86" s="438"/>
      <c r="G86" s="440" t="s">
        <v>73</v>
      </c>
      <c r="H86" s="441">
        <v>0.5853</v>
      </c>
      <c r="I86" s="441">
        <v>0</v>
      </c>
      <c r="J86" s="449">
        <v>58.31</v>
      </c>
      <c r="K86" s="449">
        <v>34.12</v>
      </c>
    </row>
    <row r="87" customHeight="1" spans="1:11">
      <c r="A87" s="438" t="s">
        <v>1750</v>
      </c>
      <c r="B87" s="439" t="s">
        <v>1811</v>
      </c>
      <c r="C87" s="438" t="s">
        <v>71</v>
      </c>
      <c r="D87" s="438" t="s">
        <v>1812</v>
      </c>
      <c r="E87" s="438" t="s">
        <v>1631</v>
      </c>
      <c r="F87" s="438"/>
      <c r="G87" s="440" t="s">
        <v>78</v>
      </c>
      <c r="H87" s="441">
        <v>2</v>
      </c>
      <c r="I87" s="441">
        <v>0</v>
      </c>
      <c r="J87" s="449">
        <v>6.27</v>
      </c>
      <c r="K87" s="449">
        <v>12.54</v>
      </c>
    </row>
    <row r="88" customHeight="1" spans="1:11">
      <c r="A88" s="438" t="s">
        <v>1750</v>
      </c>
      <c r="B88" s="439" t="s">
        <v>1813</v>
      </c>
      <c r="C88" s="438" t="s">
        <v>71</v>
      </c>
      <c r="D88" s="438" t="s">
        <v>1814</v>
      </c>
      <c r="E88" s="438" t="s">
        <v>1631</v>
      </c>
      <c r="F88" s="438"/>
      <c r="G88" s="440" t="s">
        <v>158</v>
      </c>
      <c r="H88" s="441">
        <v>0.068</v>
      </c>
      <c r="I88" s="441">
        <v>0</v>
      </c>
      <c r="J88" s="449">
        <v>18.07</v>
      </c>
      <c r="K88" s="449">
        <v>1.22</v>
      </c>
    </row>
    <row r="89" customHeight="1" spans="1:11">
      <c r="A89" s="434"/>
      <c r="B89" s="434"/>
      <c r="C89" s="434"/>
      <c r="D89" s="434"/>
      <c r="E89" s="434"/>
      <c r="F89" s="434" t="s">
        <v>1735</v>
      </c>
      <c r="G89" s="435">
        <v>16.76</v>
      </c>
      <c r="H89" s="434" t="s">
        <v>1736</v>
      </c>
      <c r="I89" s="435">
        <v>15.23</v>
      </c>
      <c r="J89" s="434" t="s">
        <v>1737</v>
      </c>
      <c r="K89" s="435">
        <v>31.99</v>
      </c>
    </row>
    <row r="90" customHeight="1" spans="1:11">
      <c r="A90" s="434"/>
      <c r="B90" s="434"/>
      <c r="C90" s="434"/>
      <c r="D90" s="434"/>
      <c r="E90" s="434"/>
      <c r="F90" s="434" t="s">
        <v>1738</v>
      </c>
      <c r="G90" s="435">
        <v>25.91</v>
      </c>
      <c r="H90" s="434"/>
      <c r="I90" s="434" t="s">
        <v>1739</v>
      </c>
      <c r="J90" s="434"/>
      <c r="K90" s="435">
        <v>130.99</v>
      </c>
    </row>
    <row r="91" customHeight="1" spans="1:11">
      <c r="A91" s="436"/>
      <c r="B91" s="436"/>
      <c r="C91" s="436"/>
      <c r="D91" s="436"/>
      <c r="E91" s="436"/>
      <c r="F91" s="436"/>
      <c r="G91" s="436"/>
      <c r="H91" s="436" t="s">
        <v>1740</v>
      </c>
      <c r="I91" s="447" t="s">
        <v>1815</v>
      </c>
      <c r="J91" s="436" t="s">
        <v>1742</v>
      </c>
      <c r="K91" s="448">
        <v>93183.66</v>
      </c>
    </row>
    <row r="92" customHeight="1" spans="1:11">
      <c r="A92" s="437"/>
      <c r="B92" s="437"/>
      <c r="C92" s="437"/>
      <c r="D92" s="437"/>
      <c r="E92" s="437"/>
      <c r="F92" s="437"/>
      <c r="G92" s="437"/>
      <c r="H92" s="437"/>
      <c r="I92" s="437"/>
      <c r="J92" s="437"/>
      <c r="K92" s="437"/>
    </row>
    <row r="93" customHeight="1" spans="1:11">
      <c r="A93" s="423" t="s">
        <v>90</v>
      </c>
      <c r="B93" s="424" t="s">
        <v>1714</v>
      </c>
      <c r="C93" s="423" t="s">
        <v>1715</v>
      </c>
      <c r="D93" s="423" t="s">
        <v>1716</v>
      </c>
      <c r="E93" s="423" t="s">
        <v>1717</v>
      </c>
      <c r="F93" s="423"/>
      <c r="G93" s="425" t="s">
        <v>1718</v>
      </c>
      <c r="H93" s="424" t="s">
        <v>1719</v>
      </c>
      <c r="I93" s="424" t="s">
        <v>1720</v>
      </c>
      <c r="J93" s="424" t="s">
        <v>1721</v>
      </c>
      <c r="K93" s="424" t="s">
        <v>1722</v>
      </c>
    </row>
    <row r="94" customHeight="1" spans="1:11">
      <c r="A94" s="426" t="s">
        <v>1723</v>
      </c>
      <c r="B94" s="427" t="s">
        <v>91</v>
      </c>
      <c r="C94" s="426" t="s">
        <v>76</v>
      </c>
      <c r="D94" s="426" t="s">
        <v>92</v>
      </c>
      <c r="E94" s="426">
        <v>2</v>
      </c>
      <c r="F94" s="426"/>
      <c r="G94" s="428" t="s">
        <v>93</v>
      </c>
      <c r="H94" s="429">
        <v>1</v>
      </c>
      <c r="I94" s="445"/>
      <c r="J94" s="445">
        <v>1250</v>
      </c>
      <c r="K94" s="445">
        <v>1250</v>
      </c>
    </row>
    <row r="95" customHeight="1" spans="1:11">
      <c r="A95" s="438" t="s">
        <v>1750</v>
      </c>
      <c r="B95" s="439" t="s">
        <v>1816</v>
      </c>
      <c r="C95" s="438" t="s">
        <v>76</v>
      </c>
      <c r="D95" s="438" t="s">
        <v>1817</v>
      </c>
      <c r="E95" s="438" t="s">
        <v>1631</v>
      </c>
      <c r="F95" s="438"/>
      <c r="G95" s="440" t="s">
        <v>1818</v>
      </c>
      <c r="H95" s="441">
        <v>1</v>
      </c>
      <c r="I95" s="441">
        <v>0</v>
      </c>
      <c r="J95" s="449">
        <v>1250</v>
      </c>
      <c r="K95" s="449">
        <v>1250</v>
      </c>
    </row>
    <row r="96" customHeight="1" spans="1:11">
      <c r="A96" s="434"/>
      <c r="B96" s="434"/>
      <c r="C96" s="434"/>
      <c r="D96" s="434"/>
      <c r="E96" s="434"/>
      <c r="F96" s="434" t="s">
        <v>1735</v>
      </c>
      <c r="G96" s="435">
        <v>0</v>
      </c>
      <c r="H96" s="434" t="s">
        <v>1736</v>
      </c>
      <c r="I96" s="435">
        <v>0</v>
      </c>
      <c r="J96" s="434" t="s">
        <v>1737</v>
      </c>
      <c r="K96" s="435">
        <v>0</v>
      </c>
    </row>
    <row r="97" customHeight="1" spans="1:11">
      <c r="A97" s="434"/>
      <c r="B97" s="434"/>
      <c r="C97" s="434"/>
      <c r="D97" s="434"/>
      <c r="E97" s="434"/>
      <c r="F97" s="434" t="s">
        <v>1738</v>
      </c>
      <c r="G97" s="435">
        <v>308.25</v>
      </c>
      <c r="H97" s="434"/>
      <c r="I97" s="434" t="s">
        <v>1739</v>
      </c>
      <c r="J97" s="434"/>
      <c r="K97" s="435">
        <v>1558.25</v>
      </c>
    </row>
    <row r="98" customHeight="1" spans="1:11">
      <c r="A98" s="436"/>
      <c r="B98" s="436"/>
      <c r="C98" s="436"/>
      <c r="D98" s="436"/>
      <c r="E98" s="436"/>
      <c r="F98" s="436"/>
      <c r="G98" s="436"/>
      <c r="H98" s="436" t="s">
        <v>1740</v>
      </c>
      <c r="I98" s="447" t="s">
        <v>1819</v>
      </c>
      <c r="J98" s="436" t="s">
        <v>1742</v>
      </c>
      <c r="K98" s="448">
        <v>20257.25</v>
      </c>
    </row>
    <row r="99" customHeight="1" spans="1:11">
      <c r="A99" s="437"/>
      <c r="B99" s="437"/>
      <c r="C99" s="437"/>
      <c r="D99" s="437"/>
      <c r="E99" s="437"/>
      <c r="F99" s="437"/>
      <c r="G99" s="437"/>
      <c r="H99" s="437"/>
      <c r="I99" s="437"/>
      <c r="J99" s="437"/>
      <c r="K99" s="437"/>
    </row>
    <row r="100" customHeight="1" spans="1:11">
      <c r="A100" s="423" t="s">
        <v>94</v>
      </c>
      <c r="B100" s="424" t="s">
        <v>1714</v>
      </c>
      <c r="C100" s="423" t="s">
        <v>1715</v>
      </c>
      <c r="D100" s="423" t="s">
        <v>1716</v>
      </c>
      <c r="E100" s="423" t="s">
        <v>1717</v>
      </c>
      <c r="F100" s="423"/>
      <c r="G100" s="425" t="s">
        <v>1718</v>
      </c>
      <c r="H100" s="424" t="s">
        <v>1719</v>
      </c>
      <c r="I100" s="424" t="s">
        <v>1720</v>
      </c>
      <c r="J100" s="424" t="s">
        <v>1721</v>
      </c>
      <c r="K100" s="424" t="s">
        <v>1722</v>
      </c>
    </row>
    <row r="101" customHeight="1" spans="1:11">
      <c r="A101" s="426" t="s">
        <v>1723</v>
      </c>
      <c r="B101" s="427" t="s">
        <v>95</v>
      </c>
      <c r="C101" s="426" t="s">
        <v>76</v>
      </c>
      <c r="D101" s="426" t="s">
        <v>96</v>
      </c>
      <c r="E101" s="426">
        <v>2</v>
      </c>
      <c r="F101" s="426"/>
      <c r="G101" s="428" t="s">
        <v>93</v>
      </c>
      <c r="H101" s="429">
        <v>1</v>
      </c>
      <c r="I101" s="445"/>
      <c r="J101" s="445">
        <v>1850</v>
      </c>
      <c r="K101" s="445">
        <v>1850</v>
      </c>
    </row>
    <row r="102" customHeight="1" spans="1:11">
      <c r="A102" s="438" t="s">
        <v>1750</v>
      </c>
      <c r="B102" s="439" t="s">
        <v>1820</v>
      </c>
      <c r="C102" s="438" t="s">
        <v>76</v>
      </c>
      <c r="D102" s="438" t="s">
        <v>1821</v>
      </c>
      <c r="E102" s="438" t="s">
        <v>1631</v>
      </c>
      <c r="F102" s="438"/>
      <c r="G102" s="440" t="s">
        <v>1818</v>
      </c>
      <c r="H102" s="441">
        <v>1</v>
      </c>
      <c r="I102" s="441">
        <v>0</v>
      </c>
      <c r="J102" s="449">
        <v>1850</v>
      </c>
      <c r="K102" s="449">
        <v>1850</v>
      </c>
    </row>
    <row r="103" customHeight="1" spans="1:11">
      <c r="A103" s="434"/>
      <c r="B103" s="434"/>
      <c r="C103" s="434"/>
      <c r="D103" s="434"/>
      <c r="E103" s="434"/>
      <c r="F103" s="434" t="s">
        <v>1735</v>
      </c>
      <c r="G103" s="435">
        <v>0</v>
      </c>
      <c r="H103" s="434" t="s">
        <v>1736</v>
      </c>
      <c r="I103" s="435">
        <v>0</v>
      </c>
      <c r="J103" s="434" t="s">
        <v>1737</v>
      </c>
      <c r="K103" s="435">
        <v>0</v>
      </c>
    </row>
    <row r="104" customHeight="1" spans="1:11">
      <c r="A104" s="434"/>
      <c r="B104" s="434"/>
      <c r="C104" s="434"/>
      <c r="D104" s="434"/>
      <c r="E104" s="434"/>
      <c r="F104" s="434" t="s">
        <v>1738</v>
      </c>
      <c r="G104" s="435">
        <v>456.21</v>
      </c>
      <c r="H104" s="434"/>
      <c r="I104" s="434" t="s">
        <v>1739</v>
      </c>
      <c r="J104" s="434"/>
      <c r="K104" s="435">
        <v>2306.21</v>
      </c>
    </row>
    <row r="105" customHeight="1" spans="1:11">
      <c r="A105" s="436"/>
      <c r="B105" s="436"/>
      <c r="C105" s="436"/>
      <c r="D105" s="436"/>
      <c r="E105" s="436"/>
      <c r="F105" s="436"/>
      <c r="G105" s="436"/>
      <c r="H105" s="436" t="s">
        <v>1740</v>
      </c>
      <c r="I105" s="447" t="s">
        <v>1819</v>
      </c>
      <c r="J105" s="436" t="s">
        <v>1742</v>
      </c>
      <c r="K105" s="448">
        <v>29980.73</v>
      </c>
    </row>
    <row r="106" customHeight="1" spans="1:11">
      <c r="A106" s="437"/>
      <c r="B106" s="437"/>
      <c r="C106" s="437"/>
      <c r="D106" s="437"/>
      <c r="E106" s="437"/>
      <c r="F106" s="437"/>
      <c r="G106" s="437"/>
      <c r="H106" s="437"/>
      <c r="I106" s="437"/>
      <c r="J106" s="437"/>
      <c r="K106" s="437"/>
    </row>
    <row r="107" customHeight="1" spans="1:11">
      <c r="A107" s="423" t="s">
        <v>97</v>
      </c>
      <c r="B107" s="424" t="s">
        <v>1714</v>
      </c>
      <c r="C107" s="423" t="s">
        <v>1715</v>
      </c>
      <c r="D107" s="423" t="s">
        <v>1716</v>
      </c>
      <c r="E107" s="423" t="s">
        <v>1717</v>
      </c>
      <c r="F107" s="423"/>
      <c r="G107" s="425" t="s">
        <v>1718</v>
      </c>
      <c r="H107" s="424" t="s">
        <v>1719</v>
      </c>
      <c r="I107" s="424" t="s">
        <v>1720</v>
      </c>
      <c r="J107" s="424" t="s">
        <v>1721</v>
      </c>
      <c r="K107" s="424" t="s">
        <v>1722</v>
      </c>
    </row>
    <row r="108" customHeight="1" spans="1:11">
      <c r="A108" s="426" t="s">
        <v>1723</v>
      </c>
      <c r="B108" s="427" t="s">
        <v>98</v>
      </c>
      <c r="C108" s="426" t="s">
        <v>99</v>
      </c>
      <c r="D108" s="426" t="s">
        <v>100</v>
      </c>
      <c r="E108" s="426" t="s">
        <v>1635</v>
      </c>
      <c r="F108" s="426"/>
      <c r="G108" s="428" t="s">
        <v>101</v>
      </c>
      <c r="H108" s="429">
        <v>1</v>
      </c>
      <c r="I108" s="445"/>
      <c r="J108" s="445">
        <v>3264</v>
      </c>
      <c r="K108" s="445">
        <v>3264</v>
      </c>
    </row>
    <row r="109" customHeight="1" spans="1:11">
      <c r="A109" s="438" t="s">
        <v>1750</v>
      </c>
      <c r="B109" s="439" t="s">
        <v>1822</v>
      </c>
      <c r="C109" s="438" t="s">
        <v>99</v>
      </c>
      <c r="D109" s="438" t="s">
        <v>1823</v>
      </c>
      <c r="E109" s="438" t="s">
        <v>1631</v>
      </c>
      <c r="F109" s="438"/>
      <c r="G109" s="440" t="s">
        <v>101</v>
      </c>
      <c r="H109" s="441">
        <v>1</v>
      </c>
      <c r="I109" s="441">
        <v>0</v>
      </c>
      <c r="J109" s="449">
        <v>3264</v>
      </c>
      <c r="K109" s="449">
        <v>3264</v>
      </c>
    </row>
    <row r="110" customHeight="1" spans="1:11">
      <c r="A110" s="434"/>
      <c r="B110" s="434"/>
      <c r="C110" s="434"/>
      <c r="D110" s="434"/>
      <c r="E110" s="434"/>
      <c r="F110" s="434" t="s">
        <v>1735</v>
      </c>
      <c r="G110" s="435">
        <v>0</v>
      </c>
      <c r="H110" s="434" t="s">
        <v>1736</v>
      </c>
      <c r="I110" s="435">
        <v>0</v>
      </c>
      <c r="J110" s="434" t="s">
        <v>1737</v>
      </c>
      <c r="K110" s="435">
        <v>0</v>
      </c>
    </row>
    <row r="111" customHeight="1" spans="1:11">
      <c r="A111" s="434"/>
      <c r="B111" s="434"/>
      <c r="C111" s="434"/>
      <c r="D111" s="434"/>
      <c r="E111" s="434"/>
      <c r="F111" s="434" t="s">
        <v>1738</v>
      </c>
      <c r="G111" s="435">
        <v>804.9</v>
      </c>
      <c r="H111" s="434"/>
      <c r="I111" s="434" t="s">
        <v>1739</v>
      </c>
      <c r="J111" s="434"/>
      <c r="K111" s="435">
        <v>4068.9</v>
      </c>
    </row>
    <row r="112" customHeight="1" spans="1:11">
      <c r="A112" s="436"/>
      <c r="B112" s="436"/>
      <c r="C112" s="436"/>
      <c r="D112" s="436"/>
      <c r="E112" s="436"/>
      <c r="F112" s="436"/>
      <c r="G112" s="436"/>
      <c r="H112" s="436" t="s">
        <v>1740</v>
      </c>
      <c r="I112" s="447" t="s">
        <v>1819</v>
      </c>
      <c r="J112" s="436" t="s">
        <v>1742</v>
      </c>
      <c r="K112" s="448">
        <v>52895.7</v>
      </c>
    </row>
    <row r="113" customHeight="1" spans="1:11">
      <c r="A113" s="437"/>
      <c r="B113" s="437"/>
      <c r="C113" s="437"/>
      <c r="D113" s="437"/>
      <c r="E113" s="437"/>
      <c r="F113" s="437"/>
      <c r="G113" s="437"/>
      <c r="H113" s="437"/>
      <c r="I113" s="437"/>
      <c r="J113" s="437"/>
      <c r="K113" s="437"/>
    </row>
    <row r="114" customHeight="1" spans="1:11">
      <c r="A114" s="423" t="s">
        <v>102</v>
      </c>
      <c r="B114" s="424" t="s">
        <v>1714</v>
      </c>
      <c r="C114" s="423" t="s">
        <v>1715</v>
      </c>
      <c r="D114" s="423" t="s">
        <v>1716</v>
      </c>
      <c r="E114" s="423" t="s">
        <v>1717</v>
      </c>
      <c r="F114" s="423"/>
      <c r="G114" s="425" t="s">
        <v>1718</v>
      </c>
      <c r="H114" s="424" t="s">
        <v>1719</v>
      </c>
      <c r="I114" s="424" t="s">
        <v>1720</v>
      </c>
      <c r="J114" s="424" t="s">
        <v>1721</v>
      </c>
      <c r="K114" s="424" t="s">
        <v>1722</v>
      </c>
    </row>
    <row r="115" customHeight="1" spans="1:11">
      <c r="A115" s="426" t="s">
        <v>1723</v>
      </c>
      <c r="B115" s="427" t="s">
        <v>103</v>
      </c>
      <c r="C115" s="426" t="s">
        <v>99</v>
      </c>
      <c r="D115" s="426" t="s">
        <v>104</v>
      </c>
      <c r="E115" s="426" t="s">
        <v>1680</v>
      </c>
      <c r="F115" s="426"/>
      <c r="G115" s="428" t="s">
        <v>105</v>
      </c>
      <c r="H115" s="429">
        <v>1</v>
      </c>
      <c r="I115" s="445"/>
      <c r="J115" s="445">
        <v>3156.75</v>
      </c>
      <c r="K115" s="445">
        <v>3156.75</v>
      </c>
    </row>
    <row r="116" customHeight="1" spans="1:11">
      <c r="A116" s="438" t="s">
        <v>1750</v>
      </c>
      <c r="B116" s="439" t="s">
        <v>1824</v>
      </c>
      <c r="C116" s="438" t="s">
        <v>99</v>
      </c>
      <c r="D116" s="438" t="s">
        <v>1825</v>
      </c>
      <c r="E116" s="438" t="s">
        <v>1764</v>
      </c>
      <c r="F116" s="438"/>
      <c r="G116" s="440" t="s">
        <v>82</v>
      </c>
      <c r="H116" s="441">
        <v>15.944</v>
      </c>
      <c r="I116" s="441">
        <v>0</v>
      </c>
      <c r="J116" s="449">
        <v>20.515752</v>
      </c>
      <c r="K116" s="449">
        <v>327.1</v>
      </c>
    </row>
    <row r="117" customHeight="1" spans="1:11">
      <c r="A117" s="438" t="s">
        <v>1750</v>
      </c>
      <c r="B117" s="439" t="s">
        <v>1826</v>
      </c>
      <c r="C117" s="438" t="s">
        <v>99</v>
      </c>
      <c r="D117" s="438" t="s">
        <v>1827</v>
      </c>
      <c r="E117" s="438" t="s">
        <v>1631</v>
      </c>
      <c r="F117" s="438"/>
      <c r="G117" s="440" t="s">
        <v>105</v>
      </c>
      <c r="H117" s="441">
        <v>1</v>
      </c>
      <c r="I117" s="441">
        <v>0</v>
      </c>
      <c r="J117" s="449">
        <v>5.75</v>
      </c>
      <c r="K117" s="449">
        <v>5.75</v>
      </c>
    </row>
    <row r="118" customHeight="1" spans="1:11">
      <c r="A118" s="438" t="s">
        <v>1750</v>
      </c>
      <c r="B118" s="439" t="s">
        <v>1828</v>
      </c>
      <c r="C118" s="438" t="s">
        <v>99</v>
      </c>
      <c r="D118" s="438" t="s">
        <v>1829</v>
      </c>
      <c r="E118" s="438" t="s">
        <v>1631</v>
      </c>
      <c r="F118" s="438"/>
      <c r="G118" s="440" t="s">
        <v>158</v>
      </c>
      <c r="H118" s="441">
        <v>26</v>
      </c>
      <c r="I118" s="441">
        <v>0</v>
      </c>
      <c r="J118" s="449">
        <v>0.68</v>
      </c>
      <c r="K118" s="449">
        <v>17.68</v>
      </c>
    </row>
    <row r="119" customHeight="1" spans="1:11">
      <c r="A119" s="438" t="s">
        <v>1750</v>
      </c>
      <c r="B119" s="439" t="s">
        <v>1830</v>
      </c>
      <c r="C119" s="438" t="s">
        <v>99</v>
      </c>
      <c r="D119" s="438" t="s">
        <v>1831</v>
      </c>
      <c r="E119" s="438" t="s">
        <v>1631</v>
      </c>
      <c r="F119" s="438"/>
      <c r="G119" s="440" t="s">
        <v>78</v>
      </c>
      <c r="H119" s="441">
        <v>0.8</v>
      </c>
      <c r="I119" s="441">
        <v>0</v>
      </c>
      <c r="J119" s="449">
        <v>0.73</v>
      </c>
      <c r="K119" s="449">
        <v>0.58</v>
      </c>
    </row>
    <row r="120" customHeight="1" spans="1:11">
      <c r="A120" s="438" t="s">
        <v>1750</v>
      </c>
      <c r="B120" s="439" t="s">
        <v>1832</v>
      </c>
      <c r="C120" s="438" t="s">
        <v>99</v>
      </c>
      <c r="D120" s="438" t="s">
        <v>1833</v>
      </c>
      <c r="E120" s="438" t="s">
        <v>1764</v>
      </c>
      <c r="F120" s="438"/>
      <c r="G120" s="440" t="s">
        <v>82</v>
      </c>
      <c r="H120" s="441">
        <v>15.944</v>
      </c>
      <c r="I120" s="441">
        <v>0</v>
      </c>
      <c r="J120" s="449">
        <v>26.928256</v>
      </c>
      <c r="K120" s="449">
        <v>429.34</v>
      </c>
    </row>
    <row r="121" customHeight="1" spans="1:11">
      <c r="A121" s="438" t="s">
        <v>1750</v>
      </c>
      <c r="B121" s="439" t="s">
        <v>1834</v>
      </c>
      <c r="C121" s="438" t="s">
        <v>99</v>
      </c>
      <c r="D121" s="438" t="s">
        <v>1835</v>
      </c>
      <c r="E121" s="438" t="s">
        <v>1631</v>
      </c>
      <c r="F121" s="438"/>
      <c r="G121" s="440" t="s">
        <v>78</v>
      </c>
      <c r="H121" s="441">
        <v>9</v>
      </c>
      <c r="I121" s="441">
        <v>0</v>
      </c>
      <c r="J121" s="449">
        <v>4.1</v>
      </c>
      <c r="K121" s="449">
        <v>36.9</v>
      </c>
    </row>
    <row r="122" customHeight="1" spans="1:11">
      <c r="A122" s="438" t="s">
        <v>1750</v>
      </c>
      <c r="B122" s="439" t="s">
        <v>1836</v>
      </c>
      <c r="C122" s="438" t="s">
        <v>99</v>
      </c>
      <c r="D122" s="438" t="s">
        <v>1837</v>
      </c>
      <c r="E122" s="438" t="s">
        <v>1631</v>
      </c>
      <c r="F122" s="438"/>
      <c r="G122" s="440" t="s">
        <v>129</v>
      </c>
      <c r="H122" s="441">
        <v>0.007</v>
      </c>
      <c r="I122" s="441">
        <v>0</v>
      </c>
      <c r="J122" s="449">
        <v>108.18</v>
      </c>
      <c r="K122" s="449">
        <v>0.75</v>
      </c>
    </row>
    <row r="123" customHeight="1" spans="1:11">
      <c r="A123" s="438" t="s">
        <v>1750</v>
      </c>
      <c r="B123" s="439" t="s">
        <v>1838</v>
      </c>
      <c r="C123" s="438" t="s">
        <v>99</v>
      </c>
      <c r="D123" s="438" t="s">
        <v>1839</v>
      </c>
      <c r="E123" s="438" t="s">
        <v>1631</v>
      </c>
      <c r="F123" s="438"/>
      <c r="G123" s="440" t="s">
        <v>105</v>
      </c>
      <c r="H123" s="441">
        <v>1</v>
      </c>
      <c r="I123" s="441">
        <v>0</v>
      </c>
      <c r="J123" s="449">
        <v>88.9</v>
      </c>
      <c r="K123" s="449">
        <v>88.9</v>
      </c>
    </row>
    <row r="124" customHeight="1" spans="1:11">
      <c r="A124" s="438" t="s">
        <v>1750</v>
      </c>
      <c r="B124" s="439" t="s">
        <v>1840</v>
      </c>
      <c r="C124" s="438" t="s">
        <v>99</v>
      </c>
      <c r="D124" s="438" t="s">
        <v>1841</v>
      </c>
      <c r="E124" s="438" t="s">
        <v>1631</v>
      </c>
      <c r="F124" s="438"/>
      <c r="G124" s="440" t="s">
        <v>105</v>
      </c>
      <c r="H124" s="441">
        <v>1</v>
      </c>
      <c r="I124" s="441">
        <v>0</v>
      </c>
      <c r="J124" s="449">
        <v>1197.45</v>
      </c>
      <c r="K124" s="449">
        <v>1197.45</v>
      </c>
    </row>
    <row r="125" customHeight="1" spans="1:11">
      <c r="A125" s="438" t="s">
        <v>1750</v>
      </c>
      <c r="B125" s="439" t="s">
        <v>1842</v>
      </c>
      <c r="C125" s="438" t="s">
        <v>99</v>
      </c>
      <c r="D125" s="438" t="s">
        <v>1843</v>
      </c>
      <c r="E125" s="438" t="s">
        <v>1631</v>
      </c>
      <c r="F125" s="438"/>
      <c r="G125" s="440" t="s">
        <v>78</v>
      </c>
      <c r="H125" s="441">
        <v>3</v>
      </c>
      <c r="I125" s="441">
        <v>0</v>
      </c>
      <c r="J125" s="449">
        <v>25.79</v>
      </c>
      <c r="K125" s="449">
        <v>77.37</v>
      </c>
    </row>
    <row r="126" customHeight="1" spans="1:11">
      <c r="A126" s="438" t="s">
        <v>1750</v>
      </c>
      <c r="B126" s="439" t="s">
        <v>1844</v>
      </c>
      <c r="C126" s="438" t="s">
        <v>99</v>
      </c>
      <c r="D126" s="438" t="s">
        <v>1845</v>
      </c>
      <c r="E126" s="438" t="s">
        <v>1631</v>
      </c>
      <c r="F126" s="438"/>
      <c r="G126" s="440" t="s">
        <v>105</v>
      </c>
      <c r="H126" s="441">
        <v>1</v>
      </c>
      <c r="I126" s="441">
        <v>0</v>
      </c>
      <c r="J126" s="449">
        <v>2.23</v>
      </c>
      <c r="K126" s="449">
        <v>2.23</v>
      </c>
    </row>
    <row r="127" customHeight="1" spans="1:11">
      <c r="A127" s="438" t="s">
        <v>1750</v>
      </c>
      <c r="B127" s="439" t="s">
        <v>1846</v>
      </c>
      <c r="C127" s="438" t="s">
        <v>99</v>
      </c>
      <c r="D127" s="438" t="s">
        <v>1847</v>
      </c>
      <c r="E127" s="438" t="s">
        <v>1631</v>
      </c>
      <c r="F127" s="438"/>
      <c r="G127" s="440" t="s">
        <v>105</v>
      </c>
      <c r="H127" s="441">
        <v>2</v>
      </c>
      <c r="I127" s="441">
        <v>0</v>
      </c>
      <c r="J127" s="449">
        <v>79.89</v>
      </c>
      <c r="K127" s="449">
        <v>159.78</v>
      </c>
    </row>
    <row r="128" customHeight="1" spans="1:11">
      <c r="A128" s="438" t="s">
        <v>1750</v>
      </c>
      <c r="B128" s="439" t="s">
        <v>1848</v>
      </c>
      <c r="C128" s="438" t="s">
        <v>99</v>
      </c>
      <c r="D128" s="438" t="s">
        <v>1849</v>
      </c>
      <c r="E128" s="438" t="s">
        <v>1764</v>
      </c>
      <c r="F128" s="438"/>
      <c r="G128" s="440" t="s">
        <v>82</v>
      </c>
      <c r="H128" s="441">
        <v>34.44</v>
      </c>
      <c r="I128" s="441">
        <v>0</v>
      </c>
      <c r="J128" s="449">
        <v>19.471856</v>
      </c>
      <c r="K128" s="449">
        <v>670.61</v>
      </c>
    </row>
    <row r="129" customHeight="1" spans="1:11">
      <c r="A129" s="438" t="s">
        <v>1750</v>
      </c>
      <c r="B129" s="439" t="s">
        <v>1850</v>
      </c>
      <c r="C129" s="438" t="s">
        <v>99</v>
      </c>
      <c r="D129" s="438" t="s">
        <v>1851</v>
      </c>
      <c r="E129" s="438" t="s">
        <v>1764</v>
      </c>
      <c r="F129" s="438"/>
      <c r="G129" s="440" t="s">
        <v>82</v>
      </c>
      <c r="H129" s="441">
        <v>4.89</v>
      </c>
      <c r="I129" s="441">
        <v>0</v>
      </c>
      <c r="J129" s="449">
        <v>28.994744</v>
      </c>
      <c r="K129" s="449">
        <v>141.78</v>
      </c>
    </row>
    <row r="130" customHeight="1" spans="1:11">
      <c r="A130" s="438" t="s">
        <v>1750</v>
      </c>
      <c r="B130" s="439" t="s">
        <v>1852</v>
      </c>
      <c r="C130" s="438" t="s">
        <v>99</v>
      </c>
      <c r="D130" s="438" t="s">
        <v>1853</v>
      </c>
      <c r="E130" s="438" t="s">
        <v>1631</v>
      </c>
      <c r="F130" s="438"/>
      <c r="G130" s="440" t="s">
        <v>129</v>
      </c>
      <c r="H130" s="441">
        <v>0.006</v>
      </c>
      <c r="I130" s="441">
        <v>0</v>
      </c>
      <c r="J130" s="449">
        <v>88.64</v>
      </c>
      <c r="K130" s="449">
        <v>0.53</v>
      </c>
    </row>
    <row r="131" customHeight="1" spans="1:11">
      <c r="A131" s="434"/>
      <c r="B131" s="434"/>
      <c r="C131" s="434"/>
      <c r="D131" s="434"/>
      <c r="E131" s="434"/>
      <c r="F131" s="434" t="s">
        <v>1735</v>
      </c>
      <c r="G131" s="435">
        <v>822.1</v>
      </c>
      <c r="H131" s="434" t="s">
        <v>1736</v>
      </c>
      <c r="I131" s="435">
        <v>746.73</v>
      </c>
      <c r="J131" s="434" t="s">
        <v>1737</v>
      </c>
      <c r="K131" s="435">
        <v>1568.83</v>
      </c>
    </row>
    <row r="132" customHeight="1" spans="1:11">
      <c r="A132" s="434"/>
      <c r="B132" s="434"/>
      <c r="C132" s="434"/>
      <c r="D132" s="434"/>
      <c r="E132" s="434"/>
      <c r="F132" s="434" t="s">
        <v>1738</v>
      </c>
      <c r="G132" s="435">
        <v>778.45</v>
      </c>
      <c r="H132" s="434"/>
      <c r="I132" s="434" t="s">
        <v>1739</v>
      </c>
      <c r="J132" s="434"/>
      <c r="K132" s="435">
        <v>3935.2</v>
      </c>
    </row>
    <row r="133" customHeight="1" spans="1:11">
      <c r="A133" s="436"/>
      <c r="B133" s="436"/>
      <c r="C133" s="436"/>
      <c r="D133" s="436"/>
      <c r="E133" s="436"/>
      <c r="F133" s="436"/>
      <c r="G133" s="436"/>
      <c r="H133" s="436" t="s">
        <v>1740</v>
      </c>
      <c r="I133" s="447" t="s">
        <v>1741</v>
      </c>
      <c r="J133" s="436" t="s">
        <v>1742</v>
      </c>
      <c r="K133" s="448">
        <v>3935.2</v>
      </c>
    </row>
    <row r="134" customHeight="1" spans="1:11">
      <c r="A134" s="437"/>
      <c r="B134" s="437"/>
      <c r="C134" s="437"/>
      <c r="D134" s="437"/>
      <c r="E134" s="437"/>
      <c r="F134" s="437"/>
      <c r="G134" s="437"/>
      <c r="H134" s="437"/>
      <c r="I134" s="437"/>
      <c r="J134" s="437"/>
      <c r="K134" s="437"/>
    </row>
    <row r="135" customHeight="1" spans="1:11">
      <c r="A135" s="423" t="s">
        <v>106</v>
      </c>
      <c r="B135" s="424" t="s">
        <v>1714</v>
      </c>
      <c r="C135" s="423" t="s">
        <v>1715</v>
      </c>
      <c r="D135" s="423" t="s">
        <v>1716</v>
      </c>
      <c r="E135" s="423" t="s">
        <v>1717</v>
      </c>
      <c r="F135" s="423"/>
      <c r="G135" s="425" t="s">
        <v>1718</v>
      </c>
      <c r="H135" s="424" t="s">
        <v>1719</v>
      </c>
      <c r="I135" s="424" t="s">
        <v>1720</v>
      </c>
      <c r="J135" s="424" t="s">
        <v>1721</v>
      </c>
      <c r="K135" s="424" t="s">
        <v>1722</v>
      </c>
    </row>
    <row r="136" customHeight="1" spans="1:11">
      <c r="A136" s="426" t="s">
        <v>1723</v>
      </c>
      <c r="B136" s="427" t="s">
        <v>107</v>
      </c>
      <c r="C136" s="426" t="s">
        <v>65</v>
      </c>
      <c r="D136" s="426" t="s">
        <v>108</v>
      </c>
      <c r="E136" s="426" t="s">
        <v>1686</v>
      </c>
      <c r="F136" s="426"/>
      <c r="G136" s="428" t="s">
        <v>105</v>
      </c>
      <c r="H136" s="429">
        <v>1</v>
      </c>
      <c r="I136" s="445"/>
      <c r="J136" s="445">
        <v>2636.95</v>
      </c>
      <c r="K136" s="445">
        <v>2636.95</v>
      </c>
    </row>
    <row r="137" customHeight="1" spans="1:11">
      <c r="A137" s="430" t="s">
        <v>1724</v>
      </c>
      <c r="B137" s="431" t="s">
        <v>1854</v>
      </c>
      <c r="C137" s="430" t="s">
        <v>71</v>
      </c>
      <c r="D137" s="430" t="s">
        <v>1855</v>
      </c>
      <c r="E137" s="430" t="s">
        <v>1708</v>
      </c>
      <c r="F137" s="430"/>
      <c r="G137" s="432" t="s">
        <v>82</v>
      </c>
      <c r="H137" s="433">
        <v>2.5</v>
      </c>
      <c r="I137" s="433">
        <v>0</v>
      </c>
      <c r="J137" s="446">
        <v>35.55</v>
      </c>
      <c r="K137" s="446">
        <v>88.87</v>
      </c>
    </row>
    <row r="138" customHeight="1" spans="1:11">
      <c r="A138" s="430" t="s">
        <v>1724</v>
      </c>
      <c r="B138" s="431" t="s">
        <v>1856</v>
      </c>
      <c r="C138" s="430" t="s">
        <v>71</v>
      </c>
      <c r="D138" s="430" t="s">
        <v>1857</v>
      </c>
      <c r="E138" s="430" t="s">
        <v>1858</v>
      </c>
      <c r="F138" s="430"/>
      <c r="G138" s="432" t="s">
        <v>105</v>
      </c>
      <c r="H138" s="433">
        <v>1</v>
      </c>
      <c r="I138" s="433">
        <v>0</v>
      </c>
      <c r="J138" s="446">
        <v>1253.56</v>
      </c>
      <c r="K138" s="446">
        <v>1253.56</v>
      </c>
    </row>
    <row r="139" customHeight="1" spans="1:11">
      <c r="A139" s="430" t="s">
        <v>1724</v>
      </c>
      <c r="B139" s="431" t="s">
        <v>1859</v>
      </c>
      <c r="C139" s="430" t="s">
        <v>71</v>
      </c>
      <c r="D139" s="430" t="s">
        <v>1860</v>
      </c>
      <c r="E139" s="430" t="s">
        <v>1708</v>
      </c>
      <c r="F139" s="430"/>
      <c r="G139" s="432" t="s">
        <v>82</v>
      </c>
      <c r="H139" s="433">
        <v>2.5</v>
      </c>
      <c r="I139" s="433">
        <v>0</v>
      </c>
      <c r="J139" s="446">
        <v>29.54</v>
      </c>
      <c r="K139" s="446">
        <v>73.85</v>
      </c>
    </row>
    <row r="140" customHeight="1" spans="1:11">
      <c r="A140" s="438" t="s">
        <v>1750</v>
      </c>
      <c r="B140" s="439" t="s">
        <v>1861</v>
      </c>
      <c r="C140" s="438" t="s">
        <v>71</v>
      </c>
      <c r="D140" s="438" t="s">
        <v>1862</v>
      </c>
      <c r="E140" s="438" t="s">
        <v>1631</v>
      </c>
      <c r="F140" s="438"/>
      <c r="G140" s="440" t="s">
        <v>105</v>
      </c>
      <c r="H140" s="441">
        <v>1</v>
      </c>
      <c r="I140" s="441">
        <v>0</v>
      </c>
      <c r="J140" s="449">
        <v>25.73</v>
      </c>
      <c r="K140" s="449">
        <v>25.73</v>
      </c>
    </row>
    <row r="141" customHeight="1" spans="1:11">
      <c r="A141" s="438" t="s">
        <v>1750</v>
      </c>
      <c r="B141" s="439" t="s">
        <v>1863</v>
      </c>
      <c r="C141" s="438" t="s">
        <v>71</v>
      </c>
      <c r="D141" s="438" t="s">
        <v>1864</v>
      </c>
      <c r="E141" s="438" t="s">
        <v>1631</v>
      </c>
      <c r="F141" s="438"/>
      <c r="G141" s="440" t="s">
        <v>105</v>
      </c>
      <c r="H141" s="441">
        <v>1</v>
      </c>
      <c r="I141" s="441">
        <v>0</v>
      </c>
      <c r="J141" s="449">
        <v>8.4</v>
      </c>
      <c r="K141" s="449">
        <v>8.4</v>
      </c>
    </row>
    <row r="142" customHeight="1" spans="1:11">
      <c r="A142" s="438" t="s">
        <v>1750</v>
      </c>
      <c r="B142" s="439" t="s">
        <v>1865</v>
      </c>
      <c r="C142" s="438" t="s">
        <v>71</v>
      </c>
      <c r="D142" s="438" t="s">
        <v>1866</v>
      </c>
      <c r="E142" s="438" t="s">
        <v>1631</v>
      </c>
      <c r="F142" s="438"/>
      <c r="G142" s="440" t="s">
        <v>105</v>
      </c>
      <c r="H142" s="441">
        <v>1</v>
      </c>
      <c r="I142" s="441">
        <v>0</v>
      </c>
      <c r="J142" s="449">
        <v>675.25</v>
      </c>
      <c r="K142" s="449">
        <v>675.25</v>
      </c>
    </row>
    <row r="143" customHeight="1" spans="1:11">
      <c r="A143" s="438" t="s">
        <v>1750</v>
      </c>
      <c r="B143" s="439" t="s">
        <v>1867</v>
      </c>
      <c r="C143" s="438" t="s">
        <v>71</v>
      </c>
      <c r="D143" s="438" t="s">
        <v>1868</v>
      </c>
      <c r="E143" s="438" t="s">
        <v>1631</v>
      </c>
      <c r="F143" s="438"/>
      <c r="G143" s="440" t="s">
        <v>105</v>
      </c>
      <c r="H143" s="441">
        <v>1</v>
      </c>
      <c r="I143" s="441">
        <v>0</v>
      </c>
      <c r="J143" s="449">
        <v>144.58</v>
      </c>
      <c r="K143" s="449">
        <v>144.58</v>
      </c>
    </row>
    <row r="144" customHeight="1" spans="1:11">
      <c r="A144" s="438" t="s">
        <v>1750</v>
      </c>
      <c r="B144" s="439" t="s">
        <v>1869</v>
      </c>
      <c r="C144" s="438" t="s">
        <v>71</v>
      </c>
      <c r="D144" s="438" t="s">
        <v>1870</v>
      </c>
      <c r="E144" s="438" t="s">
        <v>1631</v>
      </c>
      <c r="F144" s="438"/>
      <c r="G144" s="440" t="s">
        <v>105</v>
      </c>
      <c r="H144" s="441">
        <v>1</v>
      </c>
      <c r="I144" s="441">
        <v>0</v>
      </c>
      <c r="J144" s="449">
        <v>5.6</v>
      </c>
      <c r="K144" s="449">
        <v>5.6</v>
      </c>
    </row>
    <row r="145" customHeight="1" spans="1:11">
      <c r="A145" s="438" t="s">
        <v>1750</v>
      </c>
      <c r="B145" s="439" t="s">
        <v>1871</v>
      </c>
      <c r="C145" s="438" t="s">
        <v>71</v>
      </c>
      <c r="D145" s="438" t="s">
        <v>1872</v>
      </c>
      <c r="E145" s="438" t="s">
        <v>1631</v>
      </c>
      <c r="F145" s="438"/>
      <c r="G145" s="440" t="s">
        <v>78</v>
      </c>
      <c r="H145" s="441">
        <v>1</v>
      </c>
      <c r="I145" s="441">
        <v>0</v>
      </c>
      <c r="J145" s="449">
        <v>4.33</v>
      </c>
      <c r="K145" s="449">
        <v>4.33</v>
      </c>
    </row>
    <row r="146" customHeight="1" spans="1:11">
      <c r="A146" s="438" t="s">
        <v>1750</v>
      </c>
      <c r="B146" s="439" t="s">
        <v>1873</v>
      </c>
      <c r="C146" s="438" t="s">
        <v>71</v>
      </c>
      <c r="D146" s="438" t="s">
        <v>1874</v>
      </c>
      <c r="E146" s="438" t="s">
        <v>1631</v>
      </c>
      <c r="F146" s="438"/>
      <c r="G146" s="440" t="s">
        <v>105</v>
      </c>
      <c r="H146" s="441">
        <v>1</v>
      </c>
      <c r="I146" s="441">
        <v>0</v>
      </c>
      <c r="J146" s="449">
        <v>273.64</v>
      </c>
      <c r="K146" s="449">
        <v>273.64</v>
      </c>
    </row>
    <row r="147" customHeight="1" spans="1:11">
      <c r="A147" s="438" t="s">
        <v>1750</v>
      </c>
      <c r="B147" s="439" t="s">
        <v>1875</v>
      </c>
      <c r="C147" s="438" t="s">
        <v>71</v>
      </c>
      <c r="D147" s="438" t="s">
        <v>1876</v>
      </c>
      <c r="E147" s="438" t="s">
        <v>1631</v>
      </c>
      <c r="F147" s="438"/>
      <c r="G147" s="440" t="s">
        <v>105</v>
      </c>
      <c r="H147" s="441">
        <v>1</v>
      </c>
      <c r="I147" s="441">
        <v>0</v>
      </c>
      <c r="J147" s="449">
        <v>26.17</v>
      </c>
      <c r="K147" s="449">
        <v>26.17</v>
      </c>
    </row>
    <row r="148" customHeight="1" spans="1:11">
      <c r="A148" s="438" t="s">
        <v>1750</v>
      </c>
      <c r="B148" s="439" t="s">
        <v>1877</v>
      </c>
      <c r="C148" s="438" t="s">
        <v>71</v>
      </c>
      <c r="D148" s="438" t="s">
        <v>1878</v>
      </c>
      <c r="E148" s="438" t="s">
        <v>1631</v>
      </c>
      <c r="F148" s="438"/>
      <c r="G148" s="440" t="s">
        <v>78</v>
      </c>
      <c r="H148" s="441">
        <v>1</v>
      </c>
      <c r="I148" s="441">
        <v>0</v>
      </c>
      <c r="J148" s="449">
        <v>42.21</v>
      </c>
      <c r="K148" s="449">
        <v>42.21</v>
      </c>
    </row>
    <row r="149" customHeight="1" spans="1:11">
      <c r="A149" s="438" t="s">
        <v>1750</v>
      </c>
      <c r="B149" s="439" t="s">
        <v>1879</v>
      </c>
      <c r="C149" s="438" t="s">
        <v>71</v>
      </c>
      <c r="D149" s="438" t="s">
        <v>1880</v>
      </c>
      <c r="E149" s="438" t="s">
        <v>1631</v>
      </c>
      <c r="F149" s="438"/>
      <c r="G149" s="440" t="s">
        <v>105</v>
      </c>
      <c r="H149" s="441">
        <v>1</v>
      </c>
      <c r="I149" s="441">
        <v>0</v>
      </c>
      <c r="J149" s="449">
        <v>11.72</v>
      </c>
      <c r="K149" s="449">
        <v>11.72</v>
      </c>
    </row>
    <row r="150" customHeight="1" spans="1:11">
      <c r="A150" s="438" t="s">
        <v>1750</v>
      </c>
      <c r="B150" s="439" t="s">
        <v>1881</v>
      </c>
      <c r="C150" s="438" t="s">
        <v>71</v>
      </c>
      <c r="D150" s="438" t="s">
        <v>1882</v>
      </c>
      <c r="E150" s="438" t="s">
        <v>1631</v>
      </c>
      <c r="F150" s="438"/>
      <c r="G150" s="440" t="s">
        <v>105</v>
      </c>
      <c r="H150" s="441">
        <v>4</v>
      </c>
      <c r="I150" s="441">
        <v>0</v>
      </c>
      <c r="J150" s="449">
        <v>0.76</v>
      </c>
      <c r="K150" s="449">
        <v>3.04</v>
      </c>
    </row>
    <row r="151" customHeight="1" spans="1:11">
      <c r="A151" s="434"/>
      <c r="B151" s="434"/>
      <c r="C151" s="434"/>
      <c r="D151" s="434"/>
      <c r="E151" s="434"/>
      <c r="F151" s="434" t="s">
        <v>1735</v>
      </c>
      <c r="G151" s="435">
        <v>317.86</v>
      </c>
      <c r="H151" s="434" t="s">
        <v>1736</v>
      </c>
      <c r="I151" s="435">
        <v>288.72</v>
      </c>
      <c r="J151" s="434" t="s">
        <v>1737</v>
      </c>
      <c r="K151" s="435">
        <v>606.58</v>
      </c>
    </row>
    <row r="152" customHeight="1" spans="1:11">
      <c r="A152" s="434"/>
      <c r="B152" s="434"/>
      <c r="C152" s="434"/>
      <c r="D152" s="434"/>
      <c r="E152" s="434"/>
      <c r="F152" s="434" t="s">
        <v>1738</v>
      </c>
      <c r="G152" s="435">
        <v>650.27</v>
      </c>
      <c r="H152" s="434"/>
      <c r="I152" s="434" t="s">
        <v>1739</v>
      </c>
      <c r="J152" s="434"/>
      <c r="K152" s="435">
        <v>3287.22</v>
      </c>
    </row>
    <row r="153" customHeight="1" spans="1:11">
      <c r="A153" s="436"/>
      <c r="B153" s="436"/>
      <c r="C153" s="436"/>
      <c r="D153" s="436"/>
      <c r="E153" s="436"/>
      <c r="F153" s="436"/>
      <c r="G153" s="436"/>
      <c r="H153" s="436" t="s">
        <v>1740</v>
      </c>
      <c r="I153" s="447" t="s">
        <v>1741</v>
      </c>
      <c r="J153" s="436" t="s">
        <v>1742</v>
      </c>
      <c r="K153" s="448">
        <v>3287.22</v>
      </c>
    </row>
    <row r="154" customHeight="1" spans="1:11">
      <c r="A154" s="437"/>
      <c r="B154" s="437"/>
      <c r="C154" s="437"/>
      <c r="D154" s="437"/>
      <c r="E154" s="437"/>
      <c r="F154" s="437"/>
      <c r="G154" s="437"/>
      <c r="H154" s="437"/>
      <c r="I154" s="437"/>
      <c r="J154" s="437"/>
      <c r="K154" s="437"/>
    </row>
    <row r="155" customHeight="1" spans="1:11">
      <c r="A155" s="423" t="s">
        <v>109</v>
      </c>
      <c r="B155" s="424" t="s">
        <v>1714</v>
      </c>
      <c r="C155" s="423" t="s">
        <v>1715</v>
      </c>
      <c r="D155" s="423" t="s">
        <v>1716</v>
      </c>
      <c r="E155" s="423" t="s">
        <v>1717</v>
      </c>
      <c r="F155" s="423"/>
      <c r="G155" s="425" t="s">
        <v>1718</v>
      </c>
      <c r="H155" s="424" t="s">
        <v>1719</v>
      </c>
      <c r="I155" s="424" t="s">
        <v>1720</v>
      </c>
      <c r="J155" s="424" t="s">
        <v>1721</v>
      </c>
      <c r="K155" s="424" t="s">
        <v>1722</v>
      </c>
    </row>
    <row r="156" customHeight="1" spans="1:11">
      <c r="A156" s="426" t="s">
        <v>1723</v>
      </c>
      <c r="B156" s="427" t="s">
        <v>110</v>
      </c>
      <c r="C156" s="426" t="s">
        <v>71</v>
      </c>
      <c r="D156" s="426" t="s">
        <v>111</v>
      </c>
      <c r="E156" s="426" t="s">
        <v>1641</v>
      </c>
      <c r="F156" s="426"/>
      <c r="G156" s="428" t="s">
        <v>73</v>
      </c>
      <c r="H156" s="429">
        <v>1</v>
      </c>
      <c r="I156" s="445"/>
      <c r="J156" s="445">
        <v>27.83</v>
      </c>
      <c r="K156" s="445">
        <v>27.83</v>
      </c>
    </row>
    <row r="157" customHeight="1" spans="1:11">
      <c r="A157" s="430" t="s">
        <v>1724</v>
      </c>
      <c r="B157" s="431" t="s">
        <v>1745</v>
      </c>
      <c r="C157" s="430" t="s">
        <v>71</v>
      </c>
      <c r="D157" s="430" t="s">
        <v>1746</v>
      </c>
      <c r="E157" s="430" t="s">
        <v>1708</v>
      </c>
      <c r="F157" s="430"/>
      <c r="G157" s="432" t="s">
        <v>82</v>
      </c>
      <c r="H157" s="433">
        <v>0.1058</v>
      </c>
      <c r="I157" s="433">
        <v>0</v>
      </c>
      <c r="J157" s="446">
        <v>29.15</v>
      </c>
      <c r="K157" s="446">
        <v>3.08</v>
      </c>
    </row>
    <row r="158" customHeight="1" spans="1:11">
      <c r="A158" s="430" t="s">
        <v>1724</v>
      </c>
      <c r="B158" s="431" t="s">
        <v>1883</v>
      </c>
      <c r="C158" s="430" t="s">
        <v>71</v>
      </c>
      <c r="D158" s="430" t="s">
        <v>1884</v>
      </c>
      <c r="E158" s="430" t="s">
        <v>1885</v>
      </c>
      <c r="F158" s="430"/>
      <c r="G158" s="432" t="s">
        <v>1886</v>
      </c>
      <c r="H158" s="433">
        <v>0.1673</v>
      </c>
      <c r="I158" s="433">
        <v>0</v>
      </c>
      <c r="J158" s="446">
        <v>17.83</v>
      </c>
      <c r="K158" s="446">
        <v>2.98</v>
      </c>
    </row>
    <row r="159" customHeight="1" spans="1:11">
      <c r="A159" s="430" t="s">
        <v>1724</v>
      </c>
      <c r="B159" s="431" t="s">
        <v>1887</v>
      </c>
      <c r="C159" s="430" t="s">
        <v>71</v>
      </c>
      <c r="D159" s="430" t="s">
        <v>1888</v>
      </c>
      <c r="E159" s="430" t="s">
        <v>1708</v>
      </c>
      <c r="F159" s="430"/>
      <c r="G159" s="432" t="s">
        <v>82</v>
      </c>
      <c r="H159" s="433">
        <v>0.5546</v>
      </c>
      <c r="I159" s="433">
        <v>0</v>
      </c>
      <c r="J159" s="446">
        <v>39.26</v>
      </c>
      <c r="K159" s="446">
        <v>21.77</v>
      </c>
    </row>
    <row r="160" customHeight="1" spans="1:11">
      <c r="A160" s="434"/>
      <c r="B160" s="434"/>
      <c r="C160" s="434"/>
      <c r="D160" s="434"/>
      <c r="E160" s="434"/>
      <c r="F160" s="434" t="s">
        <v>1735</v>
      </c>
      <c r="G160" s="435">
        <v>10.93</v>
      </c>
      <c r="H160" s="434" t="s">
        <v>1736</v>
      </c>
      <c r="I160" s="435">
        <v>9.93</v>
      </c>
      <c r="J160" s="434" t="s">
        <v>1737</v>
      </c>
      <c r="K160" s="435">
        <v>20.86</v>
      </c>
    </row>
    <row r="161" customHeight="1" spans="1:11">
      <c r="A161" s="434"/>
      <c r="B161" s="434"/>
      <c r="C161" s="434"/>
      <c r="D161" s="434"/>
      <c r="E161" s="434"/>
      <c r="F161" s="434" t="s">
        <v>1738</v>
      </c>
      <c r="G161" s="435">
        <v>6.86</v>
      </c>
      <c r="H161" s="434"/>
      <c r="I161" s="434" t="s">
        <v>1739</v>
      </c>
      <c r="J161" s="434"/>
      <c r="K161" s="435">
        <v>34.69</v>
      </c>
    </row>
    <row r="162" customHeight="1" spans="1:11">
      <c r="A162" s="436"/>
      <c r="B162" s="436"/>
      <c r="C162" s="436"/>
      <c r="D162" s="436"/>
      <c r="E162" s="436"/>
      <c r="F162" s="436"/>
      <c r="G162" s="436"/>
      <c r="H162" s="436" t="s">
        <v>1740</v>
      </c>
      <c r="I162" s="447" t="s">
        <v>1889</v>
      </c>
      <c r="J162" s="436" t="s">
        <v>1742</v>
      </c>
      <c r="K162" s="448">
        <v>29139.6</v>
      </c>
    </row>
    <row r="163" customHeight="1" spans="1:11">
      <c r="A163" s="437"/>
      <c r="B163" s="437"/>
      <c r="C163" s="437"/>
      <c r="D163" s="437"/>
      <c r="E163" s="437"/>
      <c r="F163" s="437"/>
      <c r="G163" s="437"/>
      <c r="H163" s="437"/>
      <c r="I163" s="437"/>
      <c r="J163" s="437"/>
      <c r="K163" s="437"/>
    </row>
    <row r="164" customHeight="1" spans="1:11">
      <c r="A164" s="423" t="s">
        <v>112</v>
      </c>
      <c r="B164" s="424" t="s">
        <v>1714</v>
      </c>
      <c r="C164" s="423" t="s">
        <v>1715</v>
      </c>
      <c r="D164" s="423" t="s">
        <v>1716</v>
      </c>
      <c r="E164" s="423" t="s">
        <v>1717</v>
      </c>
      <c r="F164" s="423"/>
      <c r="G164" s="425" t="s">
        <v>1718</v>
      </c>
      <c r="H164" s="424" t="s">
        <v>1719</v>
      </c>
      <c r="I164" s="424" t="s">
        <v>1720</v>
      </c>
      <c r="J164" s="424" t="s">
        <v>1721</v>
      </c>
      <c r="K164" s="424" t="s">
        <v>1722</v>
      </c>
    </row>
    <row r="165" customHeight="1" spans="1:11">
      <c r="A165" s="426" t="s">
        <v>1723</v>
      </c>
      <c r="B165" s="427" t="s">
        <v>113</v>
      </c>
      <c r="C165" s="426" t="s">
        <v>65</v>
      </c>
      <c r="D165" s="426" t="s">
        <v>114</v>
      </c>
      <c r="E165" s="426" t="s">
        <v>62</v>
      </c>
      <c r="F165" s="426"/>
      <c r="G165" s="428" t="s">
        <v>67</v>
      </c>
      <c r="H165" s="429">
        <v>1</v>
      </c>
      <c r="I165" s="445"/>
      <c r="J165" s="445">
        <v>29.45</v>
      </c>
      <c r="K165" s="445">
        <v>29.45</v>
      </c>
    </row>
    <row r="166" customHeight="1" spans="1:11">
      <c r="A166" s="430" t="s">
        <v>1724</v>
      </c>
      <c r="B166" s="431" t="s">
        <v>110</v>
      </c>
      <c r="C166" s="430" t="s">
        <v>71</v>
      </c>
      <c r="D166" s="430" t="s">
        <v>111</v>
      </c>
      <c r="E166" s="430" t="s">
        <v>1641</v>
      </c>
      <c r="F166" s="430"/>
      <c r="G166" s="432" t="s">
        <v>73</v>
      </c>
      <c r="H166" s="433">
        <v>0.25</v>
      </c>
      <c r="I166" s="433">
        <v>0</v>
      </c>
      <c r="J166" s="446">
        <v>27.83</v>
      </c>
      <c r="K166" s="446">
        <v>6.95</v>
      </c>
    </row>
    <row r="167" customHeight="1" spans="1:11">
      <c r="A167" s="438" t="s">
        <v>1750</v>
      </c>
      <c r="B167" s="439" t="s">
        <v>1890</v>
      </c>
      <c r="C167" s="438" t="s">
        <v>71</v>
      </c>
      <c r="D167" s="438" t="s">
        <v>1891</v>
      </c>
      <c r="E167" s="438" t="s">
        <v>1892</v>
      </c>
      <c r="F167" s="438"/>
      <c r="G167" s="440" t="s">
        <v>1893</v>
      </c>
      <c r="H167" s="441">
        <v>1</v>
      </c>
      <c r="I167" s="441">
        <v>0</v>
      </c>
      <c r="J167" s="449">
        <v>22.5</v>
      </c>
      <c r="K167" s="449">
        <v>22.5</v>
      </c>
    </row>
    <row r="168" customHeight="1" spans="1:11">
      <c r="A168" s="434"/>
      <c r="B168" s="434"/>
      <c r="C168" s="434"/>
      <c r="D168" s="434"/>
      <c r="E168" s="434"/>
      <c r="F168" s="434" t="s">
        <v>1735</v>
      </c>
      <c r="G168" s="435">
        <v>2.73</v>
      </c>
      <c r="H168" s="434" t="s">
        <v>1736</v>
      </c>
      <c r="I168" s="435">
        <v>2.48</v>
      </c>
      <c r="J168" s="434" t="s">
        <v>1737</v>
      </c>
      <c r="K168" s="435">
        <v>5.21</v>
      </c>
    </row>
    <row r="169" customHeight="1" spans="1:11">
      <c r="A169" s="434"/>
      <c r="B169" s="434"/>
      <c r="C169" s="434"/>
      <c r="D169" s="434"/>
      <c r="E169" s="434"/>
      <c r="F169" s="434" t="s">
        <v>1738</v>
      </c>
      <c r="G169" s="435">
        <v>7.26</v>
      </c>
      <c r="H169" s="434"/>
      <c r="I169" s="434" t="s">
        <v>1739</v>
      </c>
      <c r="J169" s="434"/>
      <c r="K169" s="435">
        <v>36.71</v>
      </c>
    </row>
    <row r="170" customHeight="1" spans="1:11">
      <c r="A170" s="436"/>
      <c r="B170" s="436"/>
      <c r="C170" s="436"/>
      <c r="D170" s="436"/>
      <c r="E170" s="436"/>
      <c r="F170" s="436"/>
      <c r="G170" s="436"/>
      <c r="H170" s="436" t="s">
        <v>1740</v>
      </c>
      <c r="I170" s="447" t="s">
        <v>1894</v>
      </c>
      <c r="J170" s="436" t="s">
        <v>1742</v>
      </c>
      <c r="K170" s="448">
        <v>61672.8</v>
      </c>
    </row>
    <row r="171" customHeight="1" spans="1:11">
      <c r="A171" s="437"/>
      <c r="B171" s="437"/>
      <c r="C171" s="437"/>
      <c r="D171" s="437"/>
      <c r="E171" s="437"/>
      <c r="F171" s="437"/>
      <c r="G171" s="437"/>
      <c r="H171" s="437"/>
      <c r="I171" s="437"/>
      <c r="J171" s="437"/>
      <c r="K171" s="437"/>
    </row>
    <row r="172" customHeight="1" spans="1:11">
      <c r="A172" s="423" t="s">
        <v>115</v>
      </c>
      <c r="B172" s="424" t="s">
        <v>1714</v>
      </c>
      <c r="C172" s="423" t="s">
        <v>1715</v>
      </c>
      <c r="D172" s="423" t="s">
        <v>1716</v>
      </c>
      <c r="E172" s="423" t="s">
        <v>1717</v>
      </c>
      <c r="F172" s="423"/>
      <c r="G172" s="425" t="s">
        <v>1718</v>
      </c>
      <c r="H172" s="424" t="s">
        <v>1719</v>
      </c>
      <c r="I172" s="424" t="s">
        <v>1720</v>
      </c>
      <c r="J172" s="424" t="s">
        <v>1721</v>
      </c>
      <c r="K172" s="424" t="s">
        <v>1722</v>
      </c>
    </row>
    <row r="173" customHeight="1" spans="1:11">
      <c r="A173" s="426" t="s">
        <v>1723</v>
      </c>
      <c r="B173" s="427" t="s">
        <v>116</v>
      </c>
      <c r="C173" s="426" t="s">
        <v>71</v>
      </c>
      <c r="D173" s="426" t="s">
        <v>117</v>
      </c>
      <c r="E173" s="426" t="s">
        <v>1641</v>
      </c>
      <c r="F173" s="426"/>
      <c r="G173" s="428" t="s">
        <v>78</v>
      </c>
      <c r="H173" s="429">
        <v>1</v>
      </c>
      <c r="I173" s="445"/>
      <c r="J173" s="445">
        <v>38.42</v>
      </c>
      <c r="K173" s="445">
        <v>38.42</v>
      </c>
    </row>
    <row r="174" customHeight="1" spans="1:11">
      <c r="A174" s="430" t="s">
        <v>1724</v>
      </c>
      <c r="B174" s="431" t="s">
        <v>1883</v>
      </c>
      <c r="C174" s="430" t="s">
        <v>71</v>
      </c>
      <c r="D174" s="430" t="s">
        <v>1884</v>
      </c>
      <c r="E174" s="430" t="s">
        <v>1885</v>
      </c>
      <c r="F174" s="430"/>
      <c r="G174" s="432" t="s">
        <v>1886</v>
      </c>
      <c r="H174" s="433">
        <v>0.402</v>
      </c>
      <c r="I174" s="433">
        <v>0</v>
      </c>
      <c r="J174" s="446">
        <v>17.83</v>
      </c>
      <c r="K174" s="446">
        <v>7.16</v>
      </c>
    </row>
    <row r="175" customHeight="1" spans="1:11">
      <c r="A175" s="430" t="s">
        <v>1724</v>
      </c>
      <c r="B175" s="431" t="s">
        <v>1887</v>
      </c>
      <c r="C175" s="430" t="s">
        <v>71</v>
      </c>
      <c r="D175" s="430" t="s">
        <v>1888</v>
      </c>
      <c r="E175" s="430" t="s">
        <v>1708</v>
      </c>
      <c r="F175" s="430"/>
      <c r="G175" s="432" t="s">
        <v>82</v>
      </c>
      <c r="H175" s="433">
        <v>0.6977</v>
      </c>
      <c r="I175" s="433">
        <v>0</v>
      </c>
      <c r="J175" s="446">
        <v>39.26</v>
      </c>
      <c r="K175" s="446">
        <v>27.39</v>
      </c>
    </row>
    <row r="176" customHeight="1" spans="1:11">
      <c r="A176" s="430" t="s">
        <v>1724</v>
      </c>
      <c r="B176" s="431" t="s">
        <v>1745</v>
      </c>
      <c r="C176" s="430" t="s">
        <v>71</v>
      </c>
      <c r="D176" s="430" t="s">
        <v>1746</v>
      </c>
      <c r="E176" s="430" t="s">
        <v>1708</v>
      </c>
      <c r="F176" s="430"/>
      <c r="G176" s="432" t="s">
        <v>82</v>
      </c>
      <c r="H176" s="433">
        <v>0.1331</v>
      </c>
      <c r="I176" s="433">
        <v>0</v>
      </c>
      <c r="J176" s="446">
        <v>29.15</v>
      </c>
      <c r="K176" s="446">
        <v>3.87</v>
      </c>
    </row>
    <row r="177" customHeight="1" spans="1:11">
      <c r="A177" s="434"/>
      <c r="B177" s="434"/>
      <c r="C177" s="434"/>
      <c r="D177" s="434"/>
      <c r="E177" s="434"/>
      <c r="F177" s="434" t="s">
        <v>1735</v>
      </c>
      <c r="G177" s="435">
        <v>14.93</v>
      </c>
      <c r="H177" s="434" t="s">
        <v>1736</v>
      </c>
      <c r="I177" s="435">
        <v>13.57</v>
      </c>
      <c r="J177" s="434" t="s">
        <v>1737</v>
      </c>
      <c r="K177" s="435">
        <v>28.5</v>
      </c>
    </row>
    <row r="178" customHeight="1" spans="1:11">
      <c r="A178" s="434"/>
      <c r="B178" s="434"/>
      <c r="C178" s="434"/>
      <c r="D178" s="434"/>
      <c r="E178" s="434"/>
      <c r="F178" s="434" t="s">
        <v>1738</v>
      </c>
      <c r="G178" s="435">
        <v>9.47</v>
      </c>
      <c r="H178" s="434"/>
      <c r="I178" s="434" t="s">
        <v>1739</v>
      </c>
      <c r="J178" s="434"/>
      <c r="K178" s="435">
        <v>47.89</v>
      </c>
    </row>
    <row r="179" customHeight="1" spans="1:11">
      <c r="A179" s="436"/>
      <c r="B179" s="436"/>
      <c r="C179" s="436"/>
      <c r="D179" s="436"/>
      <c r="E179" s="436"/>
      <c r="F179" s="436"/>
      <c r="G179" s="436"/>
      <c r="H179" s="436" t="s">
        <v>1740</v>
      </c>
      <c r="I179" s="447" t="s">
        <v>1819</v>
      </c>
      <c r="J179" s="436" t="s">
        <v>1742</v>
      </c>
      <c r="K179" s="448">
        <v>622.57</v>
      </c>
    </row>
    <row r="180" customHeight="1" spans="1:11">
      <c r="A180" s="437"/>
      <c r="B180" s="437"/>
      <c r="C180" s="437"/>
      <c r="D180" s="437"/>
      <c r="E180" s="437"/>
      <c r="F180" s="437"/>
      <c r="G180" s="437"/>
      <c r="H180" s="437"/>
      <c r="I180" s="437"/>
      <c r="J180" s="437"/>
      <c r="K180" s="437"/>
    </row>
    <row r="181" customHeight="1" spans="1:11">
      <c r="A181" s="423" t="s">
        <v>118</v>
      </c>
      <c r="B181" s="424" t="s">
        <v>1714</v>
      </c>
      <c r="C181" s="423" t="s">
        <v>1715</v>
      </c>
      <c r="D181" s="423" t="s">
        <v>1716</v>
      </c>
      <c r="E181" s="423" t="s">
        <v>1717</v>
      </c>
      <c r="F181" s="423"/>
      <c r="G181" s="425" t="s">
        <v>1718</v>
      </c>
      <c r="H181" s="424" t="s">
        <v>1719</v>
      </c>
      <c r="I181" s="424" t="s">
        <v>1720</v>
      </c>
      <c r="J181" s="424" t="s">
        <v>1721</v>
      </c>
      <c r="K181" s="424" t="s">
        <v>1722</v>
      </c>
    </row>
    <row r="182" customHeight="1" spans="1:11">
      <c r="A182" s="426" t="s">
        <v>1723</v>
      </c>
      <c r="B182" s="427" t="s">
        <v>119</v>
      </c>
      <c r="C182" s="426" t="s">
        <v>65</v>
      </c>
      <c r="D182" s="426" t="s">
        <v>120</v>
      </c>
      <c r="E182" s="426">
        <v>13</v>
      </c>
      <c r="F182" s="426"/>
      <c r="G182" s="428" t="s">
        <v>121</v>
      </c>
      <c r="H182" s="429">
        <v>1</v>
      </c>
      <c r="I182" s="445"/>
      <c r="J182" s="445">
        <v>806.2</v>
      </c>
      <c r="K182" s="445">
        <v>806.2</v>
      </c>
    </row>
    <row r="183" customHeight="1" spans="1:11">
      <c r="A183" s="438" t="s">
        <v>1750</v>
      </c>
      <c r="B183" s="439" t="s">
        <v>1848</v>
      </c>
      <c r="C183" s="438" t="s">
        <v>99</v>
      </c>
      <c r="D183" s="438" t="s">
        <v>1849</v>
      </c>
      <c r="E183" s="438" t="s">
        <v>1764</v>
      </c>
      <c r="F183" s="438"/>
      <c r="G183" s="440" t="s">
        <v>82</v>
      </c>
      <c r="H183" s="441">
        <v>2.681</v>
      </c>
      <c r="I183" s="441">
        <v>0</v>
      </c>
      <c r="J183" s="449">
        <v>19.471856</v>
      </c>
      <c r="K183" s="449">
        <v>52.2</v>
      </c>
    </row>
    <row r="184" customHeight="1" spans="1:11">
      <c r="A184" s="438" t="s">
        <v>1750</v>
      </c>
      <c r="B184" s="439" t="s">
        <v>1895</v>
      </c>
      <c r="C184" s="438" t="s">
        <v>71</v>
      </c>
      <c r="D184" s="438" t="s">
        <v>1896</v>
      </c>
      <c r="E184" s="438" t="s">
        <v>1892</v>
      </c>
      <c r="F184" s="438"/>
      <c r="G184" s="440" t="s">
        <v>93</v>
      </c>
      <c r="H184" s="441">
        <v>1</v>
      </c>
      <c r="I184" s="441">
        <v>0</v>
      </c>
      <c r="J184" s="449">
        <v>750</v>
      </c>
      <c r="K184" s="449">
        <v>750</v>
      </c>
    </row>
    <row r="185" customHeight="1" spans="1:11">
      <c r="A185" s="438" t="s">
        <v>1750</v>
      </c>
      <c r="B185" s="439" t="s">
        <v>1897</v>
      </c>
      <c r="C185" s="438" t="s">
        <v>99</v>
      </c>
      <c r="D185" s="438" t="s">
        <v>1898</v>
      </c>
      <c r="E185" s="438" t="s">
        <v>1631</v>
      </c>
      <c r="F185" s="438"/>
      <c r="G185" s="440" t="s">
        <v>101</v>
      </c>
      <c r="H185" s="441">
        <v>1</v>
      </c>
      <c r="I185" s="441">
        <v>0</v>
      </c>
      <c r="J185" s="449">
        <v>4</v>
      </c>
      <c r="K185" s="449">
        <v>4</v>
      </c>
    </row>
    <row r="186" customHeight="1" spans="1:11">
      <c r="A186" s="434"/>
      <c r="B186" s="434"/>
      <c r="C186" s="434"/>
      <c r="D186" s="434"/>
      <c r="E186" s="434"/>
      <c r="F186" s="434" t="s">
        <v>1735</v>
      </c>
      <c r="G186" s="435">
        <v>27.35</v>
      </c>
      <c r="H186" s="434" t="s">
        <v>1736</v>
      </c>
      <c r="I186" s="435">
        <v>24.85</v>
      </c>
      <c r="J186" s="434" t="s">
        <v>1737</v>
      </c>
      <c r="K186" s="435">
        <v>52.2</v>
      </c>
    </row>
    <row r="187" customHeight="1" spans="1:11">
      <c r="A187" s="434"/>
      <c r="B187" s="434"/>
      <c r="C187" s="434"/>
      <c r="D187" s="434"/>
      <c r="E187" s="434"/>
      <c r="F187" s="434" t="s">
        <v>1738</v>
      </c>
      <c r="G187" s="435">
        <v>198.8</v>
      </c>
      <c r="H187" s="434"/>
      <c r="I187" s="434" t="s">
        <v>1739</v>
      </c>
      <c r="J187" s="434"/>
      <c r="K187" s="435">
        <v>1005</v>
      </c>
    </row>
    <row r="188" customHeight="1" spans="1:11">
      <c r="A188" s="436"/>
      <c r="B188" s="436"/>
      <c r="C188" s="436"/>
      <c r="D188" s="436"/>
      <c r="E188" s="436"/>
      <c r="F188" s="436"/>
      <c r="G188" s="436"/>
      <c r="H188" s="436" t="s">
        <v>1740</v>
      </c>
      <c r="I188" s="447" t="s">
        <v>1899</v>
      </c>
      <c r="J188" s="436" t="s">
        <v>1742</v>
      </c>
      <c r="K188" s="448">
        <v>26130</v>
      </c>
    </row>
    <row r="189" customHeight="1" spans="1:11">
      <c r="A189" s="437"/>
      <c r="B189" s="437"/>
      <c r="C189" s="437"/>
      <c r="D189" s="437"/>
      <c r="E189" s="437"/>
      <c r="F189" s="437"/>
      <c r="G189" s="437"/>
      <c r="H189" s="437"/>
      <c r="I189" s="437"/>
      <c r="J189" s="437"/>
      <c r="K189" s="437"/>
    </row>
    <row r="190" customHeight="1" spans="1:11">
      <c r="A190" s="423" t="s">
        <v>122</v>
      </c>
      <c r="B190" s="424" t="s">
        <v>1714</v>
      </c>
      <c r="C190" s="423" t="s">
        <v>1715</v>
      </c>
      <c r="D190" s="423" t="s">
        <v>1716</v>
      </c>
      <c r="E190" s="423" t="s">
        <v>1717</v>
      </c>
      <c r="F190" s="423"/>
      <c r="G190" s="425" t="s">
        <v>1718</v>
      </c>
      <c r="H190" s="424" t="s">
        <v>1719</v>
      </c>
      <c r="I190" s="424" t="s">
        <v>1720</v>
      </c>
      <c r="J190" s="424" t="s">
        <v>1721</v>
      </c>
      <c r="K190" s="424" t="s">
        <v>1722</v>
      </c>
    </row>
    <row r="191" customHeight="1" spans="1:11">
      <c r="A191" s="426" t="s">
        <v>1723</v>
      </c>
      <c r="B191" s="427" t="s">
        <v>123</v>
      </c>
      <c r="C191" s="426" t="s">
        <v>76</v>
      </c>
      <c r="D191" s="426" t="s">
        <v>124</v>
      </c>
      <c r="E191" s="426">
        <v>4</v>
      </c>
      <c r="F191" s="426"/>
      <c r="G191" s="428" t="s">
        <v>105</v>
      </c>
      <c r="H191" s="429">
        <v>1</v>
      </c>
      <c r="I191" s="445"/>
      <c r="J191" s="445">
        <v>363.16</v>
      </c>
      <c r="K191" s="445">
        <v>363.16</v>
      </c>
    </row>
    <row r="192" customHeight="1" spans="1:11">
      <c r="A192" s="438" t="s">
        <v>1750</v>
      </c>
      <c r="B192" s="439" t="s">
        <v>1900</v>
      </c>
      <c r="C192" s="438" t="s">
        <v>76</v>
      </c>
      <c r="D192" s="438" t="s">
        <v>1901</v>
      </c>
      <c r="E192" s="438" t="s">
        <v>1764</v>
      </c>
      <c r="F192" s="438"/>
      <c r="G192" s="440" t="s">
        <v>82</v>
      </c>
      <c r="H192" s="441">
        <v>0.6</v>
      </c>
      <c r="I192" s="441">
        <v>3</v>
      </c>
      <c r="J192" s="449">
        <v>21.3</v>
      </c>
      <c r="K192" s="449">
        <v>13.16</v>
      </c>
    </row>
    <row r="193" customHeight="1" spans="1:11">
      <c r="A193" s="438" t="s">
        <v>1750</v>
      </c>
      <c r="B193" s="439" t="s">
        <v>1902</v>
      </c>
      <c r="C193" s="438" t="s">
        <v>76</v>
      </c>
      <c r="D193" s="438" t="s">
        <v>1903</v>
      </c>
      <c r="E193" s="438" t="s">
        <v>1631</v>
      </c>
      <c r="F193" s="438"/>
      <c r="G193" s="440" t="s">
        <v>105</v>
      </c>
      <c r="H193" s="441">
        <v>1</v>
      </c>
      <c r="I193" s="441">
        <v>0</v>
      </c>
      <c r="J193" s="449">
        <v>350</v>
      </c>
      <c r="K193" s="449">
        <v>350</v>
      </c>
    </row>
    <row r="194" customHeight="1" spans="1:11">
      <c r="A194" s="434"/>
      <c r="B194" s="434"/>
      <c r="C194" s="434"/>
      <c r="D194" s="434"/>
      <c r="E194" s="434"/>
      <c r="F194" s="434" t="s">
        <v>1735</v>
      </c>
      <c r="G194" s="435">
        <v>6.89</v>
      </c>
      <c r="H194" s="434" t="s">
        <v>1736</v>
      </c>
      <c r="I194" s="435">
        <v>6.27</v>
      </c>
      <c r="J194" s="434" t="s">
        <v>1737</v>
      </c>
      <c r="K194" s="435">
        <v>13.16</v>
      </c>
    </row>
    <row r="195" customHeight="1" spans="1:11">
      <c r="A195" s="434"/>
      <c r="B195" s="434"/>
      <c r="C195" s="434"/>
      <c r="D195" s="434"/>
      <c r="E195" s="434"/>
      <c r="F195" s="434" t="s">
        <v>1738</v>
      </c>
      <c r="G195" s="435">
        <v>89.55</v>
      </c>
      <c r="H195" s="434"/>
      <c r="I195" s="434" t="s">
        <v>1739</v>
      </c>
      <c r="J195" s="434"/>
      <c r="K195" s="435">
        <v>452.71</v>
      </c>
    </row>
    <row r="196" customHeight="1" spans="1:11">
      <c r="A196" s="436"/>
      <c r="B196" s="436"/>
      <c r="C196" s="436"/>
      <c r="D196" s="436"/>
      <c r="E196" s="436"/>
      <c r="F196" s="436"/>
      <c r="G196" s="436"/>
      <c r="H196" s="436" t="s">
        <v>1740</v>
      </c>
      <c r="I196" s="447" t="s">
        <v>1904</v>
      </c>
      <c r="J196" s="436" t="s">
        <v>1742</v>
      </c>
      <c r="K196" s="448">
        <v>18108.4</v>
      </c>
    </row>
    <row r="197" customHeight="1" spans="1:11">
      <c r="A197" s="437"/>
      <c r="B197" s="437"/>
      <c r="C197" s="437"/>
      <c r="D197" s="437"/>
      <c r="E197" s="437"/>
      <c r="F197" s="437"/>
      <c r="G197" s="437"/>
      <c r="H197" s="437"/>
      <c r="I197" s="437"/>
      <c r="J197" s="437"/>
      <c r="K197" s="437"/>
    </row>
    <row r="198" customHeight="1" spans="1:11">
      <c r="A198" s="422" t="s">
        <v>125</v>
      </c>
      <c r="B198" s="422"/>
      <c r="C198" s="422"/>
      <c r="D198" s="422" t="s">
        <v>23</v>
      </c>
      <c r="E198" s="422"/>
      <c r="F198" s="422"/>
      <c r="G198" s="422"/>
      <c r="H198" s="422"/>
      <c r="I198" s="443"/>
      <c r="J198" s="422"/>
      <c r="K198" s="444">
        <v>47272.53</v>
      </c>
    </row>
    <row r="199" customHeight="1" spans="1:11">
      <c r="A199" s="423" t="s">
        <v>126</v>
      </c>
      <c r="B199" s="424" t="s">
        <v>1714</v>
      </c>
      <c r="C199" s="423" t="s">
        <v>1715</v>
      </c>
      <c r="D199" s="423" t="s">
        <v>1716</v>
      </c>
      <c r="E199" s="423" t="s">
        <v>1717</v>
      </c>
      <c r="F199" s="423"/>
      <c r="G199" s="425" t="s">
        <v>1718</v>
      </c>
      <c r="H199" s="424" t="s">
        <v>1719</v>
      </c>
      <c r="I199" s="424" t="s">
        <v>1720</v>
      </c>
      <c r="J199" s="424" t="s">
        <v>1721</v>
      </c>
      <c r="K199" s="424" t="s">
        <v>1722</v>
      </c>
    </row>
    <row r="200" customHeight="1" spans="1:11">
      <c r="A200" s="426" t="s">
        <v>1723</v>
      </c>
      <c r="B200" s="427" t="s">
        <v>127</v>
      </c>
      <c r="C200" s="426" t="s">
        <v>71</v>
      </c>
      <c r="D200" s="426" t="s">
        <v>128</v>
      </c>
      <c r="E200" s="426" t="s">
        <v>1690</v>
      </c>
      <c r="F200" s="426"/>
      <c r="G200" s="428" t="s">
        <v>129</v>
      </c>
      <c r="H200" s="429">
        <v>1</v>
      </c>
      <c r="I200" s="445"/>
      <c r="J200" s="445">
        <v>5.04</v>
      </c>
      <c r="K200" s="445">
        <v>5.04</v>
      </c>
    </row>
    <row r="201" customHeight="1" spans="1:11">
      <c r="A201" s="430" t="s">
        <v>1724</v>
      </c>
      <c r="B201" s="431" t="s">
        <v>1905</v>
      </c>
      <c r="C201" s="430" t="s">
        <v>71</v>
      </c>
      <c r="D201" s="430" t="s">
        <v>1906</v>
      </c>
      <c r="E201" s="430" t="s">
        <v>1795</v>
      </c>
      <c r="F201" s="430"/>
      <c r="G201" s="432" t="s">
        <v>1804</v>
      </c>
      <c r="H201" s="433">
        <v>0.0195</v>
      </c>
      <c r="I201" s="433">
        <v>0</v>
      </c>
      <c r="J201" s="446">
        <v>88.25</v>
      </c>
      <c r="K201" s="446">
        <v>1.72</v>
      </c>
    </row>
    <row r="202" customHeight="1" spans="1:11">
      <c r="A202" s="430" t="s">
        <v>1724</v>
      </c>
      <c r="B202" s="431" t="s">
        <v>1907</v>
      </c>
      <c r="C202" s="430" t="s">
        <v>71</v>
      </c>
      <c r="D202" s="430" t="s">
        <v>1908</v>
      </c>
      <c r="E202" s="430" t="s">
        <v>1795</v>
      </c>
      <c r="F202" s="430"/>
      <c r="G202" s="432" t="s">
        <v>1796</v>
      </c>
      <c r="H202" s="433">
        <v>0.0115</v>
      </c>
      <c r="I202" s="433">
        <v>0</v>
      </c>
      <c r="J202" s="446">
        <v>210.93</v>
      </c>
      <c r="K202" s="446">
        <v>2.42</v>
      </c>
    </row>
    <row r="203" customHeight="1" spans="1:11">
      <c r="A203" s="430" t="s">
        <v>1724</v>
      </c>
      <c r="B203" s="431" t="s">
        <v>1745</v>
      </c>
      <c r="C203" s="430" t="s">
        <v>71</v>
      </c>
      <c r="D203" s="430" t="s">
        <v>1746</v>
      </c>
      <c r="E203" s="430" t="s">
        <v>1708</v>
      </c>
      <c r="F203" s="430"/>
      <c r="G203" s="432" t="s">
        <v>82</v>
      </c>
      <c r="H203" s="433">
        <v>0.031</v>
      </c>
      <c r="I203" s="433">
        <v>0</v>
      </c>
      <c r="J203" s="446">
        <v>29.15</v>
      </c>
      <c r="K203" s="446">
        <v>0.9</v>
      </c>
    </row>
    <row r="204" customHeight="1" spans="1:11">
      <c r="A204" s="434"/>
      <c r="B204" s="434"/>
      <c r="C204" s="434"/>
      <c r="D204" s="434"/>
      <c r="E204" s="434"/>
      <c r="F204" s="434" t="s">
        <v>1735</v>
      </c>
      <c r="G204" s="435">
        <v>0.8</v>
      </c>
      <c r="H204" s="434" t="s">
        <v>1736</v>
      </c>
      <c r="I204" s="435">
        <v>0.74</v>
      </c>
      <c r="J204" s="434" t="s">
        <v>1737</v>
      </c>
      <c r="K204" s="435">
        <v>1.54</v>
      </c>
    </row>
    <row r="205" customHeight="1" spans="1:11">
      <c r="A205" s="434"/>
      <c r="B205" s="434"/>
      <c r="C205" s="434"/>
      <c r="D205" s="434"/>
      <c r="E205" s="434"/>
      <c r="F205" s="434" t="s">
        <v>1738</v>
      </c>
      <c r="G205" s="435">
        <v>1.24</v>
      </c>
      <c r="H205" s="434"/>
      <c r="I205" s="434" t="s">
        <v>1739</v>
      </c>
      <c r="J205" s="434"/>
      <c r="K205" s="435">
        <v>6.28</v>
      </c>
    </row>
    <row r="206" customHeight="1" spans="1:11">
      <c r="A206" s="436"/>
      <c r="B206" s="436"/>
      <c r="C206" s="436"/>
      <c r="D206" s="436"/>
      <c r="E206" s="436"/>
      <c r="F206" s="436"/>
      <c r="G206" s="436"/>
      <c r="H206" s="436" t="s">
        <v>1740</v>
      </c>
      <c r="I206" s="447" t="s">
        <v>1909</v>
      </c>
      <c r="J206" s="436" t="s">
        <v>1742</v>
      </c>
      <c r="K206" s="448">
        <v>2633.7</v>
      </c>
    </row>
    <row r="207" customHeight="1" spans="1:11">
      <c r="A207" s="437"/>
      <c r="B207" s="437"/>
      <c r="C207" s="437"/>
      <c r="D207" s="437"/>
      <c r="E207" s="437"/>
      <c r="F207" s="437"/>
      <c r="G207" s="437"/>
      <c r="H207" s="437"/>
      <c r="I207" s="437"/>
      <c r="J207" s="437"/>
      <c r="K207" s="437"/>
    </row>
    <row r="208" customHeight="1" spans="1:11">
      <c r="A208" s="423" t="s">
        <v>130</v>
      </c>
      <c r="B208" s="424" t="s">
        <v>1714</v>
      </c>
      <c r="C208" s="423" t="s">
        <v>1715</v>
      </c>
      <c r="D208" s="423" t="s">
        <v>1716</v>
      </c>
      <c r="E208" s="423" t="s">
        <v>1717</v>
      </c>
      <c r="F208" s="423"/>
      <c r="G208" s="425" t="s">
        <v>1718</v>
      </c>
      <c r="H208" s="424" t="s">
        <v>1719</v>
      </c>
      <c r="I208" s="424" t="s">
        <v>1720</v>
      </c>
      <c r="J208" s="424" t="s">
        <v>1721</v>
      </c>
      <c r="K208" s="424" t="s">
        <v>1722</v>
      </c>
    </row>
    <row r="209" customHeight="1" spans="1:11">
      <c r="A209" s="426" t="s">
        <v>1723</v>
      </c>
      <c r="B209" s="427" t="s">
        <v>131</v>
      </c>
      <c r="C209" s="426" t="s">
        <v>71</v>
      </c>
      <c r="D209" s="426" t="s">
        <v>132</v>
      </c>
      <c r="E209" s="426" t="s">
        <v>1656</v>
      </c>
      <c r="F209" s="426"/>
      <c r="G209" s="428" t="s">
        <v>129</v>
      </c>
      <c r="H209" s="429">
        <v>1</v>
      </c>
      <c r="I209" s="445"/>
      <c r="J209" s="445">
        <v>9.67</v>
      </c>
      <c r="K209" s="445">
        <v>9.67</v>
      </c>
    </row>
    <row r="210" customHeight="1" spans="1:11">
      <c r="A210" s="430" t="s">
        <v>1724</v>
      </c>
      <c r="B210" s="431" t="s">
        <v>1910</v>
      </c>
      <c r="C210" s="430" t="s">
        <v>71</v>
      </c>
      <c r="D210" s="430" t="s">
        <v>1911</v>
      </c>
      <c r="E210" s="430" t="s">
        <v>1795</v>
      </c>
      <c r="F210" s="430"/>
      <c r="G210" s="432" t="s">
        <v>1796</v>
      </c>
      <c r="H210" s="433">
        <v>0.0083</v>
      </c>
      <c r="I210" s="433">
        <v>0</v>
      </c>
      <c r="J210" s="446">
        <v>195.89</v>
      </c>
      <c r="K210" s="446">
        <v>1.62</v>
      </c>
    </row>
    <row r="211" customHeight="1" spans="1:11">
      <c r="A211" s="430" t="s">
        <v>1724</v>
      </c>
      <c r="B211" s="431" t="s">
        <v>1912</v>
      </c>
      <c r="C211" s="430" t="s">
        <v>71</v>
      </c>
      <c r="D211" s="430" t="s">
        <v>1913</v>
      </c>
      <c r="E211" s="430" t="s">
        <v>1795</v>
      </c>
      <c r="F211" s="430"/>
      <c r="G211" s="432" t="s">
        <v>1796</v>
      </c>
      <c r="H211" s="433">
        <v>0.0198</v>
      </c>
      <c r="I211" s="433">
        <v>0</v>
      </c>
      <c r="J211" s="446">
        <v>290.73</v>
      </c>
      <c r="K211" s="446">
        <v>5.75</v>
      </c>
    </row>
    <row r="212" customHeight="1" spans="1:11">
      <c r="A212" s="430" t="s">
        <v>1724</v>
      </c>
      <c r="B212" s="431" t="s">
        <v>1914</v>
      </c>
      <c r="C212" s="430" t="s">
        <v>71</v>
      </c>
      <c r="D212" s="430" t="s">
        <v>1915</v>
      </c>
      <c r="E212" s="430" t="s">
        <v>1795</v>
      </c>
      <c r="F212" s="430"/>
      <c r="G212" s="432" t="s">
        <v>1804</v>
      </c>
      <c r="H212" s="433">
        <v>0.0105</v>
      </c>
      <c r="I212" s="433">
        <v>0</v>
      </c>
      <c r="J212" s="446">
        <v>93.35</v>
      </c>
      <c r="K212" s="446">
        <v>0.98</v>
      </c>
    </row>
    <row r="213" customHeight="1" spans="1:11">
      <c r="A213" s="430" t="s">
        <v>1724</v>
      </c>
      <c r="B213" s="431" t="s">
        <v>1916</v>
      </c>
      <c r="C213" s="430" t="s">
        <v>71</v>
      </c>
      <c r="D213" s="430" t="s">
        <v>1917</v>
      </c>
      <c r="E213" s="430" t="s">
        <v>1795</v>
      </c>
      <c r="F213" s="430"/>
      <c r="G213" s="432" t="s">
        <v>1804</v>
      </c>
      <c r="H213" s="433">
        <v>0.0138</v>
      </c>
      <c r="I213" s="433">
        <v>0</v>
      </c>
      <c r="J213" s="446">
        <v>96.2</v>
      </c>
      <c r="K213" s="446">
        <v>1.32</v>
      </c>
    </row>
    <row r="214" customHeight="1" spans="1:11">
      <c r="A214" s="434"/>
      <c r="B214" s="434"/>
      <c r="C214" s="434"/>
      <c r="D214" s="434"/>
      <c r="E214" s="434"/>
      <c r="F214" s="434" t="s">
        <v>1735</v>
      </c>
      <c r="G214" s="435">
        <v>1</v>
      </c>
      <c r="H214" s="434" t="s">
        <v>1736</v>
      </c>
      <c r="I214" s="435">
        <v>0.92</v>
      </c>
      <c r="J214" s="434" t="s">
        <v>1737</v>
      </c>
      <c r="K214" s="435">
        <v>1.92</v>
      </c>
    </row>
    <row r="215" customHeight="1" spans="1:11">
      <c r="A215" s="434"/>
      <c r="B215" s="434"/>
      <c r="C215" s="434"/>
      <c r="D215" s="434"/>
      <c r="E215" s="434"/>
      <c r="F215" s="434" t="s">
        <v>1738</v>
      </c>
      <c r="G215" s="435">
        <v>2.38</v>
      </c>
      <c r="H215" s="434"/>
      <c r="I215" s="434" t="s">
        <v>1739</v>
      </c>
      <c r="J215" s="434"/>
      <c r="K215" s="435">
        <v>12.05</v>
      </c>
    </row>
    <row r="216" customHeight="1" spans="1:11">
      <c r="A216" s="436"/>
      <c r="B216" s="436"/>
      <c r="C216" s="436"/>
      <c r="D216" s="436"/>
      <c r="E216" s="436"/>
      <c r="F216" s="436"/>
      <c r="G216" s="436"/>
      <c r="H216" s="436" t="s">
        <v>1740</v>
      </c>
      <c r="I216" s="447" t="s">
        <v>1918</v>
      </c>
      <c r="J216" s="436" t="s">
        <v>1742</v>
      </c>
      <c r="K216" s="448">
        <v>6049.7</v>
      </c>
    </row>
    <row r="217" customHeight="1" spans="1:11">
      <c r="A217" s="437"/>
      <c r="B217" s="437"/>
      <c r="C217" s="437"/>
      <c r="D217" s="437"/>
      <c r="E217" s="437"/>
      <c r="F217" s="437"/>
      <c r="G217" s="437"/>
      <c r="H217" s="437"/>
      <c r="I217" s="437"/>
      <c r="J217" s="437"/>
      <c r="K217" s="437"/>
    </row>
    <row r="218" customHeight="1" spans="1:11">
      <c r="A218" s="423" t="s">
        <v>133</v>
      </c>
      <c r="B218" s="424" t="s">
        <v>1714</v>
      </c>
      <c r="C218" s="423" t="s">
        <v>1715</v>
      </c>
      <c r="D218" s="423" t="s">
        <v>1716</v>
      </c>
      <c r="E218" s="423" t="s">
        <v>1717</v>
      </c>
      <c r="F218" s="423"/>
      <c r="G218" s="425" t="s">
        <v>1718</v>
      </c>
      <c r="H218" s="424" t="s">
        <v>1719</v>
      </c>
      <c r="I218" s="424" t="s">
        <v>1720</v>
      </c>
      <c r="J218" s="424" t="s">
        <v>1721</v>
      </c>
      <c r="K218" s="424" t="s">
        <v>1722</v>
      </c>
    </row>
    <row r="219" customHeight="1" spans="1:11">
      <c r="A219" s="426" t="s">
        <v>1723</v>
      </c>
      <c r="B219" s="427" t="s">
        <v>134</v>
      </c>
      <c r="C219" s="426" t="s">
        <v>71</v>
      </c>
      <c r="D219" s="426" t="s">
        <v>135</v>
      </c>
      <c r="E219" s="426" t="s">
        <v>1674</v>
      </c>
      <c r="F219" s="426"/>
      <c r="G219" s="428" t="s">
        <v>129</v>
      </c>
      <c r="H219" s="429">
        <v>1</v>
      </c>
      <c r="I219" s="445"/>
      <c r="J219" s="445">
        <v>14.14</v>
      </c>
      <c r="K219" s="445">
        <v>14.14</v>
      </c>
    </row>
    <row r="220" customHeight="1" spans="1:11">
      <c r="A220" s="430" t="s">
        <v>1724</v>
      </c>
      <c r="B220" s="431" t="s">
        <v>1919</v>
      </c>
      <c r="C220" s="430" t="s">
        <v>71</v>
      </c>
      <c r="D220" s="430" t="s">
        <v>1920</v>
      </c>
      <c r="E220" s="430" t="s">
        <v>1795</v>
      </c>
      <c r="F220" s="430"/>
      <c r="G220" s="432" t="s">
        <v>1796</v>
      </c>
      <c r="H220" s="433">
        <v>0.0104312</v>
      </c>
      <c r="I220" s="433">
        <v>0</v>
      </c>
      <c r="J220" s="446">
        <v>178.96</v>
      </c>
      <c r="K220" s="446">
        <v>1.86</v>
      </c>
    </row>
    <row r="221" customHeight="1" spans="1:11">
      <c r="A221" s="430" t="s">
        <v>1724</v>
      </c>
      <c r="B221" s="431" t="s">
        <v>1921</v>
      </c>
      <c r="C221" s="430" t="s">
        <v>71</v>
      </c>
      <c r="D221" s="430" t="s">
        <v>1922</v>
      </c>
      <c r="E221" s="430" t="s">
        <v>1795</v>
      </c>
      <c r="F221" s="430"/>
      <c r="G221" s="432" t="s">
        <v>1804</v>
      </c>
      <c r="H221" s="433">
        <v>0.0252378</v>
      </c>
      <c r="I221" s="433">
        <v>0</v>
      </c>
      <c r="J221" s="446">
        <v>79.95</v>
      </c>
      <c r="K221" s="446">
        <v>2.01</v>
      </c>
    </row>
    <row r="222" customHeight="1" spans="1:11">
      <c r="A222" s="430" t="s">
        <v>1724</v>
      </c>
      <c r="B222" s="431" t="s">
        <v>1923</v>
      </c>
      <c r="C222" s="430" t="s">
        <v>71</v>
      </c>
      <c r="D222" s="430" t="s">
        <v>1924</v>
      </c>
      <c r="E222" s="430" t="s">
        <v>1795</v>
      </c>
      <c r="F222" s="430"/>
      <c r="G222" s="432" t="s">
        <v>1796</v>
      </c>
      <c r="H222" s="433">
        <v>0.004257</v>
      </c>
      <c r="I222" s="433">
        <v>0</v>
      </c>
      <c r="J222" s="446">
        <v>339.64</v>
      </c>
      <c r="K222" s="446">
        <v>1.44</v>
      </c>
    </row>
    <row r="223" customHeight="1" spans="1:11">
      <c r="A223" s="430" t="s">
        <v>1724</v>
      </c>
      <c r="B223" s="431" t="s">
        <v>1745</v>
      </c>
      <c r="C223" s="430" t="s">
        <v>71</v>
      </c>
      <c r="D223" s="430" t="s">
        <v>1746</v>
      </c>
      <c r="E223" s="430" t="s">
        <v>1708</v>
      </c>
      <c r="F223" s="430"/>
      <c r="G223" s="432" t="s">
        <v>82</v>
      </c>
      <c r="H223" s="433">
        <v>0.0356689</v>
      </c>
      <c r="I223" s="433">
        <v>0</v>
      </c>
      <c r="J223" s="446">
        <v>29.15</v>
      </c>
      <c r="K223" s="446">
        <v>1.03</v>
      </c>
    </row>
    <row r="224" customHeight="1" spans="1:11">
      <c r="A224" s="430" t="s">
        <v>1724</v>
      </c>
      <c r="B224" s="431" t="s">
        <v>1925</v>
      </c>
      <c r="C224" s="430" t="s">
        <v>71</v>
      </c>
      <c r="D224" s="430" t="s">
        <v>1926</v>
      </c>
      <c r="E224" s="430" t="s">
        <v>1795</v>
      </c>
      <c r="F224" s="430"/>
      <c r="G224" s="432" t="s">
        <v>1796</v>
      </c>
      <c r="H224" s="433">
        <v>0.0045112</v>
      </c>
      <c r="I224" s="433">
        <v>0</v>
      </c>
      <c r="J224" s="446">
        <v>284.38</v>
      </c>
      <c r="K224" s="446">
        <v>1.28</v>
      </c>
    </row>
    <row r="225" customHeight="1" spans="1:11">
      <c r="A225" s="430" t="s">
        <v>1724</v>
      </c>
      <c r="B225" s="431" t="s">
        <v>1927</v>
      </c>
      <c r="C225" s="430" t="s">
        <v>71</v>
      </c>
      <c r="D225" s="430" t="s">
        <v>1928</v>
      </c>
      <c r="E225" s="430" t="s">
        <v>1795</v>
      </c>
      <c r="F225" s="430"/>
      <c r="G225" s="432" t="s">
        <v>1804</v>
      </c>
      <c r="H225" s="433">
        <v>0.0311577</v>
      </c>
      <c r="I225" s="433">
        <v>0</v>
      </c>
      <c r="J225" s="446">
        <v>113.64</v>
      </c>
      <c r="K225" s="446">
        <v>3.54</v>
      </c>
    </row>
    <row r="226" customHeight="1" spans="1:11">
      <c r="A226" s="430" t="s">
        <v>1724</v>
      </c>
      <c r="B226" s="431" t="s">
        <v>1929</v>
      </c>
      <c r="C226" s="430" t="s">
        <v>71</v>
      </c>
      <c r="D226" s="430" t="s">
        <v>1930</v>
      </c>
      <c r="E226" s="430" t="s">
        <v>1795</v>
      </c>
      <c r="F226" s="430"/>
      <c r="G226" s="432" t="s">
        <v>1804</v>
      </c>
      <c r="H226" s="433">
        <v>0.0314119</v>
      </c>
      <c r="I226" s="433">
        <v>0</v>
      </c>
      <c r="J226" s="446">
        <v>94.91</v>
      </c>
      <c r="K226" s="446">
        <v>2.98</v>
      </c>
    </row>
    <row r="227" customHeight="1" spans="1:11">
      <c r="A227" s="434"/>
      <c r="B227" s="434"/>
      <c r="C227" s="434"/>
      <c r="D227" s="434"/>
      <c r="E227" s="434"/>
      <c r="F227" s="434" t="s">
        <v>1735</v>
      </c>
      <c r="G227" s="435">
        <v>2.24</v>
      </c>
      <c r="H227" s="434" t="s">
        <v>1736</v>
      </c>
      <c r="I227" s="435">
        <v>2.05</v>
      </c>
      <c r="J227" s="434" t="s">
        <v>1737</v>
      </c>
      <c r="K227" s="435">
        <v>4.29</v>
      </c>
    </row>
    <row r="228" customHeight="1" spans="1:11">
      <c r="A228" s="434"/>
      <c r="B228" s="434"/>
      <c r="C228" s="434"/>
      <c r="D228" s="434"/>
      <c r="E228" s="434"/>
      <c r="F228" s="434" t="s">
        <v>1738</v>
      </c>
      <c r="G228" s="435">
        <v>3.48</v>
      </c>
      <c r="H228" s="434"/>
      <c r="I228" s="434" t="s">
        <v>1739</v>
      </c>
      <c r="J228" s="434"/>
      <c r="K228" s="435">
        <v>17.62</v>
      </c>
    </row>
    <row r="229" customHeight="1" spans="1:11">
      <c r="A229" s="436"/>
      <c r="B229" s="436"/>
      <c r="C229" s="436"/>
      <c r="D229" s="436"/>
      <c r="E229" s="436"/>
      <c r="F229" s="436"/>
      <c r="G229" s="436"/>
      <c r="H229" s="436" t="s">
        <v>1740</v>
      </c>
      <c r="I229" s="447" t="s">
        <v>1931</v>
      </c>
      <c r="J229" s="436" t="s">
        <v>1742</v>
      </c>
      <c r="K229" s="448">
        <v>5909.74</v>
      </c>
    </row>
    <row r="230" customHeight="1" spans="1:11">
      <c r="A230" s="437"/>
      <c r="B230" s="437"/>
      <c r="C230" s="437"/>
      <c r="D230" s="437"/>
      <c r="E230" s="437"/>
      <c r="F230" s="437"/>
      <c r="G230" s="437"/>
      <c r="H230" s="437"/>
      <c r="I230" s="437"/>
      <c r="J230" s="437"/>
      <c r="K230" s="437"/>
    </row>
    <row r="231" customHeight="1" spans="1:11">
      <c r="A231" s="423" t="s">
        <v>136</v>
      </c>
      <c r="B231" s="424" t="s">
        <v>1714</v>
      </c>
      <c r="C231" s="423" t="s">
        <v>1715</v>
      </c>
      <c r="D231" s="423" t="s">
        <v>1716</v>
      </c>
      <c r="E231" s="423" t="s">
        <v>1717</v>
      </c>
      <c r="F231" s="423"/>
      <c r="G231" s="425" t="s">
        <v>1718</v>
      </c>
      <c r="H231" s="424" t="s">
        <v>1719</v>
      </c>
      <c r="I231" s="424" t="s">
        <v>1720</v>
      </c>
      <c r="J231" s="424" t="s">
        <v>1721</v>
      </c>
      <c r="K231" s="424" t="s">
        <v>1722</v>
      </c>
    </row>
    <row r="232" customHeight="1" spans="1:11">
      <c r="A232" s="426" t="s">
        <v>1723</v>
      </c>
      <c r="B232" s="427" t="s">
        <v>137</v>
      </c>
      <c r="C232" s="426" t="s">
        <v>71</v>
      </c>
      <c r="D232" s="426" t="s">
        <v>138</v>
      </c>
      <c r="E232" s="426" t="s">
        <v>1656</v>
      </c>
      <c r="F232" s="426"/>
      <c r="G232" s="428" t="s">
        <v>139</v>
      </c>
      <c r="H232" s="429">
        <v>1</v>
      </c>
      <c r="I232" s="445"/>
      <c r="J232" s="445">
        <v>1.08</v>
      </c>
      <c r="K232" s="445">
        <v>1.08</v>
      </c>
    </row>
    <row r="233" customHeight="1" spans="1:11">
      <c r="A233" s="430" t="s">
        <v>1724</v>
      </c>
      <c r="B233" s="431" t="s">
        <v>1912</v>
      </c>
      <c r="C233" s="430" t="s">
        <v>71</v>
      </c>
      <c r="D233" s="430" t="s">
        <v>1913</v>
      </c>
      <c r="E233" s="430" t="s">
        <v>1795</v>
      </c>
      <c r="F233" s="430"/>
      <c r="G233" s="432" t="s">
        <v>1796</v>
      </c>
      <c r="H233" s="433">
        <v>0.0033</v>
      </c>
      <c r="I233" s="433">
        <v>0</v>
      </c>
      <c r="J233" s="446">
        <v>290.73</v>
      </c>
      <c r="K233" s="446">
        <v>0.95</v>
      </c>
    </row>
    <row r="234" customHeight="1" spans="1:11">
      <c r="A234" s="430" t="s">
        <v>1724</v>
      </c>
      <c r="B234" s="431" t="s">
        <v>1916</v>
      </c>
      <c r="C234" s="430" t="s">
        <v>71</v>
      </c>
      <c r="D234" s="430" t="s">
        <v>1917</v>
      </c>
      <c r="E234" s="430" t="s">
        <v>1795</v>
      </c>
      <c r="F234" s="430"/>
      <c r="G234" s="432" t="s">
        <v>1804</v>
      </c>
      <c r="H234" s="433">
        <v>0.0014</v>
      </c>
      <c r="I234" s="433">
        <v>0</v>
      </c>
      <c r="J234" s="446">
        <v>96.2</v>
      </c>
      <c r="K234" s="446">
        <v>0.13</v>
      </c>
    </row>
    <row r="235" customHeight="1" spans="1:11">
      <c r="A235" s="434"/>
      <c r="B235" s="434"/>
      <c r="C235" s="434"/>
      <c r="D235" s="434"/>
      <c r="E235" s="434"/>
      <c r="F235" s="434" t="s">
        <v>1735</v>
      </c>
      <c r="G235" s="435">
        <v>0.09</v>
      </c>
      <c r="H235" s="434" t="s">
        <v>1736</v>
      </c>
      <c r="I235" s="435">
        <v>0.1</v>
      </c>
      <c r="J235" s="434" t="s">
        <v>1737</v>
      </c>
      <c r="K235" s="435">
        <v>0.19</v>
      </c>
    </row>
    <row r="236" customHeight="1" spans="1:11">
      <c r="A236" s="434"/>
      <c r="B236" s="434"/>
      <c r="C236" s="434"/>
      <c r="D236" s="434"/>
      <c r="E236" s="434"/>
      <c r="F236" s="434" t="s">
        <v>1738</v>
      </c>
      <c r="G236" s="435">
        <v>0.26</v>
      </c>
      <c r="H236" s="434"/>
      <c r="I236" s="434" t="s">
        <v>1739</v>
      </c>
      <c r="J236" s="434"/>
      <c r="K236" s="435">
        <v>1.34</v>
      </c>
    </row>
    <row r="237" customHeight="1" spans="1:11">
      <c r="A237" s="436"/>
      <c r="B237" s="436"/>
      <c r="C237" s="436"/>
      <c r="D237" s="436"/>
      <c r="E237" s="436"/>
      <c r="F237" s="436"/>
      <c r="G237" s="436"/>
      <c r="H237" s="436" t="s">
        <v>1740</v>
      </c>
      <c r="I237" s="447" t="s">
        <v>1932</v>
      </c>
      <c r="J237" s="436" t="s">
        <v>1742</v>
      </c>
      <c r="K237" s="448">
        <v>13455.9</v>
      </c>
    </row>
    <row r="238" customHeight="1" spans="1:11">
      <c r="A238" s="437"/>
      <c r="B238" s="437"/>
      <c r="C238" s="437"/>
      <c r="D238" s="437"/>
      <c r="E238" s="437"/>
      <c r="F238" s="437"/>
      <c r="G238" s="437"/>
      <c r="H238" s="437"/>
      <c r="I238" s="437"/>
      <c r="J238" s="437"/>
      <c r="K238" s="437"/>
    </row>
    <row r="239" customHeight="1" spans="1:11">
      <c r="A239" s="423" t="s">
        <v>140</v>
      </c>
      <c r="B239" s="424" t="s">
        <v>1714</v>
      </c>
      <c r="C239" s="423" t="s">
        <v>1715</v>
      </c>
      <c r="D239" s="423" t="s">
        <v>1716</v>
      </c>
      <c r="E239" s="423" t="s">
        <v>1717</v>
      </c>
      <c r="F239" s="423"/>
      <c r="G239" s="425" t="s">
        <v>1718</v>
      </c>
      <c r="H239" s="424" t="s">
        <v>1719</v>
      </c>
      <c r="I239" s="424" t="s">
        <v>1720</v>
      </c>
      <c r="J239" s="424" t="s">
        <v>1721</v>
      </c>
      <c r="K239" s="424" t="s">
        <v>1722</v>
      </c>
    </row>
    <row r="240" customHeight="1" spans="1:11">
      <c r="A240" s="426" t="s">
        <v>1723</v>
      </c>
      <c r="B240" s="427" t="s">
        <v>141</v>
      </c>
      <c r="C240" s="426" t="s">
        <v>65</v>
      </c>
      <c r="D240" s="426" t="s">
        <v>142</v>
      </c>
      <c r="E240" s="426" t="s">
        <v>1647</v>
      </c>
      <c r="F240" s="426"/>
      <c r="G240" s="428" t="s">
        <v>129</v>
      </c>
      <c r="H240" s="429">
        <v>1</v>
      </c>
      <c r="I240" s="445"/>
      <c r="J240" s="445">
        <v>30.72</v>
      </c>
      <c r="K240" s="445">
        <v>30.72</v>
      </c>
    </row>
    <row r="241" customHeight="1" spans="1:11">
      <c r="A241" s="438" t="s">
        <v>1750</v>
      </c>
      <c r="B241" s="439" t="s">
        <v>1933</v>
      </c>
      <c r="C241" s="438" t="s">
        <v>1934</v>
      </c>
      <c r="D241" s="438" t="s">
        <v>1935</v>
      </c>
      <c r="E241" s="438" t="s">
        <v>1631</v>
      </c>
      <c r="F241" s="438"/>
      <c r="G241" s="440" t="s">
        <v>129</v>
      </c>
      <c r="H241" s="441">
        <v>1</v>
      </c>
      <c r="I241" s="441">
        <v>0</v>
      </c>
      <c r="J241" s="449">
        <v>30.72</v>
      </c>
      <c r="K241" s="449">
        <v>30.72</v>
      </c>
    </row>
    <row r="242" customHeight="1" spans="1:11">
      <c r="A242" s="434"/>
      <c r="B242" s="434"/>
      <c r="C242" s="434"/>
      <c r="D242" s="434"/>
      <c r="E242" s="434"/>
      <c r="F242" s="434" t="s">
        <v>1735</v>
      </c>
      <c r="G242" s="435">
        <v>0</v>
      </c>
      <c r="H242" s="434" t="s">
        <v>1736</v>
      </c>
      <c r="I242" s="435">
        <v>0</v>
      </c>
      <c r="J242" s="434" t="s">
        <v>1737</v>
      </c>
      <c r="K242" s="435">
        <v>0</v>
      </c>
    </row>
    <row r="243" customHeight="1" spans="1:11">
      <c r="A243" s="434"/>
      <c r="B243" s="434"/>
      <c r="C243" s="434"/>
      <c r="D243" s="434"/>
      <c r="E243" s="434"/>
      <c r="F243" s="434" t="s">
        <v>1738</v>
      </c>
      <c r="G243" s="435">
        <v>7.57</v>
      </c>
      <c r="H243" s="434"/>
      <c r="I243" s="434" t="s">
        <v>1739</v>
      </c>
      <c r="J243" s="434"/>
      <c r="K243" s="435">
        <v>38.29</v>
      </c>
    </row>
    <row r="244" customHeight="1" spans="1:11">
      <c r="A244" s="436"/>
      <c r="B244" s="436"/>
      <c r="C244" s="436"/>
      <c r="D244" s="436"/>
      <c r="E244" s="436"/>
      <c r="F244" s="436"/>
      <c r="G244" s="436"/>
      <c r="H244" s="436" t="s">
        <v>1740</v>
      </c>
      <c r="I244" s="447" t="s">
        <v>1918</v>
      </c>
      <c r="J244" s="436" t="s">
        <v>1742</v>
      </c>
      <c r="K244" s="448">
        <v>19223.49</v>
      </c>
    </row>
    <row r="245" customHeight="1" spans="1:11">
      <c r="A245" s="437"/>
      <c r="B245" s="437"/>
      <c r="C245" s="437"/>
      <c r="D245" s="437"/>
      <c r="E245" s="437"/>
      <c r="F245" s="437"/>
      <c r="G245" s="437"/>
      <c r="H245" s="437"/>
      <c r="I245" s="437"/>
      <c r="J245" s="437"/>
      <c r="K245" s="437"/>
    </row>
    <row r="246" customHeight="1" spans="1:11">
      <c r="A246" s="422" t="s">
        <v>143</v>
      </c>
      <c r="B246" s="422"/>
      <c r="C246" s="422"/>
      <c r="D246" s="422" t="s">
        <v>24</v>
      </c>
      <c r="E246" s="422"/>
      <c r="F246" s="422"/>
      <c r="G246" s="422"/>
      <c r="H246" s="422"/>
      <c r="I246" s="443"/>
      <c r="J246" s="422"/>
      <c r="K246" s="444">
        <v>287021.81</v>
      </c>
    </row>
    <row r="247" customHeight="1" spans="1:11">
      <c r="A247" s="422" t="s">
        <v>144</v>
      </c>
      <c r="B247" s="422"/>
      <c r="C247" s="422"/>
      <c r="D247" s="422" t="s">
        <v>145</v>
      </c>
      <c r="E247" s="422"/>
      <c r="F247" s="422"/>
      <c r="G247" s="422"/>
      <c r="H247" s="422"/>
      <c r="I247" s="443"/>
      <c r="J247" s="422"/>
      <c r="K247" s="444">
        <v>268782.03</v>
      </c>
    </row>
    <row r="248" customHeight="1" spans="1:11">
      <c r="A248" s="423" t="s">
        <v>146</v>
      </c>
      <c r="B248" s="424" t="s">
        <v>1714</v>
      </c>
      <c r="C248" s="423" t="s">
        <v>1715</v>
      </c>
      <c r="D248" s="423" t="s">
        <v>1716</v>
      </c>
      <c r="E248" s="423" t="s">
        <v>1717</v>
      </c>
      <c r="F248" s="423"/>
      <c r="G248" s="425" t="s">
        <v>1718</v>
      </c>
      <c r="H248" s="424" t="s">
        <v>1719</v>
      </c>
      <c r="I248" s="424" t="s">
        <v>1720</v>
      </c>
      <c r="J248" s="424" t="s">
        <v>1721</v>
      </c>
      <c r="K248" s="424" t="s">
        <v>1722</v>
      </c>
    </row>
    <row r="249" customHeight="1" spans="1:11">
      <c r="A249" s="426" t="s">
        <v>1723</v>
      </c>
      <c r="B249" s="427" t="s">
        <v>147</v>
      </c>
      <c r="C249" s="426" t="s">
        <v>71</v>
      </c>
      <c r="D249" s="426" t="s">
        <v>148</v>
      </c>
      <c r="E249" s="426" t="s">
        <v>1634</v>
      </c>
      <c r="F249" s="426"/>
      <c r="G249" s="428" t="s">
        <v>129</v>
      </c>
      <c r="H249" s="429">
        <v>1</v>
      </c>
      <c r="I249" s="445"/>
      <c r="J249" s="445">
        <v>126.82</v>
      </c>
      <c r="K249" s="445">
        <v>126.82</v>
      </c>
    </row>
    <row r="250" customHeight="1" spans="1:11">
      <c r="A250" s="430" t="s">
        <v>1724</v>
      </c>
      <c r="B250" s="431" t="s">
        <v>1745</v>
      </c>
      <c r="C250" s="430" t="s">
        <v>71</v>
      </c>
      <c r="D250" s="430" t="s">
        <v>1746</v>
      </c>
      <c r="E250" s="430" t="s">
        <v>1708</v>
      </c>
      <c r="F250" s="430"/>
      <c r="G250" s="432" t="s">
        <v>82</v>
      </c>
      <c r="H250" s="433">
        <v>3.126</v>
      </c>
      <c r="I250" s="433">
        <v>0</v>
      </c>
      <c r="J250" s="446">
        <v>29.15</v>
      </c>
      <c r="K250" s="446">
        <v>91.12</v>
      </c>
    </row>
    <row r="251" customHeight="1" spans="1:11">
      <c r="A251" s="430" t="s">
        <v>1724</v>
      </c>
      <c r="B251" s="431" t="s">
        <v>1936</v>
      </c>
      <c r="C251" s="430" t="s">
        <v>71</v>
      </c>
      <c r="D251" s="430" t="s">
        <v>1937</v>
      </c>
      <c r="E251" s="430" t="s">
        <v>1708</v>
      </c>
      <c r="F251" s="430"/>
      <c r="G251" s="432" t="s">
        <v>82</v>
      </c>
      <c r="H251" s="433">
        <v>0.966</v>
      </c>
      <c r="I251" s="433">
        <v>0</v>
      </c>
      <c r="J251" s="446">
        <v>36.96</v>
      </c>
      <c r="K251" s="446">
        <v>35.7</v>
      </c>
    </row>
    <row r="252" customHeight="1" spans="1:11">
      <c r="A252" s="434"/>
      <c r="B252" s="434"/>
      <c r="C252" s="434"/>
      <c r="D252" s="434"/>
      <c r="E252" s="434"/>
      <c r="F252" s="434" t="s">
        <v>1735</v>
      </c>
      <c r="G252" s="435">
        <v>45.11</v>
      </c>
      <c r="H252" s="434" t="s">
        <v>1736</v>
      </c>
      <c r="I252" s="435">
        <v>40.99</v>
      </c>
      <c r="J252" s="434" t="s">
        <v>1737</v>
      </c>
      <c r="K252" s="435">
        <v>86.1</v>
      </c>
    </row>
    <row r="253" customHeight="1" spans="1:11">
      <c r="A253" s="434"/>
      <c r="B253" s="434"/>
      <c r="C253" s="434"/>
      <c r="D253" s="434"/>
      <c r="E253" s="434"/>
      <c r="F253" s="434" t="s">
        <v>1738</v>
      </c>
      <c r="G253" s="435">
        <v>31.27</v>
      </c>
      <c r="H253" s="434"/>
      <c r="I253" s="434" t="s">
        <v>1739</v>
      </c>
      <c r="J253" s="434"/>
      <c r="K253" s="435">
        <v>158.09</v>
      </c>
    </row>
    <row r="254" customHeight="1" spans="1:11">
      <c r="A254" s="436"/>
      <c r="B254" s="436"/>
      <c r="C254" s="436"/>
      <c r="D254" s="436"/>
      <c r="E254" s="436"/>
      <c r="F254" s="436"/>
      <c r="G254" s="436"/>
      <c r="H254" s="436" t="s">
        <v>1740</v>
      </c>
      <c r="I254" s="447" t="s">
        <v>1938</v>
      </c>
      <c r="J254" s="436" t="s">
        <v>1742</v>
      </c>
      <c r="K254" s="448">
        <v>44764.76</v>
      </c>
    </row>
    <row r="255" customHeight="1" spans="1:11">
      <c r="A255" s="437"/>
      <c r="B255" s="437"/>
      <c r="C255" s="437"/>
      <c r="D255" s="437"/>
      <c r="E255" s="437"/>
      <c r="F255" s="437"/>
      <c r="G255" s="437"/>
      <c r="H255" s="437"/>
      <c r="I255" s="437"/>
      <c r="J255" s="437"/>
      <c r="K255" s="437"/>
    </row>
    <row r="256" customHeight="1" spans="1:11">
      <c r="A256" s="423" t="s">
        <v>149</v>
      </c>
      <c r="B256" s="424" t="s">
        <v>1714</v>
      </c>
      <c r="C256" s="423" t="s">
        <v>1715</v>
      </c>
      <c r="D256" s="423" t="s">
        <v>1716</v>
      </c>
      <c r="E256" s="423" t="s">
        <v>1717</v>
      </c>
      <c r="F256" s="423"/>
      <c r="G256" s="425" t="s">
        <v>1718</v>
      </c>
      <c r="H256" s="424" t="s">
        <v>1719</v>
      </c>
      <c r="I256" s="424" t="s">
        <v>1720</v>
      </c>
      <c r="J256" s="424" t="s">
        <v>1721</v>
      </c>
      <c r="K256" s="424" t="s">
        <v>1722</v>
      </c>
    </row>
    <row r="257" customHeight="1" spans="1:11">
      <c r="A257" s="426" t="s">
        <v>1723</v>
      </c>
      <c r="B257" s="427" t="s">
        <v>150</v>
      </c>
      <c r="C257" s="426" t="s">
        <v>71</v>
      </c>
      <c r="D257" s="426" t="s">
        <v>151</v>
      </c>
      <c r="E257" s="426" t="s">
        <v>1634</v>
      </c>
      <c r="F257" s="426"/>
      <c r="G257" s="428" t="s">
        <v>73</v>
      </c>
      <c r="H257" s="429">
        <v>1</v>
      </c>
      <c r="I257" s="445"/>
      <c r="J257" s="445">
        <v>316.77</v>
      </c>
      <c r="K257" s="445">
        <v>316.77</v>
      </c>
    </row>
    <row r="258" customHeight="1" spans="1:11">
      <c r="A258" s="430" t="s">
        <v>1724</v>
      </c>
      <c r="B258" s="431" t="s">
        <v>1800</v>
      </c>
      <c r="C258" s="430" t="s">
        <v>71</v>
      </c>
      <c r="D258" s="430" t="s">
        <v>1801</v>
      </c>
      <c r="E258" s="430" t="s">
        <v>1708</v>
      </c>
      <c r="F258" s="430"/>
      <c r="G258" s="432" t="s">
        <v>82</v>
      </c>
      <c r="H258" s="433">
        <v>1.341</v>
      </c>
      <c r="I258" s="433">
        <v>0</v>
      </c>
      <c r="J258" s="446">
        <v>29.91</v>
      </c>
      <c r="K258" s="446">
        <v>40.1</v>
      </c>
    </row>
    <row r="259" customHeight="1" spans="1:11">
      <c r="A259" s="430" t="s">
        <v>1724</v>
      </c>
      <c r="B259" s="431" t="s">
        <v>1805</v>
      </c>
      <c r="C259" s="430" t="s">
        <v>71</v>
      </c>
      <c r="D259" s="430" t="s">
        <v>1806</v>
      </c>
      <c r="E259" s="430" t="s">
        <v>1795</v>
      </c>
      <c r="F259" s="430"/>
      <c r="G259" s="432" t="s">
        <v>1796</v>
      </c>
      <c r="H259" s="433">
        <v>0.26</v>
      </c>
      <c r="I259" s="433">
        <v>0</v>
      </c>
      <c r="J259" s="446">
        <v>41.6</v>
      </c>
      <c r="K259" s="446">
        <v>10.81</v>
      </c>
    </row>
    <row r="260" customHeight="1" spans="1:11">
      <c r="A260" s="430" t="s">
        <v>1724</v>
      </c>
      <c r="B260" s="431" t="s">
        <v>1743</v>
      </c>
      <c r="C260" s="430" t="s">
        <v>71</v>
      </c>
      <c r="D260" s="430" t="s">
        <v>1744</v>
      </c>
      <c r="E260" s="430" t="s">
        <v>1708</v>
      </c>
      <c r="F260" s="430"/>
      <c r="G260" s="432" t="s">
        <v>82</v>
      </c>
      <c r="H260" s="433">
        <v>2.999</v>
      </c>
      <c r="I260" s="433">
        <v>0</v>
      </c>
      <c r="J260" s="446">
        <v>37.51</v>
      </c>
      <c r="K260" s="446">
        <v>112.49</v>
      </c>
    </row>
    <row r="261" customHeight="1" spans="1:11">
      <c r="A261" s="430" t="s">
        <v>1724</v>
      </c>
      <c r="B261" s="431" t="s">
        <v>1802</v>
      </c>
      <c r="C261" s="430" t="s">
        <v>71</v>
      </c>
      <c r="D261" s="430" t="s">
        <v>1803</v>
      </c>
      <c r="E261" s="430" t="s">
        <v>1795</v>
      </c>
      <c r="F261" s="430"/>
      <c r="G261" s="432" t="s">
        <v>1804</v>
      </c>
      <c r="H261" s="433">
        <v>1.045</v>
      </c>
      <c r="I261" s="433">
        <v>0</v>
      </c>
      <c r="J261" s="446">
        <v>39.98</v>
      </c>
      <c r="K261" s="446">
        <v>41.77</v>
      </c>
    </row>
    <row r="262" customHeight="1" spans="1:11">
      <c r="A262" s="438" t="s">
        <v>1750</v>
      </c>
      <c r="B262" s="439" t="s">
        <v>1939</v>
      </c>
      <c r="C262" s="438" t="s">
        <v>71</v>
      </c>
      <c r="D262" s="438" t="s">
        <v>1940</v>
      </c>
      <c r="E262" s="438" t="s">
        <v>1631</v>
      </c>
      <c r="F262" s="438"/>
      <c r="G262" s="440" t="s">
        <v>78</v>
      </c>
      <c r="H262" s="441">
        <v>4.55</v>
      </c>
      <c r="I262" s="441">
        <v>0</v>
      </c>
      <c r="J262" s="449">
        <v>14.58</v>
      </c>
      <c r="K262" s="449">
        <v>66.33</v>
      </c>
    </row>
    <row r="263" customHeight="1" spans="1:11">
      <c r="A263" s="438" t="s">
        <v>1750</v>
      </c>
      <c r="B263" s="439" t="s">
        <v>1941</v>
      </c>
      <c r="C263" s="438" t="s">
        <v>71</v>
      </c>
      <c r="D263" s="438" t="s">
        <v>1942</v>
      </c>
      <c r="E263" s="438" t="s">
        <v>1631</v>
      </c>
      <c r="F263" s="438"/>
      <c r="G263" s="440" t="s">
        <v>78</v>
      </c>
      <c r="H263" s="441">
        <v>13.385</v>
      </c>
      <c r="I263" s="441">
        <v>0</v>
      </c>
      <c r="J263" s="449">
        <v>3.07</v>
      </c>
      <c r="K263" s="449">
        <v>41.09</v>
      </c>
    </row>
    <row r="264" customHeight="1" spans="1:11">
      <c r="A264" s="438" t="s">
        <v>1750</v>
      </c>
      <c r="B264" s="439" t="s">
        <v>1943</v>
      </c>
      <c r="C264" s="438" t="s">
        <v>71</v>
      </c>
      <c r="D264" s="438" t="s">
        <v>1944</v>
      </c>
      <c r="E264" s="438" t="s">
        <v>1631</v>
      </c>
      <c r="F264" s="438"/>
      <c r="G264" s="440" t="s">
        <v>1945</v>
      </c>
      <c r="H264" s="441">
        <v>0.0167</v>
      </c>
      <c r="I264" s="441">
        <v>0</v>
      </c>
      <c r="J264" s="449">
        <v>7.97</v>
      </c>
      <c r="K264" s="449">
        <v>0.13</v>
      </c>
    </row>
    <row r="265" customHeight="1" spans="1:11">
      <c r="A265" s="438" t="s">
        <v>1750</v>
      </c>
      <c r="B265" s="439" t="s">
        <v>1946</v>
      </c>
      <c r="C265" s="438" t="s">
        <v>71</v>
      </c>
      <c r="D265" s="438" t="s">
        <v>1947</v>
      </c>
      <c r="E265" s="438" t="s">
        <v>1631</v>
      </c>
      <c r="F265" s="438"/>
      <c r="G265" s="440" t="s">
        <v>158</v>
      </c>
      <c r="H265" s="441">
        <v>0.141</v>
      </c>
      <c r="I265" s="441">
        <v>0</v>
      </c>
      <c r="J265" s="449">
        <v>18.73</v>
      </c>
      <c r="K265" s="449">
        <v>2.64</v>
      </c>
    </row>
    <row r="266" customHeight="1" spans="1:11">
      <c r="A266" s="438" t="s">
        <v>1750</v>
      </c>
      <c r="B266" s="439" t="s">
        <v>1948</v>
      </c>
      <c r="C266" s="438" t="s">
        <v>71</v>
      </c>
      <c r="D266" s="438" t="s">
        <v>1949</v>
      </c>
      <c r="E266" s="438" t="s">
        <v>1631</v>
      </c>
      <c r="F266" s="438"/>
      <c r="G266" s="440" t="s">
        <v>158</v>
      </c>
      <c r="H266" s="441">
        <v>0.047</v>
      </c>
      <c r="I266" s="441">
        <v>0</v>
      </c>
      <c r="J266" s="449">
        <v>22.69</v>
      </c>
      <c r="K266" s="449">
        <v>1.06</v>
      </c>
    </row>
    <row r="267" customHeight="1" spans="1:11">
      <c r="A267" s="438" t="s">
        <v>1750</v>
      </c>
      <c r="B267" s="439" t="s">
        <v>1950</v>
      </c>
      <c r="C267" s="438" t="s">
        <v>71</v>
      </c>
      <c r="D267" s="438" t="s">
        <v>1951</v>
      </c>
      <c r="E267" s="438" t="s">
        <v>1631</v>
      </c>
      <c r="F267" s="438"/>
      <c r="G267" s="440" t="s">
        <v>158</v>
      </c>
      <c r="H267" s="441">
        <v>0.017</v>
      </c>
      <c r="I267" s="441">
        <v>0</v>
      </c>
      <c r="J267" s="449">
        <v>20.59</v>
      </c>
      <c r="K267" s="449">
        <v>0.35</v>
      </c>
    </row>
    <row r="268" customHeight="1" spans="1:11">
      <c r="A268" s="434"/>
      <c r="B268" s="434"/>
      <c r="C268" s="434"/>
      <c r="D268" s="434"/>
      <c r="E268" s="434"/>
      <c r="F268" s="434" t="s">
        <v>1735</v>
      </c>
      <c r="G268" s="435">
        <v>78.9</v>
      </c>
      <c r="H268" s="434" t="s">
        <v>1736</v>
      </c>
      <c r="I268" s="435">
        <v>71.67</v>
      </c>
      <c r="J268" s="434" t="s">
        <v>1737</v>
      </c>
      <c r="K268" s="435">
        <v>150.57</v>
      </c>
    </row>
    <row r="269" customHeight="1" spans="1:11">
      <c r="A269" s="434"/>
      <c r="B269" s="434"/>
      <c r="C269" s="434"/>
      <c r="D269" s="434"/>
      <c r="E269" s="434"/>
      <c r="F269" s="434" t="s">
        <v>1738</v>
      </c>
      <c r="G269" s="435">
        <v>78.11</v>
      </c>
      <c r="H269" s="434"/>
      <c r="I269" s="434" t="s">
        <v>1739</v>
      </c>
      <c r="J269" s="434"/>
      <c r="K269" s="435">
        <v>394.88</v>
      </c>
    </row>
    <row r="270" customHeight="1" spans="1:11">
      <c r="A270" s="436"/>
      <c r="B270" s="436"/>
      <c r="C270" s="436"/>
      <c r="D270" s="436"/>
      <c r="E270" s="436"/>
      <c r="F270" s="436"/>
      <c r="G270" s="436"/>
      <c r="H270" s="436" t="s">
        <v>1740</v>
      </c>
      <c r="I270" s="447" t="s">
        <v>1952</v>
      </c>
      <c r="J270" s="436" t="s">
        <v>1742</v>
      </c>
      <c r="K270" s="448">
        <v>58801.58</v>
      </c>
    </row>
    <row r="271" customHeight="1" spans="1:11">
      <c r="A271" s="437"/>
      <c r="B271" s="437"/>
      <c r="C271" s="437"/>
      <c r="D271" s="437"/>
      <c r="E271" s="437"/>
      <c r="F271" s="437"/>
      <c r="G271" s="437"/>
      <c r="H271" s="437"/>
      <c r="I271" s="437"/>
      <c r="J271" s="437"/>
      <c r="K271" s="437"/>
    </row>
    <row r="272" customHeight="1" spans="1:11">
      <c r="A272" s="423" t="s">
        <v>152</v>
      </c>
      <c r="B272" s="424" t="s">
        <v>1714</v>
      </c>
      <c r="C272" s="423" t="s">
        <v>1715</v>
      </c>
      <c r="D272" s="423" t="s">
        <v>1716</v>
      </c>
      <c r="E272" s="423" t="s">
        <v>1717</v>
      </c>
      <c r="F272" s="423"/>
      <c r="G272" s="425" t="s">
        <v>1718</v>
      </c>
      <c r="H272" s="424" t="s">
        <v>1719</v>
      </c>
      <c r="I272" s="424" t="s">
        <v>1720</v>
      </c>
      <c r="J272" s="424" t="s">
        <v>1721</v>
      </c>
      <c r="K272" s="424" t="s">
        <v>1722</v>
      </c>
    </row>
    <row r="273" customHeight="1" spans="1:11">
      <c r="A273" s="426" t="s">
        <v>1723</v>
      </c>
      <c r="B273" s="427" t="s">
        <v>153</v>
      </c>
      <c r="C273" s="426" t="s">
        <v>71</v>
      </c>
      <c r="D273" s="426" t="s">
        <v>154</v>
      </c>
      <c r="E273" s="426" t="s">
        <v>1634</v>
      </c>
      <c r="F273" s="426"/>
      <c r="G273" s="428" t="s">
        <v>73</v>
      </c>
      <c r="H273" s="429">
        <v>1</v>
      </c>
      <c r="I273" s="445"/>
      <c r="J273" s="445">
        <v>184.31</v>
      </c>
      <c r="K273" s="445">
        <v>184.31</v>
      </c>
    </row>
    <row r="274" customHeight="1" spans="1:11">
      <c r="A274" s="430" t="s">
        <v>1724</v>
      </c>
      <c r="B274" s="431" t="s">
        <v>1800</v>
      </c>
      <c r="C274" s="430" t="s">
        <v>71</v>
      </c>
      <c r="D274" s="430" t="s">
        <v>1801</v>
      </c>
      <c r="E274" s="430" t="s">
        <v>1708</v>
      </c>
      <c r="F274" s="430"/>
      <c r="G274" s="432" t="s">
        <v>82</v>
      </c>
      <c r="H274" s="433">
        <v>0.656</v>
      </c>
      <c r="I274" s="433">
        <v>0</v>
      </c>
      <c r="J274" s="446">
        <v>29.91</v>
      </c>
      <c r="K274" s="446">
        <v>19.62</v>
      </c>
    </row>
    <row r="275" customHeight="1" spans="1:11">
      <c r="A275" s="430" t="s">
        <v>1724</v>
      </c>
      <c r="B275" s="431" t="s">
        <v>1743</v>
      </c>
      <c r="C275" s="430" t="s">
        <v>71</v>
      </c>
      <c r="D275" s="430" t="s">
        <v>1744</v>
      </c>
      <c r="E275" s="430" t="s">
        <v>1708</v>
      </c>
      <c r="F275" s="430"/>
      <c r="G275" s="432" t="s">
        <v>82</v>
      </c>
      <c r="H275" s="433">
        <v>1.596</v>
      </c>
      <c r="I275" s="433">
        <v>0</v>
      </c>
      <c r="J275" s="446">
        <v>37.51</v>
      </c>
      <c r="K275" s="446">
        <v>59.86</v>
      </c>
    </row>
    <row r="276" customHeight="1" spans="1:11">
      <c r="A276" s="430" t="s">
        <v>1724</v>
      </c>
      <c r="B276" s="431" t="s">
        <v>1802</v>
      </c>
      <c r="C276" s="430" t="s">
        <v>71</v>
      </c>
      <c r="D276" s="430" t="s">
        <v>1803</v>
      </c>
      <c r="E276" s="430" t="s">
        <v>1795</v>
      </c>
      <c r="F276" s="430"/>
      <c r="G276" s="432" t="s">
        <v>1804</v>
      </c>
      <c r="H276" s="433">
        <v>0.163</v>
      </c>
      <c r="I276" s="433">
        <v>0</v>
      </c>
      <c r="J276" s="446">
        <v>39.98</v>
      </c>
      <c r="K276" s="446">
        <v>6.51</v>
      </c>
    </row>
    <row r="277" customHeight="1" spans="1:11">
      <c r="A277" s="430" t="s">
        <v>1724</v>
      </c>
      <c r="B277" s="431" t="s">
        <v>1805</v>
      </c>
      <c r="C277" s="430" t="s">
        <v>71</v>
      </c>
      <c r="D277" s="430" t="s">
        <v>1806</v>
      </c>
      <c r="E277" s="430" t="s">
        <v>1795</v>
      </c>
      <c r="F277" s="430"/>
      <c r="G277" s="432" t="s">
        <v>1796</v>
      </c>
      <c r="H277" s="433">
        <v>0.041</v>
      </c>
      <c r="I277" s="433">
        <v>0</v>
      </c>
      <c r="J277" s="446">
        <v>41.6</v>
      </c>
      <c r="K277" s="446">
        <v>1.7</v>
      </c>
    </row>
    <row r="278" customHeight="1" spans="1:11">
      <c r="A278" s="438" t="s">
        <v>1750</v>
      </c>
      <c r="B278" s="439" t="s">
        <v>1948</v>
      </c>
      <c r="C278" s="438" t="s">
        <v>71</v>
      </c>
      <c r="D278" s="438" t="s">
        <v>1949</v>
      </c>
      <c r="E278" s="438" t="s">
        <v>1631</v>
      </c>
      <c r="F278" s="438"/>
      <c r="G278" s="440" t="s">
        <v>158</v>
      </c>
      <c r="H278" s="441">
        <v>0.029</v>
      </c>
      <c r="I278" s="441">
        <v>0</v>
      </c>
      <c r="J278" s="449">
        <v>22.69</v>
      </c>
      <c r="K278" s="449">
        <v>0.65</v>
      </c>
    </row>
    <row r="279" customHeight="1" spans="1:11">
      <c r="A279" s="438" t="s">
        <v>1750</v>
      </c>
      <c r="B279" s="439" t="s">
        <v>1807</v>
      </c>
      <c r="C279" s="438" t="s">
        <v>71</v>
      </c>
      <c r="D279" s="438" t="s">
        <v>1808</v>
      </c>
      <c r="E279" s="438" t="s">
        <v>1631</v>
      </c>
      <c r="F279" s="438"/>
      <c r="G279" s="440" t="s">
        <v>78</v>
      </c>
      <c r="H279" s="441">
        <v>2.504</v>
      </c>
      <c r="I279" s="441">
        <v>0</v>
      </c>
      <c r="J279" s="449">
        <v>8.79</v>
      </c>
      <c r="K279" s="449">
        <v>22.01</v>
      </c>
    </row>
    <row r="280" customHeight="1" spans="1:11">
      <c r="A280" s="438" t="s">
        <v>1750</v>
      </c>
      <c r="B280" s="439" t="s">
        <v>1950</v>
      </c>
      <c r="C280" s="438" t="s">
        <v>71</v>
      </c>
      <c r="D280" s="438" t="s">
        <v>1951</v>
      </c>
      <c r="E280" s="438" t="s">
        <v>1631</v>
      </c>
      <c r="F280" s="438"/>
      <c r="G280" s="440" t="s">
        <v>158</v>
      </c>
      <c r="H280" s="441">
        <v>0.042</v>
      </c>
      <c r="I280" s="441">
        <v>0</v>
      </c>
      <c r="J280" s="449">
        <v>20.59</v>
      </c>
      <c r="K280" s="449">
        <v>0.86</v>
      </c>
    </row>
    <row r="281" customHeight="1" spans="1:11">
      <c r="A281" s="438" t="s">
        <v>1750</v>
      </c>
      <c r="B281" s="439" t="s">
        <v>1939</v>
      </c>
      <c r="C281" s="438" t="s">
        <v>71</v>
      </c>
      <c r="D281" s="438" t="s">
        <v>1940</v>
      </c>
      <c r="E281" s="438" t="s">
        <v>1631</v>
      </c>
      <c r="F281" s="438"/>
      <c r="G281" s="440" t="s">
        <v>78</v>
      </c>
      <c r="H281" s="441">
        <v>4.284</v>
      </c>
      <c r="I281" s="441">
        <v>0</v>
      </c>
      <c r="J281" s="449">
        <v>14.58</v>
      </c>
      <c r="K281" s="449">
        <v>62.46</v>
      </c>
    </row>
    <row r="282" customHeight="1" spans="1:11">
      <c r="A282" s="438" t="s">
        <v>1750</v>
      </c>
      <c r="B282" s="439" t="s">
        <v>1941</v>
      </c>
      <c r="C282" s="438" t="s">
        <v>71</v>
      </c>
      <c r="D282" s="438" t="s">
        <v>1942</v>
      </c>
      <c r="E282" s="438" t="s">
        <v>1631</v>
      </c>
      <c r="F282" s="438"/>
      <c r="G282" s="440" t="s">
        <v>78</v>
      </c>
      <c r="H282" s="441">
        <v>3.426</v>
      </c>
      <c r="I282" s="441">
        <v>0</v>
      </c>
      <c r="J282" s="449">
        <v>3.07</v>
      </c>
      <c r="K282" s="449">
        <v>10.51</v>
      </c>
    </row>
    <row r="283" customHeight="1" spans="1:11">
      <c r="A283" s="438" t="s">
        <v>1750</v>
      </c>
      <c r="B283" s="439" t="s">
        <v>1943</v>
      </c>
      <c r="C283" s="438" t="s">
        <v>71</v>
      </c>
      <c r="D283" s="438" t="s">
        <v>1944</v>
      </c>
      <c r="E283" s="438" t="s">
        <v>1631</v>
      </c>
      <c r="F283" s="438"/>
      <c r="G283" s="440" t="s">
        <v>1945</v>
      </c>
      <c r="H283" s="441">
        <v>0.0167</v>
      </c>
      <c r="I283" s="441">
        <v>0</v>
      </c>
      <c r="J283" s="449">
        <v>7.97</v>
      </c>
      <c r="K283" s="449">
        <v>0.13</v>
      </c>
    </row>
    <row r="284" customHeight="1" spans="1:11">
      <c r="A284" s="434"/>
      <c r="B284" s="434"/>
      <c r="C284" s="434"/>
      <c r="D284" s="434"/>
      <c r="E284" s="434"/>
      <c r="F284" s="434" t="s">
        <v>1735</v>
      </c>
      <c r="G284" s="435">
        <v>33.4</v>
      </c>
      <c r="H284" s="434" t="s">
        <v>1736</v>
      </c>
      <c r="I284" s="435">
        <v>30.34</v>
      </c>
      <c r="J284" s="434" t="s">
        <v>1737</v>
      </c>
      <c r="K284" s="435">
        <v>63.74</v>
      </c>
    </row>
    <row r="285" customHeight="1" spans="1:11">
      <c r="A285" s="434"/>
      <c r="B285" s="434"/>
      <c r="C285" s="434"/>
      <c r="D285" s="434"/>
      <c r="E285" s="434"/>
      <c r="F285" s="434" t="s">
        <v>1738</v>
      </c>
      <c r="G285" s="435">
        <v>45.45</v>
      </c>
      <c r="H285" s="434"/>
      <c r="I285" s="434" t="s">
        <v>1739</v>
      </c>
      <c r="J285" s="434"/>
      <c r="K285" s="435">
        <v>229.76</v>
      </c>
    </row>
    <row r="286" customHeight="1" spans="1:11">
      <c r="A286" s="436"/>
      <c r="B286" s="436"/>
      <c r="C286" s="436"/>
      <c r="D286" s="436"/>
      <c r="E286" s="436"/>
      <c r="F286" s="436"/>
      <c r="G286" s="436"/>
      <c r="H286" s="436" t="s">
        <v>1740</v>
      </c>
      <c r="I286" s="447" t="s">
        <v>1953</v>
      </c>
      <c r="J286" s="436" t="s">
        <v>1742</v>
      </c>
      <c r="K286" s="448">
        <v>12202.55</v>
      </c>
    </row>
    <row r="287" customHeight="1" spans="1:11">
      <c r="A287" s="437"/>
      <c r="B287" s="437"/>
      <c r="C287" s="437"/>
      <c r="D287" s="437"/>
      <c r="E287" s="437"/>
      <c r="F287" s="437"/>
      <c r="G287" s="437"/>
      <c r="H287" s="437"/>
      <c r="I287" s="437"/>
      <c r="J287" s="437"/>
      <c r="K287" s="437"/>
    </row>
    <row r="288" customHeight="1" spans="1:11">
      <c r="A288" s="423" t="s">
        <v>155</v>
      </c>
      <c r="B288" s="424" t="s">
        <v>1714</v>
      </c>
      <c r="C288" s="423" t="s">
        <v>1715</v>
      </c>
      <c r="D288" s="423" t="s">
        <v>1716</v>
      </c>
      <c r="E288" s="423" t="s">
        <v>1717</v>
      </c>
      <c r="F288" s="423"/>
      <c r="G288" s="425" t="s">
        <v>1718</v>
      </c>
      <c r="H288" s="424" t="s">
        <v>1719</v>
      </c>
      <c r="I288" s="424" t="s">
        <v>1720</v>
      </c>
      <c r="J288" s="424" t="s">
        <v>1721</v>
      </c>
      <c r="K288" s="424" t="s">
        <v>1722</v>
      </c>
    </row>
    <row r="289" customHeight="1" spans="1:11">
      <c r="A289" s="426" t="s">
        <v>1723</v>
      </c>
      <c r="B289" s="427" t="s">
        <v>156</v>
      </c>
      <c r="C289" s="426" t="s">
        <v>71</v>
      </c>
      <c r="D289" s="426" t="s">
        <v>157</v>
      </c>
      <c r="E289" s="426" t="s">
        <v>1634</v>
      </c>
      <c r="F289" s="426"/>
      <c r="G289" s="428" t="s">
        <v>158</v>
      </c>
      <c r="H289" s="429">
        <v>1</v>
      </c>
      <c r="I289" s="445"/>
      <c r="J289" s="445">
        <v>23.72</v>
      </c>
      <c r="K289" s="445">
        <v>23.72</v>
      </c>
    </row>
    <row r="290" customHeight="1" spans="1:11">
      <c r="A290" s="430" t="s">
        <v>1724</v>
      </c>
      <c r="B290" s="431" t="s">
        <v>1954</v>
      </c>
      <c r="C290" s="430" t="s">
        <v>71</v>
      </c>
      <c r="D290" s="430" t="s">
        <v>1955</v>
      </c>
      <c r="E290" s="430" t="s">
        <v>1632</v>
      </c>
      <c r="F290" s="430"/>
      <c r="G290" s="432" t="s">
        <v>158</v>
      </c>
      <c r="H290" s="433">
        <v>1</v>
      </c>
      <c r="I290" s="433">
        <v>0</v>
      </c>
      <c r="J290" s="446">
        <v>10.96</v>
      </c>
      <c r="K290" s="446">
        <v>10.96</v>
      </c>
    </row>
    <row r="291" customHeight="1" spans="1:11">
      <c r="A291" s="430" t="s">
        <v>1724</v>
      </c>
      <c r="B291" s="431" t="s">
        <v>1956</v>
      </c>
      <c r="C291" s="430" t="s">
        <v>71</v>
      </c>
      <c r="D291" s="430" t="s">
        <v>1957</v>
      </c>
      <c r="E291" s="430" t="s">
        <v>1708</v>
      </c>
      <c r="F291" s="430"/>
      <c r="G291" s="432" t="s">
        <v>82</v>
      </c>
      <c r="H291" s="433">
        <v>0.097</v>
      </c>
      <c r="I291" s="433">
        <v>0</v>
      </c>
      <c r="J291" s="446">
        <v>30.06</v>
      </c>
      <c r="K291" s="446">
        <v>2.91</v>
      </c>
    </row>
    <row r="292" customHeight="1" spans="1:11">
      <c r="A292" s="430" t="s">
        <v>1724</v>
      </c>
      <c r="B292" s="431" t="s">
        <v>1958</v>
      </c>
      <c r="C292" s="430" t="s">
        <v>71</v>
      </c>
      <c r="D292" s="430" t="s">
        <v>1959</v>
      </c>
      <c r="E292" s="430" t="s">
        <v>1708</v>
      </c>
      <c r="F292" s="430"/>
      <c r="G292" s="432" t="s">
        <v>82</v>
      </c>
      <c r="H292" s="433">
        <v>0.252</v>
      </c>
      <c r="I292" s="433">
        <v>0</v>
      </c>
      <c r="J292" s="446">
        <v>35.95</v>
      </c>
      <c r="K292" s="446">
        <v>9.05</v>
      </c>
    </row>
    <row r="293" customHeight="1" spans="1:11">
      <c r="A293" s="438" t="s">
        <v>1750</v>
      </c>
      <c r="B293" s="439" t="s">
        <v>1960</v>
      </c>
      <c r="C293" s="438" t="s">
        <v>71</v>
      </c>
      <c r="D293" s="438" t="s">
        <v>1961</v>
      </c>
      <c r="E293" s="438" t="s">
        <v>1631</v>
      </c>
      <c r="F293" s="438"/>
      <c r="G293" s="440" t="s">
        <v>158</v>
      </c>
      <c r="H293" s="441">
        <v>0.025</v>
      </c>
      <c r="I293" s="441">
        <v>0</v>
      </c>
      <c r="J293" s="449">
        <v>22</v>
      </c>
      <c r="K293" s="449">
        <v>0.55</v>
      </c>
    </row>
    <row r="294" customHeight="1" spans="1:11">
      <c r="A294" s="438" t="s">
        <v>1750</v>
      </c>
      <c r="B294" s="439" t="s">
        <v>1962</v>
      </c>
      <c r="C294" s="438" t="s">
        <v>71</v>
      </c>
      <c r="D294" s="438" t="s">
        <v>1963</v>
      </c>
      <c r="E294" s="438" t="s">
        <v>1631</v>
      </c>
      <c r="F294" s="438"/>
      <c r="G294" s="440" t="s">
        <v>105</v>
      </c>
      <c r="H294" s="441">
        <v>1.143</v>
      </c>
      <c r="I294" s="441">
        <v>0</v>
      </c>
      <c r="J294" s="449">
        <v>0.22</v>
      </c>
      <c r="K294" s="449">
        <v>0.25</v>
      </c>
    </row>
    <row r="295" customHeight="1" spans="1:11">
      <c r="A295" s="434"/>
      <c r="B295" s="434"/>
      <c r="C295" s="434"/>
      <c r="D295" s="434"/>
      <c r="E295" s="434"/>
      <c r="F295" s="434" t="s">
        <v>1735</v>
      </c>
      <c r="G295" s="435">
        <v>5.32</v>
      </c>
      <c r="H295" s="434" t="s">
        <v>1736</v>
      </c>
      <c r="I295" s="435">
        <v>4.84</v>
      </c>
      <c r="J295" s="434" t="s">
        <v>1737</v>
      </c>
      <c r="K295" s="435">
        <v>10.16</v>
      </c>
    </row>
    <row r="296" customHeight="1" spans="1:11">
      <c r="A296" s="434"/>
      <c r="B296" s="434"/>
      <c r="C296" s="434"/>
      <c r="D296" s="434"/>
      <c r="E296" s="434"/>
      <c r="F296" s="434" t="s">
        <v>1738</v>
      </c>
      <c r="G296" s="435">
        <v>5.84</v>
      </c>
      <c r="H296" s="434"/>
      <c r="I296" s="434" t="s">
        <v>1739</v>
      </c>
      <c r="J296" s="434"/>
      <c r="K296" s="435">
        <v>29.56</v>
      </c>
    </row>
    <row r="297" customHeight="1" spans="1:11">
      <c r="A297" s="436"/>
      <c r="B297" s="436"/>
      <c r="C297" s="436"/>
      <c r="D297" s="436"/>
      <c r="E297" s="436"/>
      <c r="F297" s="436"/>
      <c r="G297" s="436"/>
      <c r="H297" s="436" t="s">
        <v>1740</v>
      </c>
      <c r="I297" s="447" t="s">
        <v>1964</v>
      </c>
      <c r="J297" s="436" t="s">
        <v>1742</v>
      </c>
      <c r="K297" s="448">
        <v>295.6</v>
      </c>
    </row>
    <row r="298" customHeight="1" spans="1:11">
      <c r="A298" s="437"/>
      <c r="B298" s="437"/>
      <c r="C298" s="437"/>
      <c r="D298" s="437"/>
      <c r="E298" s="437"/>
      <c r="F298" s="437"/>
      <c r="G298" s="437"/>
      <c r="H298" s="437"/>
      <c r="I298" s="437"/>
      <c r="J298" s="437"/>
      <c r="K298" s="437"/>
    </row>
    <row r="299" customHeight="1" spans="1:11">
      <c r="A299" s="423" t="s">
        <v>159</v>
      </c>
      <c r="B299" s="424" t="s">
        <v>1714</v>
      </c>
      <c r="C299" s="423" t="s">
        <v>1715</v>
      </c>
      <c r="D299" s="423" t="s">
        <v>1716</v>
      </c>
      <c r="E299" s="423" t="s">
        <v>1717</v>
      </c>
      <c r="F299" s="423"/>
      <c r="G299" s="425" t="s">
        <v>1718</v>
      </c>
      <c r="H299" s="424" t="s">
        <v>1719</v>
      </c>
      <c r="I299" s="424" t="s">
        <v>1720</v>
      </c>
      <c r="J299" s="424" t="s">
        <v>1721</v>
      </c>
      <c r="K299" s="424" t="s">
        <v>1722</v>
      </c>
    </row>
    <row r="300" customHeight="1" spans="1:11">
      <c r="A300" s="426" t="s">
        <v>1723</v>
      </c>
      <c r="B300" s="427" t="s">
        <v>160</v>
      </c>
      <c r="C300" s="426" t="s">
        <v>71</v>
      </c>
      <c r="D300" s="426" t="s">
        <v>161</v>
      </c>
      <c r="E300" s="426" t="s">
        <v>1634</v>
      </c>
      <c r="F300" s="426"/>
      <c r="G300" s="428" t="s">
        <v>158</v>
      </c>
      <c r="H300" s="429">
        <v>1</v>
      </c>
      <c r="I300" s="445"/>
      <c r="J300" s="445">
        <v>15.92</v>
      </c>
      <c r="K300" s="445">
        <v>15.92</v>
      </c>
    </row>
    <row r="301" customHeight="1" spans="1:11">
      <c r="A301" s="430" t="s">
        <v>1724</v>
      </c>
      <c r="B301" s="431" t="s">
        <v>1958</v>
      </c>
      <c r="C301" s="430" t="s">
        <v>71</v>
      </c>
      <c r="D301" s="430" t="s">
        <v>1959</v>
      </c>
      <c r="E301" s="430" t="s">
        <v>1708</v>
      </c>
      <c r="F301" s="430"/>
      <c r="G301" s="432" t="s">
        <v>82</v>
      </c>
      <c r="H301" s="433">
        <v>0.116</v>
      </c>
      <c r="I301" s="433">
        <v>0</v>
      </c>
      <c r="J301" s="446">
        <v>35.95</v>
      </c>
      <c r="K301" s="446">
        <v>4.17</v>
      </c>
    </row>
    <row r="302" customHeight="1" spans="1:11">
      <c r="A302" s="430" t="s">
        <v>1724</v>
      </c>
      <c r="B302" s="431" t="s">
        <v>1956</v>
      </c>
      <c r="C302" s="430" t="s">
        <v>71</v>
      </c>
      <c r="D302" s="430" t="s">
        <v>1957</v>
      </c>
      <c r="E302" s="430" t="s">
        <v>1708</v>
      </c>
      <c r="F302" s="430"/>
      <c r="G302" s="432" t="s">
        <v>82</v>
      </c>
      <c r="H302" s="433">
        <v>0.044</v>
      </c>
      <c r="I302" s="433">
        <v>0</v>
      </c>
      <c r="J302" s="446">
        <v>30.06</v>
      </c>
      <c r="K302" s="446">
        <v>1.32</v>
      </c>
    </row>
    <row r="303" customHeight="1" spans="1:11">
      <c r="A303" s="430" t="s">
        <v>1724</v>
      </c>
      <c r="B303" s="431" t="s">
        <v>1965</v>
      </c>
      <c r="C303" s="430" t="s">
        <v>71</v>
      </c>
      <c r="D303" s="430" t="s">
        <v>1966</v>
      </c>
      <c r="E303" s="430" t="s">
        <v>1632</v>
      </c>
      <c r="F303" s="430"/>
      <c r="G303" s="432" t="s">
        <v>158</v>
      </c>
      <c r="H303" s="433">
        <v>1</v>
      </c>
      <c r="I303" s="433">
        <v>0</v>
      </c>
      <c r="J303" s="446">
        <v>9.78</v>
      </c>
      <c r="K303" s="446">
        <v>9.78</v>
      </c>
    </row>
    <row r="304" customHeight="1" spans="1:11">
      <c r="A304" s="438" t="s">
        <v>1750</v>
      </c>
      <c r="B304" s="439" t="s">
        <v>1960</v>
      </c>
      <c r="C304" s="438" t="s">
        <v>71</v>
      </c>
      <c r="D304" s="438" t="s">
        <v>1961</v>
      </c>
      <c r="E304" s="438" t="s">
        <v>1631</v>
      </c>
      <c r="F304" s="438"/>
      <c r="G304" s="440" t="s">
        <v>158</v>
      </c>
      <c r="H304" s="441">
        <v>0.025</v>
      </c>
      <c r="I304" s="441">
        <v>0</v>
      </c>
      <c r="J304" s="449">
        <v>22</v>
      </c>
      <c r="K304" s="449">
        <v>0.55</v>
      </c>
    </row>
    <row r="305" customHeight="1" spans="1:11">
      <c r="A305" s="438" t="s">
        <v>1750</v>
      </c>
      <c r="B305" s="439" t="s">
        <v>1962</v>
      </c>
      <c r="C305" s="438" t="s">
        <v>71</v>
      </c>
      <c r="D305" s="438" t="s">
        <v>1963</v>
      </c>
      <c r="E305" s="438" t="s">
        <v>1631</v>
      </c>
      <c r="F305" s="438"/>
      <c r="G305" s="440" t="s">
        <v>105</v>
      </c>
      <c r="H305" s="441">
        <v>0.48</v>
      </c>
      <c r="I305" s="441">
        <v>0</v>
      </c>
      <c r="J305" s="449">
        <v>0.22</v>
      </c>
      <c r="K305" s="449">
        <v>0.1</v>
      </c>
    </row>
    <row r="306" customHeight="1" spans="1:11">
      <c r="A306" s="434"/>
      <c r="B306" s="434"/>
      <c r="C306" s="434"/>
      <c r="D306" s="434"/>
      <c r="E306" s="434"/>
      <c r="F306" s="434" t="s">
        <v>1735</v>
      </c>
      <c r="G306" s="435">
        <v>2.15</v>
      </c>
      <c r="H306" s="434" t="s">
        <v>1736</v>
      </c>
      <c r="I306" s="435">
        <v>1.97</v>
      </c>
      <c r="J306" s="434" t="s">
        <v>1737</v>
      </c>
      <c r="K306" s="435">
        <v>4.12</v>
      </c>
    </row>
    <row r="307" customHeight="1" spans="1:11">
      <c r="A307" s="434"/>
      <c r="B307" s="434"/>
      <c r="C307" s="434"/>
      <c r="D307" s="434"/>
      <c r="E307" s="434"/>
      <c r="F307" s="434" t="s">
        <v>1738</v>
      </c>
      <c r="G307" s="435">
        <v>3.92</v>
      </c>
      <c r="H307" s="434"/>
      <c r="I307" s="434" t="s">
        <v>1739</v>
      </c>
      <c r="J307" s="434"/>
      <c r="K307" s="435">
        <v>19.84</v>
      </c>
    </row>
    <row r="308" customHeight="1" spans="1:11">
      <c r="A308" s="436"/>
      <c r="B308" s="436"/>
      <c r="C308" s="436"/>
      <c r="D308" s="436"/>
      <c r="E308" s="436"/>
      <c r="F308" s="436"/>
      <c r="G308" s="436"/>
      <c r="H308" s="436" t="s">
        <v>1740</v>
      </c>
      <c r="I308" s="447" t="s">
        <v>1967</v>
      </c>
      <c r="J308" s="436" t="s">
        <v>1742</v>
      </c>
      <c r="K308" s="448">
        <v>813.44</v>
      </c>
    </row>
    <row r="309" customHeight="1" spans="1:11">
      <c r="A309" s="437"/>
      <c r="B309" s="437"/>
      <c r="C309" s="437"/>
      <c r="D309" s="437"/>
      <c r="E309" s="437"/>
      <c r="F309" s="437"/>
      <c r="G309" s="437"/>
      <c r="H309" s="437"/>
      <c r="I309" s="437"/>
      <c r="J309" s="437"/>
      <c r="K309" s="437"/>
    </row>
    <row r="310" customHeight="1" spans="1:11">
      <c r="A310" s="423" t="s">
        <v>162</v>
      </c>
      <c r="B310" s="424" t="s">
        <v>1714</v>
      </c>
      <c r="C310" s="423" t="s">
        <v>1715</v>
      </c>
      <c r="D310" s="423" t="s">
        <v>1716</v>
      </c>
      <c r="E310" s="423" t="s">
        <v>1717</v>
      </c>
      <c r="F310" s="423"/>
      <c r="G310" s="425" t="s">
        <v>1718</v>
      </c>
      <c r="H310" s="424" t="s">
        <v>1719</v>
      </c>
      <c r="I310" s="424" t="s">
        <v>1720</v>
      </c>
      <c r="J310" s="424" t="s">
        <v>1721</v>
      </c>
      <c r="K310" s="424" t="s">
        <v>1722</v>
      </c>
    </row>
    <row r="311" customHeight="1" spans="1:11">
      <c r="A311" s="426" t="s">
        <v>1723</v>
      </c>
      <c r="B311" s="427" t="s">
        <v>163</v>
      </c>
      <c r="C311" s="426" t="s">
        <v>71</v>
      </c>
      <c r="D311" s="426" t="s">
        <v>164</v>
      </c>
      <c r="E311" s="426" t="s">
        <v>1634</v>
      </c>
      <c r="F311" s="426"/>
      <c r="G311" s="428" t="s">
        <v>158</v>
      </c>
      <c r="H311" s="429">
        <v>1</v>
      </c>
      <c r="I311" s="445"/>
      <c r="J311" s="445">
        <v>19.57</v>
      </c>
      <c r="K311" s="445">
        <v>19.57</v>
      </c>
    </row>
    <row r="312" customHeight="1" spans="1:11">
      <c r="A312" s="430" t="s">
        <v>1724</v>
      </c>
      <c r="B312" s="431" t="s">
        <v>1954</v>
      </c>
      <c r="C312" s="430" t="s">
        <v>71</v>
      </c>
      <c r="D312" s="430" t="s">
        <v>1955</v>
      </c>
      <c r="E312" s="430" t="s">
        <v>1632</v>
      </c>
      <c r="F312" s="430"/>
      <c r="G312" s="432" t="s">
        <v>158</v>
      </c>
      <c r="H312" s="433">
        <v>1</v>
      </c>
      <c r="I312" s="433">
        <v>0</v>
      </c>
      <c r="J312" s="446">
        <v>10.96</v>
      </c>
      <c r="K312" s="446">
        <v>10.96</v>
      </c>
    </row>
    <row r="313" customHeight="1" spans="1:11">
      <c r="A313" s="430" t="s">
        <v>1724</v>
      </c>
      <c r="B313" s="431" t="s">
        <v>1956</v>
      </c>
      <c r="C313" s="430" t="s">
        <v>71</v>
      </c>
      <c r="D313" s="430" t="s">
        <v>1957</v>
      </c>
      <c r="E313" s="430" t="s">
        <v>1708</v>
      </c>
      <c r="F313" s="430"/>
      <c r="G313" s="432" t="s">
        <v>82</v>
      </c>
      <c r="H313" s="433">
        <v>0.064</v>
      </c>
      <c r="I313" s="433">
        <v>0</v>
      </c>
      <c r="J313" s="446">
        <v>30.06</v>
      </c>
      <c r="K313" s="446">
        <v>1.92</v>
      </c>
    </row>
    <row r="314" customHeight="1" spans="1:11">
      <c r="A314" s="430" t="s">
        <v>1724</v>
      </c>
      <c r="B314" s="431" t="s">
        <v>1958</v>
      </c>
      <c r="C314" s="430" t="s">
        <v>71</v>
      </c>
      <c r="D314" s="430" t="s">
        <v>1959</v>
      </c>
      <c r="E314" s="430" t="s">
        <v>1708</v>
      </c>
      <c r="F314" s="430"/>
      <c r="G314" s="432" t="s">
        <v>82</v>
      </c>
      <c r="H314" s="433">
        <v>0.166</v>
      </c>
      <c r="I314" s="433">
        <v>0</v>
      </c>
      <c r="J314" s="446">
        <v>35.95</v>
      </c>
      <c r="K314" s="446">
        <v>5.96</v>
      </c>
    </row>
    <row r="315" customHeight="1" spans="1:11">
      <c r="A315" s="438" t="s">
        <v>1750</v>
      </c>
      <c r="B315" s="439" t="s">
        <v>1962</v>
      </c>
      <c r="C315" s="438" t="s">
        <v>71</v>
      </c>
      <c r="D315" s="438" t="s">
        <v>1963</v>
      </c>
      <c r="E315" s="438" t="s">
        <v>1631</v>
      </c>
      <c r="F315" s="438"/>
      <c r="G315" s="440" t="s">
        <v>105</v>
      </c>
      <c r="H315" s="441">
        <v>0.819</v>
      </c>
      <c r="I315" s="441">
        <v>0</v>
      </c>
      <c r="J315" s="449">
        <v>0.22</v>
      </c>
      <c r="K315" s="449">
        <v>0.18</v>
      </c>
    </row>
    <row r="316" customHeight="1" spans="1:11">
      <c r="A316" s="438" t="s">
        <v>1750</v>
      </c>
      <c r="B316" s="439" t="s">
        <v>1960</v>
      </c>
      <c r="C316" s="438" t="s">
        <v>71</v>
      </c>
      <c r="D316" s="438" t="s">
        <v>1961</v>
      </c>
      <c r="E316" s="438" t="s">
        <v>1631</v>
      </c>
      <c r="F316" s="438"/>
      <c r="G316" s="440" t="s">
        <v>158</v>
      </c>
      <c r="H316" s="441">
        <v>0.025</v>
      </c>
      <c r="I316" s="441">
        <v>0</v>
      </c>
      <c r="J316" s="449">
        <v>22</v>
      </c>
      <c r="K316" s="449">
        <v>0.55</v>
      </c>
    </row>
    <row r="317" customHeight="1" spans="1:11">
      <c r="A317" s="434"/>
      <c r="B317" s="434"/>
      <c r="C317" s="434"/>
      <c r="D317" s="434"/>
      <c r="E317" s="434"/>
      <c r="F317" s="434" t="s">
        <v>1735</v>
      </c>
      <c r="G317" s="435">
        <v>3.8</v>
      </c>
      <c r="H317" s="434" t="s">
        <v>1736</v>
      </c>
      <c r="I317" s="435">
        <v>3.47</v>
      </c>
      <c r="J317" s="434" t="s">
        <v>1737</v>
      </c>
      <c r="K317" s="435">
        <v>7.27</v>
      </c>
    </row>
    <row r="318" customHeight="1" spans="1:11">
      <c r="A318" s="434"/>
      <c r="B318" s="434"/>
      <c r="C318" s="434"/>
      <c r="D318" s="434"/>
      <c r="E318" s="434"/>
      <c r="F318" s="434" t="s">
        <v>1738</v>
      </c>
      <c r="G318" s="435">
        <v>4.82</v>
      </c>
      <c r="H318" s="434"/>
      <c r="I318" s="434" t="s">
        <v>1739</v>
      </c>
      <c r="J318" s="434"/>
      <c r="K318" s="435">
        <v>24.39</v>
      </c>
    </row>
    <row r="319" customHeight="1" spans="1:11">
      <c r="A319" s="436"/>
      <c r="B319" s="436"/>
      <c r="C319" s="436"/>
      <c r="D319" s="436"/>
      <c r="E319" s="436"/>
      <c r="F319" s="436"/>
      <c r="G319" s="436"/>
      <c r="H319" s="436" t="s">
        <v>1740</v>
      </c>
      <c r="I319" s="447" t="s">
        <v>1968</v>
      </c>
      <c r="J319" s="436" t="s">
        <v>1742</v>
      </c>
      <c r="K319" s="448">
        <v>658.53</v>
      </c>
    </row>
    <row r="320" customHeight="1" spans="1:11">
      <c r="A320" s="437"/>
      <c r="B320" s="437"/>
      <c r="C320" s="437"/>
      <c r="D320" s="437"/>
      <c r="E320" s="437"/>
      <c r="F320" s="437"/>
      <c r="G320" s="437"/>
      <c r="H320" s="437"/>
      <c r="I320" s="437"/>
      <c r="J320" s="437"/>
      <c r="K320" s="437"/>
    </row>
    <row r="321" customHeight="1" spans="1:11">
      <c r="A321" s="423" t="s">
        <v>165</v>
      </c>
      <c r="B321" s="424" t="s">
        <v>1714</v>
      </c>
      <c r="C321" s="423" t="s">
        <v>1715</v>
      </c>
      <c r="D321" s="423" t="s">
        <v>1716</v>
      </c>
      <c r="E321" s="423" t="s">
        <v>1717</v>
      </c>
      <c r="F321" s="423"/>
      <c r="G321" s="425" t="s">
        <v>1718</v>
      </c>
      <c r="H321" s="424" t="s">
        <v>1719</v>
      </c>
      <c r="I321" s="424" t="s">
        <v>1720</v>
      </c>
      <c r="J321" s="424" t="s">
        <v>1721</v>
      </c>
      <c r="K321" s="424" t="s">
        <v>1722</v>
      </c>
    </row>
    <row r="322" customHeight="1" spans="1:11">
      <c r="A322" s="426" t="s">
        <v>1723</v>
      </c>
      <c r="B322" s="427" t="s">
        <v>166</v>
      </c>
      <c r="C322" s="426" t="s">
        <v>71</v>
      </c>
      <c r="D322" s="426" t="s">
        <v>167</v>
      </c>
      <c r="E322" s="426" t="s">
        <v>1634</v>
      </c>
      <c r="F322" s="426"/>
      <c r="G322" s="428" t="s">
        <v>158</v>
      </c>
      <c r="H322" s="429">
        <v>1</v>
      </c>
      <c r="I322" s="445"/>
      <c r="J322" s="445">
        <v>16.14</v>
      </c>
      <c r="K322" s="445">
        <v>16.14</v>
      </c>
    </row>
    <row r="323" customHeight="1" spans="1:11">
      <c r="A323" s="430" t="s">
        <v>1724</v>
      </c>
      <c r="B323" s="431" t="s">
        <v>1956</v>
      </c>
      <c r="C323" s="430" t="s">
        <v>71</v>
      </c>
      <c r="D323" s="430" t="s">
        <v>1957</v>
      </c>
      <c r="E323" s="430" t="s">
        <v>1708</v>
      </c>
      <c r="F323" s="430"/>
      <c r="G323" s="432" t="s">
        <v>82</v>
      </c>
      <c r="H323" s="433">
        <v>0.039</v>
      </c>
      <c r="I323" s="433">
        <v>0</v>
      </c>
      <c r="J323" s="446">
        <v>30.06</v>
      </c>
      <c r="K323" s="446">
        <v>1.17</v>
      </c>
    </row>
    <row r="324" customHeight="1" spans="1:11">
      <c r="A324" s="430" t="s">
        <v>1724</v>
      </c>
      <c r="B324" s="431" t="s">
        <v>1958</v>
      </c>
      <c r="C324" s="430" t="s">
        <v>71</v>
      </c>
      <c r="D324" s="430" t="s">
        <v>1959</v>
      </c>
      <c r="E324" s="430" t="s">
        <v>1708</v>
      </c>
      <c r="F324" s="430"/>
      <c r="G324" s="432" t="s">
        <v>82</v>
      </c>
      <c r="H324" s="433">
        <v>0.102</v>
      </c>
      <c r="I324" s="433">
        <v>0</v>
      </c>
      <c r="J324" s="446">
        <v>35.95</v>
      </c>
      <c r="K324" s="446">
        <v>3.66</v>
      </c>
    </row>
    <row r="325" customHeight="1" spans="1:11">
      <c r="A325" s="430" t="s">
        <v>1724</v>
      </c>
      <c r="B325" s="431" t="s">
        <v>1969</v>
      </c>
      <c r="C325" s="430" t="s">
        <v>71</v>
      </c>
      <c r="D325" s="430" t="s">
        <v>1970</v>
      </c>
      <c r="E325" s="430" t="s">
        <v>1632</v>
      </c>
      <c r="F325" s="430"/>
      <c r="G325" s="432" t="s">
        <v>158</v>
      </c>
      <c r="H325" s="433">
        <v>1</v>
      </c>
      <c r="I325" s="433">
        <v>0</v>
      </c>
      <c r="J325" s="446">
        <v>10.65</v>
      </c>
      <c r="K325" s="446">
        <v>10.65</v>
      </c>
    </row>
    <row r="326" customHeight="1" spans="1:11">
      <c r="A326" s="438" t="s">
        <v>1750</v>
      </c>
      <c r="B326" s="439" t="s">
        <v>1960</v>
      </c>
      <c r="C326" s="438" t="s">
        <v>71</v>
      </c>
      <c r="D326" s="438" t="s">
        <v>1961</v>
      </c>
      <c r="E326" s="438" t="s">
        <v>1631</v>
      </c>
      <c r="F326" s="438"/>
      <c r="G326" s="440" t="s">
        <v>158</v>
      </c>
      <c r="H326" s="441">
        <v>0.025</v>
      </c>
      <c r="I326" s="441">
        <v>0</v>
      </c>
      <c r="J326" s="449">
        <v>22</v>
      </c>
      <c r="K326" s="449">
        <v>0.55</v>
      </c>
    </row>
    <row r="327" customHeight="1" spans="1:11">
      <c r="A327" s="438" t="s">
        <v>1750</v>
      </c>
      <c r="B327" s="439" t="s">
        <v>1962</v>
      </c>
      <c r="C327" s="438" t="s">
        <v>71</v>
      </c>
      <c r="D327" s="438" t="s">
        <v>1963</v>
      </c>
      <c r="E327" s="438" t="s">
        <v>1631</v>
      </c>
      <c r="F327" s="438"/>
      <c r="G327" s="440" t="s">
        <v>105</v>
      </c>
      <c r="H327" s="441">
        <v>0.503</v>
      </c>
      <c r="I327" s="441">
        <v>0</v>
      </c>
      <c r="J327" s="449">
        <v>0.22</v>
      </c>
      <c r="K327" s="449">
        <v>0.11</v>
      </c>
    </row>
    <row r="328" customHeight="1" spans="1:11">
      <c r="A328" s="434"/>
      <c r="B328" s="434"/>
      <c r="C328" s="434"/>
      <c r="D328" s="434"/>
      <c r="E328" s="434"/>
      <c r="F328" s="434" t="s">
        <v>1735</v>
      </c>
      <c r="G328" s="435">
        <v>2.03</v>
      </c>
      <c r="H328" s="434" t="s">
        <v>1736</v>
      </c>
      <c r="I328" s="435">
        <v>1.86</v>
      </c>
      <c r="J328" s="434" t="s">
        <v>1737</v>
      </c>
      <c r="K328" s="435">
        <v>3.89</v>
      </c>
    </row>
    <row r="329" customHeight="1" spans="1:11">
      <c r="A329" s="434"/>
      <c r="B329" s="434"/>
      <c r="C329" s="434"/>
      <c r="D329" s="434"/>
      <c r="E329" s="434"/>
      <c r="F329" s="434" t="s">
        <v>1738</v>
      </c>
      <c r="G329" s="435">
        <v>3.98</v>
      </c>
      <c r="H329" s="434"/>
      <c r="I329" s="434" t="s">
        <v>1739</v>
      </c>
      <c r="J329" s="434"/>
      <c r="K329" s="435">
        <v>20.12</v>
      </c>
    </row>
    <row r="330" customHeight="1" spans="1:11">
      <c r="A330" s="436"/>
      <c r="B330" s="436"/>
      <c r="C330" s="436"/>
      <c r="D330" s="436"/>
      <c r="E330" s="436"/>
      <c r="F330" s="436"/>
      <c r="G330" s="436"/>
      <c r="H330" s="436" t="s">
        <v>1740</v>
      </c>
      <c r="I330" s="447" t="s">
        <v>1971</v>
      </c>
      <c r="J330" s="436" t="s">
        <v>1742</v>
      </c>
      <c r="K330" s="448">
        <v>40.24</v>
      </c>
    </row>
    <row r="331" customHeight="1" spans="1:11">
      <c r="A331" s="437"/>
      <c r="B331" s="437"/>
      <c r="C331" s="437"/>
      <c r="D331" s="437"/>
      <c r="E331" s="437"/>
      <c r="F331" s="437"/>
      <c r="G331" s="437"/>
      <c r="H331" s="437"/>
      <c r="I331" s="437"/>
      <c r="J331" s="437"/>
      <c r="K331" s="437"/>
    </row>
    <row r="332" customHeight="1" spans="1:11">
      <c r="A332" s="423" t="s">
        <v>168</v>
      </c>
      <c r="B332" s="424" t="s">
        <v>1714</v>
      </c>
      <c r="C332" s="423" t="s">
        <v>1715</v>
      </c>
      <c r="D332" s="423" t="s">
        <v>1716</v>
      </c>
      <c r="E332" s="423" t="s">
        <v>1717</v>
      </c>
      <c r="F332" s="423"/>
      <c r="G332" s="425" t="s">
        <v>1718</v>
      </c>
      <c r="H332" s="424" t="s">
        <v>1719</v>
      </c>
      <c r="I332" s="424" t="s">
        <v>1720</v>
      </c>
      <c r="J332" s="424" t="s">
        <v>1721</v>
      </c>
      <c r="K332" s="424" t="s">
        <v>1722</v>
      </c>
    </row>
    <row r="333" customHeight="1" spans="1:11">
      <c r="A333" s="426" t="s">
        <v>1723</v>
      </c>
      <c r="B333" s="427" t="s">
        <v>169</v>
      </c>
      <c r="C333" s="426" t="s">
        <v>71</v>
      </c>
      <c r="D333" s="426" t="s">
        <v>170</v>
      </c>
      <c r="E333" s="426" t="s">
        <v>1634</v>
      </c>
      <c r="F333" s="426"/>
      <c r="G333" s="428" t="s">
        <v>158</v>
      </c>
      <c r="H333" s="429">
        <v>1</v>
      </c>
      <c r="I333" s="445"/>
      <c r="J333" s="445">
        <v>14.25</v>
      </c>
      <c r="K333" s="445">
        <v>14.25</v>
      </c>
    </row>
    <row r="334" customHeight="1" spans="1:11">
      <c r="A334" s="430" t="s">
        <v>1724</v>
      </c>
      <c r="B334" s="431" t="s">
        <v>1958</v>
      </c>
      <c r="C334" s="430" t="s">
        <v>71</v>
      </c>
      <c r="D334" s="430" t="s">
        <v>1959</v>
      </c>
      <c r="E334" s="430" t="s">
        <v>1708</v>
      </c>
      <c r="F334" s="430"/>
      <c r="G334" s="432" t="s">
        <v>82</v>
      </c>
      <c r="H334" s="433">
        <v>0.081</v>
      </c>
      <c r="I334" s="433">
        <v>0</v>
      </c>
      <c r="J334" s="446">
        <v>35.95</v>
      </c>
      <c r="K334" s="446">
        <v>2.91</v>
      </c>
    </row>
    <row r="335" customHeight="1" spans="1:11">
      <c r="A335" s="430" t="s">
        <v>1724</v>
      </c>
      <c r="B335" s="431" t="s">
        <v>1965</v>
      </c>
      <c r="C335" s="430" t="s">
        <v>71</v>
      </c>
      <c r="D335" s="430" t="s">
        <v>1966</v>
      </c>
      <c r="E335" s="430" t="s">
        <v>1632</v>
      </c>
      <c r="F335" s="430"/>
      <c r="G335" s="432" t="s">
        <v>158</v>
      </c>
      <c r="H335" s="433">
        <v>1</v>
      </c>
      <c r="I335" s="433">
        <v>0</v>
      </c>
      <c r="J335" s="446">
        <v>9.78</v>
      </c>
      <c r="K335" s="446">
        <v>9.78</v>
      </c>
    </row>
    <row r="336" customHeight="1" spans="1:11">
      <c r="A336" s="430" t="s">
        <v>1724</v>
      </c>
      <c r="B336" s="431" t="s">
        <v>1956</v>
      </c>
      <c r="C336" s="430" t="s">
        <v>71</v>
      </c>
      <c r="D336" s="430" t="s">
        <v>1957</v>
      </c>
      <c r="E336" s="430" t="s">
        <v>1708</v>
      </c>
      <c r="F336" s="430"/>
      <c r="G336" s="432" t="s">
        <v>82</v>
      </c>
      <c r="H336" s="433">
        <v>0.031</v>
      </c>
      <c r="I336" s="433">
        <v>0</v>
      </c>
      <c r="J336" s="446">
        <v>30.06</v>
      </c>
      <c r="K336" s="446">
        <v>0.93</v>
      </c>
    </row>
    <row r="337" customHeight="1" spans="1:11">
      <c r="A337" s="438" t="s">
        <v>1750</v>
      </c>
      <c r="B337" s="439" t="s">
        <v>1962</v>
      </c>
      <c r="C337" s="438" t="s">
        <v>71</v>
      </c>
      <c r="D337" s="438" t="s">
        <v>1963</v>
      </c>
      <c r="E337" s="438" t="s">
        <v>1631</v>
      </c>
      <c r="F337" s="438"/>
      <c r="G337" s="440" t="s">
        <v>105</v>
      </c>
      <c r="H337" s="441">
        <v>0.399</v>
      </c>
      <c r="I337" s="441">
        <v>0</v>
      </c>
      <c r="J337" s="449">
        <v>0.22</v>
      </c>
      <c r="K337" s="449">
        <v>0.08</v>
      </c>
    </row>
    <row r="338" customHeight="1" spans="1:11">
      <c r="A338" s="438" t="s">
        <v>1750</v>
      </c>
      <c r="B338" s="439" t="s">
        <v>1960</v>
      </c>
      <c r="C338" s="438" t="s">
        <v>71</v>
      </c>
      <c r="D338" s="438" t="s">
        <v>1961</v>
      </c>
      <c r="E338" s="438" t="s">
        <v>1631</v>
      </c>
      <c r="F338" s="438"/>
      <c r="G338" s="440" t="s">
        <v>158</v>
      </c>
      <c r="H338" s="441">
        <v>0.025</v>
      </c>
      <c r="I338" s="441">
        <v>0</v>
      </c>
      <c r="J338" s="449">
        <v>22</v>
      </c>
      <c r="K338" s="449">
        <v>0.55</v>
      </c>
    </row>
    <row r="339" customHeight="1" spans="1:11">
      <c r="A339" s="434"/>
      <c r="B339" s="434"/>
      <c r="C339" s="434"/>
      <c r="D339" s="434"/>
      <c r="E339" s="434"/>
      <c r="F339" s="434" t="s">
        <v>1735</v>
      </c>
      <c r="G339" s="435">
        <v>1.55</v>
      </c>
      <c r="H339" s="434" t="s">
        <v>1736</v>
      </c>
      <c r="I339" s="435">
        <v>1.41</v>
      </c>
      <c r="J339" s="434" t="s">
        <v>1737</v>
      </c>
      <c r="K339" s="435">
        <v>2.96</v>
      </c>
    </row>
    <row r="340" customHeight="1" spans="1:11">
      <c r="A340" s="434"/>
      <c r="B340" s="434"/>
      <c r="C340" s="434"/>
      <c r="D340" s="434"/>
      <c r="E340" s="434"/>
      <c r="F340" s="434" t="s">
        <v>1738</v>
      </c>
      <c r="G340" s="435">
        <v>3.51</v>
      </c>
      <c r="H340" s="434"/>
      <c r="I340" s="434" t="s">
        <v>1739</v>
      </c>
      <c r="J340" s="434"/>
      <c r="K340" s="435">
        <v>17.76</v>
      </c>
    </row>
    <row r="341" customHeight="1" spans="1:11">
      <c r="A341" s="436"/>
      <c r="B341" s="436"/>
      <c r="C341" s="436"/>
      <c r="D341" s="436"/>
      <c r="E341" s="436"/>
      <c r="F341" s="436"/>
      <c r="G341" s="436"/>
      <c r="H341" s="436" t="s">
        <v>1740</v>
      </c>
      <c r="I341" s="447" t="s">
        <v>1972</v>
      </c>
      <c r="J341" s="436" t="s">
        <v>1742</v>
      </c>
      <c r="K341" s="448">
        <v>28131.84</v>
      </c>
    </row>
    <row r="342" customHeight="1" spans="1:11">
      <c r="A342" s="437"/>
      <c r="B342" s="437"/>
      <c r="C342" s="437"/>
      <c r="D342" s="437"/>
      <c r="E342" s="437"/>
      <c r="F342" s="437"/>
      <c r="G342" s="437"/>
      <c r="H342" s="437"/>
      <c r="I342" s="437"/>
      <c r="J342" s="437"/>
      <c r="K342" s="437"/>
    </row>
    <row r="343" customHeight="1" spans="1:11">
      <c r="A343" s="423" t="s">
        <v>171</v>
      </c>
      <c r="B343" s="424" t="s">
        <v>1714</v>
      </c>
      <c r="C343" s="423" t="s">
        <v>1715</v>
      </c>
      <c r="D343" s="423" t="s">
        <v>1716</v>
      </c>
      <c r="E343" s="423" t="s">
        <v>1717</v>
      </c>
      <c r="F343" s="423"/>
      <c r="G343" s="425" t="s">
        <v>1718</v>
      </c>
      <c r="H343" s="424" t="s">
        <v>1719</v>
      </c>
      <c r="I343" s="424" t="s">
        <v>1720</v>
      </c>
      <c r="J343" s="424" t="s">
        <v>1721</v>
      </c>
      <c r="K343" s="424" t="s">
        <v>1722</v>
      </c>
    </row>
    <row r="344" customHeight="1" spans="1:11">
      <c r="A344" s="426" t="s">
        <v>1723</v>
      </c>
      <c r="B344" s="427" t="s">
        <v>172</v>
      </c>
      <c r="C344" s="426" t="s">
        <v>71</v>
      </c>
      <c r="D344" s="426" t="s">
        <v>173</v>
      </c>
      <c r="E344" s="426" t="s">
        <v>1634</v>
      </c>
      <c r="F344" s="426"/>
      <c r="G344" s="428" t="s">
        <v>158</v>
      </c>
      <c r="H344" s="429">
        <v>1</v>
      </c>
      <c r="I344" s="445"/>
      <c r="J344" s="445">
        <v>12.01</v>
      </c>
      <c r="K344" s="445">
        <v>12.01</v>
      </c>
    </row>
    <row r="345" customHeight="1" spans="1:11">
      <c r="A345" s="430" t="s">
        <v>1724</v>
      </c>
      <c r="B345" s="431" t="s">
        <v>1973</v>
      </c>
      <c r="C345" s="430" t="s">
        <v>71</v>
      </c>
      <c r="D345" s="430" t="s">
        <v>1974</v>
      </c>
      <c r="E345" s="430" t="s">
        <v>1632</v>
      </c>
      <c r="F345" s="430"/>
      <c r="G345" s="432" t="s">
        <v>158</v>
      </c>
      <c r="H345" s="433">
        <v>1</v>
      </c>
      <c r="I345" s="433">
        <v>0</v>
      </c>
      <c r="J345" s="446">
        <v>8.35</v>
      </c>
      <c r="K345" s="446">
        <v>8.35</v>
      </c>
    </row>
    <row r="346" customHeight="1" spans="1:11">
      <c r="A346" s="430" t="s">
        <v>1724</v>
      </c>
      <c r="B346" s="431" t="s">
        <v>1958</v>
      </c>
      <c r="C346" s="430" t="s">
        <v>71</v>
      </c>
      <c r="D346" s="430" t="s">
        <v>1959</v>
      </c>
      <c r="E346" s="430" t="s">
        <v>1708</v>
      </c>
      <c r="F346" s="430"/>
      <c r="G346" s="432" t="s">
        <v>82</v>
      </c>
      <c r="H346" s="433">
        <v>0.064</v>
      </c>
      <c r="I346" s="433">
        <v>0</v>
      </c>
      <c r="J346" s="446">
        <v>35.95</v>
      </c>
      <c r="K346" s="446">
        <v>2.3</v>
      </c>
    </row>
    <row r="347" customHeight="1" spans="1:11">
      <c r="A347" s="430" t="s">
        <v>1724</v>
      </c>
      <c r="B347" s="431" t="s">
        <v>1956</v>
      </c>
      <c r="C347" s="430" t="s">
        <v>71</v>
      </c>
      <c r="D347" s="430" t="s">
        <v>1957</v>
      </c>
      <c r="E347" s="430" t="s">
        <v>1708</v>
      </c>
      <c r="F347" s="430"/>
      <c r="G347" s="432" t="s">
        <v>82</v>
      </c>
      <c r="H347" s="433">
        <v>0.025</v>
      </c>
      <c r="I347" s="433">
        <v>0</v>
      </c>
      <c r="J347" s="446">
        <v>30.06</v>
      </c>
      <c r="K347" s="446">
        <v>0.75</v>
      </c>
    </row>
    <row r="348" customHeight="1" spans="1:11">
      <c r="A348" s="438" t="s">
        <v>1750</v>
      </c>
      <c r="B348" s="439" t="s">
        <v>1960</v>
      </c>
      <c r="C348" s="438" t="s">
        <v>71</v>
      </c>
      <c r="D348" s="438" t="s">
        <v>1961</v>
      </c>
      <c r="E348" s="438" t="s">
        <v>1631</v>
      </c>
      <c r="F348" s="438"/>
      <c r="G348" s="440" t="s">
        <v>158</v>
      </c>
      <c r="H348" s="441">
        <v>0.025</v>
      </c>
      <c r="I348" s="441">
        <v>0</v>
      </c>
      <c r="J348" s="449">
        <v>22</v>
      </c>
      <c r="K348" s="449">
        <v>0.55</v>
      </c>
    </row>
    <row r="349" customHeight="1" spans="1:11">
      <c r="A349" s="438" t="s">
        <v>1750</v>
      </c>
      <c r="B349" s="439" t="s">
        <v>1962</v>
      </c>
      <c r="C349" s="438" t="s">
        <v>71</v>
      </c>
      <c r="D349" s="438" t="s">
        <v>1963</v>
      </c>
      <c r="E349" s="438" t="s">
        <v>1631</v>
      </c>
      <c r="F349" s="438"/>
      <c r="G349" s="440" t="s">
        <v>105</v>
      </c>
      <c r="H349" s="441">
        <v>0.317</v>
      </c>
      <c r="I349" s="441">
        <v>0</v>
      </c>
      <c r="J349" s="449">
        <v>0.22</v>
      </c>
      <c r="K349" s="449">
        <v>0.06</v>
      </c>
    </row>
    <row r="350" customHeight="1" spans="1:11">
      <c r="A350" s="434"/>
      <c r="B350" s="434"/>
      <c r="C350" s="434"/>
      <c r="D350" s="434"/>
      <c r="E350" s="434"/>
      <c r="F350" s="434" t="s">
        <v>1735</v>
      </c>
      <c r="G350" s="435">
        <v>1.19</v>
      </c>
      <c r="H350" s="434" t="s">
        <v>1736</v>
      </c>
      <c r="I350" s="435">
        <v>1.09</v>
      </c>
      <c r="J350" s="434" t="s">
        <v>1737</v>
      </c>
      <c r="K350" s="435">
        <v>2.28</v>
      </c>
    </row>
    <row r="351" customHeight="1" spans="1:11">
      <c r="A351" s="434"/>
      <c r="B351" s="434"/>
      <c r="C351" s="434"/>
      <c r="D351" s="434"/>
      <c r="E351" s="434"/>
      <c r="F351" s="434" t="s">
        <v>1738</v>
      </c>
      <c r="G351" s="435">
        <v>2.96</v>
      </c>
      <c r="H351" s="434"/>
      <c r="I351" s="434" t="s">
        <v>1739</v>
      </c>
      <c r="J351" s="434"/>
      <c r="K351" s="435">
        <v>14.97</v>
      </c>
    </row>
    <row r="352" customHeight="1" spans="1:11">
      <c r="A352" s="436"/>
      <c r="B352" s="436"/>
      <c r="C352" s="436"/>
      <c r="D352" s="436"/>
      <c r="E352" s="436"/>
      <c r="F352" s="436"/>
      <c r="G352" s="436"/>
      <c r="H352" s="436" t="s">
        <v>1740</v>
      </c>
      <c r="I352" s="447" t="s">
        <v>1975</v>
      </c>
      <c r="J352" s="436" t="s">
        <v>1742</v>
      </c>
      <c r="K352" s="448">
        <v>21511.89</v>
      </c>
    </row>
    <row r="353" customHeight="1" spans="1:11">
      <c r="A353" s="437"/>
      <c r="B353" s="437"/>
      <c r="C353" s="437"/>
      <c r="D353" s="437"/>
      <c r="E353" s="437"/>
      <c r="F353" s="437"/>
      <c r="G353" s="437"/>
      <c r="H353" s="437"/>
      <c r="I353" s="437"/>
      <c r="J353" s="437"/>
      <c r="K353" s="437"/>
    </row>
    <row r="354" customHeight="1" spans="1:11">
      <c r="A354" s="423" t="s">
        <v>174</v>
      </c>
      <c r="B354" s="424" t="s">
        <v>1714</v>
      </c>
      <c r="C354" s="423" t="s">
        <v>1715</v>
      </c>
      <c r="D354" s="423" t="s">
        <v>1716</v>
      </c>
      <c r="E354" s="423" t="s">
        <v>1717</v>
      </c>
      <c r="F354" s="423"/>
      <c r="G354" s="425" t="s">
        <v>1718</v>
      </c>
      <c r="H354" s="424" t="s">
        <v>1719</v>
      </c>
      <c r="I354" s="424" t="s">
        <v>1720</v>
      </c>
      <c r="J354" s="424" t="s">
        <v>1721</v>
      </c>
      <c r="K354" s="424" t="s">
        <v>1722</v>
      </c>
    </row>
    <row r="355" customHeight="1" spans="1:11">
      <c r="A355" s="426" t="s">
        <v>1723</v>
      </c>
      <c r="B355" s="427" t="s">
        <v>175</v>
      </c>
      <c r="C355" s="426" t="s">
        <v>71</v>
      </c>
      <c r="D355" s="426" t="s">
        <v>176</v>
      </c>
      <c r="E355" s="426" t="s">
        <v>1634</v>
      </c>
      <c r="F355" s="426"/>
      <c r="G355" s="428" t="s">
        <v>158</v>
      </c>
      <c r="H355" s="429">
        <v>1</v>
      </c>
      <c r="I355" s="445"/>
      <c r="J355" s="445">
        <v>11.17</v>
      </c>
      <c r="K355" s="445">
        <v>11.17</v>
      </c>
    </row>
    <row r="356" customHeight="1" spans="1:11">
      <c r="A356" s="430" t="s">
        <v>1724</v>
      </c>
      <c r="B356" s="431" t="s">
        <v>1956</v>
      </c>
      <c r="C356" s="430" t="s">
        <v>71</v>
      </c>
      <c r="D356" s="430" t="s">
        <v>1957</v>
      </c>
      <c r="E356" s="430" t="s">
        <v>1708</v>
      </c>
      <c r="F356" s="430"/>
      <c r="G356" s="432" t="s">
        <v>82</v>
      </c>
      <c r="H356" s="433">
        <v>0.019</v>
      </c>
      <c r="I356" s="433">
        <v>0</v>
      </c>
      <c r="J356" s="446">
        <v>30.06</v>
      </c>
      <c r="K356" s="446">
        <v>0.57</v>
      </c>
    </row>
    <row r="357" customHeight="1" spans="1:11">
      <c r="A357" s="430" t="s">
        <v>1724</v>
      </c>
      <c r="B357" s="431" t="s">
        <v>1958</v>
      </c>
      <c r="C357" s="430" t="s">
        <v>71</v>
      </c>
      <c r="D357" s="430" t="s">
        <v>1959</v>
      </c>
      <c r="E357" s="430" t="s">
        <v>1708</v>
      </c>
      <c r="F357" s="430"/>
      <c r="G357" s="432" t="s">
        <v>82</v>
      </c>
      <c r="H357" s="433">
        <v>0.049</v>
      </c>
      <c r="I357" s="433">
        <v>0</v>
      </c>
      <c r="J357" s="446">
        <v>35.95</v>
      </c>
      <c r="K357" s="446">
        <v>1.76</v>
      </c>
    </row>
    <row r="358" customHeight="1" spans="1:11">
      <c r="A358" s="430" t="s">
        <v>1724</v>
      </c>
      <c r="B358" s="431" t="s">
        <v>1976</v>
      </c>
      <c r="C358" s="430" t="s">
        <v>71</v>
      </c>
      <c r="D358" s="430" t="s">
        <v>1977</v>
      </c>
      <c r="E358" s="430" t="s">
        <v>1632</v>
      </c>
      <c r="F358" s="430"/>
      <c r="G358" s="432" t="s">
        <v>158</v>
      </c>
      <c r="H358" s="433">
        <v>1</v>
      </c>
      <c r="I358" s="433">
        <v>0</v>
      </c>
      <c r="J358" s="446">
        <v>8.24</v>
      </c>
      <c r="K358" s="446">
        <v>8.24</v>
      </c>
    </row>
    <row r="359" customHeight="1" spans="1:11">
      <c r="A359" s="438" t="s">
        <v>1750</v>
      </c>
      <c r="B359" s="439" t="s">
        <v>1962</v>
      </c>
      <c r="C359" s="438" t="s">
        <v>71</v>
      </c>
      <c r="D359" s="438" t="s">
        <v>1963</v>
      </c>
      <c r="E359" s="438" t="s">
        <v>1631</v>
      </c>
      <c r="F359" s="438"/>
      <c r="G359" s="440" t="s">
        <v>105</v>
      </c>
      <c r="H359" s="441">
        <v>0.245</v>
      </c>
      <c r="I359" s="441">
        <v>0</v>
      </c>
      <c r="J359" s="449">
        <v>0.22</v>
      </c>
      <c r="K359" s="449">
        <v>0.05</v>
      </c>
    </row>
    <row r="360" customHeight="1" spans="1:11">
      <c r="A360" s="438" t="s">
        <v>1750</v>
      </c>
      <c r="B360" s="439" t="s">
        <v>1960</v>
      </c>
      <c r="C360" s="438" t="s">
        <v>71</v>
      </c>
      <c r="D360" s="438" t="s">
        <v>1961</v>
      </c>
      <c r="E360" s="438" t="s">
        <v>1631</v>
      </c>
      <c r="F360" s="438"/>
      <c r="G360" s="440" t="s">
        <v>158</v>
      </c>
      <c r="H360" s="441">
        <v>0.025</v>
      </c>
      <c r="I360" s="441">
        <v>0</v>
      </c>
      <c r="J360" s="449">
        <v>22</v>
      </c>
      <c r="K360" s="449">
        <v>0.55</v>
      </c>
    </row>
    <row r="361" customHeight="1" spans="1:11">
      <c r="A361" s="434"/>
      <c r="B361" s="434"/>
      <c r="C361" s="434"/>
      <c r="D361" s="434"/>
      <c r="E361" s="434"/>
      <c r="F361" s="434" t="s">
        <v>1735</v>
      </c>
      <c r="G361" s="435">
        <v>0.89</v>
      </c>
      <c r="H361" s="434" t="s">
        <v>1736</v>
      </c>
      <c r="I361" s="435">
        <v>0.82</v>
      </c>
      <c r="J361" s="434" t="s">
        <v>1737</v>
      </c>
      <c r="K361" s="435">
        <v>1.71</v>
      </c>
    </row>
    <row r="362" customHeight="1" spans="1:11">
      <c r="A362" s="434"/>
      <c r="B362" s="434"/>
      <c r="C362" s="434"/>
      <c r="D362" s="434"/>
      <c r="E362" s="434"/>
      <c r="F362" s="434" t="s">
        <v>1738</v>
      </c>
      <c r="G362" s="435">
        <v>2.75</v>
      </c>
      <c r="H362" s="434"/>
      <c r="I362" s="434" t="s">
        <v>1739</v>
      </c>
      <c r="J362" s="434"/>
      <c r="K362" s="435">
        <v>13.92</v>
      </c>
    </row>
    <row r="363" customHeight="1" spans="1:11">
      <c r="A363" s="436"/>
      <c r="B363" s="436"/>
      <c r="C363" s="436"/>
      <c r="D363" s="436"/>
      <c r="E363" s="436"/>
      <c r="F363" s="436"/>
      <c r="G363" s="436"/>
      <c r="H363" s="436" t="s">
        <v>1740</v>
      </c>
      <c r="I363" s="447" t="s">
        <v>1978</v>
      </c>
      <c r="J363" s="436" t="s">
        <v>1742</v>
      </c>
      <c r="K363" s="448">
        <v>12945.6</v>
      </c>
    </row>
    <row r="364" customHeight="1" spans="1:11">
      <c r="A364" s="437"/>
      <c r="B364" s="437"/>
      <c r="C364" s="437"/>
      <c r="D364" s="437"/>
      <c r="E364" s="437"/>
      <c r="F364" s="437"/>
      <c r="G364" s="437"/>
      <c r="H364" s="437"/>
      <c r="I364" s="437"/>
      <c r="J364" s="437"/>
      <c r="K364" s="437"/>
    </row>
    <row r="365" customHeight="1" spans="1:11">
      <c r="A365" s="423" t="s">
        <v>177</v>
      </c>
      <c r="B365" s="424" t="s">
        <v>1714</v>
      </c>
      <c r="C365" s="423" t="s">
        <v>1715</v>
      </c>
      <c r="D365" s="423" t="s">
        <v>1716</v>
      </c>
      <c r="E365" s="423" t="s">
        <v>1717</v>
      </c>
      <c r="F365" s="423"/>
      <c r="G365" s="425" t="s">
        <v>1718</v>
      </c>
      <c r="H365" s="424" t="s">
        <v>1719</v>
      </c>
      <c r="I365" s="424" t="s">
        <v>1720</v>
      </c>
      <c r="J365" s="424" t="s">
        <v>1721</v>
      </c>
      <c r="K365" s="424" t="s">
        <v>1722</v>
      </c>
    </row>
    <row r="366" customHeight="1" spans="1:11">
      <c r="A366" s="426" t="s">
        <v>1723</v>
      </c>
      <c r="B366" s="427" t="s">
        <v>178</v>
      </c>
      <c r="C366" s="426" t="s">
        <v>71</v>
      </c>
      <c r="D366" s="426" t="s">
        <v>179</v>
      </c>
      <c r="E366" s="426" t="s">
        <v>1634</v>
      </c>
      <c r="F366" s="426"/>
      <c r="G366" s="428" t="s">
        <v>129</v>
      </c>
      <c r="H366" s="429">
        <v>1</v>
      </c>
      <c r="I366" s="445"/>
      <c r="J366" s="445">
        <v>756.52</v>
      </c>
      <c r="K366" s="445">
        <v>756.52</v>
      </c>
    </row>
    <row r="367" customHeight="1" spans="1:11">
      <c r="A367" s="430" t="s">
        <v>1724</v>
      </c>
      <c r="B367" s="431" t="s">
        <v>1745</v>
      </c>
      <c r="C367" s="430" t="s">
        <v>71</v>
      </c>
      <c r="D367" s="430" t="s">
        <v>1746</v>
      </c>
      <c r="E367" s="430" t="s">
        <v>1708</v>
      </c>
      <c r="F367" s="430"/>
      <c r="G367" s="432" t="s">
        <v>82</v>
      </c>
      <c r="H367" s="433">
        <v>0.881</v>
      </c>
      <c r="I367" s="433">
        <v>0</v>
      </c>
      <c r="J367" s="446">
        <v>29.15</v>
      </c>
      <c r="K367" s="446">
        <v>25.68</v>
      </c>
    </row>
    <row r="368" customHeight="1" spans="1:11">
      <c r="A368" s="430" t="s">
        <v>1724</v>
      </c>
      <c r="B368" s="431" t="s">
        <v>1979</v>
      </c>
      <c r="C368" s="430" t="s">
        <v>71</v>
      </c>
      <c r="D368" s="430" t="s">
        <v>1980</v>
      </c>
      <c r="E368" s="430" t="s">
        <v>1795</v>
      </c>
      <c r="F368" s="430"/>
      <c r="G368" s="432" t="s">
        <v>1796</v>
      </c>
      <c r="H368" s="433">
        <v>0.161</v>
      </c>
      <c r="I368" s="433">
        <v>0</v>
      </c>
      <c r="J368" s="446">
        <v>1.45</v>
      </c>
      <c r="K368" s="446">
        <v>0.23</v>
      </c>
    </row>
    <row r="369" customHeight="1" spans="1:11">
      <c r="A369" s="430" t="s">
        <v>1724</v>
      </c>
      <c r="B369" s="431" t="s">
        <v>1981</v>
      </c>
      <c r="C369" s="430" t="s">
        <v>71</v>
      </c>
      <c r="D369" s="430" t="s">
        <v>1982</v>
      </c>
      <c r="E369" s="430" t="s">
        <v>1795</v>
      </c>
      <c r="F369" s="430"/>
      <c r="G369" s="432" t="s">
        <v>1804</v>
      </c>
      <c r="H369" s="433">
        <v>0.133</v>
      </c>
      <c r="I369" s="433">
        <v>0</v>
      </c>
      <c r="J369" s="446">
        <v>0.53</v>
      </c>
      <c r="K369" s="446">
        <v>0.07</v>
      </c>
    </row>
    <row r="370" customHeight="1" spans="1:11">
      <c r="A370" s="430" t="s">
        <v>1724</v>
      </c>
      <c r="B370" s="431" t="s">
        <v>1936</v>
      </c>
      <c r="C370" s="430" t="s">
        <v>71</v>
      </c>
      <c r="D370" s="430" t="s">
        <v>1937</v>
      </c>
      <c r="E370" s="430" t="s">
        <v>1708</v>
      </c>
      <c r="F370" s="430"/>
      <c r="G370" s="432" t="s">
        <v>82</v>
      </c>
      <c r="H370" s="433">
        <v>0.587</v>
      </c>
      <c r="I370" s="433">
        <v>0</v>
      </c>
      <c r="J370" s="446">
        <v>36.96</v>
      </c>
      <c r="K370" s="446">
        <v>21.69</v>
      </c>
    </row>
    <row r="371" customHeight="1" spans="1:11">
      <c r="A371" s="438" t="s">
        <v>1750</v>
      </c>
      <c r="B371" s="439" t="s">
        <v>1983</v>
      </c>
      <c r="C371" s="438" t="s">
        <v>71</v>
      </c>
      <c r="D371" s="438" t="s">
        <v>1984</v>
      </c>
      <c r="E371" s="438" t="s">
        <v>1631</v>
      </c>
      <c r="F371" s="438"/>
      <c r="G371" s="440" t="s">
        <v>129</v>
      </c>
      <c r="H371" s="441">
        <v>1.26</v>
      </c>
      <c r="I371" s="441">
        <v>0</v>
      </c>
      <c r="J371" s="449">
        <v>562.58</v>
      </c>
      <c r="K371" s="449">
        <v>708.85</v>
      </c>
    </row>
    <row r="372" customHeight="1" spans="1:11">
      <c r="A372" s="434"/>
      <c r="B372" s="434"/>
      <c r="C372" s="434"/>
      <c r="D372" s="434"/>
      <c r="E372" s="434"/>
      <c r="F372" s="434" t="s">
        <v>1735</v>
      </c>
      <c r="G372" s="435">
        <v>17.15</v>
      </c>
      <c r="H372" s="434" t="s">
        <v>1736</v>
      </c>
      <c r="I372" s="435">
        <v>15.59</v>
      </c>
      <c r="J372" s="434" t="s">
        <v>1737</v>
      </c>
      <c r="K372" s="435">
        <v>32.74</v>
      </c>
    </row>
    <row r="373" customHeight="1" spans="1:11">
      <c r="A373" s="434"/>
      <c r="B373" s="434"/>
      <c r="C373" s="434"/>
      <c r="D373" s="434"/>
      <c r="E373" s="434"/>
      <c r="F373" s="434" t="s">
        <v>1738</v>
      </c>
      <c r="G373" s="435">
        <v>186.55</v>
      </c>
      <c r="H373" s="434"/>
      <c r="I373" s="434" t="s">
        <v>1739</v>
      </c>
      <c r="J373" s="434"/>
      <c r="K373" s="435">
        <v>943.07</v>
      </c>
    </row>
    <row r="374" customHeight="1" spans="1:11">
      <c r="A374" s="436"/>
      <c r="B374" s="436"/>
      <c r="C374" s="436"/>
      <c r="D374" s="436"/>
      <c r="E374" s="436"/>
      <c r="F374" s="436"/>
      <c r="G374" s="436"/>
      <c r="H374" s="436" t="s">
        <v>1740</v>
      </c>
      <c r="I374" s="447" t="s">
        <v>1985</v>
      </c>
      <c r="J374" s="436" t="s">
        <v>1742</v>
      </c>
      <c r="K374" s="448">
        <v>61007.19</v>
      </c>
    </row>
    <row r="375" customHeight="1" spans="1:11">
      <c r="A375" s="437"/>
      <c r="B375" s="437"/>
      <c r="C375" s="437"/>
      <c r="D375" s="437"/>
      <c r="E375" s="437"/>
      <c r="F375" s="437"/>
      <c r="G375" s="437"/>
      <c r="H375" s="437"/>
      <c r="I375" s="437"/>
      <c r="J375" s="437"/>
      <c r="K375" s="437"/>
    </row>
    <row r="376" customHeight="1" spans="1:11">
      <c r="A376" s="423" t="s">
        <v>180</v>
      </c>
      <c r="B376" s="424" t="s">
        <v>1714</v>
      </c>
      <c r="C376" s="423" t="s">
        <v>1715</v>
      </c>
      <c r="D376" s="423" t="s">
        <v>1716</v>
      </c>
      <c r="E376" s="423" t="s">
        <v>1717</v>
      </c>
      <c r="F376" s="423"/>
      <c r="G376" s="425" t="s">
        <v>1718</v>
      </c>
      <c r="H376" s="424" t="s">
        <v>1719</v>
      </c>
      <c r="I376" s="424" t="s">
        <v>1720</v>
      </c>
      <c r="J376" s="424" t="s">
        <v>1721</v>
      </c>
      <c r="K376" s="424" t="s">
        <v>1722</v>
      </c>
    </row>
    <row r="377" customHeight="1" spans="1:11">
      <c r="A377" s="426" t="s">
        <v>1723</v>
      </c>
      <c r="B377" s="427" t="s">
        <v>181</v>
      </c>
      <c r="C377" s="426" t="s">
        <v>71</v>
      </c>
      <c r="D377" s="426" t="s">
        <v>182</v>
      </c>
      <c r="E377" s="426" t="s">
        <v>1634</v>
      </c>
      <c r="F377" s="426"/>
      <c r="G377" s="428" t="s">
        <v>129</v>
      </c>
      <c r="H377" s="429">
        <v>1</v>
      </c>
      <c r="I377" s="445"/>
      <c r="J377" s="445">
        <v>719.07</v>
      </c>
      <c r="K377" s="445">
        <v>719.07</v>
      </c>
    </row>
    <row r="378" customHeight="1" spans="1:11">
      <c r="A378" s="430" t="s">
        <v>1724</v>
      </c>
      <c r="B378" s="431" t="s">
        <v>1979</v>
      </c>
      <c r="C378" s="430" t="s">
        <v>71</v>
      </c>
      <c r="D378" s="430" t="s">
        <v>1980</v>
      </c>
      <c r="E378" s="430" t="s">
        <v>1795</v>
      </c>
      <c r="F378" s="430"/>
      <c r="G378" s="432" t="s">
        <v>1796</v>
      </c>
      <c r="H378" s="433">
        <v>0.092</v>
      </c>
      <c r="I378" s="433">
        <v>0</v>
      </c>
      <c r="J378" s="446">
        <v>1.45</v>
      </c>
      <c r="K378" s="446">
        <v>0.13</v>
      </c>
    </row>
    <row r="379" customHeight="1" spans="1:11">
      <c r="A379" s="430" t="s">
        <v>1724</v>
      </c>
      <c r="B379" s="431" t="s">
        <v>1981</v>
      </c>
      <c r="C379" s="430" t="s">
        <v>71</v>
      </c>
      <c r="D379" s="430" t="s">
        <v>1982</v>
      </c>
      <c r="E379" s="430" t="s">
        <v>1795</v>
      </c>
      <c r="F379" s="430"/>
      <c r="G379" s="432" t="s">
        <v>1804</v>
      </c>
      <c r="H379" s="433">
        <v>0.075</v>
      </c>
      <c r="I379" s="433">
        <v>0</v>
      </c>
      <c r="J379" s="446">
        <v>0.53</v>
      </c>
      <c r="K379" s="446">
        <v>0.03</v>
      </c>
    </row>
    <row r="380" customHeight="1" spans="1:11">
      <c r="A380" s="430" t="s">
        <v>1724</v>
      </c>
      <c r="B380" s="431" t="s">
        <v>1936</v>
      </c>
      <c r="C380" s="430" t="s">
        <v>71</v>
      </c>
      <c r="D380" s="430" t="s">
        <v>1937</v>
      </c>
      <c r="E380" s="430" t="s">
        <v>1708</v>
      </c>
      <c r="F380" s="430"/>
      <c r="G380" s="432" t="s">
        <v>82</v>
      </c>
      <c r="H380" s="433">
        <v>0.334</v>
      </c>
      <c r="I380" s="433">
        <v>0</v>
      </c>
      <c r="J380" s="446">
        <v>36.96</v>
      </c>
      <c r="K380" s="446">
        <v>12.34</v>
      </c>
    </row>
    <row r="381" customHeight="1" spans="1:11">
      <c r="A381" s="430" t="s">
        <v>1724</v>
      </c>
      <c r="B381" s="431" t="s">
        <v>1745</v>
      </c>
      <c r="C381" s="430" t="s">
        <v>71</v>
      </c>
      <c r="D381" s="430" t="s">
        <v>1746</v>
      </c>
      <c r="E381" s="430" t="s">
        <v>1708</v>
      </c>
      <c r="F381" s="430"/>
      <c r="G381" s="432" t="s">
        <v>82</v>
      </c>
      <c r="H381" s="433">
        <v>0.501</v>
      </c>
      <c r="I381" s="433">
        <v>0</v>
      </c>
      <c r="J381" s="446">
        <v>29.15</v>
      </c>
      <c r="K381" s="446">
        <v>14.6</v>
      </c>
    </row>
    <row r="382" customHeight="1" spans="1:11">
      <c r="A382" s="438" t="s">
        <v>1750</v>
      </c>
      <c r="B382" s="439" t="s">
        <v>1983</v>
      </c>
      <c r="C382" s="438" t="s">
        <v>71</v>
      </c>
      <c r="D382" s="438" t="s">
        <v>1984</v>
      </c>
      <c r="E382" s="438" t="s">
        <v>1631</v>
      </c>
      <c r="F382" s="438"/>
      <c r="G382" s="440" t="s">
        <v>129</v>
      </c>
      <c r="H382" s="441">
        <v>1.23</v>
      </c>
      <c r="I382" s="441">
        <v>0</v>
      </c>
      <c r="J382" s="449">
        <v>562.58</v>
      </c>
      <c r="K382" s="449">
        <v>691.97</v>
      </c>
    </row>
    <row r="383" customHeight="1" spans="1:11">
      <c r="A383" s="434"/>
      <c r="B383" s="434"/>
      <c r="C383" s="434"/>
      <c r="D383" s="434"/>
      <c r="E383" s="434"/>
      <c r="F383" s="434" t="s">
        <v>1735</v>
      </c>
      <c r="G383" s="435">
        <v>9.75</v>
      </c>
      <c r="H383" s="434" t="s">
        <v>1736</v>
      </c>
      <c r="I383" s="435">
        <v>8.86</v>
      </c>
      <c r="J383" s="434" t="s">
        <v>1737</v>
      </c>
      <c r="K383" s="435">
        <v>18.61</v>
      </c>
    </row>
    <row r="384" customHeight="1" spans="1:11">
      <c r="A384" s="434"/>
      <c r="B384" s="434"/>
      <c r="C384" s="434"/>
      <c r="D384" s="434"/>
      <c r="E384" s="434"/>
      <c r="F384" s="434" t="s">
        <v>1738</v>
      </c>
      <c r="G384" s="435">
        <v>177.32</v>
      </c>
      <c r="H384" s="434"/>
      <c r="I384" s="434" t="s">
        <v>1739</v>
      </c>
      <c r="J384" s="434"/>
      <c r="K384" s="435">
        <v>896.39</v>
      </c>
    </row>
    <row r="385" customHeight="1" spans="1:11">
      <c r="A385" s="436"/>
      <c r="B385" s="436"/>
      <c r="C385" s="436"/>
      <c r="D385" s="436"/>
      <c r="E385" s="436"/>
      <c r="F385" s="436"/>
      <c r="G385" s="436"/>
      <c r="H385" s="436" t="s">
        <v>1740</v>
      </c>
      <c r="I385" s="447" t="s">
        <v>1986</v>
      </c>
      <c r="J385" s="436" t="s">
        <v>1742</v>
      </c>
      <c r="K385" s="448">
        <v>27608.81</v>
      </c>
    </row>
    <row r="386" customHeight="1" spans="1:11">
      <c r="A386" s="437"/>
      <c r="B386" s="437"/>
      <c r="C386" s="437"/>
      <c r="D386" s="437"/>
      <c r="E386" s="437"/>
      <c r="F386" s="437"/>
      <c r="G386" s="437"/>
      <c r="H386" s="437"/>
      <c r="I386" s="437"/>
      <c r="J386" s="437"/>
      <c r="K386" s="437"/>
    </row>
    <row r="387" customHeight="1" spans="1:11">
      <c r="A387" s="422" t="s">
        <v>183</v>
      </c>
      <c r="B387" s="422"/>
      <c r="C387" s="422"/>
      <c r="D387" s="422" t="s">
        <v>184</v>
      </c>
      <c r="E387" s="422"/>
      <c r="F387" s="422"/>
      <c r="G387" s="422"/>
      <c r="H387" s="422"/>
      <c r="I387" s="443"/>
      <c r="J387" s="422"/>
      <c r="K387" s="444">
        <v>18239.78</v>
      </c>
    </row>
    <row r="388" customHeight="1" spans="1:11">
      <c r="A388" s="423" t="s">
        <v>185</v>
      </c>
      <c r="B388" s="424" t="s">
        <v>1714</v>
      </c>
      <c r="C388" s="423" t="s">
        <v>1715</v>
      </c>
      <c r="D388" s="423" t="s">
        <v>1716</v>
      </c>
      <c r="E388" s="423" t="s">
        <v>1717</v>
      </c>
      <c r="F388" s="423"/>
      <c r="G388" s="425" t="s">
        <v>1718</v>
      </c>
      <c r="H388" s="424" t="s">
        <v>1719</v>
      </c>
      <c r="I388" s="424" t="s">
        <v>1720</v>
      </c>
      <c r="J388" s="424" t="s">
        <v>1721</v>
      </c>
      <c r="K388" s="424" t="s">
        <v>1722</v>
      </c>
    </row>
    <row r="389" customHeight="1" spans="1:11">
      <c r="A389" s="426" t="s">
        <v>1723</v>
      </c>
      <c r="B389" s="427" t="s">
        <v>186</v>
      </c>
      <c r="C389" s="426" t="s">
        <v>71</v>
      </c>
      <c r="D389" s="426" t="s">
        <v>187</v>
      </c>
      <c r="E389" s="426" t="s">
        <v>1634</v>
      </c>
      <c r="F389" s="426"/>
      <c r="G389" s="428" t="s">
        <v>129</v>
      </c>
      <c r="H389" s="429">
        <v>1</v>
      </c>
      <c r="I389" s="445"/>
      <c r="J389" s="445">
        <v>139.56</v>
      </c>
      <c r="K389" s="445">
        <v>139.56</v>
      </c>
    </row>
    <row r="390" customHeight="1" spans="1:11">
      <c r="A390" s="430" t="s">
        <v>1724</v>
      </c>
      <c r="B390" s="431" t="s">
        <v>1745</v>
      </c>
      <c r="C390" s="430" t="s">
        <v>71</v>
      </c>
      <c r="D390" s="430" t="s">
        <v>1746</v>
      </c>
      <c r="E390" s="430" t="s">
        <v>1708</v>
      </c>
      <c r="F390" s="430"/>
      <c r="G390" s="432" t="s">
        <v>82</v>
      </c>
      <c r="H390" s="433">
        <v>3.515</v>
      </c>
      <c r="I390" s="433">
        <v>0</v>
      </c>
      <c r="J390" s="446">
        <v>29.15</v>
      </c>
      <c r="K390" s="446">
        <v>102.46</v>
      </c>
    </row>
    <row r="391" customHeight="1" spans="1:11">
      <c r="A391" s="430" t="s">
        <v>1724</v>
      </c>
      <c r="B391" s="431" t="s">
        <v>1936</v>
      </c>
      <c r="C391" s="430" t="s">
        <v>71</v>
      </c>
      <c r="D391" s="430" t="s">
        <v>1937</v>
      </c>
      <c r="E391" s="430" t="s">
        <v>1708</v>
      </c>
      <c r="F391" s="430"/>
      <c r="G391" s="432" t="s">
        <v>82</v>
      </c>
      <c r="H391" s="433">
        <v>1.004</v>
      </c>
      <c r="I391" s="433">
        <v>0</v>
      </c>
      <c r="J391" s="446">
        <v>36.96</v>
      </c>
      <c r="K391" s="446">
        <v>37.1</v>
      </c>
    </row>
    <row r="392" customHeight="1" spans="1:11">
      <c r="A392" s="434"/>
      <c r="B392" s="434"/>
      <c r="C392" s="434"/>
      <c r="D392" s="434"/>
      <c r="E392" s="434"/>
      <c r="F392" s="434" t="s">
        <v>1735</v>
      </c>
      <c r="G392" s="435">
        <v>49.56</v>
      </c>
      <c r="H392" s="434" t="s">
        <v>1736</v>
      </c>
      <c r="I392" s="435">
        <v>45.03</v>
      </c>
      <c r="J392" s="434" t="s">
        <v>1737</v>
      </c>
      <c r="K392" s="435">
        <v>94.59</v>
      </c>
    </row>
    <row r="393" customHeight="1" spans="1:11">
      <c r="A393" s="434"/>
      <c r="B393" s="434"/>
      <c r="C393" s="434"/>
      <c r="D393" s="434"/>
      <c r="E393" s="434"/>
      <c r="F393" s="434" t="s">
        <v>1738</v>
      </c>
      <c r="G393" s="435">
        <v>34.41</v>
      </c>
      <c r="H393" s="434"/>
      <c r="I393" s="434" t="s">
        <v>1739</v>
      </c>
      <c r="J393" s="434"/>
      <c r="K393" s="435">
        <v>173.97</v>
      </c>
    </row>
    <row r="394" customHeight="1" spans="1:11">
      <c r="A394" s="436"/>
      <c r="B394" s="436"/>
      <c r="C394" s="436"/>
      <c r="D394" s="436"/>
      <c r="E394" s="436"/>
      <c r="F394" s="436"/>
      <c r="G394" s="436"/>
      <c r="H394" s="436" t="s">
        <v>1740</v>
      </c>
      <c r="I394" s="447" t="s">
        <v>1987</v>
      </c>
      <c r="J394" s="436" t="s">
        <v>1742</v>
      </c>
      <c r="K394" s="448">
        <v>858.02</v>
      </c>
    </row>
    <row r="395" customHeight="1" spans="1:11">
      <c r="A395" s="437"/>
      <c r="B395" s="437"/>
      <c r="C395" s="437"/>
      <c r="D395" s="437"/>
      <c r="E395" s="437"/>
      <c r="F395" s="437"/>
      <c r="G395" s="437"/>
      <c r="H395" s="437"/>
      <c r="I395" s="437"/>
      <c r="J395" s="437"/>
      <c r="K395" s="437"/>
    </row>
    <row r="396" customHeight="1" spans="1:11">
      <c r="A396" s="423" t="s">
        <v>188</v>
      </c>
      <c r="B396" s="424" t="s">
        <v>1714</v>
      </c>
      <c r="C396" s="423" t="s">
        <v>1715</v>
      </c>
      <c r="D396" s="423" t="s">
        <v>1716</v>
      </c>
      <c r="E396" s="423" t="s">
        <v>1717</v>
      </c>
      <c r="F396" s="423"/>
      <c r="G396" s="425" t="s">
        <v>1718</v>
      </c>
      <c r="H396" s="424" t="s">
        <v>1719</v>
      </c>
      <c r="I396" s="424" t="s">
        <v>1720</v>
      </c>
      <c r="J396" s="424" t="s">
        <v>1721</v>
      </c>
      <c r="K396" s="424" t="s">
        <v>1722</v>
      </c>
    </row>
    <row r="397" customHeight="1" spans="1:11">
      <c r="A397" s="426" t="s">
        <v>1723</v>
      </c>
      <c r="B397" s="427" t="s">
        <v>189</v>
      </c>
      <c r="C397" s="426" t="s">
        <v>71</v>
      </c>
      <c r="D397" s="426" t="s">
        <v>190</v>
      </c>
      <c r="E397" s="426" t="s">
        <v>1634</v>
      </c>
      <c r="F397" s="426"/>
      <c r="G397" s="428" t="s">
        <v>73</v>
      </c>
      <c r="H397" s="429">
        <v>1</v>
      </c>
      <c r="I397" s="445"/>
      <c r="J397" s="445">
        <v>83.04</v>
      </c>
      <c r="K397" s="445">
        <v>83.04</v>
      </c>
    </row>
    <row r="398" customHeight="1" spans="1:11">
      <c r="A398" s="430" t="s">
        <v>1724</v>
      </c>
      <c r="B398" s="431" t="s">
        <v>1743</v>
      </c>
      <c r="C398" s="430" t="s">
        <v>71</v>
      </c>
      <c r="D398" s="430" t="s">
        <v>1744</v>
      </c>
      <c r="E398" s="430" t="s">
        <v>1708</v>
      </c>
      <c r="F398" s="430"/>
      <c r="G398" s="432" t="s">
        <v>82</v>
      </c>
      <c r="H398" s="433">
        <v>1.088</v>
      </c>
      <c r="I398" s="433">
        <v>0</v>
      </c>
      <c r="J398" s="446">
        <v>37.51</v>
      </c>
      <c r="K398" s="446">
        <v>40.81</v>
      </c>
    </row>
    <row r="399" customHeight="1" spans="1:11">
      <c r="A399" s="430" t="s">
        <v>1724</v>
      </c>
      <c r="B399" s="431" t="s">
        <v>1800</v>
      </c>
      <c r="C399" s="430" t="s">
        <v>71</v>
      </c>
      <c r="D399" s="430" t="s">
        <v>1801</v>
      </c>
      <c r="E399" s="430" t="s">
        <v>1708</v>
      </c>
      <c r="F399" s="430"/>
      <c r="G399" s="432" t="s">
        <v>82</v>
      </c>
      <c r="H399" s="433">
        <v>0.477</v>
      </c>
      <c r="I399" s="433">
        <v>0</v>
      </c>
      <c r="J399" s="446">
        <v>29.91</v>
      </c>
      <c r="K399" s="446">
        <v>14.26</v>
      </c>
    </row>
    <row r="400" customHeight="1" spans="1:11">
      <c r="A400" s="430" t="s">
        <v>1724</v>
      </c>
      <c r="B400" s="431" t="s">
        <v>1805</v>
      </c>
      <c r="C400" s="430" t="s">
        <v>71</v>
      </c>
      <c r="D400" s="430" t="s">
        <v>1806</v>
      </c>
      <c r="E400" s="430" t="s">
        <v>1795</v>
      </c>
      <c r="F400" s="430"/>
      <c r="G400" s="432" t="s">
        <v>1796</v>
      </c>
      <c r="H400" s="433">
        <v>0.013</v>
      </c>
      <c r="I400" s="433">
        <v>0</v>
      </c>
      <c r="J400" s="446">
        <v>41.6</v>
      </c>
      <c r="K400" s="446">
        <v>0.54</v>
      </c>
    </row>
    <row r="401" customHeight="1" spans="1:11">
      <c r="A401" s="430" t="s">
        <v>1724</v>
      </c>
      <c r="B401" s="431" t="s">
        <v>1802</v>
      </c>
      <c r="C401" s="430" t="s">
        <v>71</v>
      </c>
      <c r="D401" s="430" t="s">
        <v>1803</v>
      </c>
      <c r="E401" s="430" t="s">
        <v>1795</v>
      </c>
      <c r="F401" s="430"/>
      <c r="G401" s="432" t="s">
        <v>1804</v>
      </c>
      <c r="H401" s="433">
        <v>0.053</v>
      </c>
      <c r="I401" s="433">
        <v>0</v>
      </c>
      <c r="J401" s="446">
        <v>39.98</v>
      </c>
      <c r="K401" s="446">
        <v>2.11</v>
      </c>
    </row>
    <row r="402" customHeight="1" spans="1:11">
      <c r="A402" s="438" t="s">
        <v>1750</v>
      </c>
      <c r="B402" s="439" t="s">
        <v>1939</v>
      </c>
      <c r="C402" s="438" t="s">
        <v>71</v>
      </c>
      <c r="D402" s="438" t="s">
        <v>1940</v>
      </c>
      <c r="E402" s="438" t="s">
        <v>1631</v>
      </c>
      <c r="F402" s="438"/>
      <c r="G402" s="440" t="s">
        <v>78</v>
      </c>
      <c r="H402" s="441">
        <v>1.134</v>
      </c>
      <c r="I402" s="441">
        <v>0</v>
      </c>
      <c r="J402" s="449">
        <v>14.58</v>
      </c>
      <c r="K402" s="449">
        <v>16.53</v>
      </c>
    </row>
    <row r="403" customHeight="1" spans="1:11">
      <c r="A403" s="438" t="s">
        <v>1750</v>
      </c>
      <c r="B403" s="439" t="s">
        <v>1941</v>
      </c>
      <c r="C403" s="438" t="s">
        <v>71</v>
      </c>
      <c r="D403" s="438" t="s">
        <v>1942</v>
      </c>
      <c r="E403" s="438" t="s">
        <v>1631</v>
      </c>
      <c r="F403" s="438"/>
      <c r="G403" s="440" t="s">
        <v>78</v>
      </c>
      <c r="H403" s="441">
        <v>0.547</v>
      </c>
      <c r="I403" s="441">
        <v>0</v>
      </c>
      <c r="J403" s="449">
        <v>3.07</v>
      </c>
      <c r="K403" s="449">
        <v>1.67</v>
      </c>
    </row>
    <row r="404" customHeight="1" spans="1:11">
      <c r="A404" s="438" t="s">
        <v>1750</v>
      </c>
      <c r="B404" s="439" t="s">
        <v>1946</v>
      </c>
      <c r="C404" s="438" t="s">
        <v>71</v>
      </c>
      <c r="D404" s="438" t="s">
        <v>1947</v>
      </c>
      <c r="E404" s="438" t="s">
        <v>1631</v>
      </c>
      <c r="F404" s="438"/>
      <c r="G404" s="440" t="s">
        <v>158</v>
      </c>
      <c r="H404" s="441">
        <v>0.026</v>
      </c>
      <c r="I404" s="441">
        <v>0</v>
      </c>
      <c r="J404" s="449">
        <v>18.73</v>
      </c>
      <c r="K404" s="449">
        <v>0.48</v>
      </c>
    </row>
    <row r="405" customHeight="1" spans="1:11">
      <c r="A405" s="438" t="s">
        <v>1750</v>
      </c>
      <c r="B405" s="439" t="s">
        <v>1948</v>
      </c>
      <c r="C405" s="438" t="s">
        <v>71</v>
      </c>
      <c r="D405" s="438" t="s">
        <v>1949</v>
      </c>
      <c r="E405" s="438" t="s">
        <v>1631</v>
      </c>
      <c r="F405" s="438"/>
      <c r="G405" s="440" t="s">
        <v>158</v>
      </c>
      <c r="H405" s="441">
        <v>0.053</v>
      </c>
      <c r="I405" s="441">
        <v>0</v>
      </c>
      <c r="J405" s="449">
        <v>22.69</v>
      </c>
      <c r="K405" s="449">
        <v>1.2</v>
      </c>
    </row>
    <row r="406" customHeight="1" spans="1:11">
      <c r="A406" s="438" t="s">
        <v>1750</v>
      </c>
      <c r="B406" s="439" t="s">
        <v>1807</v>
      </c>
      <c r="C406" s="438" t="s">
        <v>71</v>
      </c>
      <c r="D406" s="438" t="s">
        <v>1808</v>
      </c>
      <c r="E406" s="438" t="s">
        <v>1631</v>
      </c>
      <c r="F406" s="438"/>
      <c r="G406" s="440" t="s">
        <v>78</v>
      </c>
      <c r="H406" s="441">
        <v>0.605</v>
      </c>
      <c r="I406" s="441">
        <v>0</v>
      </c>
      <c r="J406" s="449">
        <v>8.79</v>
      </c>
      <c r="K406" s="449">
        <v>5.31</v>
      </c>
    </row>
    <row r="407" customHeight="1" spans="1:11">
      <c r="A407" s="438" t="s">
        <v>1750</v>
      </c>
      <c r="B407" s="439" t="s">
        <v>1943</v>
      </c>
      <c r="C407" s="438" t="s">
        <v>71</v>
      </c>
      <c r="D407" s="438" t="s">
        <v>1944</v>
      </c>
      <c r="E407" s="438" t="s">
        <v>1631</v>
      </c>
      <c r="F407" s="438"/>
      <c r="G407" s="440" t="s">
        <v>1945</v>
      </c>
      <c r="H407" s="441">
        <v>0.0167</v>
      </c>
      <c r="I407" s="441">
        <v>0</v>
      </c>
      <c r="J407" s="449">
        <v>7.97</v>
      </c>
      <c r="K407" s="449">
        <v>0.13</v>
      </c>
    </row>
    <row r="408" customHeight="1" spans="1:11">
      <c r="A408" s="434"/>
      <c r="B408" s="434"/>
      <c r="C408" s="434"/>
      <c r="D408" s="434"/>
      <c r="E408" s="434"/>
      <c r="F408" s="434" t="s">
        <v>1735</v>
      </c>
      <c r="G408" s="435">
        <v>21.88</v>
      </c>
      <c r="H408" s="434" t="s">
        <v>1736</v>
      </c>
      <c r="I408" s="435">
        <v>19.89</v>
      </c>
      <c r="J408" s="434" t="s">
        <v>1737</v>
      </c>
      <c r="K408" s="435">
        <v>41.77</v>
      </c>
    </row>
    <row r="409" customHeight="1" spans="1:11">
      <c r="A409" s="434"/>
      <c r="B409" s="434"/>
      <c r="C409" s="434"/>
      <c r="D409" s="434"/>
      <c r="E409" s="434"/>
      <c r="F409" s="434" t="s">
        <v>1738</v>
      </c>
      <c r="G409" s="435">
        <v>20.47</v>
      </c>
      <c r="H409" s="434"/>
      <c r="I409" s="434" t="s">
        <v>1739</v>
      </c>
      <c r="J409" s="434"/>
      <c r="K409" s="435">
        <v>103.51</v>
      </c>
    </row>
    <row r="410" customHeight="1" spans="1:11">
      <c r="A410" s="436"/>
      <c r="B410" s="436"/>
      <c r="C410" s="436"/>
      <c r="D410" s="436"/>
      <c r="E410" s="436"/>
      <c r="F410" s="436"/>
      <c r="G410" s="436"/>
      <c r="H410" s="436" t="s">
        <v>1740</v>
      </c>
      <c r="I410" s="447" t="s">
        <v>1988</v>
      </c>
      <c r="J410" s="436" t="s">
        <v>1742</v>
      </c>
      <c r="K410" s="448">
        <v>2690.22</v>
      </c>
    </row>
    <row r="411" customHeight="1" spans="1:11">
      <c r="A411" s="437"/>
      <c r="B411" s="437"/>
      <c r="C411" s="437"/>
      <c r="D411" s="437"/>
      <c r="E411" s="437"/>
      <c r="F411" s="437"/>
      <c r="G411" s="437"/>
      <c r="H411" s="437"/>
      <c r="I411" s="437"/>
      <c r="J411" s="437"/>
      <c r="K411" s="437"/>
    </row>
    <row r="412" customHeight="1" spans="1:11">
      <c r="A412" s="423" t="s">
        <v>191</v>
      </c>
      <c r="B412" s="424" t="s">
        <v>1714</v>
      </c>
      <c r="C412" s="423" t="s">
        <v>1715</v>
      </c>
      <c r="D412" s="423" t="s">
        <v>1716</v>
      </c>
      <c r="E412" s="423" t="s">
        <v>1717</v>
      </c>
      <c r="F412" s="423"/>
      <c r="G412" s="425" t="s">
        <v>1718</v>
      </c>
      <c r="H412" s="424" t="s">
        <v>1719</v>
      </c>
      <c r="I412" s="424" t="s">
        <v>1720</v>
      </c>
      <c r="J412" s="424" t="s">
        <v>1721</v>
      </c>
      <c r="K412" s="424" t="s">
        <v>1722</v>
      </c>
    </row>
    <row r="413" customHeight="1" spans="1:11">
      <c r="A413" s="426" t="s">
        <v>1723</v>
      </c>
      <c r="B413" s="427" t="s">
        <v>169</v>
      </c>
      <c r="C413" s="426" t="s">
        <v>71</v>
      </c>
      <c r="D413" s="426" t="s">
        <v>170</v>
      </c>
      <c r="E413" s="426" t="s">
        <v>1634</v>
      </c>
      <c r="F413" s="426"/>
      <c r="G413" s="428" t="s">
        <v>158</v>
      </c>
      <c r="H413" s="429">
        <v>1</v>
      </c>
      <c r="I413" s="445"/>
      <c r="J413" s="445">
        <v>14.25</v>
      </c>
      <c r="K413" s="445">
        <v>14.25</v>
      </c>
    </row>
    <row r="414" customHeight="1" spans="1:11">
      <c r="A414" s="430" t="s">
        <v>1724</v>
      </c>
      <c r="B414" s="431" t="s">
        <v>1958</v>
      </c>
      <c r="C414" s="430" t="s">
        <v>71</v>
      </c>
      <c r="D414" s="430" t="s">
        <v>1959</v>
      </c>
      <c r="E414" s="430" t="s">
        <v>1708</v>
      </c>
      <c r="F414" s="430"/>
      <c r="G414" s="432" t="s">
        <v>82</v>
      </c>
      <c r="H414" s="433">
        <v>0.081</v>
      </c>
      <c r="I414" s="433">
        <v>0</v>
      </c>
      <c r="J414" s="446">
        <v>35.95</v>
      </c>
      <c r="K414" s="446">
        <v>2.91</v>
      </c>
    </row>
    <row r="415" customHeight="1" spans="1:11">
      <c r="A415" s="430" t="s">
        <v>1724</v>
      </c>
      <c r="B415" s="431" t="s">
        <v>1965</v>
      </c>
      <c r="C415" s="430" t="s">
        <v>71</v>
      </c>
      <c r="D415" s="430" t="s">
        <v>1966</v>
      </c>
      <c r="E415" s="430" t="s">
        <v>1632</v>
      </c>
      <c r="F415" s="430"/>
      <c r="G415" s="432" t="s">
        <v>158</v>
      </c>
      <c r="H415" s="433">
        <v>1</v>
      </c>
      <c r="I415" s="433">
        <v>0</v>
      </c>
      <c r="J415" s="446">
        <v>9.78</v>
      </c>
      <c r="K415" s="446">
        <v>9.78</v>
      </c>
    </row>
    <row r="416" customHeight="1" spans="1:11">
      <c r="A416" s="430" t="s">
        <v>1724</v>
      </c>
      <c r="B416" s="431" t="s">
        <v>1956</v>
      </c>
      <c r="C416" s="430" t="s">
        <v>71</v>
      </c>
      <c r="D416" s="430" t="s">
        <v>1957</v>
      </c>
      <c r="E416" s="430" t="s">
        <v>1708</v>
      </c>
      <c r="F416" s="430"/>
      <c r="G416" s="432" t="s">
        <v>82</v>
      </c>
      <c r="H416" s="433">
        <v>0.031</v>
      </c>
      <c r="I416" s="433">
        <v>0</v>
      </c>
      <c r="J416" s="446">
        <v>30.06</v>
      </c>
      <c r="K416" s="446">
        <v>0.93</v>
      </c>
    </row>
    <row r="417" customHeight="1" spans="1:11">
      <c r="A417" s="438" t="s">
        <v>1750</v>
      </c>
      <c r="B417" s="439" t="s">
        <v>1962</v>
      </c>
      <c r="C417" s="438" t="s">
        <v>71</v>
      </c>
      <c r="D417" s="438" t="s">
        <v>1963</v>
      </c>
      <c r="E417" s="438" t="s">
        <v>1631</v>
      </c>
      <c r="F417" s="438"/>
      <c r="G417" s="440" t="s">
        <v>105</v>
      </c>
      <c r="H417" s="441">
        <v>0.399</v>
      </c>
      <c r="I417" s="441">
        <v>0</v>
      </c>
      <c r="J417" s="449">
        <v>0.22</v>
      </c>
      <c r="K417" s="449">
        <v>0.08</v>
      </c>
    </row>
    <row r="418" customHeight="1" spans="1:11">
      <c r="A418" s="438" t="s">
        <v>1750</v>
      </c>
      <c r="B418" s="439" t="s">
        <v>1960</v>
      </c>
      <c r="C418" s="438" t="s">
        <v>71</v>
      </c>
      <c r="D418" s="438" t="s">
        <v>1961</v>
      </c>
      <c r="E418" s="438" t="s">
        <v>1631</v>
      </c>
      <c r="F418" s="438"/>
      <c r="G418" s="440" t="s">
        <v>158</v>
      </c>
      <c r="H418" s="441">
        <v>0.025</v>
      </c>
      <c r="I418" s="441">
        <v>0</v>
      </c>
      <c r="J418" s="449">
        <v>22</v>
      </c>
      <c r="K418" s="449">
        <v>0.55</v>
      </c>
    </row>
    <row r="419" customHeight="1" spans="1:11">
      <c r="A419" s="434"/>
      <c r="B419" s="434"/>
      <c r="C419" s="434"/>
      <c r="D419" s="434"/>
      <c r="E419" s="434"/>
      <c r="F419" s="434" t="s">
        <v>1735</v>
      </c>
      <c r="G419" s="435">
        <v>1.55</v>
      </c>
      <c r="H419" s="434" t="s">
        <v>1736</v>
      </c>
      <c r="I419" s="435">
        <v>1.41</v>
      </c>
      <c r="J419" s="434" t="s">
        <v>1737</v>
      </c>
      <c r="K419" s="435">
        <v>2.96</v>
      </c>
    </row>
    <row r="420" customHeight="1" spans="1:11">
      <c r="A420" s="434"/>
      <c r="B420" s="434"/>
      <c r="C420" s="434"/>
      <c r="D420" s="434"/>
      <c r="E420" s="434"/>
      <c r="F420" s="434" t="s">
        <v>1738</v>
      </c>
      <c r="G420" s="435">
        <v>3.51</v>
      </c>
      <c r="H420" s="434"/>
      <c r="I420" s="434" t="s">
        <v>1739</v>
      </c>
      <c r="J420" s="434"/>
      <c r="K420" s="435">
        <v>17.76</v>
      </c>
    </row>
    <row r="421" customHeight="1" spans="1:11">
      <c r="A421" s="436"/>
      <c r="B421" s="436"/>
      <c r="C421" s="436"/>
      <c r="D421" s="436"/>
      <c r="E421" s="436"/>
      <c r="F421" s="436"/>
      <c r="G421" s="436"/>
      <c r="H421" s="436" t="s">
        <v>1740</v>
      </c>
      <c r="I421" s="447" t="s">
        <v>1989</v>
      </c>
      <c r="J421" s="436" t="s">
        <v>1742</v>
      </c>
      <c r="K421" s="448">
        <v>2326.56</v>
      </c>
    </row>
    <row r="422" customHeight="1" spans="1:11">
      <c r="A422" s="437"/>
      <c r="B422" s="437"/>
      <c r="C422" s="437"/>
      <c r="D422" s="437"/>
      <c r="E422" s="437"/>
      <c r="F422" s="437"/>
      <c r="G422" s="437"/>
      <c r="H422" s="437"/>
      <c r="I422" s="437"/>
      <c r="J422" s="437"/>
      <c r="K422" s="437"/>
    </row>
    <row r="423" customHeight="1" spans="1:11">
      <c r="A423" s="423" t="s">
        <v>192</v>
      </c>
      <c r="B423" s="424" t="s">
        <v>1714</v>
      </c>
      <c r="C423" s="423" t="s">
        <v>1715</v>
      </c>
      <c r="D423" s="423" t="s">
        <v>1716</v>
      </c>
      <c r="E423" s="423" t="s">
        <v>1717</v>
      </c>
      <c r="F423" s="423"/>
      <c r="G423" s="425" t="s">
        <v>1718</v>
      </c>
      <c r="H423" s="424" t="s">
        <v>1719</v>
      </c>
      <c r="I423" s="424" t="s">
        <v>1720</v>
      </c>
      <c r="J423" s="424" t="s">
        <v>1721</v>
      </c>
      <c r="K423" s="424" t="s">
        <v>1722</v>
      </c>
    </row>
    <row r="424" customHeight="1" spans="1:11">
      <c r="A424" s="426" t="s">
        <v>1723</v>
      </c>
      <c r="B424" s="427" t="s">
        <v>172</v>
      </c>
      <c r="C424" s="426" t="s">
        <v>71</v>
      </c>
      <c r="D424" s="426" t="s">
        <v>173</v>
      </c>
      <c r="E424" s="426" t="s">
        <v>1634</v>
      </c>
      <c r="F424" s="426"/>
      <c r="G424" s="428" t="s">
        <v>158</v>
      </c>
      <c r="H424" s="429">
        <v>1</v>
      </c>
      <c r="I424" s="445"/>
      <c r="J424" s="445">
        <v>12.01</v>
      </c>
      <c r="K424" s="445">
        <v>12.01</v>
      </c>
    </row>
    <row r="425" customHeight="1" spans="1:11">
      <c r="A425" s="430" t="s">
        <v>1724</v>
      </c>
      <c r="B425" s="431" t="s">
        <v>1973</v>
      </c>
      <c r="C425" s="430" t="s">
        <v>71</v>
      </c>
      <c r="D425" s="430" t="s">
        <v>1974</v>
      </c>
      <c r="E425" s="430" t="s">
        <v>1632</v>
      </c>
      <c r="F425" s="430"/>
      <c r="G425" s="432" t="s">
        <v>158</v>
      </c>
      <c r="H425" s="433">
        <v>1</v>
      </c>
      <c r="I425" s="433">
        <v>0</v>
      </c>
      <c r="J425" s="446">
        <v>8.35</v>
      </c>
      <c r="K425" s="446">
        <v>8.35</v>
      </c>
    </row>
    <row r="426" customHeight="1" spans="1:11">
      <c r="A426" s="430" t="s">
        <v>1724</v>
      </c>
      <c r="B426" s="431" t="s">
        <v>1958</v>
      </c>
      <c r="C426" s="430" t="s">
        <v>71</v>
      </c>
      <c r="D426" s="430" t="s">
        <v>1959</v>
      </c>
      <c r="E426" s="430" t="s">
        <v>1708</v>
      </c>
      <c r="F426" s="430"/>
      <c r="G426" s="432" t="s">
        <v>82</v>
      </c>
      <c r="H426" s="433">
        <v>0.064</v>
      </c>
      <c r="I426" s="433">
        <v>0</v>
      </c>
      <c r="J426" s="446">
        <v>35.95</v>
      </c>
      <c r="K426" s="446">
        <v>2.3</v>
      </c>
    </row>
    <row r="427" customHeight="1" spans="1:11">
      <c r="A427" s="430" t="s">
        <v>1724</v>
      </c>
      <c r="B427" s="431" t="s">
        <v>1956</v>
      </c>
      <c r="C427" s="430" t="s">
        <v>71</v>
      </c>
      <c r="D427" s="430" t="s">
        <v>1957</v>
      </c>
      <c r="E427" s="430" t="s">
        <v>1708</v>
      </c>
      <c r="F427" s="430"/>
      <c r="G427" s="432" t="s">
        <v>82</v>
      </c>
      <c r="H427" s="433">
        <v>0.025</v>
      </c>
      <c r="I427" s="433">
        <v>0</v>
      </c>
      <c r="J427" s="446">
        <v>30.06</v>
      </c>
      <c r="K427" s="446">
        <v>0.75</v>
      </c>
    </row>
    <row r="428" customHeight="1" spans="1:11">
      <c r="A428" s="438" t="s">
        <v>1750</v>
      </c>
      <c r="B428" s="439" t="s">
        <v>1960</v>
      </c>
      <c r="C428" s="438" t="s">
        <v>71</v>
      </c>
      <c r="D428" s="438" t="s">
        <v>1961</v>
      </c>
      <c r="E428" s="438" t="s">
        <v>1631</v>
      </c>
      <c r="F428" s="438"/>
      <c r="G428" s="440" t="s">
        <v>158</v>
      </c>
      <c r="H428" s="441">
        <v>0.025</v>
      </c>
      <c r="I428" s="441">
        <v>0</v>
      </c>
      <c r="J428" s="449">
        <v>22</v>
      </c>
      <c r="K428" s="449">
        <v>0.55</v>
      </c>
    </row>
    <row r="429" customHeight="1" spans="1:11">
      <c r="A429" s="438" t="s">
        <v>1750</v>
      </c>
      <c r="B429" s="439" t="s">
        <v>1962</v>
      </c>
      <c r="C429" s="438" t="s">
        <v>71</v>
      </c>
      <c r="D429" s="438" t="s">
        <v>1963</v>
      </c>
      <c r="E429" s="438" t="s">
        <v>1631</v>
      </c>
      <c r="F429" s="438"/>
      <c r="G429" s="440" t="s">
        <v>105</v>
      </c>
      <c r="H429" s="441">
        <v>0.317</v>
      </c>
      <c r="I429" s="441">
        <v>0</v>
      </c>
      <c r="J429" s="449">
        <v>0.22</v>
      </c>
      <c r="K429" s="449">
        <v>0.06</v>
      </c>
    </row>
    <row r="430" customHeight="1" spans="1:11">
      <c r="A430" s="434"/>
      <c r="B430" s="434"/>
      <c r="C430" s="434"/>
      <c r="D430" s="434"/>
      <c r="E430" s="434"/>
      <c r="F430" s="434" t="s">
        <v>1735</v>
      </c>
      <c r="G430" s="435">
        <v>1.19</v>
      </c>
      <c r="H430" s="434" t="s">
        <v>1736</v>
      </c>
      <c r="I430" s="435">
        <v>1.09</v>
      </c>
      <c r="J430" s="434" t="s">
        <v>1737</v>
      </c>
      <c r="K430" s="435">
        <v>2.28</v>
      </c>
    </row>
    <row r="431" customHeight="1" spans="1:11">
      <c r="A431" s="434"/>
      <c r="B431" s="434"/>
      <c r="C431" s="434"/>
      <c r="D431" s="434"/>
      <c r="E431" s="434"/>
      <c r="F431" s="434" t="s">
        <v>1738</v>
      </c>
      <c r="G431" s="435">
        <v>2.96</v>
      </c>
      <c r="H431" s="434"/>
      <c r="I431" s="434" t="s">
        <v>1739</v>
      </c>
      <c r="J431" s="434"/>
      <c r="K431" s="435">
        <v>14.97</v>
      </c>
    </row>
    <row r="432" customHeight="1" spans="1:11">
      <c r="A432" s="436"/>
      <c r="B432" s="436"/>
      <c r="C432" s="436"/>
      <c r="D432" s="436"/>
      <c r="E432" s="436"/>
      <c r="F432" s="436"/>
      <c r="G432" s="436"/>
      <c r="H432" s="436" t="s">
        <v>1740</v>
      </c>
      <c r="I432" s="447" t="s">
        <v>1990</v>
      </c>
      <c r="J432" s="436" t="s">
        <v>1742</v>
      </c>
      <c r="K432" s="448">
        <v>1077.84</v>
      </c>
    </row>
    <row r="433" customHeight="1" spans="1:11">
      <c r="A433" s="437"/>
      <c r="B433" s="437"/>
      <c r="C433" s="437"/>
      <c r="D433" s="437"/>
      <c r="E433" s="437"/>
      <c r="F433" s="437"/>
      <c r="G433" s="437"/>
      <c r="H433" s="437"/>
      <c r="I433" s="437"/>
      <c r="J433" s="437"/>
      <c r="K433" s="437"/>
    </row>
    <row r="434" customHeight="1" spans="1:11">
      <c r="A434" s="423" t="s">
        <v>193</v>
      </c>
      <c r="B434" s="424" t="s">
        <v>1714</v>
      </c>
      <c r="C434" s="423" t="s">
        <v>1715</v>
      </c>
      <c r="D434" s="423" t="s">
        <v>1716</v>
      </c>
      <c r="E434" s="423" t="s">
        <v>1717</v>
      </c>
      <c r="F434" s="423"/>
      <c r="G434" s="425" t="s">
        <v>1718</v>
      </c>
      <c r="H434" s="424" t="s">
        <v>1719</v>
      </c>
      <c r="I434" s="424" t="s">
        <v>1720</v>
      </c>
      <c r="J434" s="424" t="s">
        <v>1721</v>
      </c>
      <c r="K434" s="424" t="s">
        <v>1722</v>
      </c>
    </row>
    <row r="435" customHeight="1" spans="1:11">
      <c r="A435" s="426" t="s">
        <v>1723</v>
      </c>
      <c r="B435" s="427" t="s">
        <v>175</v>
      </c>
      <c r="C435" s="426" t="s">
        <v>71</v>
      </c>
      <c r="D435" s="426" t="s">
        <v>176</v>
      </c>
      <c r="E435" s="426" t="s">
        <v>1634</v>
      </c>
      <c r="F435" s="426"/>
      <c r="G435" s="428" t="s">
        <v>158</v>
      </c>
      <c r="H435" s="429">
        <v>1</v>
      </c>
      <c r="I435" s="445"/>
      <c r="J435" s="445">
        <v>11.17</v>
      </c>
      <c r="K435" s="445">
        <v>11.17</v>
      </c>
    </row>
    <row r="436" customHeight="1" spans="1:11">
      <c r="A436" s="430" t="s">
        <v>1724</v>
      </c>
      <c r="B436" s="431" t="s">
        <v>1956</v>
      </c>
      <c r="C436" s="430" t="s">
        <v>71</v>
      </c>
      <c r="D436" s="430" t="s">
        <v>1957</v>
      </c>
      <c r="E436" s="430" t="s">
        <v>1708</v>
      </c>
      <c r="F436" s="430"/>
      <c r="G436" s="432" t="s">
        <v>82</v>
      </c>
      <c r="H436" s="433">
        <v>0.019</v>
      </c>
      <c r="I436" s="433">
        <v>0</v>
      </c>
      <c r="J436" s="446">
        <v>30.06</v>
      </c>
      <c r="K436" s="446">
        <v>0.57</v>
      </c>
    </row>
    <row r="437" customHeight="1" spans="1:11">
      <c r="A437" s="430" t="s">
        <v>1724</v>
      </c>
      <c r="B437" s="431" t="s">
        <v>1958</v>
      </c>
      <c r="C437" s="430" t="s">
        <v>71</v>
      </c>
      <c r="D437" s="430" t="s">
        <v>1959</v>
      </c>
      <c r="E437" s="430" t="s">
        <v>1708</v>
      </c>
      <c r="F437" s="430"/>
      <c r="G437" s="432" t="s">
        <v>82</v>
      </c>
      <c r="H437" s="433">
        <v>0.049</v>
      </c>
      <c r="I437" s="433">
        <v>0</v>
      </c>
      <c r="J437" s="446">
        <v>35.95</v>
      </c>
      <c r="K437" s="446">
        <v>1.76</v>
      </c>
    </row>
    <row r="438" customHeight="1" spans="1:11">
      <c r="A438" s="430" t="s">
        <v>1724</v>
      </c>
      <c r="B438" s="431" t="s">
        <v>1976</v>
      </c>
      <c r="C438" s="430" t="s">
        <v>71</v>
      </c>
      <c r="D438" s="430" t="s">
        <v>1977</v>
      </c>
      <c r="E438" s="430" t="s">
        <v>1632</v>
      </c>
      <c r="F438" s="430"/>
      <c r="G438" s="432" t="s">
        <v>158</v>
      </c>
      <c r="H438" s="433">
        <v>1</v>
      </c>
      <c r="I438" s="433">
        <v>0</v>
      </c>
      <c r="J438" s="446">
        <v>8.24</v>
      </c>
      <c r="K438" s="446">
        <v>8.24</v>
      </c>
    </row>
    <row r="439" customHeight="1" spans="1:11">
      <c r="A439" s="438" t="s">
        <v>1750</v>
      </c>
      <c r="B439" s="439" t="s">
        <v>1962</v>
      </c>
      <c r="C439" s="438" t="s">
        <v>71</v>
      </c>
      <c r="D439" s="438" t="s">
        <v>1963</v>
      </c>
      <c r="E439" s="438" t="s">
        <v>1631</v>
      </c>
      <c r="F439" s="438"/>
      <c r="G439" s="440" t="s">
        <v>105</v>
      </c>
      <c r="H439" s="441">
        <v>0.245</v>
      </c>
      <c r="I439" s="441">
        <v>0</v>
      </c>
      <c r="J439" s="449">
        <v>0.22</v>
      </c>
      <c r="K439" s="449">
        <v>0.05</v>
      </c>
    </row>
    <row r="440" customHeight="1" spans="1:11">
      <c r="A440" s="438" t="s">
        <v>1750</v>
      </c>
      <c r="B440" s="439" t="s">
        <v>1960</v>
      </c>
      <c r="C440" s="438" t="s">
        <v>71</v>
      </c>
      <c r="D440" s="438" t="s">
        <v>1961</v>
      </c>
      <c r="E440" s="438" t="s">
        <v>1631</v>
      </c>
      <c r="F440" s="438"/>
      <c r="G440" s="440" t="s">
        <v>158</v>
      </c>
      <c r="H440" s="441">
        <v>0.025</v>
      </c>
      <c r="I440" s="441">
        <v>0</v>
      </c>
      <c r="J440" s="449">
        <v>22</v>
      </c>
      <c r="K440" s="449">
        <v>0.55</v>
      </c>
    </row>
    <row r="441" customHeight="1" spans="1:11">
      <c r="A441" s="434"/>
      <c r="B441" s="434"/>
      <c r="C441" s="434"/>
      <c r="D441" s="434"/>
      <c r="E441" s="434"/>
      <c r="F441" s="434" t="s">
        <v>1735</v>
      </c>
      <c r="G441" s="435">
        <v>0.89</v>
      </c>
      <c r="H441" s="434" t="s">
        <v>1736</v>
      </c>
      <c r="I441" s="435">
        <v>0.82</v>
      </c>
      <c r="J441" s="434" t="s">
        <v>1737</v>
      </c>
      <c r="K441" s="435">
        <v>1.71</v>
      </c>
    </row>
    <row r="442" customHeight="1" spans="1:11">
      <c r="A442" s="434"/>
      <c r="B442" s="434"/>
      <c r="C442" s="434"/>
      <c r="D442" s="434"/>
      <c r="E442" s="434"/>
      <c r="F442" s="434" t="s">
        <v>1738</v>
      </c>
      <c r="G442" s="435">
        <v>2.75</v>
      </c>
      <c r="H442" s="434"/>
      <c r="I442" s="434" t="s">
        <v>1739</v>
      </c>
      <c r="J442" s="434"/>
      <c r="K442" s="435">
        <v>13.92</v>
      </c>
    </row>
    <row r="443" customHeight="1" spans="1:11">
      <c r="A443" s="436"/>
      <c r="B443" s="436"/>
      <c r="C443" s="436"/>
      <c r="D443" s="436"/>
      <c r="E443" s="436"/>
      <c r="F443" s="436"/>
      <c r="G443" s="436"/>
      <c r="H443" s="436" t="s">
        <v>1740</v>
      </c>
      <c r="I443" s="447" t="s">
        <v>1991</v>
      </c>
      <c r="J443" s="436" t="s">
        <v>1742</v>
      </c>
      <c r="K443" s="448">
        <v>6625.92</v>
      </c>
    </row>
    <row r="444" customHeight="1" spans="1:11">
      <c r="A444" s="437"/>
      <c r="B444" s="437"/>
      <c r="C444" s="437"/>
      <c r="D444" s="437"/>
      <c r="E444" s="437"/>
      <c r="F444" s="437"/>
      <c r="G444" s="437"/>
      <c r="H444" s="437"/>
      <c r="I444" s="437"/>
      <c r="J444" s="437"/>
      <c r="K444" s="437"/>
    </row>
    <row r="445" customHeight="1" spans="1:11">
      <c r="A445" s="423" t="s">
        <v>194</v>
      </c>
      <c r="B445" s="424" t="s">
        <v>1714</v>
      </c>
      <c r="C445" s="423" t="s">
        <v>1715</v>
      </c>
      <c r="D445" s="423" t="s">
        <v>1716</v>
      </c>
      <c r="E445" s="423" t="s">
        <v>1717</v>
      </c>
      <c r="F445" s="423"/>
      <c r="G445" s="425" t="s">
        <v>1718</v>
      </c>
      <c r="H445" s="424" t="s">
        <v>1719</v>
      </c>
      <c r="I445" s="424" t="s">
        <v>1720</v>
      </c>
      <c r="J445" s="424" t="s">
        <v>1721</v>
      </c>
      <c r="K445" s="424" t="s">
        <v>1722</v>
      </c>
    </row>
    <row r="446" customHeight="1" spans="1:11">
      <c r="A446" s="426" t="s">
        <v>1723</v>
      </c>
      <c r="B446" s="427" t="s">
        <v>181</v>
      </c>
      <c r="C446" s="426" t="s">
        <v>71</v>
      </c>
      <c r="D446" s="426" t="s">
        <v>182</v>
      </c>
      <c r="E446" s="426" t="s">
        <v>1634</v>
      </c>
      <c r="F446" s="426"/>
      <c r="G446" s="428" t="s">
        <v>129</v>
      </c>
      <c r="H446" s="429">
        <v>1</v>
      </c>
      <c r="I446" s="445"/>
      <c r="J446" s="445">
        <v>719.07</v>
      </c>
      <c r="K446" s="445">
        <v>719.07</v>
      </c>
    </row>
    <row r="447" customHeight="1" spans="1:11">
      <c r="A447" s="430" t="s">
        <v>1724</v>
      </c>
      <c r="B447" s="431" t="s">
        <v>1979</v>
      </c>
      <c r="C447" s="430" t="s">
        <v>71</v>
      </c>
      <c r="D447" s="430" t="s">
        <v>1980</v>
      </c>
      <c r="E447" s="430" t="s">
        <v>1795</v>
      </c>
      <c r="F447" s="430"/>
      <c r="G447" s="432" t="s">
        <v>1796</v>
      </c>
      <c r="H447" s="433">
        <v>0.092</v>
      </c>
      <c r="I447" s="433">
        <v>0</v>
      </c>
      <c r="J447" s="446">
        <v>1.45</v>
      </c>
      <c r="K447" s="446">
        <v>0.13</v>
      </c>
    </row>
    <row r="448" customHeight="1" spans="1:11">
      <c r="A448" s="430" t="s">
        <v>1724</v>
      </c>
      <c r="B448" s="431" t="s">
        <v>1981</v>
      </c>
      <c r="C448" s="430" t="s">
        <v>71</v>
      </c>
      <c r="D448" s="430" t="s">
        <v>1982</v>
      </c>
      <c r="E448" s="430" t="s">
        <v>1795</v>
      </c>
      <c r="F448" s="430"/>
      <c r="G448" s="432" t="s">
        <v>1804</v>
      </c>
      <c r="H448" s="433">
        <v>0.075</v>
      </c>
      <c r="I448" s="433">
        <v>0</v>
      </c>
      <c r="J448" s="446">
        <v>0.53</v>
      </c>
      <c r="K448" s="446">
        <v>0.03</v>
      </c>
    </row>
    <row r="449" customHeight="1" spans="1:11">
      <c r="A449" s="430" t="s">
        <v>1724</v>
      </c>
      <c r="B449" s="431" t="s">
        <v>1936</v>
      </c>
      <c r="C449" s="430" t="s">
        <v>71</v>
      </c>
      <c r="D449" s="430" t="s">
        <v>1937</v>
      </c>
      <c r="E449" s="430" t="s">
        <v>1708</v>
      </c>
      <c r="F449" s="430"/>
      <c r="G449" s="432" t="s">
        <v>82</v>
      </c>
      <c r="H449" s="433">
        <v>0.334</v>
      </c>
      <c r="I449" s="433">
        <v>0</v>
      </c>
      <c r="J449" s="446">
        <v>36.96</v>
      </c>
      <c r="K449" s="446">
        <v>12.34</v>
      </c>
    </row>
    <row r="450" customHeight="1" spans="1:11">
      <c r="A450" s="430" t="s">
        <v>1724</v>
      </c>
      <c r="B450" s="431" t="s">
        <v>1745</v>
      </c>
      <c r="C450" s="430" t="s">
        <v>71</v>
      </c>
      <c r="D450" s="430" t="s">
        <v>1746</v>
      </c>
      <c r="E450" s="430" t="s">
        <v>1708</v>
      </c>
      <c r="F450" s="430"/>
      <c r="G450" s="432" t="s">
        <v>82</v>
      </c>
      <c r="H450" s="433">
        <v>0.501</v>
      </c>
      <c r="I450" s="433">
        <v>0</v>
      </c>
      <c r="J450" s="446">
        <v>29.15</v>
      </c>
      <c r="K450" s="446">
        <v>14.6</v>
      </c>
    </row>
    <row r="451" customHeight="1" spans="1:11">
      <c r="A451" s="438" t="s">
        <v>1750</v>
      </c>
      <c r="B451" s="439" t="s">
        <v>1983</v>
      </c>
      <c r="C451" s="438" t="s">
        <v>71</v>
      </c>
      <c r="D451" s="438" t="s">
        <v>1984</v>
      </c>
      <c r="E451" s="438" t="s">
        <v>1631</v>
      </c>
      <c r="F451" s="438"/>
      <c r="G451" s="440" t="s">
        <v>129</v>
      </c>
      <c r="H451" s="441">
        <v>1.23</v>
      </c>
      <c r="I451" s="441">
        <v>0</v>
      </c>
      <c r="J451" s="449">
        <v>562.58</v>
      </c>
      <c r="K451" s="449">
        <v>691.97</v>
      </c>
    </row>
    <row r="452" customHeight="1" spans="1:11">
      <c r="A452" s="434"/>
      <c r="B452" s="434"/>
      <c r="C452" s="434"/>
      <c r="D452" s="434"/>
      <c r="E452" s="434"/>
      <c r="F452" s="434" t="s">
        <v>1735</v>
      </c>
      <c r="G452" s="435">
        <v>9.75</v>
      </c>
      <c r="H452" s="434" t="s">
        <v>1736</v>
      </c>
      <c r="I452" s="435">
        <v>8.86</v>
      </c>
      <c r="J452" s="434" t="s">
        <v>1737</v>
      </c>
      <c r="K452" s="435">
        <v>18.61</v>
      </c>
    </row>
    <row r="453" customHeight="1" spans="1:11">
      <c r="A453" s="434"/>
      <c r="B453" s="434"/>
      <c r="C453" s="434"/>
      <c r="D453" s="434"/>
      <c r="E453" s="434"/>
      <c r="F453" s="434" t="s">
        <v>1738</v>
      </c>
      <c r="G453" s="435">
        <v>177.32</v>
      </c>
      <c r="H453" s="434"/>
      <c r="I453" s="434" t="s">
        <v>1739</v>
      </c>
      <c r="J453" s="434"/>
      <c r="K453" s="435">
        <v>896.39</v>
      </c>
    </row>
    <row r="454" customHeight="1" spans="1:11">
      <c r="A454" s="436"/>
      <c r="B454" s="436"/>
      <c r="C454" s="436"/>
      <c r="D454" s="436"/>
      <c r="E454" s="436"/>
      <c r="F454" s="436"/>
      <c r="G454" s="436"/>
      <c r="H454" s="436" t="s">
        <v>1740</v>
      </c>
      <c r="I454" s="447" t="s">
        <v>1992</v>
      </c>
      <c r="J454" s="436" t="s">
        <v>1742</v>
      </c>
      <c r="K454" s="448">
        <v>4661.22</v>
      </c>
    </row>
    <row r="455" customHeight="1" spans="1:11">
      <c r="A455" s="437"/>
      <c r="B455" s="437"/>
      <c r="C455" s="437"/>
      <c r="D455" s="437"/>
      <c r="E455" s="437"/>
      <c r="F455" s="437"/>
      <c r="G455" s="437"/>
      <c r="H455" s="437"/>
      <c r="I455" s="437"/>
      <c r="J455" s="437"/>
      <c r="K455" s="437"/>
    </row>
    <row r="456" customHeight="1" spans="1:11">
      <c r="A456" s="422" t="s">
        <v>195</v>
      </c>
      <c r="B456" s="422"/>
      <c r="C456" s="422"/>
      <c r="D456" s="422" t="s">
        <v>25</v>
      </c>
      <c r="E456" s="422"/>
      <c r="F456" s="422"/>
      <c r="G456" s="422"/>
      <c r="H456" s="422"/>
      <c r="I456" s="443"/>
      <c r="J456" s="422"/>
      <c r="K456" s="444">
        <v>105691.68</v>
      </c>
    </row>
    <row r="457" customHeight="1" spans="1:11">
      <c r="A457" s="423" t="s">
        <v>196</v>
      </c>
      <c r="B457" s="424" t="s">
        <v>1714</v>
      </c>
      <c r="C457" s="423" t="s">
        <v>1715</v>
      </c>
      <c r="D457" s="423" t="s">
        <v>1716</v>
      </c>
      <c r="E457" s="423" t="s">
        <v>1717</v>
      </c>
      <c r="F457" s="423"/>
      <c r="G457" s="425" t="s">
        <v>1718</v>
      </c>
      <c r="H457" s="424" t="s">
        <v>1719</v>
      </c>
      <c r="I457" s="424" t="s">
        <v>1720</v>
      </c>
      <c r="J457" s="424" t="s">
        <v>1721</v>
      </c>
      <c r="K457" s="424" t="s">
        <v>1722</v>
      </c>
    </row>
    <row r="458" customHeight="1" spans="1:11">
      <c r="A458" s="426" t="s">
        <v>1723</v>
      </c>
      <c r="B458" s="427" t="s">
        <v>197</v>
      </c>
      <c r="C458" s="426" t="s">
        <v>76</v>
      </c>
      <c r="D458" s="426" t="s">
        <v>198</v>
      </c>
      <c r="E458" s="426">
        <v>10</v>
      </c>
      <c r="F458" s="426"/>
      <c r="G458" s="428" t="s">
        <v>78</v>
      </c>
      <c r="H458" s="429">
        <v>1</v>
      </c>
      <c r="I458" s="445"/>
      <c r="J458" s="445">
        <v>439.05</v>
      </c>
      <c r="K458" s="445">
        <v>439.05</v>
      </c>
    </row>
    <row r="459" customHeight="1" spans="1:11">
      <c r="A459" s="430" t="s">
        <v>1724</v>
      </c>
      <c r="B459" s="431" t="s">
        <v>1993</v>
      </c>
      <c r="C459" s="430" t="s">
        <v>76</v>
      </c>
      <c r="D459" s="430" t="s">
        <v>1994</v>
      </c>
      <c r="E459" s="430">
        <v>19</v>
      </c>
      <c r="F459" s="430"/>
      <c r="G459" s="432" t="s">
        <v>82</v>
      </c>
      <c r="H459" s="433">
        <v>0.18</v>
      </c>
      <c r="I459" s="433">
        <v>0</v>
      </c>
      <c r="J459" s="446">
        <v>618.63</v>
      </c>
      <c r="K459" s="446">
        <v>111.35</v>
      </c>
    </row>
    <row r="460" customHeight="1" spans="1:11">
      <c r="A460" s="430" t="s">
        <v>1724</v>
      </c>
      <c r="B460" s="431" t="s">
        <v>1995</v>
      </c>
      <c r="C460" s="430" t="s">
        <v>76</v>
      </c>
      <c r="D460" s="430" t="s">
        <v>1996</v>
      </c>
      <c r="E460" s="430">
        <v>11</v>
      </c>
      <c r="F460" s="430"/>
      <c r="G460" s="432" t="s">
        <v>158</v>
      </c>
      <c r="H460" s="433">
        <v>2.07</v>
      </c>
      <c r="I460" s="433">
        <v>0</v>
      </c>
      <c r="J460" s="446">
        <v>9.38</v>
      </c>
      <c r="K460" s="446">
        <v>19.41</v>
      </c>
    </row>
    <row r="461" customHeight="1" spans="1:11">
      <c r="A461" s="430" t="s">
        <v>1724</v>
      </c>
      <c r="B461" s="431" t="s">
        <v>1997</v>
      </c>
      <c r="C461" s="430" t="s">
        <v>76</v>
      </c>
      <c r="D461" s="430" t="s">
        <v>1998</v>
      </c>
      <c r="E461" s="430">
        <v>11</v>
      </c>
      <c r="F461" s="430"/>
      <c r="G461" s="432" t="s">
        <v>158</v>
      </c>
      <c r="H461" s="433">
        <v>14.09</v>
      </c>
      <c r="I461" s="433">
        <v>0</v>
      </c>
      <c r="J461" s="446">
        <v>6.6</v>
      </c>
      <c r="K461" s="446">
        <v>92.99</v>
      </c>
    </row>
    <row r="462" customHeight="1" spans="1:11">
      <c r="A462" s="430" t="s">
        <v>1724</v>
      </c>
      <c r="B462" s="431" t="s">
        <v>1999</v>
      </c>
      <c r="C462" s="430" t="s">
        <v>76</v>
      </c>
      <c r="D462" s="430" t="s">
        <v>2000</v>
      </c>
      <c r="E462" s="430">
        <v>11</v>
      </c>
      <c r="F462" s="430"/>
      <c r="G462" s="432" t="s">
        <v>158</v>
      </c>
      <c r="H462" s="433">
        <v>14.09</v>
      </c>
      <c r="I462" s="433">
        <v>0</v>
      </c>
      <c r="J462" s="446">
        <v>4.22</v>
      </c>
      <c r="K462" s="446">
        <v>59.45</v>
      </c>
    </row>
    <row r="463" customHeight="1" spans="1:11">
      <c r="A463" s="430" t="s">
        <v>1724</v>
      </c>
      <c r="B463" s="431" t="s">
        <v>2001</v>
      </c>
      <c r="C463" s="430" t="s">
        <v>76</v>
      </c>
      <c r="D463" s="430" t="s">
        <v>2002</v>
      </c>
      <c r="E463" s="430">
        <v>19</v>
      </c>
      <c r="F463" s="430"/>
      <c r="G463" s="432" t="s">
        <v>82</v>
      </c>
      <c r="H463" s="433">
        <v>0.06</v>
      </c>
      <c r="I463" s="433">
        <v>0</v>
      </c>
      <c r="J463" s="446">
        <v>195.43</v>
      </c>
      <c r="K463" s="446">
        <v>11.72</v>
      </c>
    </row>
    <row r="464" customHeight="1" spans="1:11">
      <c r="A464" s="430" t="s">
        <v>1724</v>
      </c>
      <c r="B464" s="431" t="s">
        <v>2003</v>
      </c>
      <c r="C464" s="430" t="s">
        <v>76</v>
      </c>
      <c r="D464" s="430" t="s">
        <v>2004</v>
      </c>
      <c r="E464" s="430">
        <v>19</v>
      </c>
      <c r="F464" s="430"/>
      <c r="G464" s="432" t="s">
        <v>82</v>
      </c>
      <c r="H464" s="433">
        <v>0.05</v>
      </c>
      <c r="I464" s="433">
        <v>0</v>
      </c>
      <c r="J464" s="446">
        <v>218.26</v>
      </c>
      <c r="K464" s="446">
        <v>10.91</v>
      </c>
    </row>
    <row r="465" customHeight="1" spans="1:11">
      <c r="A465" s="430" t="s">
        <v>1724</v>
      </c>
      <c r="B465" s="431" t="s">
        <v>2005</v>
      </c>
      <c r="C465" s="430" t="s">
        <v>76</v>
      </c>
      <c r="D465" s="430" t="s">
        <v>2006</v>
      </c>
      <c r="E465" s="430">
        <v>19</v>
      </c>
      <c r="F465" s="430"/>
      <c r="G465" s="432" t="s">
        <v>82</v>
      </c>
      <c r="H465" s="433">
        <v>0.25</v>
      </c>
      <c r="I465" s="433">
        <v>0</v>
      </c>
      <c r="J465" s="446">
        <v>22.94</v>
      </c>
      <c r="K465" s="446">
        <v>5.73</v>
      </c>
    </row>
    <row r="466" customHeight="1" spans="1:11">
      <c r="A466" s="430" t="s">
        <v>1724</v>
      </c>
      <c r="B466" s="431" t="s">
        <v>2007</v>
      </c>
      <c r="C466" s="430" t="s">
        <v>76</v>
      </c>
      <c r="D466" s="430" t="s">
        <v>2008</v>
      </c>
      <c r="E466" s="430">
        <v>11</v>
      </c>
      <c r="F466" s="430"/>
      <c r="G466" s="432" t="s">
        <v>158</v>
      </c>
      <c r="H466" s="433">
        <v>2.07</v>
      </c>
      <c r="I466" s="433">
        <v>0</v>
      </c>
      <c r="J466" s="446">
        <v>5.63</v>
      </c>
      <c r="K466" s="446">
        <v>11.65</v>
      </c>
    </row>
    <row r="467" customHeight="1" spans="1:11">
      <c r="A467" s="438" t="s">
        <v>1750</v>
      </c>
      <c r="B467" s="439" t="s">
        <v>1767</v>
      </c>
      <c r="C467" s="438" t="s">
        <v>76</v>
      </c>
      <c r="D467" s="438" t="s">
        <v>1768</v>
      </c>
      <c r="E467" s="438" t="s">
        <v>1764</v>
      </c>
      <c r="F467" s="438"/>
      <c r="G467" s="440" t="s">
        <v>82</v>
      </c>
      <c r="H467" s="441">
        <v>0.42</v>
      </c>
      <c r="I467" s="441">
        <v>3</v>
      </c>
      <c r="J467" s="449">
        <v>19.16</v>
      </c>
      <c r="K467" s="449">
        <v>8.28</v>
      </c>
    </row>
    <row r="468" customHeight="1" spans="1:11">
      <c r="A468" s="438" t="s">
        <v>1750</v>
      </c>
      <c r="B468" s="439" t="s">
        <v>2009</v>
      </c>
      <c r="C468" s="438" t="s">
        <v>76</v>
      </c>
      <c r="D468" s="438" t="s">
        <v>2010</v>
      </c>
      <c r="E468" s="438" t="s">
        <v>1631</v>
      </c>
      <c r="F468" s="438"/>
      <c r="G468" s="440" t="s">
        <v>129</v>
      </c>
      <c r="H468" s="441">
        <v>0.17</v>
      </c>
      <c r="I468" s="441">
        <v>0</v>
      </c>
      <c r="J468" s="449">
        <v>570</v>
      </c>
      <c r="K468" s="449">
        <v>96.9</v>
      </c>
    </row>
    <row r="469" customHeight="1" spans="1:11">
      <c r="A469" s="438" t="s">
        <v>1750</v>
      </c>
      <c r="B469" s="439" t="s">
        <v>2011</v>
      </c>
      <c r="C469" s="438" t="s">
        <v>76</v>
      </c>
      <c r="D469" s="438" t="s">
        <v>2012</v>
      </c>
      <c r="E469" s="438" t="s">
        <v>1764</v>
      </c>
      <c r="F469" s="438"/>
      <c r="G469" s="440" t="s">
        <v>82</v>
      </c>
      <c r="H469" s="441">
        <v>0.21</v>
      </c>
      <c r="I469" s="441">
        <v>3</v>
      </c>
      <c r="J469" s="449">
        <v>28.55</v>
      </c>
      <c r="K469" s="449">
        <v>6.17</v>
      </c>
    </row>
    <row r="470" customHeight="1" spans="1:11">
      <c r="A470" s="438" t="s">
        <v>1750</v>
      </c>
      <c r="B470" s="439" t="s">
        <v>2013</v>
      </c>
      <c r="C470" s="438" t="s">
        <v>76</v>
      </c>
      <c r="D470" s="438" t="s">
        <v>2014</v>
      </c>
      <c r="E470" s="438" t="s">
        <v>1631</v>
      </c>
      <c r="F470" s="438"/>
      <c r="G470" s="440" t="s">
        <v>158</v>
      </c>
      <c r="H470" s="441">
        <v>0.06</v>
      </c>
      <c r="I470" s="441">
        <v>0</v>
      </c>
      <c r="J470" s="449">
        <v>74.85</v>
      </c>
      <c r="K470" s="449">
        <v>4.49</v>
      </c>
    </row>
    <row r="471" customHeight="1" spans="1:11">
      <c r="A471" s="434"/>
      <c r="B471" s="434"/>
      <c r="C471" s="434"/>
      <c r="D471" s="434"/>
      <c r="E471" s="434"/>
      <c r="F471" s="434" t="s">
        <v>1735</v>
      </c>
      <c r="G471" s="435">
        <v>57.11</v>
      </c>
      <c r="H471" s="434" t="s">
        <v>1736</v>
      </c>
      <c r="I471" s="435">
        <v>51.89</v>
      </c>
      <c r="J471" s="434" t="s">
        <v>1737</v>
      </c>
      <c r="K471" s="435">
        <v>109</v>
      </c>
    </row>
    <row r="472" customHeight="1" spans="1:11">
      <c r="A472" s="434"/>
      <c r="B472" s="434"/>
      <c r="C472" s="434"/>
      <c r="D472" s="434"/>
      <c r="E472" s="434"/>
      <c r="F472" s="434" t="s">
        <v>1738</v>
      </c>
      <c r="G472" s="435">
        <v>108.26</v>
      </c>
      <c r="H472" s="434"/>
      <c r="I472" s="434" t="s">
        <v>1739</v>
      </c>
      <c r="J472" s="434"/>
      <c r="K472" s="435">
        <v>547.31</v>
      </c>
    </row>
    <row r="473" customHeight="1" spans="1:11">
      <c r="A473" s="436"/>
      <c r="B473" s="436"/>
      <c r="C473" s="436"/>
      <c r="D473" s="436"/>
      <c r="E473" s="436"/>
      <c r="F473" s="436"/>
      <c r="G473" s="436"/>
      <c r="H473" s="436" t="s">
        <v>1740</v>
      </c>
      <c r="I473" s="447" t="s">
        <v>2015</v>
      </c>
      <c r="J473" s="436" t="s">
        <v>1742</v>
      </c>
      <c r="K473" s="448">
        <v>98515.8</v>
      </c>
    </row>
    <row r="474" customHeight="1" spans="1:11">
      <c r="A474" s="437"/>
      <c r="B474" s="437"/>
      <c r="C474" s="437"/>
      <c r="D474" s="437"/>
      <c r="E474" s="437"/>
      <c r="F474" s="437"/>
      <c r="G474" s="437"/>
      <c r="H474" s="437"/>
      <c r="I474" s="437"/>
      <c r="J474" s="437"/>
      <c r="K474" s="437"/>
    </row>
    <row r="475" customHeight="1" spans="1:11">
      <c r="A475" s="423" t="s">
        <v>199</v>
      </c>
      <c r="B475" s="424" t="s">
        <v>1714</v>
      </c>
      <c r="C475" s="423" t="s">
        <v>1715</v>
      </c>
      <c r="D475" s="423" t="s">
        <v>1716</v>
      </c>
      <c r="E475" s="423" t="s">
        <v>1717</v>
      </c>
      <c r="F475" s="423"/>
      <c r="G475" s="425" t="s">
        <v>1718</v>
      </c>
      <c r="H475" s="424" t="s">
        <v>1719</v>
      </c>
      <c r="I475" s="424" t="s">
        <v>1720</v>
      </c>
      <c r="J475" s="424" t="s">
        <v>1721</v>
      </c>
      <c r="K475" s="424" t="s">
        <v>1722</v>
      </c>
    </row>
    <row r="476" customHeight="1" spans="1:11">
      <c r="A476" s="426" t="s">
        <v>1723</v>
      </c>
      <c r="B476" s="427" t="s">
        <v>200</v>
      </c>
      <c r="C476" s="426" t="s">
        <v>71</v>
      </c>
      <c r="D476" s="426" t="s">
        <v>201</v>
      </c>
      <c r="E476" s="426" t="s">
        <v>1707</v>
      </c>
      <c r="F476" s="426"/>
      <c r="G476" s="428" t="s">
        <v>105</v>
      </c>
      <c r="H476" s="429">
        <v>1</v>
      </c>
      <c r="I476" s="445"/>
      <c r="J476" s="445">
        <v>39.7</v>
      </c>
      <c r="K476" s="445">
        <v>39.7</v>
      </c>
    </row>
    <row r="477" customHeight="1" spans="1:11">
      <c r="A477" s="430" t="s">
        <v>1724</v>
      </c>
      <c r="B477" s="431" t="s">
        <v>2016</v>
      </c>
      <c r="C477" s="430" t="s">
        <v>71</v>
      </c>
      <c r="D477" s="430" t="s">
        <v>2017</v>
      </c>
      <c r="E477" s="430" t="s">
        <v>1795</v>
      </c>
      <c r="F477" s="430"/>
      <c r="G477" s="432" t="s">
        <v>1804</v>
      </c>
      <c r="H477" s="433">
        <v>0.3205</v>
      </c>
      <c r="I477" s="433">
        <v>0</v>
      </c>
      <c r="J477" s="446">
        <v>37.92</v>
      </c>
      <c r="K477" s="446">
        <v>12.15</v>
      </c>
    </row>
    <row r="478" customHeight="1" spans="1:11">
      <c r="A478" s="430" t="s">
        <v>1724</v>
      </c>
      <c r="B478" s="431" t="s">
        <v>1745</v>
      </c>
      <c r="C478" s="430" t="s">
        <v>71</v>
      </c>
      <c r="D478" s="430" t="s">
        <v>1746</v>
      </c>
      <c r="E478" s="430" t="s">
        <v>1708</v>
      </c>
      <c r="F478" s="430"/>
      <c r="G478" s="432" t="s">
        <v>82</v>
      </c>
      <c r="H478" s="433">
        <v>0.5808</v>
      </c>
      <c r="I478" s="433">
        <v>0</v>
      </c>
      <c r="J478" s="446">
        <v>29.15</v>
      </c>
      <c r="K478" s="446">
        <v>16.93</v>
      </c>
    </row>
    <row r="479" customHeight="1" spans="1:11">
      <c r="A479" s="430" t="s">
        <v>1724</v>
      </c>
      <c r="B479" s="431" t="s">
        <v>2018</v>
      </c>
      <c r="C479" s="430" t="s">
        <v>71</v>
      </c>
      <c r="D479" s="430" t="s">
        <v>2019</v>
      </c>
      <c r="E479" s="430" t="s">
        <v>1795</v>
      </c>
      <c r="F479" s="430"/>
      <c r="G479" s="432" t="s">
        <v>1796</v>
      </c>
      <c r="H479" s="433">
        <v>0.2603</v>
      </c>
      <c r="I479" s="433">
        <v>0</v>
      </c>
      <c r="J479" s="446">
        <v>40.8</v>
      </c>
      <c r="K479" s="446">
        <v>10.62</v>
      </c>
    </row>
    <row r="480" customHeight="1" spans="1:11">
      <c r="A480" s="434"/>
      <c r="B480" s="434"/>
      <c r="C480" s="434"/>
      <c r="D480" s="434"/>
      <c r="E480" s="434"/>
      <c r="F480" s="434" t="s">
        <v>1735</v>
      </c>
      <c r="G480" s="435">
        <v>14.42</v>
      </c>
      <c r="H480" s="434" t="s">
        <v>1736</v>
      </c>
      <c r="I480" s="435">
        <v>13.1</v>
      </c>
      <c r="J480" s="434" t="s">
        <v>1737</v>
      </c>
      <c r="K480" s="435">
        <v>27.52</v>
      </c>
    </row>
    <row r="481" customHeight="1" spans="1:11">
      <c r="A481" s="434"/>
      <c r="B481" s="434"/>
      <c r="C481" s="434"/>
      <c r="D481" s="434"/>
      <c r="E481" s="434"/>
      <c r="F481" s="434" t="s">
        <v>1738</v>
      </c>
      <c r="G481" s="435">
        <v>9.79</v>
      </c>
      <c r="H481" s="434"/>
      <c r="I481" s="434" t="s">
        <v>1739</v>
      </c>
      <c r="J481" s="434"/>
      <c r="K481" s="435">
        <v>49.49</v>
      </c>
    </row>
    <row r="482" customHeight="1" spans="1:11">
      <c r="A482" s="436"/>
      <c r="B482" s="436"/>
      <c r="C482" s="436"/>
      <c r="D482" s="436"/>
      <c r="E482" s="436"/>
      <c r="F482" s="436"/>
      <c r="G482" s="436"/>
      <c r="H482" s="436" t="s">
        <v>1740</v>
      </c>
      <c r="I482" s="447" t="s">
        <v>2020</v>
      </c>
      <c r="J482" s="436" t="s">
        <v>1742</v>
      </c>
      <c r="K482" s="448">
        <v>593.88</v>
      </c>
    </row>
    <row r="483" customHeight="1" spans="1:11">
      <c r="A483" s="437"/>
      <c r="B483" s="437"/>
      <c r="C483" s="437"/>
      <c r="D483" s="437"/>
      <c r="E483" s="437"/>
      <c r="F483" s="437"/>
      <c r="G483" s="437"/>
      <c r="H483" s="437"/>
      <c r="I483" s="437"/>
      <c r="J483" s="437"/>
      <c r="K483" s="437"/>
    </row>
    <row r="484" customHeight="1" spans="1:11">
      <c r="A484" s="423" t="s">
        <v>202</v>
      </c>
      <c r="B484" s="424" t="s">
        <v>1714</v>
      </c>
      <c r="C484" s="423" t="s">
        <v>1715</v>
      </c>
      <c r="D484" s="423" t="s">
        <v>1716</v>
      </c>
      <c r="E484" s="423" t="s">
        <v>1717</v>
      </c>
      <c r="F484" s="423"/>
      <c r="G484" s="425" t="s">
        <v>1718</v>
      </c>
      <c r="H484" s="424" t="s">
        <v>1719</v>
      </c>
      <c r="I484" s="424" t="s">
        <v>1720</v>
      </c>
      <c r="J484" s="424" t="s">
        <v>1721</v>
      </c>
      <c r="K484" s="424" t="s">
        <v>1722</v>
      </c>
    </row>
    <row r="485" customHeight="1" spans="1:11">
      <c r="A485" s="426" t="s">
        <v>1723</v>
      </c>
      <c r="B485" s="427" t="s">
        <v>203</v>
      </c>
      <c r="C485" s="426" t="s">
        <v>65</v>
      </c>
      <c r="D485" s="426" t="s">
        <v>204</v>
      </c>
      <c r="E485" s="426" t="s">
        <v>1669</v>
      </c>
      <c r="F485" s="426"/>
      <c r="G485" s="428" t="s">
        <v>67</v>
      </c>
      <c r="H485" s="429">
        <v>1</v>
      </c>
      <c r="I485" s="445"/>
      <c r="J485" s="445">
        <v>440</v>
      </c>
      <c r="K485" s="445">
        <v>440</v>
      </c>
    </row>
    <row r="486" customHeight="1" spans="1:11">
      <c r="A486" s="438" t="s">
        <v>1750</v>
      </c>
      <c r="B486" s="439" t="s">
        <v>2021</v>
      </c>
      <c r="C486" s="438" t="s">
        <v>99</v>
      </c>
      <c r="D486" s="438" t="s">
        <v>2022</v>
      </c>
      <c r="E486" s="438" t="s">
        <v>1631</v>
      </c>
      <c r="F486" s="438"/>
      <c r="G486" s="440" t="s">
        <v>105</v>
      </c>
      <c r="H486" s="441">
        <v>1</v>
      </c>
      <c r="I486" s="441">
        <v>0</v>
      </c>
      <c r="J486" s="449">
        <v>440</v>
      </c>
      <c r="K486" s="449">
        <v>440</v>
      </c>
    </row>
    <row r="487" customHeight="1" spans="1:11">
      <c r="A487" s="434"/>
      <c r="B487" s="434"/>
      <c r="C487" s="434"/>
      <c r="D487" s="434"/>
      <c r="E487" s="434"/>
      <c r="F487" s="434" t="s">
        <v>1735</v>
      </c>
      <c r="G487" s="435">
        <v>0</v>
      </c>
      <c r="H487" s="434" t="s">
        <v>1736</v>
      </c>
      <c r="I487" s="435">
        <v>0</v>
      </c>
      <c r="J487" s="434" t="s">
        <v>1737</v>
      </c>
      <c r="K487" s="435">
        <v>0</v>
      </c>
    </row>
    <row r="488" customHeight="1" spans="1:11">
      <c r="A488" s="434"/>
      <c r="B488" s="434"/>
      <c r="C488" s="434"/>
      <c r="D488" s="434"/>
      <c r="E488" s="434"/>
      <c r="F488" s="434" t="s">
        <v>1738</v>
      </c>
      <c r="G488" s="435">
        <v>108.5</v>
      </c>
      <c r="H488" s="434"/>
      <c r="I488" s="434" t="s">
        <v>1739</v>
      </c>
      <c r="J488" s="434"/>
      <c r="K488" s="435">
        <v>548.5</v>
      </c>
    </row>
    <row r="489" customHeight="1" spans="1:11">
      <c r="A489" s="436"/>
      <c r="B489" s="436"/>
      <c r="C489" s="436"/>
      <c r="D489" s="436"/>
      <c r="E489" s="436"/>
      <c r="F489" s="436"/>
      <c r="G489" s="436"/>
      <c r="H489" s="436" t="s">
        <v>1740</v>
      </c>
      <c r="I489" s="447" t="s">
        <v>2020</v>
      </c>
      <c r="J489" s="436" t="s">
        <v>1742</v>
      </c>
      <c r="K489" s="448">
        <v>6582</v>
      </c>
    </row>
    <row r="490" customHeight="1" spans="1:11">
      <c r="A490" s="437"/>
      <c r="B490" s="437"/>
      <c r="C490" s="437"/>
      <c r="D490" s="437"/>
      <c r="E490" s="437"/>
      <c r="F490" s="437"/>
      <c r="G490" s="437"/>
      <c r="H490" s="437"/>
      <c r="I490" s="437"/>
      <c r="J490" s="437"/>
      <c r="K490" s="437"/>
    </row>
    <row r="491" customHeight="1" spans="1:11">
      <c r="A491" s="422" t="s">
        <v>205</v>
      </c>
      <c r="B491" s="422"/>
      <c r="C491" s="422"/>
      <c r="D491" s="422" t="s">
        <v>26</v>
      </c>
      <c r="E491" s="422"/>
      <c r="F491" s="422"/>
      <c r="G491" s="422"/>
      <c r="H491" s="422"/>
      <c r="I491" s="443"/>
      <c r="J491" s="422"/>
      <c r="K491" s="444">
        <v>1104984.13</v>
      </c>
    </row>
    <row r="492" customHeight="1" spans="1:11">
      <c r="A492" s="422" t="s">
        <v>206</v>
      </c>
      <c r="B492" s="422"/>
      <c r="C492" s="422"/>
      <c r="D492" s="422" t="s">
        <v>207</v>
      </c>
      <c r="E492" s="422"/>
      <c r="F492" s="422"/>
      <c r="G492" s="422"/>
      <c r="H492" s="422"/>
      <c r="I492" s="443"/>
      <c r="J492" s="422"/>
      <c r="K492" s="444">
        <v>157306.34</v>
      </c>
    </row>
    <row r="493" customHeight="1" spans="1:11">
      <c r="A493" s="423" t="s">
        <v>208</v>
      </c>
      <c r="B493" s="424" t="s">
        <v>1714</v>
      </c>
      <c r="C493" s="423" t="s">
        <v>1715</v>
      </c>
      <c r="D493" s="423" t="s">
        <v>1716</v>
      </c>
      <c r="E493" s="423" t="s">
        <v>1717</v>
      </c>
      <c r="F493" s="423"/>
      <c r="G493" s="425" t="s">
        <v>1718</v>
      </c>
      <c r="H493" s="424" t="s">
        <v>1719</v>
      </c>
      <c r="I493" s="424" t="s">
        <v>1720</v>
      </c>
      <c r="J493" s="424" t="s">
        <v>1721</v>
      </c>
      <c r="K493" s="424" t="s">
        <v>1722</v>
      </c>
    </row>
    <row r="494" customHeight="1" spans="1:11">
      <c r="A494" s="426" t="s">
        <v>1723</v>
      </c>
      <c r="B494" s="427" t="s">
        <v>209</v>
      </c>
      <c r="C494" s="426" t="s">
        <v>71</v>
      </c>
      <c r="D494" s="426" t="s">
        <v>210</v>
      </c>
      <c r="E494" s="426" t="s">
        <v>1626</v>
      </c>
      <c r="F494" s="426"/>
      <c r="G494" s="428" t="s">
        <v>73</v>
      </c>
      <c r="H494" s="429">
        <v>1</v>
      </c>
      <c r="I494" s="445"/>
      <c r="J494" s="445">
        <v>129.51</v>
      </c>
      <c r="K494" s="445">
        <v>129.51</v>
      </c>
    </row>
    <row r="495" customHeight="1" spans="1:11">
      <c r="A495" s="430" t="s">
        <v>1724</v>
      </c>
      <c r="B495" s="431" t="s">
        <v>1743</v>
      </c>
      <c r="C495" s="430" t="s">
        <v>71</v>
      </c>
      <c r="D495" s="430" t="s">
        <v>1744</v>
      </c>
      <c r="E495" s="430" t="s">
        <v>1708</v>
      </c>
      <c r="F495" s="430"/>
      <c r="G495" s="432" t="s">
        <v>82</v>
      </c>
      <c r="H495" s="433">
        <v>2.052</v>
      </c>
      <c r="I495" s="433">
        <v>0</v>
      </c>
      <c r="J495" s="446">
        <v>37.51</v>
      </c>
      <c r="K495" s="446">
        <v>76.97</v>
      </c>
    </row>
    <row r="496" customHeight="1" spans="1:11">
      <c r="A496" s="430" t="s">
        <v>1724</v>
      </c>
      <c r="B496" s="431" t="s">
        <v>1800</v>
      </c>
      <c r="C496" s="430" t="s">
        <v>71</v>
      </c>
      <c r="D496" s="430" t="s">
        <v>1801</v>
      </c>
      <c r="E496" s="430" t="s">
        <v>1708</v>
      </c>
      <c r="F496" s="430"/>
      <c r="G496" s="432" t="s">
        <v>82</v>
      </c>
      <c r="H496" s="433">
        <v>0.376</v>
      </c>
      <c r="I496" s="433">
        <v>0</v>
      </c>
      <c r="J496" s="446">
        <v>29.91</v>
      </c>
      <c r="K496" s="446">
        <v>11.24</v>
      </c>
    </row>
    <row r="497" customHeight="1" spans="1:11">
      <c r="A497" s="430" t="s">
        <v>1724</v>
      </c>
      <c r="B497" s="431" t="s">
        <v>2023</v>
      </c>
      <c r="C497" s="430" t="s">
        <v>71</v>
      </c>
      <c r="D497" s="430" t="s">
        <v>2024</v>
      </c>
      <c r="E497" s="430" t="s">
        <v>1626</v>
      </c>
      <c r="F497" s="430"/>
      <c r="G497" s="432" t="s">
        <v>73</v>
      </c>
      <c r="H497" s="433">
        <v>0.275</v>
      </c>
      <c r="I497" s="433">
        <v>0</v>
      </c>
      <c r="J497" s="446">
        <v>147.52</v>
      </c>
      <c r="K497" s="446">
        <v>40.56</v>
      </c>
    </row>
    <row r="498" customHeight="1" spans="1:11">
      <c r="A498" s="438" t="s">
        <v>1750</v>
      </c>
      <c r="B498" s="439" t="s">
        <v>1943</v>
      </c>
      <c r="C498" s="438" t="s">
        <v>71</v>
      </c>
      <c r="D498" s="438" t="s">
        <v>1944</v>
      </c>
      <c r="E498" s="438" t="s">
        <v>1631</v>
      </c>
      <c r="F498" s="438"/>
      <c r="G498" s="440" t="s">
        <v>1945</v>
      </c>
      <c r="H498" s="441">
        <v>0.017</v>
      </c>
      <c r="I498" s="441">
        <v>0</v>
      </c>
      <c r="J498" s="449">
        <v>7.97</v>
      </c>
      <c r="K498" s="449">
        <v>0.13</v>
      </c>
    </row>
    <row r="499" customHeight="1" spans="1:11">
      <c r="A499" s="438" t="s">
        <v>1750</v>
      </c>
      <c r="B499" s="439" t="s">
        <v>1948</v>
      </c>
      <c r="C499" s="438" t="s">
        <v>71</v>
      </c>
      <c r="D499" s="438" t="s">
        <v>1949</v>
      </c>
      <c r="E499" s="438" t="s">
        <v>1631</v>
      </c>
      <c r="F499" s="438"/>
      <c r="G499" s="440" t="s">
        <v>158</v>
      </c>
      <c r="H499" s="441">
        <v>0.027</v>
      </c>
      <c r="I499" s="441">
        <v>0</v>
      </c>
      <c r="J499" s="449">
        <v>22.69</v>
      </c>
      <c r="K499" s="449">
        <v>0.61</v>
      </c>
    </row>
    <row r="500" customHeight="1" spans="1:11">
      <c r="A500" s="434"/>
      <c r="B500" s="434"/>
      <c r="C500" s="434"/>
      <c r="D500" s="434"/>
      <c r="E500" s="434"/>
      <c r="F500" s="434" t="s">
        <v>1735</v>
      </c>
      <c r="G500" s="435">
        <v>37.71</v>
      </c>
      <c r="H500" s="434" t="s">
        <v>1736</v>
      </c>
      <c r="I500" s="435">
        <v>34.26</v>
      </c>
      <c r="J500" s="434" t="s">
        <v>1737</v>
      </c>
      <c r="K500" s="435">
        <v>71.97</v>
      </c>
    </row>
    <row r="501" customHeight="1" spans="1:11">
      <c r="A501" s="434"/>
      <c r="B501" s="434"/>
      <c r="C501" s="434"/>
      <c r="D501" s="434"/>
      <c r="E501" s="434"/>
      <c r="F501" s="434" t="s">
        <v>1738</v>
      </c>
      <c r="G501" s="435">
        <v>31.93</v>
      </c>
      <c r="H501" s="434"/>
      <c r="I501" s="434" t="s">
        <v>1739</v>
      </c>
      <c r="J501" s="434"/>
      <c r="K501" s="435">
        <v>161.44</v>
      </c>
    </row>
    <row r="502" customHeight="1" spans="1:11">
      <c r="A502" s="436"/>
      <c r="B502" s="436"/>
      <c r="C502" s="436"/>
      <c r="D502" s="436"/>
      <c r="E502" s="436"/>
      <c r="F502" s="436"/>
      <c r="G502" s="436"/>
      <c r="H502" s="436" t="s">
        <v>1740</v>
      </c>
      <c r="I502" s="447" t="s">
        <v>2025</v>
      </c>
      <c r="J502" s="436" t="s">
        <v>1742</v>
      </c>
      <c r="K502" s="448">
        <v>61599.04</v>
      </c>
    </row>
    <row r="503" customHeight="1" spans="1:11">
      <c r="A503" s="437"/>
      <c r="B503" s="437"/>
      <c r="C503" s="437"/>
      <c r="D503" s="437"/>
      <c r="E503" s="437"/>
      <c r="F503" s="437"/>
      <c r="G503" s="437"/>
      <c r="H503" s="437"/>
      <c r="I503" s="437"/>
      <c r="J503" s="437"/>
      <c r="K503" s="437"/>
    </row>
    <row r="504" customHeight="1" spans="1:11">
      <c r="A504" s="423" t="s">
        <v>211</v>
      </c>
      <c r="B504" s="424" t="s">
        <v>1714</v>
      </c>
      <c r="C504" s="423" t="s">
        <v>1715</v>
      </c>
      <c r="D504" s="423" t="s">
        <v>1716</v>
      </c>
      <c r="E504" s="423" t="s">
        <v>1717</v>
      </c>
      <c r="F504" s="423"/>
      <c r="G504" s="425" t="s">
        <v>1718</v>
      </c>
      <c r="H504" s="424" t="s">
        <v>1719</v>
      </c>
      <c r="I504" s="424" t="s">
        <v>1720</v>
      </c>
      <c r="J504" s="424" t="s">
        <v>1721</v>
      </c>
      <c r="K504" s="424" t="s">
        <v>1722</v>
      </c>
    </row>
    <row r="505" customHeight="1" spans="1:11">
      <c r="A505" s="426" t="s">
        <v>1723</v>
      </c>
      <c r="B505" s="427" t="s">
        <v>212</v>
      </c>
      <c r="C505" s="426" t="s">
        <v>71</v>
      </c>
      <c r="D505" s="426" t="s">
        <v>213</v>
      </c>
      <c r="E505" s="426" t="s">
        <v>1632</v>
      </c>
      <c r="F505" s="426"/>
      <c r="G505" s="428" t="s">
        <v>158</v>
      </c>
      <c r="H505" s="429">
        <v>1</v>
      </c>
      <c r="I505" s="445"/>
      <c r="J505" s="445">
        <v>16.13</v>
      </c>
      <c r="K505" s="445">
        <v>16.13</v>
      </c>
    </row>
    <row r="506" customHeight="1" spans="1:11">
      <c r="A506" s="430" t="s">
        <v>1724</v>
      </c>
      <c r="B506" s="431" t="s">
        <v>1956</v>
      </c>
      <c r="C506" s="430" t="s">
        <v>71</v>
      </c>
      <c r="D506" s="430" t="s">
        <v>1957</v>
      </c>
      <c r="E506" s="430" t="s">
        <v>1708</v>
      </c>
      <c r="F506" s="430"/>
      <c r="G506" s="432" t="s">
        <v>82</v>
      </c>
      <c r="H506" s="433">
        <v>0.0175</v>
      </c>
      <c r="I506" s="433">
        <v>0</v>
      </c>
      <c r="J506" s="446">
        <v>30.06</v>
      </c>
      <c r="K506" s="446">
        <v>0.52</v>
      </c>
    </row>
    <row r="507" customHeight="1" spans="1:11">
      <c r="A507" s="430" t="s">
        <v>1724</v>
      </c>
      <c r="B507" s="431" t="s">
        <v>1958</v>
      </c>
      <c r="C507" s="430" t="s">
        <v>71</v>
      </c>
      <c r="D507" s="430" t="s">
        <v>1959</v>
      </c>
      <c r="E507" s="430" t="s">
        <v>1708</v>
      </c>
      <c r="F507" s="430"/>
      <c r="G507" s="432" t="s">
        <v>82</v>
      </c>
      <c r="H507" s="433">
        <v>0.1069</v>
      </c>
      <c r="I507" s="433">
        <v>0</v>
      </c>
      <c r="J507" s="446">
        <v>35.95</v>
      </c>
      <c r="K507" s="446">
        <v>3.84</v>
      </c>
    </row>
    <row r="508" customHeight="1" spans="1:11">
      <c r="A508" s="430" t="s">
        <v>1724</v>
      </c>
      <c r="B508" s="431" t="s">
        <v>1954</v>
      </c>
      <c r="C508" s="430" t="s">
        <v>71</v>
      </c>
      <c r="D508" s="430" t="s">
        <v>1955</v>
      </c>
      <c r="E508" s="430" t="s">
        <v>1632</v>
      </c>
      <c r="F508" s="430"/>
      <c r="G508" s="432" t="s">
        <v>158</v>
      </c>
      <c r="H508" s="433">
        <v>1</v>
      </c>
      <c r="I508" s="433">
        <v>0</v>
      </c>
      <c r="J508" s="446">
        <v>10.96</v>
      </c>
      <c r="K508" s="446">
        <v>10.96</v>
      </c>
    </row>
    <row r="509" customHeight="1" spans="1:11">
      <c r="A509" s="438" t="s">
        <v>1750</v>
      </c>
      <c r="B509" s="439" t="s">
        <v>1962</v>
      </c>
      <c r="C509" s="438" t="s">
        <v>71</v>
      </c>
      <c r="D509" s="438" t="s">
        <v>1963</v>
      </c>
      <c r="E509" s="438" t="s">
        <v>1631</v>
      </c>
      <c r="F509" s="438"/>
      <c r="G509" s="440" t="s">
        <v>105</v>
      </c>
      <c r="H509" s="441">
        <v>1.19</v>
      </c>
      <c r="I509" s="441">
        <v>0</v>
      </c>
      <c r="J509" s="449">
        <v>0.22</v>
      </c>
      <c r="K509" s="449">
        <v>0.26</v>
      </c>
    </row>
    <row r="510" customHeight="1" spans="1:11">
      <c r="A510" s="438" t="s">
        <v>1750</v>
      </c>
      <c r="B510" s="439" t="s">
        <v>1960</v>
      </c>
      <c r="C510" s="438" t="s">
        <v>71</v>
      </c>
      <c r="D510" s="438" t="s">
        <v>1961</v>
      </c>
      <c r="E510" s="438" t="s">
        <v>1631</v>
      </c>
      <c r="F510" s="438"/>
      <c r="G510" s="440" t="s">
        <v>158</v>
      </c>
      <c r="H510" s="441">
        <v>0.025</v>
      </c>
      <c r="I510" s="441">
        <v>0</v>
      </c>
      <c r="J510" s="449">
        <v>22</v>
      </c>
      <c r="K510" s="449">
        <v>0.55</v>
      </c>
    </row>
    <row r="511" customHeight="1" spans="1:11">
      <c r="A511" s="434"/>
      <c r="B511" s="434"/>
      <c r="C511" s="434"/>
      <c r="D511" s="434"/>
      <c r="E511" s="434"/>
      <c r="F511" s="434" t="s">
        <v>1735</v>
      </c>
      <c r="G511" s="435">
        <v>2.52</v>
      </c>
      <c r="H511" s="434" t="s">
        <v>1736</v>
      </c>
      <c r="I511" s="435">
        <v>2.29</v>
      </c>
      <c r="J511" s="434" t="s">
        <v>1737</v>
      </c>
      <c r="K511" s="435">
        <v>4.81</v>
      </c>
    </row>
    <row r="512" customHeight="1" spans="1:11">
      <c r="A512" s="434"/>
      <c r="B512" s="434"/>
      <c r="C512" s="434"/>
      <c r="D512" s="434"/>
      <c r="E512" s="434"/>
      <c r="F512" s="434" t="s">
        <v>1738</v>
      </c>
      <c r="G512" s="435">
        <v>3.97</v>
      </c>
      <c r="H512" s="434"/>
      <c r="I512" s="434" t="s">
        <v>1739</v>
      </c>
      <c r="J512" s="434"/>
      <c r="K512" s="435">
        <v>20.1</v>
      </c>
    </row>
    <row r="513" customHeight="1" spans="1:11">
      <c r="A513" s="436"/>
      <c r="B513" s="436"/>
      <c r="C513" s="436"/>
      <c r="D513" s="436"/>
      <c r="E513" s="436"/>
      <c r="F513" s="436"/>
      <c r="G513" s="436"/>
      <c r="H513" s="436" t="s">
        <v>1740</v>
      </c>
      <c r="I513" s="447" t="s">
        <v>2026</v>
      </c>
      <c r="J513" s="436" t="s">
        <v>1742</v>
      </c>
      <c r="K513" s="448">
        <v>11718.3</v>
      </c>
    </row>
    <row r="514" customHeight="1" spans="1:11">
      <c r="A514" s="437"/>
      <c r="B514" s="437"/>
      <c r="C514" s="437"/>
      <c r="D514" s="437"/>
      <c r="E514" s="437"/>
      <c r="F514" s="437"/>
      <c r="G514" s="437"/>
      <c r="H514" s="437"/>
      <c r="I514" s="437"/>
      <c r="J514" s="437"/>
      <c r="K514" s="437"/>
    </row>
    <row r="515" customHeight="1" spans="1:11">
      <c r="A515" s="423" t="s">
        <v>214</v>
      </c>
      <c r="B515" s="424" t="s">
        <v>1714</v>
      </c>
      <c r="C515" s="423" t="s">
        <v>1715</v>
      </c>
      <c r="D515" s="423" t="s">
        <v>1716</v>
      </c>
      <c r="E515" s="423" t="s">
        <v>1717</v>
      </c>
      <c r="F515" s="423"/>
      <c r="G515" s="425" t="s">
        <v>1718</v>
      </c>
      <c r="H515" s="424" t="s">
        <v>1719</v>
      </c>
      <c r="I515" s="424" t="s">
        <v>1720</v>
      </c>
      <c r="J515" s="424" t="s">
        <v>1721</v>
      </c>
      <c r="K515" s="424" t="s">
        <v>1722</v>
      </c>
    </row>
    <row r="516" customHeight="1" spans="1:11">
      <c r="A516" s="426" t="s">
        <v>1723</v>
      </c>
      <c r="B516" s="427" t="s">
        <v>215</v>
      </c>
      <c r="C516" s="426" t="s">
        <v>71</v>
      </c>
      <c r="D516" s="426" t="s">
        <v>216</v>
      </c>
      <c r="E516" s="426" t="s">
        <v>1632</v>
      </c>
      <c r="F516" s="426"/>
      <c r="G516" s="428" t="s">
        <v>158</v>
      </c>
      <c r="H516" s="429">
        <v>1</v>
      </c>
      <c r="I516" s="445"/>
      <c r="J516" s="445">
        <v>14.82</v>
      </c>
      <c r="K516" s="445">
        <v>14.82</v>
      </c>
    </row>
    <row r="517" customHeight="1" spans="1:11">
      <c r="A517" s="430" t="s">
        <v>1724</v>
      </c>
      <c r="B517" s="431" t="s">
        <v>1956</v>
      </c>
      <c r="C517" s="430" t="s">
        <v>71</v>
      </c>
      <c r="D517" s="430" t="s">
        <v>1957</v>
      </c>
      <c r="E517" s="430" t="s">
        <v>1708</v>
      </c>
      <c r="F517" s="430"/>
      <c r="G517" s="432" t="s">
        <v>82</v>
      </c>
      <c r="H517" s="433">
        <v>0.0129</v>
      </c>
      <c r="I517" s="433">
        <v>0</v>
      </c>
      <c r="J517" s="446">
        <v>30.06</v>
      </c>
      <c r="K517" s="446">
        <v>0.38</v>
      </c>
    </row>
    <row r="518" customHeight="1" spans="1:11">
      <c r="A518" s="430" t="s">
        <v>1724</v>
      </c>
      <c r="B518" s="431" t="s">
        <v>2027</v>
      </c>
      <c r="C518" s="430" t="s">
        <v>71</v>
      </c>
      <c r="D518" s="430" t="s">
        <v>2028</v>
      </c>
      <c r="E518" s="430" t="s">
        <v>1632</v>
      </c>
      <c r="F518" s="430"/>
      <c r="G518" s="432" t="s">
        <v>158</v>
      </c>
      <c r="H518" s="433">
        <v>1</v>
      </c>
      <c r="I518" s="433">
        <v>0</v>
      </c>
      <c r="J518" s="446">
        <v>10.84</v>
      </c>
      <c r="K518" s="446">
        <v>10.84</v>
      </c>
    </row>
    <row r="519" customHeight="1" spans="1:11">
      <c r="A519" s="430" t="s">
        <v>1724</v>
      </c>
      <c r="B519" s="431" t="s">
        <v>1958</v>
      </c>
      <c r="C519" s="430" t="s">
        <v>71</v>
      </c>
      <c r="D519" s="430" t="s">
        <v>1959</v>
      </c>
      <c r="E519" s="430" t="s">
        <v>1708</v>
      </c>
      <c r="F519" s="430"/>
      <c r="G519" s="432" t="s">
        <v>82</v>
      </c>
      <c r="H519" s="433">
        <v>0.079</v>
      </c>
      <c r="I519" s="433">
        <v>0</v>
      </c>
      <c r="J519" s="446">
        <v>35.95</v>
      </c>
      <c r="K519" s="446">
        <v>2.84</v>
      </c>
    </row>
    <row r="520" customHeight="1" spans="1:11">
      <c r="A520" s="438" t="s">
        <v>1750</v>
      </c>
      <c r="B520" s="439" t="s">
        <v>1962</v>
      </c>
      <c r="C520" s="438" t="s">
        <v>71</v>
      </c>
      <c r="D520" s="438" t="s">
        <v>1963</v>
      </c>
      <c r="E520" s="438" t="s">
        <v>1631</v>
      </c>
      <c r="F520" s="438"/>
      <c r="G520" s="440" t="s">
        <v>105</v>
      </c>
      <c r="H520" s="441">
        <v>0.97</v>
      </c>
      <c r="I520" s="441">
        <v>0</v>
      </c>
      <c r="J520" s="449">
        <v>0.22</v>
      </c>
      <c r="K520" s="449">
        <v>0.21</v>
      </c>
    </row>
    <row r="521" customHeight="1" spans="1:11">
      <c r="A521" s="438" t="s">
        <v>1750</v>
      </c>
      <c r="B521" s="439" t="s">
        <v>1960</v>
      </c>
      <c r="C521" s="438" t="s">
        <v>71</v>
      </c>
      <c r="D521" s="438" t="s">
        <v>1961</v>
      </c>
      <c r="E521" s="438" t="s">
        <v>1631</v>
      </c>
      <c r="F521" s="438"/>
      <c r="G521" s="440" t="s">
        <v>158</v>
      </c>
      <c r="H521" s="441">
        <v>0.025</v>
      </c>
      <c r="I521" s="441">
        <v>0</v>
      </c>
      <c r="J521" s="449">
        <v>22</v>
      </c>
      <c r="K521" s="449">
        <v>0.55</v>
      </c>
    </row>
    <row r="522" customHeight="1" spans="1:11">
      <c r="A522" s="434"/>
      <c r="B522" s="434"/>
      <c r="C522" s="434"/>
      <c r="D522" s="434"/>
      <c r="E522" s="434"/>
      <c r="F522" s="434" t="s">
        <v>1735</v>
      </c>
      <c r="G522" s="435">
        <v>1.67</v>
      </c>
      <c r="H522" s="434" t="s">
        <v>1736</v>
      </c>
      <c r="I522" s="435">
        <v>1.52</v>
      </c>
      <c r="J522" s="434" t="s">
        <v>1737</v>
      </c>
      <c r="K522" s="435">
        <v>3.19</v>
      </c>
    </row>
    <row r="523" customHeight="1" spans="1:11">
      <c r="A523" s="434"/>
      <c r="B523" s="434"/>
      <c r="C523" s="434"/>
      <c r="D523" s="434"/>
      <c r="E523" s="434"/>
      <c r="F523" s="434" t="s">
        <v>1738</v>
      </c>
      <c r="G523" s="435">
        <v>3.65</v>
      </c>
      <c r="H523" s="434"/>
      <c r="I523" s="434" t="s">
        <v>1739</v>
      </c>
      <c r="J523" s="434"/>
      <c r="K523" s="435">
        <v>18.47</v>
      </c>
    </row>
    <row r="524" customHeight="1" spans="1:11">
      <c r="A524" s="436"/>
      <c r="B524" s="436"/>
      <c r="C524" s="436"/>
      <c r="D524" s="436"/>
      <c r="E524" s="436"/>
      <c r="F524" s="436"/>
      <c r="G524" s="436"/>
      <c r="H524" s="436" t="s">
        <v>1740</v>
      </c>
      <c r="I524" s="447" t="s">
        <v>2029</v>
      </c>
      <c r="J524" s="436" t="s">
        <v>1742</v>
      </c>
      <c r="K524" s="448">
        <v>5928.87</v>
      </c>
    </row>
    <row r="525" customHeight="1" spans="1:11">
      <c r="A525" s="437"/>
      <c r="B525" s="437"/>
      <c r="C525" s="437"/>
      <c r="D525" s="437"/>
      <c r="E525" s="437"/>
      <c r="F525" s="437"/>
      <c r="G525" s="437"/>
      <c r="H525" s="437"/>
      <c r="I525" s="437"/>
      <c r="J525" s="437"/>
      <c r="K525" s="437"/>
    </row>
    <row r="526" customHeight="1" spans="1:11">
      <c r="A526" s="423" t="s">
        <v>217</v>
      </c>
      <c r="B526" s="424" t="s">
        <v>1714</v>
      </c>
      <c r="C526" s="423" t="s">
        <v>1715</v>
      </c>
      <c r="D526" s="423" t="s">
        <v>1716</v>
      </c>
      <c r="E526" s="423" t="s">
        <v>1717</v>
      </c>
      <c r="F526" s="423"/>
      <c r="G526" s="425" t="s">
        <v>1718</v>
      </c>
      <c r="H526" s="424" t="s">
        <v>1719</v>
      </c>
      <c r="I526" s="424" t="s">
        <v>1720</v>
      </c>
      <c r="J526" s="424" t="s">
        <v>1721</v>
      </c>
      <c r="K526" s="424" t="s">
        <v>1722</v>
      </c>
    </row>
    <row r="527" customHeight="1" spans="1:11">
      <c r="A527" s="426" t="s">
        <v>1723</v>
      </c>
      <c r="B527" s="427" t="s">
        <v>218</v>
      </c>
      <c r="C527" s="426" t="s">
        <v>71</v>
      </c>
      <c r="D527" s="426" t="s">
        <v>219</v>
      </c>
      <c r="E527" s="426" t="s">
        <v>1632</v>
      </c>
      <c r="F527" s="426"/>
      <c r="G527" s="428" t="s">
        <v>158</v>
      </c>
      <c r="H527" s="429">
        <v>1</v>
      </c>
      <c r="I527" s="445"/>
      <c r="J527" s="445">
        <v>13.64</v>
      </c>
      <c r="K527" s="445">
        <v>13.64</v>
      </c>
    </row>
    <row r="528" customHeight="1" spans="1:11">
      <c r="A528" s="430" t="s">
        <v>1724</v>
      </c>
      <c r="B528" s="431" t="s">
        <v>1958</v>
      </c>
      <c r="C528" s="430" t="s">
        <v>71</v>
      </c>
      <c r="D528" s="430" t="s">
        <v>1959</v>
      </c>
      <c r="E528" s="430" t="s">
        <v>1708</v>
      </c>
      <c r="F528" s="430"/>
      <c r="G528" s="432" t="s">
        <v>82</v>
      </c>
      <c r="H528" s="433">
        <v>0.0561</v>
      </c>
      <c r="I528" s="433">
        <v>0</v>
      </c>
      <c r="J528" s="446">
        <v>35.95</v>
      </c>
      <c r="K528" s="446">
        <v>2.01</v>
      </c>
    </row>
    <row r="529" customHeight="1" spans="1:11">
      <c r="A529" s="430" t="s">
        <v>1724</v>
      </c>
      <c r="B529" s="431" t="s">
        <v>1969</v>
      </c>
      <c r="C529" s="430" t="s">
        <v>71</v>
      </c>
      <c r="D529" s="430" t="s">
        <v>1970</v>
      </c>
      <c r="E529" s="430" t="s">
        <v>1632</v>
      </c>
      <c r="F529" s="430"/>
      <c r="G529" s="432" t="s">
        <v>158</v>
      </c>
      <c r="H529" s="433">
        <v>1</v>
      </c>
      <c r="I529" s="433">
        <v>0</v>
      </c>
      <c r="J529" s="446">
        <v>10.65</v>
      </c>
      <c r="K529" s="446">
        <v>10.65</v>
      </c>
    </row>
    <row r="530" customHeight="1" spans="1:11">
      <c r="A530" s="430" t="s">
        <v>1724</v>
      </c>
      <c r="B530" s="431" t="s">
        <v>1956</v>
      </c>
      <c r="C530" s="430" t="s">
        <v>71</v>
      </c>
      <c r="D530" s="430" t="s">
        <v>1957</v>
      </c>
      <c r="E530" s="430" t="s">
        <v>1708</v>
      </c>
      <c r="F530" s="430"/>
      <c r="G530" s="432" t="s">
        <v>82</v>
      </c>
      <c r="H530" s="433">
        <v>0.0092</v>
      </c>
      <c r="I530" s="433">
        <v>0</v>
      </c>
      <c r="J530" s="446">
        <v>30.06</v>
      </c>
      <c r="K530" s="446">
        <v>0.27</v>
      </c>
    </row>
    <row r="531" customHeight="1" spans="1:11">
      <c r="A531" s="438" t="s">
        <v>1750</v>
      </c>
      <c r="B531" s="439" t="s">
        <v>1962</v>
      </c>
      <c r="C531" s="438" t="s">
        <v>71</v>
      </c>
      <c r="D531" s="438" t="s">
        <v>1963</v>
      </c>
      <c r="E531" s="438" t="s">
        <v>1631</v>
      </c>
      <c r="F531" s="438"/>
      <c r="G531" s="440" t="s">
        <v>105</v>
      </c>
      <c r="H531" s="441">
        <v>0.743</v>
      </c>
      <c r="I531" s="441">
        <v>0</v>
      </c>
      <c r="J531" s="449">
        <v>0.22</v>
      </c>
      <c r="K531" s="449">
        <v>0.16</v>
      </c>
    </row>
    <row r="532" customHeight="1" spans="1:11">
      <c r="A532" s="438" t="s">
        <v>1750</v>
      </c>
      <c r="B532" s="439" t="s">
        <v>1960</v>
      </c>
      <c r="C532" s="438" t="s">
        <v>71</v>
      </c>
      <c r="D532" s="438" t="s">
        <v>1961</v>
      </c>
      <c r="E532" s="438" t="s">
        <v>1631</v>
      </c>
      <c r="F532" s="438"/>
      <c r="G532" s="440" t="s">
        <v>158</v>
      </c>
      <c r="H532" s="441">
        <v>0.025</v>
      </c>
      <c r="I532" s="441">
        <v>0</v>
      </c>
      <c r="J532" s="449">
        <v>22</v>
      </c>
      <c r="K532" s="449">
        <v>0.55</v>
      </c>
    </row>
    <row r="533" customHeight="1" spans="1:11">
      <c r="A533" s="434"/>
      <c r="B533" s="434"/>
      <c r="C533" s="434"/>
      <c r="D533" s="434"/>
      <c r="E533" s="434"/>
      <c r="F533" s="434" t="s">
        <v>1735</v>
      </c>
      <c r="G533" s="435">
        <v>1.1</v>
      </c>
      <c r="H533" s="434" t="s">
        <v>1736</v>
      </c>
      <c r="I533" s="435">
        <v>1</v>
      </c>
      <c r="J533" s="434" t="s">
        <v>1737</v>
      </c>
      <c r="K533" s="435">
        <v>2.1</v>
      </c>
    </row>
    <row r="534" customHeight="1" spans="1:11">
      <c r="A534" s="434"/>
      <c r="B534" s="434"/>
      <c r="C534" s="434"/>
      <c r="D534" s="434"/>
      <c r="E534" s="434"/>
      <c r="F534" s="434" t="s">
        <v>1738</v>
      </c>
      <c r="G534" s="435">
        <v>3.36</v>
      </c>
      <c r="H534" s="434"/>
      <c r="I534" s="434" t="s">
        <v>1739</v>
      </c>
      <c r="J534" s="434"/>
      <c r="K534" s="435">
        <v>17</v>
      </c>
    </row>
    <row r="535" customHeight="1" spans="1:11">
      <c r="A535" s="436"/>
      <c r="B535" s="436"/>
      <c r="C535" s="436"/>
      <c r="D535" s="436"/>
      <c r="E535" s="436"/>
      <c r="F535" s="436"/>
      <c r="G535" s="436"/>
      <c r="H535" s="436" t="s">
        <v>1740</v>
      </c>
      <c r="I535" s="447" t="s">
        <v>2030</v>
      </c>
      <c r="J535" s="436" t="s">
        <v>1742</v>
      </c>
      <c r="K535" s="448">
        <v>663</v>
      </c>
    </row>
    <row r="536" customHeight="1" spans="1:11">
      <c r="A536" s="437"/>
      <c r="B536" s="437"/>
      <c r="C536" s="437"/>
      <c r="D536" s="437"/>
      <c r="E536" s="437"/>
      <c r="F536" s="437"/>
      <c r="G536" s="437"/>
      <c r="H536" s="437"/>
      <c r="I536" s="437"/>
      <c r="J536" s="437"/>
      <c r="K536" s="437"/>
    </row>
    <row r="537" customHeight="1" spans="1:11">
      <c r="A537" s="423" t="s">
        <v>220</v>
      </c>
      <c r="B537" s="424" t="s">
        <v>1714</v>
      </c>
      <c r="C537" s="423" t="s">
        <v>1715</v>
      </c>
      <c r="D537" s="423" t="s">
        <v>1716</v>
      </c>
      <c r="E537" s="423" t="s">
        <v>1717</v>
      </c>
      <c r="F537" s="423"/>
      <c r="G537" s="425" t="s">
        <v>1718</v>
      </c>
      <c r="H537" s="424" t="s">
        <v>1719</v>
      </c>
      <c r="I537" s="424" t="s">
        <v>1720</v>
      </c>
      <c r="J537" s="424" t="s">
        <v>1721</v>
      </c>
      <c r="K537" s="424" t="s">
        <v>1722</v>
      </c>
    </row>
    <row r="538" customHeight="1" spans="1:11">
      <c r="A538" s="426" t="s">
        <v>1723</v>
      </c>
      <c r="B538" s="427" t="s">
        <v>221</v>
      </c>
      <c r="C538" s="426" t="s">
        <v>71</v>
      </c>
      <c r="D538" s="426" t="s">
        <v>222</v>
      </c>
      <c r="E538" s="426" t="s">
        <v>1632</v>
      </c>
      <c r="F538" s="426"/>
      <c r="G538" s="428" t="s">
        <v>158</v>
      </c>
      <c r="H538" s="429">
        <v>1</v>
      </c>
      <c r="I538" s="445"/>
      <c r="J538" s="445">
        <v>12.03</v>
      </c>
      <c r="K538" s="445">
        <v>12.03</v>
      </c>
    </row>
    <row r="539" customHeight="1" spans="1:11">
      <c r="A539" s="430" t="s">
        <v>1724</v>
      </c>
      <c r="B539" s="431" t="s">
        <v>1958</v>
      </c>
      <c r="C539" s="430" t="s">
        <v>71</v>
      </c>
      <c r="D539" s="430" t="s">
        <v>1959</v>
      </c>
      <c r="E539" s="430" t="s">
        <v>1708</v>
      </c>
      <c r="F539" s="430"/>
      <c r="G539" s="432" t="s">
        <v>82</v>
      </c>
      <c r="H539" s="433">
        <v>0.0392</v>
      </c>
      <c r="I539" s="433">
        <v>0</v>
      </c>
      <c r="J539" s="446">
        <v>35.95</v>
      </c>
      <c r="K539" s="446">
        <v>1.4</v>
      </c>
    </row>
    <row r="540" customHeight="1" spans="1:11">
      <c r="A540" s="430" t="s">
        <v>1724</v>
      </c>
      <c r="B540" s="431" t="s">
        <v>1956</v>
      </c>
      <c r="C540" s="430" t="s">
        <v>71</v>
      </c>
      <c r="D540" s="430" t="s">
        <v>1957</v>
      </c>
      <c r="E540" s="430" t="s">
        <v>1708</v>
      </c>
      <c r="F540" s="430"/>
      <c r="G540" s="432" t="s">
        <v>82</v>
      </c>
      <c r="H540" s="433">
        <v>0.0064</v>
      </c>
      <c r="I540" s="433">
        <v>0</v>
      </c>
      <c r="J540" s="446">
        <v>30.06</v>
      </c>
      <c r="K540" s="446">
        <v>0.19</v>
      </c>
    </row>
    <row r="541" customHeight="1" spans="1:11">
      <c r="A541" s="430" t="s">
        <v>1724</v>
      </c>
      <c r="B541" s="431" t="s">
        <v>1965</v>
      </c>
      <c r="C541" s="430" t="s">
        <v>71</v>
      </c>
      <c r="D541" s="430" t="s">
        <v>1966</v>
      </c>
      <c r="E541" s="430" t="s">
        <v>1632</v>
      </c>
      <c r="F541" s="430"/>
      <c r="G541" s="432" t="s">
        <v>158</v>
      </c>
      <c r="H541" s="433">
        <v>1</v>
      </c>
      <c r="I541" s="433">
        <v>0</v>
      </c>
      <c r="J541" s="446">
        <v>9.78</v>
      </c>
      <c r="K541" s="446">
        <v>9.78</v>
      </c>
    </row>
    <row r="542" customHeight="1" spans="1:11">
      <c r="A542" s="438" t="s">
        <v>1750</v>
      </c>
      <c r="B542" s="439" t="s">
        <v>1960</v>
      </c>
      <c r="C542" s="438" t="s">
        <v>71</v>
      </c>
      <c r="D542" s="438" t="s">
        <v>1961</v>
      </c>
      <c r="E542" s="438" t="s">
        <v>1631</v>
      </c>
      <c r="F542" s="438"/>
      <c r="G542" s="440" t="s">
        <v>158</v>
      </c>
      <c r="H542" s="441">
        <v>0.025</v>
      </c>
      <c r="I542" s="441">
        <v>0</v>
      </c>
      <c r="J542" s="449">
        <v>22</v>
      </c>
      <c r="K542" s="449">
        <v>0.55</v>
      </c>
    </row>
    <row r="543" customHeight="1" spans="1:11">
      <c r="A543" s="438" t="s">
        <v>1750</v>
      </c>
      <c r="B543" s="439" t="s">
        <v>1962</v>
      </c>
      <c r="C543" s="438" t="s">
        <v>71</v>
      </c>
      <c r="D543" s="438" t="s">
        <v>1963</v>
      </c>
      <c r="E543" s="438" t="s">
        <v>1631</v>
      </c>
      <c r="F543" s="438"/>
      <c r="G543" s="440" t="s">
        <v>105</v>
      </c>
      <c r="H543" s="441">
        <v>0.543</v>
      </c>
      <c r="I543" s="441">
        <v>0</v>
      </c>
      <c r="J543" s="449">
        <v>0.22</v>
      </c>
      <c r="K543" s="449">
        <v>0.11</v>
      </c>
    </row>
    <row r="544" customHeight="1" spans="1:11">
      <c r="A544" s="434"/>
      <c r="B544" s="434"/>
      <c r="C544" s="434"/>
      <c r="D544" s="434"/>
      <c r="E544" s="434"/>
      <c r="F544" s="434" t="s">
        <v>1735</v>
      </c>
      <c r="G544" s="435">
        <v>0.71</v>
      </c>
      <c r="H544" s="434" t="s">
        <v>1736</v>
      </c>
      <c r="I544" s="435">
        <v>0.66</v>
      </c>
      <c r="J544" s="434" t="s">
        <v>1737</v>
      </c>
      <c r="K544" s="435">
        <v>1.37</v>
      </c>
    </row>
    <row r="545" customHeight="1" spans="1:11">
      <c r="A545" s="434"/>
      <c r="B545" s="434"/>
      <c r="C545" s="434"/>
      <c r="D545" s="434"/>
      <c r="E545" s="434"/>
      <c r="F545" s="434" t="s">
        <v>1738</v>
      </c>
      <c r="G545" s="435">
        <v>2.96</v>
      </c>
      <c r="H545" s="434"/>
      <c r="I545" s="434" t="s">
        <v>1739</v>
      </c>
      <c r="J545" s="434"/>
      <c r="K545" s="435">
        <v>14.99</v>
      </c>
    </row>
    <row r="546" customHeight="1" spans="1:11">
      <c r="A546" s="436"/>
      <c r="B546" s="436"/>
      <c r="C546" s="436"/>
      <c r="D546" s="436"/>
      <c r="E546" s="436"/>
      <c r="F546" s="436"/>
      <c r="G546" s="436"/>
      <c r="H546" s="436" t="s">
        <v>1740</v>
      </c>
      <c r="I546" s="447" t="s">
        <v>2031</v>
      </c>
      <c r="J546" s="436" t="s">
        <v>1742</v>
      </c>
      <c r="K546" s="448">
        <v>11197.53</v>
      </c>
    </row>
    <row r="547" customHeight="1" spans="1:11">
      <c r="A547" s="437"/>
      <c r="B547" s="437"/>
      <c r="C547" s="437"/>
      <c r="D547" s="437"/>
      <c r="E547" s="437"/>
      <c r="F547" s="437"/>
      <c r="G547" s="437"/>
      <c r="H547" s="437"/>
      <c r="I547" s="437"/>
      <c r="J547" s="437"/>
      <c r="K547" s="437"/>
    </row>
    <row r="548" customHeight="1" spans="1:11">
      <c r="A548" s="423" t="s">
        <v>223</v>
      </c>
      <c r="B548" s="424" t="s">
        <v>1714</v>
      </c>
      <c r="C548" s="423" t="s">
        <v>1715</v>
      </c>
      <c r="D548" s="423" t="s">
        <v>1716</v>
      </c>
      <c r="E548" s="423" t="s">
        <v>1717</v>
      </c>
      <c r="F548" s="423"/>
      <c r="G548" s="425" t="s">
        <v>1718</v>
      </c>
      <c r="H548" s="424" t="s">
        <v>1719</v>
      </c>
      <c r="I548" s="424" t="s">
        <v>1720</v>
      </c>
      <c r="J548" s="424" t="s">
        <v>1721</v>
      </c>
      <c r="K548" s="424" t="s">
        <v>1722</v>
      </c>
    </row>
    <row r="549" customHeight="1" spans="1:11">
      <c r="A549" s="426" t="s">
        <v>1723</v>
      </c>
      <c r="B549" s="427" t="s">
        <v>224</v>
      </c>
      <c r="C549" s="426" t="s">
        <v>71</v>
      </c>
      <c r="D549" s="426" t="s">
        <v>225</v>
      </c>
      <c r="E549" s="426" t="s">
        <v>1632</v>
      </c>
      <c r="F549" s="426"/>
      <c r="G549" s="428" t="s">
        <v>158</v>
      </c>
      <c r="H549" s="429">
        <v>1</v>
      </c>
      <c r="I549" s="445"/>
      <c r="J549" s="445">
        <v>10.02</v>
      </c>
      <c r="K549" s="445">
        <v>10.02</v>
      </c>
    </row>
    <row r="550" customHeight="1" spans="1:11">
      <c r="A550" s="430" t="s">
        <v>1724</v>
      </c>
      <c r="B550" s="431" t="s">
        <v>1956</v>
      </c>
      <c r="C550" s="430" t="s">
        <v>71</v>
      </c>
      <c r="D550" s="430" t="s">
        <v>1957</v>
      </c>
      <c r="E550" s="430" t="s">
        <v>1708</v>
      </c>
      <c r="F550" s="430"/>
      <c r="G550" s="432" t="s">
        <v>82</v>
      </c>
      <c r="H550" s="433">
        <v>0.0042</v>
      </c>
      <c r="I550" s="433">
        <v>0</v>
      </c>
      <c r="J550" s="446">
        <v>30.06</v>
      </c>
      <c r="K550" s="446">
        <v>0.12</v>
      </c>
    </row>
    <row r="551" customHeight="1" spans="1:11">
      <c r="A551" s="430" t="s">
        <v>1724</v>
      </c>
      <c r="B551" s="431" t="s">
        <v>1973</v>
      </c>
      <c r="C551" s="430" t="s">
        <v>71</v>
      </c>
      <c r="D551" s="430" t="s">
        <v>1974</v>
      </c>
      <c r="E551" s="430" t="s">
        <v>1632</v>
      </c>
      <c r="F551" s="430"/>
      <c r="G551" s="432" t="s">
        <v>158</v>
      </c>
      <c r="H551" s="433">
        <v>1</v>
      </c>
      <c r="I551" s="433">
        <v>0</v>
      </c>
      <c r="J551" s="446">
        <v>8.35</v>
      </c>
      <c r="K551" s="446">
        <v>8.35</v>
      </c>
    </row>
    <row r="552" customHeight="1" spans="1:11">
      <c r="A552" s="430" t="s">
        <v>1724</v>
      </c>
      <c r="B552" s="431" t="s">
        <v>1958</v>
      </c>
      <c r="C552" s="430" t="s">
        <v>71</v>
      </c>
      <c r="D552" s="430" t="s">
        <v>1959</v>
      </c>
      <c r="E552" s="430" t="s">
        <v>1708</v>
      </c>
      <c r="F552" s="430"/>
      <c r="G552" s="432" t="s">
        <v>82</v>
      </c>
      <c r="H552" s="433">
        <v>0.0257</v>
      </c>
      <c r="I552" s="433">
        <v>0</v>
      </c>
      <c r="J552" s="446">
        <v>35.95</v>
      </c>
      <c r="K552" s="446">
        <v>0.92</v>
      </c>
    </row>
    <row r="553" customHeight="1" spans="1:11">
      <c r="A553" s="438" t="s">
        <v>1750</v>
      </c>
      <c r="B553" s="439" t="s">
        <v>1962</v>
      </c>
      <c r="C553" s="438" t="s">
        <v>71</v>
      </c>
      <c r="D553" s="438" t="s">
        <v>1963</v>
      </c>
      <c r="E553" s="438" t="s">
        <v>1631</v>
      </c>
      <c r="F553" s="438"/>
      <c r="G553" s="440" t="s">
        <v>105</v>
      </c>
      <c r="H553" s="441">
        <v>0.367</v>
      </c>
      <c r="I553" s="441">
        <v>0</v>
      </c>
      <c r="J553" s="449">
        <v>0.22</v>
      </c>
      <c r="K553" s="449">
        <v>0.08</v>
      </c>
    </row>
    <row r="554" customHeight="1" spans="1:11">
      <c r="A554" s="438" t="s">
        <v>1750</v>
      </c>
      <c r="B554" s="439" t="s">
        <v>1960</v>
      </c>
      <c r="C554" s="438" t="s">
        <v>71</v>
      </c>
      <c r="D554" s="438" t="s">
        <v>1961</v>
      </c>
      <c r="E554" s="438" t="s">
        <v>1631</v>
      </c>
      <c r="F554" s="438"/>
      <c r="G554" s="440" t="s">
        <v>158</v>
      </c>
      <c r="H554" s="441">
        <v>0.025</v>
      </c>
      <c r="I554" s="441">
        <v>0</v>
      </c>
      <c r="J554" s="449">
        <v>22</v>
      </c>
      <c r="K554" s="449">
        <v>0.55</v>
      </c>
    </row>
    <row r="555" customHeight="1" spans="1:11">
      <c r="A555" s="434"/>
      <c r="B555" s="434"/>
      <c r="C555" s="434"/>
      <c r="D555" s="434"/>
      <c r="E555" s="434"/>
      <c r="F555" s="434" t="s">
        <v>1735</v>
      </c>
      <c r="G555" s="435">
        <v>0.45</v>
      </c>
      <c r="H555" s="434" t="s">
        <v>1736</v>
      </c>
      <c r="I555" s="435">
        <v>0.42</v>
      </c>
      <c r="J555" s="434" t="s">
        <v>1737</v>
      </c>
      <c r="K555" s="435">
        <v>0.87</v>
      </c>
    </row>
    <row r="556" customHeight="1" spans="1:11">
      <c r="A556" s="434"/>
      <c r="B556" s="434"/>
      <c r="C556" s="434"/>
      <c r="D556" s="434"/>
      <c r="E556" s="434"/>
      <c r="F556" s="434" t="s">
        <v>1738</v>
      </c>
      <c r="G556" s="435">
        <v>2.47</v>
      </c>
      <c r="H556" s="434"/>
      <c r="I556" s="434" t="s">
        <v>1739</v>
      </c>
      <c r="J556" s="434"/>
      <c r="K556" s="435">
        <v>12.49</v>
      </c>
    </row>
    <row r="557" customHeight="1" spans="1:11">
      <c r="A557" s="436"/>
      <c r="B557" s="436"/>
      <c r="C557" s="436"/>
      <c r="D557" s="436"/>
      <c r="E557" s="436"/>
      <c r="F557" s="436"/>
      <c r="G557" s="436"/>
      <c r="H557" s="436" t="s">
        <v>1740</v>
      </c>
      <c r="I557" s="447" t="s">
        <v>2032</v>
      </c>
      <c r="J557" s="436" t="s">
        <v>1742</v>
      </c>
      <c r="K557" s="448">
        <v>24728.95</v>
      </c>
    </row>
    <row r="558" customHeight="1" spans="1:11">
      <c r="A558" s="437"/>
      <c r="B558" s="437"/>
      <c r="C558" s="437"/>
      <c r="D558" s="437"/>
      <c r="E558" s="437"/>
      <c r="F558" s="437"/>
      <c r="G558" s="437"/>
      <c r="H558" s="437"/>
      <c r="I558" s="437"/>
      <c r="J558" s="437"/>
      <c r="K558" s="437"/>
    </row>
    <row r="559" customHeight="1" spans="1:11">
      <c r="A559" s="423" t="s">
        <v>226</v>
      </c>
      <c r="B559" s="424" t="s">
        <v>1714</v>
      </c>
      <c r="C559" s="423" t="s">
        <v>1715</v>
      </c>
      <c r="D559" s="423" t="s">
        <v>1716</v>
      </c>
      <c r="E559" s="423" t="s">
        <v>1717</v>
      </c>
      <c r="F559" s="423"/>
      <c r="G559" s="425" t="s">
        <v>1718</v>
      </c>
      <c r="H559" s="424" t="s">
        <v>1719</v>
      </c>
      <c r="I559" s="424" t="s">
        <v>1720</v>
      </c>
      <c r="J559" s="424" t="s">
        <v>1721</v>
      </c>
      <c r="K559" s="424" t="s">
        <v>1722</v>
      </c>
    </row>
    <row r="560" customHeight="1" spans="1:11">
      <c r="A560" s="426" t="s">
        <v>1723</v>
      </c>
      <c r="B560" s="427" t="s">
        <v>227</v>
      </c>
      <c r="C560" s="426" t="s">
        <v>71</v>
      </c>
      <c r="D560" s="426" t="s">
        <v>228</v>
      </c>
      <c r="E560" s="426" t="s">
        <v>1632</v>
      </c>
      <c r="F560" s="426"/>
      <c r="G560" s="428" t="s">
        <v>158</v>
      </c>
      <c r="H560" s="429">
        <v>1</v>
      </c>
      <c r="I560" s="445"/>
      <c r="J560" s="445">
        <v>9.61</v>
      </c>
      <c r="K560" s="445">
        <v>9.61</v>
      </c>
    </row>
    <row r="561" customHeight="1" spans="1:11">
      <c r="A561" s="430" t="s">
        <v>1724</v>
      </c>
      <c r="B561" s="431" t="s">
        <v>1956</v>
      </c>
      <c r="C561" s="430" t="s">
        <v>71</v>
      </c>
      <c r="D561" s="430" t="s">
        <v>1957</v>
      </c>
      <c r="E561" s="430" t="s">
        <v>1708</v>
      </c>
      <c r="F561" s="430"/>
      <c r="G561" s="432" t="s">
        <v>82</v>
      </c>
      <c r="H561" s="433">
        <v>0.0032</v>
      </c>
      <c r="I561" s="433">
        <v>0</v>
      </c>
      <c r="J561" s="446">
        <v>30.06</v>
      </c>
      <c r="K561" s="446">
        <v>0.09</v>
      </c>
    </row>
    <row r="562" customHeight="1" spans="1:11">
      <c r="A562" s="430" t="s">
        <v>1724</v>
      </c>
      <c r="B562" s="431" t="s">
        <v>1976</v>
      </c>
      <c r="C562" s="430" t="s">
        <v>71</v>
      </c>
      <c r="D562" s="430" t="s">
        <v>1977</v>
      </c>
      <c r="E562" s="430" t="s">
        <v>1632</v>
      </c>
      <c r="F562" s="430"/>
      <c r="G562" s="432" t="s">
        <v>158</v>
      </c>
      <c r="H562" s="433">
        <v>1</v>
      </c>
      <c r="I562" s="433">
        <v>0</v>
      </c>
      <c r="J562" s="446">
        <v>8.24</v>
      </c>
      <c r="K562" s="446">
        <v>8.24</v>
      </c>
    </row>
    <row r="563" customHeight="1" spans="1:11">
      <c r="A563" s="430" t="s">
        <v>1724</v>
      </c>
      <c r="B563" s="431" t="s">
        <v>1958</v>
      </c>
      <c r="C563" s="430" t="s">
        <v>71</v>
      </c>
      <c r="D563" s="430" t="s">
        <v>1959</v>
      </c>
      <c r="E563" s="430" t="s">
        <v>1708</v>
      </c>
      <c r="F563" s="430"/>
      <c r="G563" s="432" t="s">
        <v>82</v>
      </c>
      <c r="H563" s="433">
        <v>0.0194</v>
      </c>
      <c r="I563" s="433">
        <v>0</v>
      </c>
      <c r="J563" s="446">
        <v>35.95</v>
      </c>
      <c r="K563" s="446">
        <v>0.69</v>
      </c>
    </row>
    <row r="564" customHeight="1" spans="1:11">
      <c r="A564" s="438" t="s">
        <v>1750</v>
      </c>
      <c r="B564" s="439" t="s">
        <v>1962</v>
      </c>
      <c r="C564" s="438" t="s">
        <v>71</v>
      </c>
      <c r="D564" s="438" t="s">
        <v>1963</v>
      </c>
      <c r="E564" s="438" t="s">
        <v>1631</v>
      </c>
      <c r="F564" s="438"/>
      <c r="G564" s="440" t="s">
        <v>105</v>
      </c>
      <c r="H564" s="441">
        <v>0.212</v>
      </c>
      <c r="I564" s="441">
        <v>0</v>
      </c>
      <c r="J564" s="449">
        <v>0.22</v>
      </c>
      <c r="K564" s="449">
        <v>0.04</v>
      </c>
    </row>
    <row r="565" customHeight="1" spans="1:11">
      <c r="A565" s="438" t="s">
        <v>1750</v>
      </c>
      <c r="B565" s="439" t="s">
        <v>1960</v>
      </c>
      <c r="C565" s="438" t="s">
        <v>71</v>
      </c>
      <c r="D565" s="438" t="s">
        <v>1961</v>
      </c>
      <c r="E565" s="438" t="s">
        <v>1631</v>
      </c>
      <c r="F565" s="438"/>
      <c r="G565" s="440" t="s">
        <v>158</v>
      </c>
      <c r="H565" s="441">
        <v>0.025</v>
      </c>
      <c r="I565" s="441">
        <v>0</v>
      </c>
      <c r="J565" s="449">
        <v>22</v>
      </c>
      <c r="K565" s="449">
        <v>0.55</v>
      </c>
    </row>
    <row r="566" customHeight="1" spans="1:11">
      <c r="A566" s="434"/>
      <c r="B566" s="434"/>
      <c r="C566" s="434"/>
      <c r="D566" s="434"/>
      <c r="E566" s="434"/>
      <c r="F566" s="434" t="s">
        <v>1735</v>
      </c>
      <c r="G566" s="435">
        <v>0.32</v>
      </c>
      <c r="H566" s="434" t="s">
        <v>1736</v>
      </c>
      <c r="I566" s="435">
        <v>0.3</v>
      </c>
      <c r="J566" s="434" t="s">
        <v>1737</v>
      </c>
      <c r="K566" s="435">
        <v>0.62</v>
      </c>
    </row>
    <row r="567" customHeight="1" spans="1:11">
      <c r="A567" s="434"/>
      <c r="B567" s="434"/>
      <c r="C567" s="434"/>
      <c r="D567" s="434"/>
      <c r="E567" s="434"/>
      <c r="F567" s="434" t="s">
        <v>1738</v>
      </c>
      <c r="G567" s="435">
        <v>2.36</v>
      </c>
      <c r="H567" s="434"/>
      <c r="I567" s="434" t="s">
        <v>1739</v>
      </c>
      <c r="J567" s="434"/>
      <c r="K567" s="435">
        <v>11.97</v>
      </c>
    </row>
    <row r="568" customHeight="1" spans="1:11">
      <c r="A568" s="436"/>
      <c r="B568" s="436"/>
      <c r="C568" s="436"/>
      <c r="D568" s="436"/>
      <c r="E568" s="436"/>
      <c r="F568" s="436"/>
      <c r="G568" s="436"/>
      <c r="H568" s="436" t="s">
        <v>1740</v>
      </c>
      <c r="I568" s="447" t="s">
        <v>2033</v>
      </c>
      <c r="J568" s="436" t="s">
        <v>1742</v>
      </c>
      <c r="K568" s="448">
        <v>20708.1</v>
      </c>
    </row>
    <row r="569" customHeight="1" spans="1:11">
      <c r="A569" s="437"/>
      <c r="B569" s="437"/>
      <c r="C569" s="437"/>
      <c r="D569" s="437"/>
      <c r="E569" s="437"/>
      <c r="F569" s="437"/>
      <c r="G569" s="437"/>
      <c r="H569" s="437"/>
      <c r="I569" s="437"/>
      <c r="J569" s="437"/>
      <c r="K569" s="437"/>
    </row>
    <row r="570" customHeight="1" spans="1:11">
      <c r="A570" s="423" t="s">
        <v>229</v>
      </c>
      <c r="B570" s="424" t="s">
        <v>1714</v>
      </c>
      <c r="C570" s="423" t="s">
        <v>1715</v>
      </c>
      <c r="D570" s="423" t="s">
        <v>1716</v>
      </c>
      <c r="E570" s="423" t="s">
        <v>1717</v>
      </c>
      <c r="F570" s="423"/>
      <c r="G570" s="425" t="s">
        <v>1718</v>
      </c>
      <c r="H570" s="424" t="s">
        <v>1719</v>
      </c>
      <c r="I570" s="424" t="s">
        <v>1720</v>
      </c>
      <c r="J570" s="424" t="s">
        <v>1721</v>
      </c>
      <c r="K570" s="424" t="s">
        <v>1722</v>
      </c>
    </row>
    <row r="571" customHeight="1" spans="1:11">
      <c r="A571" s="426" t="s">
        <v>1723</v>
      </c>
      <c r="B571" s="427" t="s">
        <v>230</v>
      </c>
      <c r="C571" s="426" t="s">
        <v>71</v>
      </c>
      <c r="D571" s="426" t="s">
        <v>231</v>
      </c>
      <c r="E571" s="426" t="s">
        <v>1621</v>
      </c>
      <c r="F571" s="426"/>
      <c r="G571" s="428" t="s">
        <v>129</v>
      </c>
      <c r="H571" s="429">
        <v>1</v>
      </c>
      <c r="I571" s="445"/>
      <c r="J571" s="445">
        <v>658.06</v>
      </c>
      <c r="K571" s="445">
        <v>658.06</v>
      </c>
    </row>
    <row r="572" customHeight="1" spans="1:11">
      <c r="A572" s="430" t="s">
        <v>1724</v>
      </c>
      <c r="B572" s="431" t="s">
        <v>1743</v>
      </c>
      <c r="C572" s="430" t="s">
        <v>71</v>
      </c>
      <c r="D572" s="430" t="s">
        <v>1744</v>
      </c>
      <c r="E572" s="430" t="s">
        <v>1708</v>
      </c>
      <c r="F572" s="430"/>
      <c r="G572" s="432" t="s">
        <v>82</v>
      </c>
      <c r="H572" s="433">
        <v>0.224</v>
      </c>
      <c r="I572" s="433">
        <v>0</v>
      </c>
      <c r="J572" s="446">
        <v>37.51</v>
      </c>
      <c r="K572" s="446">
        <v>8.4</v>
      </c>
    </row>
    <row r="573" customHeight="1" spans="1:11">
      <c r="A573" s="430" t="s">
        <v>1724</v>
      </c>
      <c r="B573" s="431" t="s">
        <v>1979</v>
      </c>
      <c r="C573" s="430" t="s">
        <v>71</v>
      </c>
      <c r="D573" s="430" t="s">
        <v>1980</v>
      </c>
      <c r="E573" s="430" t="s">
        <v>1795</v>
      </c>
      <c r="F573" s="430"/>
      <c r="G573" s="432" t="s">
        <v>1796</v>
      </c>
      <c r="H573" s="433">
        <v>0.094</v>
      </c>
      <c r="I573" s="433">
        <v>0</v>
      </c>
      <c r="J573" s="446">
        <v>1.45</v>
      </c>
      <c r="K573" s="446">
        <v>0.13</v>
      </c>
    </row>
    <row r="574" customHeight="1" spans="1:11">
      <c r="A574" s="430" t="s">
        <v>1724</v>
      </c>
      <c r="B574" s="431" t="s">
        <v>1745</v>
      </c>
      <c r="C574" s="430" t="s">
        <v>71</v>
      </c>
      <c r="D574" s="430" t="s">
        <v>1746</v>
      </c>
      <c r="E574" s="430" t="s">
        <v>1708</v>
      </c>
      <c r="F574" s="430"/>
      <c r="G574" s="432" t="s">
        <v>82</v>
      </c>
      <c r="H574" s="433">
        <v>1.345</v>
      </c>
      <c r="I574" s="433">
        <v>0</v>
      </c>
      <c r="J574" s="446">
        <v>29.15</v>
      </c>
      <c r="K574" s="446">
        <v>39.2</v>
      </c>
    </row>
    <row r="575" customHeight="1" spans="1:11">
      <c r="A575" s="430" t="s">
        <v>1724</v>
      </c>
      <c r="B575" s="431" t="s">
        <v>1981</v>
      </c>
      <c r="C575" s="430" t="s">
        <v>71</v>
      </c>
      <c r="D575" s="430" t="s">
        <v>1982</v>
      </c>
      <c r="E575" s="430" t="s">
        <v>1795</v>
      </c>
      <c r="F575" s="430"/>
      <c r="G575" s="432" t="s">
        <v>1804</v>
      </c>
      <c r="H575" s="433">
        <v>0.13</v>
      </c>
      <c r="I575" s="433">
        <v>0</v>
      </c>
      <c r="J575" s="446">
        <v>0.53</v>
      </c>
      <c r="K575" s="446">
        <v>0.06</v>
      </c>
    </row>
    <row r="576" customHeight="1" spans="1:11">
      <c r="A576" s="430" t="s">
        <v>1724</v>
      </c>
      <c r="B576" s="431" t="s">
        <v>1936</v>
      </c>
      <c r="C576" s="430" t="s">
        <v>71</v>
      </c>
      <c r="D576" s="430" t="s">
        <v>1937</v>
      </c>
      <c r="E576" s="430" t="s">
        <v>1708</v>
      </c>
      <c r="F576" s="430"/>
      <c r="G576" s="432" t="s">
        <v>82</v>
      </c>
      <c r="H576" s="433">
        <v>0.224</v>
      </c>
      <c r="I576" s="433">
        <v>0</v>
      </c>
      <c r="J576" s="446">
        <v>36.96</v>
      </c>
      <c r="K576" s="446">
        <v>8.27</v>
      </c>
    </row>
    <row r="577" customHeight="1" spans="1:11">
      <c r="A577" s="438" t="s">
        <v>1750</v>
      </c>
      <c r="B577" s="439" t="s">
        <v>2034</v>
      </c>
      <c r="C577" s="438" t="s">
        <v>71</v>
      </c>
      <c r="D577" s="438" t="s">
        <v>2035</v>
      </c>
      <c r="E577" s="438" t="s">
        <v>1631</v>
      </c>
      <c r="F577" s="438"/>
      <c r="G577" s="440" t="s">
        <v>129</v>
      </c>
      <c r="H577" s="441">
        <v>1.103</v>
      </c>
      <c r="I577" s="441">
        <v>0</v>
      </c>
      <c r="J577" s="449">
        <v>545.79</v>
      </c>
      <c r="K577" s="449">
        <v>602</v>
      </c>
    </row>
    <row r="578" customHeight="1" spans="1:11">
      <c r="A578" s="434"/>
      <c r="B578" s="434"/>
      <c r="C578" s="434"/>
      <c r="D578" s="434"/>
      <c r="E578" s="434"/>
      <c r="F578" s="434" t="s">
        <v>1735</v>
      </c>
      <c r="G578" s="435">
        <v>19.95</v>
      </c>
      <c r="H578" s="434" t="s">
        <v>1736</v>
      </c>
      <c r="I578" s="435">
        <v>18.13</v>
      </c>
      <c r="J578" s="434" t="s">
        <v>1737</v>
      </c>
      <c r="K578" s="435">
        <v>38.08</v>
      </c>
    </row>
    <row r="579" customHeight="1" spans="1:11">
      <c r="A579" s="434"/>
      <c r="B579" s="434"/>
      <c r="C579" s="434"/>
      <c r="D579" s="434"/>
      <c r="E579" s="434"/>
      <c r="F579" s="434" t="s">
        <v>1738</v>
      </c>
      <c r="G579" s="435">
        <v>162.27</v>
      </c>
      <c r="H579" s="434"/>
      <c r="I579" s="434" t="s">
        <v>1739</v>
      </c>
      <c r="J579" s="434"/>
      <c r="K579" s="435">
        <v>820.33</v>
      </c>
    </row>
    <row r="580" customHeight="1" spans="1:11">
      <c r="A580" s="436"/>
      <c r="B580" s="436"/>
      <c r="C580" s="436"/>
      <c r="D580" s="436"/>
      <c r="E580" s="436"/>
      <c r="F580" s="436"/>
      <c r="G580" s="436"/>
      <c r="H580" s="436" t="s">
        <v>1740</v>
      </c>
      <c r="I580" s="447" t="s">
        <v>2036</v>
      </c>
      <c r="J580" s="436" t="s">
        <v>1742</v>
      </c>
      <c r="K580" s="448">
        <v>20762.55</v>
      </c>
    </row>
    <row r="581" customHeight="1" spans="1:11">
      <c r="A581" s="437"/>
      <c r="B581" s="437"/>
      <c r="C581" s="437"/>
      <c r="D581" s="437"/>
      <c r="E581" s="437"/>
      <c r="F581" s="437"/>
      <c r="G581" s="437"/>
      <c r="H581" s="437"/>
      <c r="I581" s="437"/>
      <c r="J581" s="437"/>
      <c r="K581" s="437"/>
    </row>
    <row r="582" customHeight="1" spans="1:11">
      <c r="A582" s="422" t="s">
        <v>232</v>
      </c>
      <c r="B582" s="422"/>
      <c r="C582" s="422"/>
      <c r="D582" s="422" t="s">
        <v>233</v>
      </c>
      <c r="E582" s="422"/>
      <c r="F582" s="422"/>
      <c r="G582" s="422"/>
      <c r="H582" s="422"/>
      <c r="I582" s="443"/>
      <c r="J582" s="422"/>
      <c r="K582" s="444">
        <v>255494.29</v>
      </c>
    </row>
    <row r="583" customHeight="1" spans="1:11">
      <c r="A583" s="423" t="s">
        <v>234</v>
      </c>
      <c r="B583" s="424" t="s">
        <v>1714</v>
      </c>
      <c r="C583" s="423" t="s">
        <v>1715</v>
      </c>
      <c r="D583" s="423" t="s">
        <v>1716</v>
      </c>
      <c r="E583" s="423" t="s">
        <v>1717</v>
      </c>
      <c r="F583" s="423"/>
      <c r="G583" s="425" t="s">
        <v>1718</v>
      </c>
      <c r="H583" s="424" t="s">
        <v>1719</v>
      </c>
      <c r="I583" s="424" t="s">
        <v>1720</v>
      </c>
      <c r="J583" s="424" t="s">
        <v>1721</v>
      </c>
      <c r="K583" s="424" t="s">
        <v>1722</v>
      </c>
    </row>
    <row r="584" customHeight="1" spans="1:11">
      <c r="A584" s="426" t="s">
        <v>1723</v>
      </c>
      <c r="B584" s="427" t="s">
        <v>235</v>
      </c>
      <c r="C584" s="426" t="s">
        <v>71</v>
      </c>
      <c r="D584" s="426" t="s">
        <v>236</v>
      </c>
      <c r="E584" s="426" t="s">
        <v>1626</v>
      </c>
      <c r="F584" s="426"/>
      <c r="G584" s="428" t="s">
        <v>73</v>
      </c>
      <c r="H584" s="429">
        <v>1</v>
      </c>
      <c r="I584" s="445"/>
      <c r="J584" s="445">
        <v>175.44</v>
      </c>
      <c r="K584" s="445">
        <v>175.44</v>
      </c>
    </row>
    <row r="585" customHeight="1" spans="1:11">
      <c r="A585" s="430" t="s">
        <v>1724</v>
      </c>
      <c r="B585" s="431" t="s">
        <v>2037</v>
      </c>
      <c r="C585" s="430" t="s">
        <v>71</v>
      </c>
      <c r="D585" s="430" t="s">
        <v>2038</v>
      </c>
      <c r="E585" s="430" t="s">
        <v>1626</v>
      </c>
      <c r="F585" s="430"/>
      <c r="G585" s="432" t="s">
        <v>78</v>
      </c>
      <c r="H585" s="433">
        <v>1.729</v>
      </c>
      <c r="I585" s="433">
        <v>0</v>
      </c>
      <c r="J585" s="446">
        <v>39.85</v>
      </c>
      <c r="K585" s="446">
        <v>68.9</v>
      </c>
    </row>
    <row r="586" customHeight="1" spans="1:11">
      <c r="A586" s="430" t="s">
        <v>1724</v>
      </c>
      <c r="B586" s="431" t="s">
        <v>2039</v>
      </c>
      <c r="C586" s="430" t="s">
        <v>71</v>
      </c>
      <c r="D586" s="430" t="s">
        <v>2040</v>
      </c>
      <c r="E586" s="430" t="s">
        <v>1626</v>
      </c>
      <c r="F586" s="430"/>
      <c r="G586" s="432" t="s">
        <v>73</v>
      </c>
      <c r="H586" s="433">
        <v>0.414</v>
      </c>
      <c r="I586" s="433">
        <v>0</v>
      </c>
      <c r="J586" s="446">
        <v>130.07</v>
      </c>
      <c r="K586" s="446">
        <v>53.84</v>
      </c>
    </row>
    <row r="587" customHeight="1" spans="1:11">
      <c r="A587" s="430" t="s">
        <v>1724</v>
      </c>
      <c r="B587" s="431" t="s">
        <v>1800</v>
      </c>
      <c r="C587" s="430" t="s">
        <v>71</v>
      </c>
      <c r="D587" s="430" t="s">
        <v>1801</v>
      </c>
      <c r="E587" s="430" t="s">
        <v>1708</v>
      </c>
      <c r="F587" s="430"/>
      <c r="G587" s="432" t="s">
        <v>82</v>
      </c>
      <c r="H587" s="433">
        <v>0.19</v>
      </c>
      <c r="I587" s="433">
        <v>0</v>
      </c>
      <c r="J587" s="446">
        <v>29.91</v>
      </c>
      <c r="K587" s="446">
        <v>5.68</v>
      </c>
    </row>
    <row r="588" customHeight="1" spans="1:11">
      <c r="A588" s="430" t="s">
        <v>1724</v>
      </c>
      <c r="B588" s="431" t="s">
        <v>1743</v>
      </c>
      <c r="C588" s="430" t="s">
        <v>71</v>
      </c>
      <c r="D588" s="430" t="s">
        <v>1744</v>
      </c>
      <c r="E588" s="430" t="s">
        <v>1708</v>
      </c>
      <c r="F588" s="430"/>
      <c r="G588" s="432" t="s">
        <v>82</v>
      </c>
      <c r="H588" s="433">
        <v>1.035</v>
      </c>
      <c r="I588" s="433">
        <v>0</v>
      </c>
      <c r="J588" s="446">
        <v>37.51</v>
      </c>
      <c r="K588" s="446">
        <v>38.82</v>
      </c>
    </row>
    <row r="589" customHeight="1" spans="1:11">
      <c r="A589" s="438" t="s">
        <v>1750</v>
      </c>
      <c r="B589" s="439" t="s">
        <v>1943</v>
      </c>
      <c r="C589" s="438" t="s">
        <v>71</v>
      </c>
      <c r="D589" s="438" t="s">
        <v>1944</v>
      </c>
      <c r="E589" s="438" t="s">
        <v>1631</v>
      </c>
      <c r="F589" s="438"/>
      <c r="G589" s="440" t="s">
        <v>1945</v>
      </c>
      <c r="H589" s="441">
        <v>0.01</v>
      </c>
      <c r="I589" s="441">
        <v>0</v>
      </c>
      <c r="J589" s="449">
        <v>7.97</v>
      </c>
      <c r="K589" s="449">
        <v>0.07</v>
      </c>
    </row>
    <row r="590" customHeight="1" spans="1:11">
      <c r="A590" s="438" t="s">
        <v>1750</v>
      </c>
      <c r="B590" s="439" t="s">
        <v>1948</v>
      </c>
      <c r="C590" s="438" t="s">
        <v>71</v>
      </c>
      <c r="D590" s="438" t="s">
        <v>1949</v>
      </c>
      <c r="E590" s="438" t="s">
        <v>1631</v>
      </c>
      <c r="F590" s="438"/>
      <c r="G590" s="440" t="s">
        <v>158</v>
      </c>
      <c r="H590" s="441">
        <v>0.049</v>
      </c>
      <c r="I590" s="441">
        <v>0</v>
      </c>
      <c r="J590" s="449">
        <v>22.69</v>
      </c>
      <c r="K590" s="449">
        <v>1.11</v>
      </c>
    </row>
    <row r="591" customHeight="1" spans="1:11">
      <c r="A591" s="438" t="s">
        <v>1750</v>
      </c>
      <c r="B591" s="439" t="s">
        <v>2041</v>
      </c>
      <c r="C591" s="438" t="s">
        <v>71</v>
      </c>
      <c r="D591" s="438" t="s">
        <v>2042</v>
      </c>
      <c r="E591" s="438" t="s">
        <v>1631</v>
      </c>
      <c r="F591" s="438"/>
      <c r="G591" s="440" t="s">
        <v>78</v>
      </c>
      <c r="H591" s="441">
        <v>0.328</v>
      </c>
      <c r="I591" s="441">
        <v>0</v>
      </c>
      <c r="J591" s="449">
        <v>21.41</v>
      </c>
      <c r="K591" s="449">
        <v>7.02</v>
      </c>
    </row>
    <row r="592" customHeight="1" spans="1:11">
      <c r="A592" s="434"/>
      <c r="B592" s="434"/>
      <c r="C592" s="434"/>
      <c r="D592" s="434"/>
      <c r="E592" s="434"/>
      <c r="F592" s="434" t="s">
        <v>1735</v>
      </c>
      <c r="G592" s="435">
        <v>31.05</v>
      </c>
      <c r="H592" s="434" t="s">
        <v>1736</v>
      </c>
      <c r="I592" s="435">
        <v>28.21</v>
      </c>
      <c r="J592" s="434" t="s">
        <v>1737</v>
      </c>
      <c r="K592" s="435">
        <v>59.26</v>
      </c>
    </row>
    <row r="593" customHeight="1" spans="1:11">
      <c r="A593" s="434"/>
      <c r="B593" s="434"/>
      <c r="C593" s="434"/>
      <c r="D593" s="434"/>
      <c r="E593" s="434"/>
      <c r="F593" s="434" t="s">
        <v>1738</v>
      </c>
      <c r="G593" s="435">
        <v>43.26</v>
      </c>
      <c r="H593" s="434"/>
      <c r="I593" s="434" t="s">
        <v>1739</v>
      </c>
      <c r="J593" s="434"/>
      <c r="K593" s="435">
        <v>218.7</v>
      </c>
    </row>
    <row r="594" customHeight="1" spans="1:11">
      <c r="A594" s="436"/>
      <c r="B594" s="436"/>
      <c r="C594" s="436"/>
      <c r="D594" s="436"/>
      <c r="E594" s="436"/>
      <c r="F594" s="436"/>
      <c r="G594" s="436"/>
      <c r="H594" s="436" t="s">
        <v>1740</v>
      </c>
      <c r="I594" s="447" t="s">
        <v>2043</v>
      </c>
      <c r="J594" s="436" t="s">
        <v>1742</v>
      </c>
      <c r="K594" s="448">
        <v>97124.67</v>
      </c>
    </row>
    <row r="595" customHeight="1" spans="1:11">
      <c r="A595" s="437"/>
      <c r="B595" s="437"/>
      <c r="C595" s="437"/>
      <c r="D595" s="437"/>
      <c r="E595" s="437"/>
      <c r="F595" s="437"/>
      <c r="G595" s="437"/>
      <c r="H595" s="437"/>
      <c r="I595" s="437"/>
      <c r="J595" s="437"/>
      <c r="K595" s="437"/>
    </row>
    <row r="596" customHeight="1" spans="1:11">
      <c r="A596" s="423" t="s">
        <v>237</v>
      </c>
      <c r="B596" s="424" t="s">
        <v>1714</v>
      </c>
      <c r="C596" s="423" t="s">
        <v>1715</v>
      </c>
      <c r="D596" s="423" t="s">
        <v>1716</v>
      </c>
      <c r="E596" s="423" t="s">
        <v>1717</v>
      </c>
      <c r="F596" s="423"/>
      <c r="G596" s="425" t="s">
        <v>1718</v>
      </c>
      <c r="H596" s="424" t="s">
        <v>1719</v>
      </c>
      <c r="I596" s="424" t="s">
        <v>1720</v>
      </c>
      <c r="J596" s="424" t="s">
        <v>1721</v>
      </c>
      <c r="K596" s="424" t="s">
        <v>1722</v>
      </c>
    </row>
    <row r="597" customHeight="1" spans="1:11">
      <c r="A597" s="426" t="s">
        <v>1723</v>
      </c>
      <c r="B597" s="427" t="s">
        <v>212</v>
      </c>
      <c r="C597" s="426" t="s">
        <v>71</v>
      </c>
      <c r="D597" s="426" t="s">
        <v>213</v>
      </c>
      <c r="E597" s="426" t="s">
        <v>1632</v>
      </c>
      <c r="F597" s="426"/>
      <c r="G597" s="428" t="s">
        <v>158</v>
      </c>
      <c r="H597" s="429">
        <v>1</v>
      </c>
      <c r="I597" s="445"/>
      <c r="J597" s="445">
        <v>16.13</v>
      </c>
      <c r="K597" s="445">
        <v>16.13</v>
      </c>
    </row>
    <row r="598" customHeight="1" spans="1:11">
      <c r="A598" s="430" t="s">
        <v>1724</v>
      </c>
      <c r="B598" s="431" t="s">
        <v>1956</v>
      </c>
      <c r="C598" s="430" t="s">
        <v>71</v>
      </c>
      <c r="D598" s="430" t="s">
        <v>1957</v>
      </c>
      <c r="E598" s="430" t="s">
        <v>1708</v>
      </c>
      <c r="F598" s="430"/>
      <c r="G598" s="432" t="s">
        <v>82</v>
      </c>
      <c r="H598" s="433">
        <v>0.0175</v>
      </c>
      <c r="I598" s="433">
        <v>0</v>
      </c>
      <c r="J598" s="446">
        <v>30.06</v>
      </c>
      <c r="K598" s="446">
        <v>0.52</v>
      </c>
    </row>
    <row r="599" customHeight="1" spans="1:11">
      <c r="A599" s="430" t="s">
        <v>1724</v>
      </c>
      <c r="B599" s="431" t="s">
        <v>1958</v>
      </c>
      <c r="C599" s="430" t="s">
        <v>71</v>
      </c>
      <c r="D599" s="430" t="s">
        <v>1959</v>
      </c>
      <c r="E599" s="430" t="s">
        <v>1708</v>
      </c>
      <c r="F599" s="430"/>
      <c r="G599" s="432" t="s">
        <v>82</v>
      </c>
      <c r="H599" s="433">
        <v>0.1069</v>
      </c>
      <c r="I599" s="433">
        <v>0</v>
      </c>
      <c r="J599" s="446">
        <v>35.95</v>
      </c>
      <c r="K599" s="446">
        <v>3.84</v>
      </c>
    </row>
    <row r="600" customHeight="1" spans="1:11">
      <c r="A600" s="430" t="s">
        <v>1724</v>
      </c>
      <c r="B600" s="431" t="s">
        <v>1954</v>
      </c>
      <c r="C600" s="430" t="s">
        <v>71</v>
      </c>
      <c r="D600" s="430" t="s">
        <v>1955</v>
      </c>
      <c r="E600" s="430" t="s">
        <v>1632</v>
      </c>
      <c r="F600" s="430"/>
      <c r="G600" s="432" t="s">
        <v>158</v>
      </c>
      <c r="H600" s="433">
        <v>1</v>
      </c>
      <c r="I600" s="433">
        <v>0</v>
      </c>
      <c r="J600" s="446">
        <v>10.96</v>
      </c>
      <c r="K600" s="446">
        <v>10.96</v>
      </c>
    </row>
    <row r="601" customHeight="1" spans="1:11">
      <c r="A601" s="438" t="s">
        <v>1750</v>
      </c>
      <c r="B601" s="439" t="s">
        <v>1962</v>
      </c>
      <c r="C601" s="438" t="s">
        <v>71</v>
      </c>
      <c r="D601" s="438" t="s">
        <v>1963</v>
      </c>
      <c r="E601" s="438" t="s">
        <v>1631</v>
      </c>
      <c r="F601" s="438"/>
      <c r="G601" s="440" t="s">
        <v>105</v>
      </c>
      <c r="H601" s="441">
        <v>1.19</v>
      </c>
      <c r="I601" s="441">
        <v>0</v>
      </c>
      <c r="J601" s="449">
        <v>0.22</v>
      </c>
      <c r="K601" s="449">
        <v>0.26</v>
      </c>
    </row>
    <row r="602" customHeight="1" spans="1:11">
      <c r="A602" s="438" t="s">
        <v>1750</v>
      </c>
      <c r="B602" s="439" t="s">
        <v>1960</v>
      </c>
      <c r="C602" s="438" t="s">
        <v>71</v>
      </c>
      <c r="D602" s="438" t="s">
        <v>1961</v>
      </c>
      <c r="E602" s="438" t="s">
        <v>1631</v>
      </c>
      <c r="F602" s="438"/>
      <c r="G602" s="440" t="s">
        <v>158</v>
      </c>
      <c r="H602" s="441">
        <v>0.025</v>
      </c>
      <c r="I602" s="441">
        <v>0</v>
      </c>
      <c r="J602" s="449">
        <v>22</v>
      </c>
      <c r="K602" s="449">
        <v>0.55</v>
      </c>
    </row>
    <row r="603" customHeight="1" spans="1:11">
      <c r="A603" s="434"/>
      <c r="B603" s="434"/>
      <c r="C603" s="434"/>
      <c r="D603" s="434"/>
      <c r="E603" s="434"/>
      <c r="F603" s="434" t="s">
        <v>1735</v>
      </c>
      <c r="G603" s="435">
        <v>2.52</v>
      </c>
      <c r="H603" s="434" t="s">
        <v>1736</v>
      </c>
      <c r="I603" s="435">
        <v>2.29</v>
      </c>
      <c r="J603" s="434" t="s">
        <v>1737</v>
      </c>
      <c r="K603" s="435">
        <v>4.81</v>
      </c>
    </row>
    <row r="604" customHeight="1" spans="1:11">
      <c r="A604" s="434"/>
      <c r="B604" s="434"/>
      <c r="C604" s="434"/>
      <c r="D604" s="434"/>
      <c r="E604" s="434"/>
      <c r="F604" s="434" t="s">
        <v>1738</v>
      </c>
      <c r="G604" s="435">
        <v>3.97</v>
      </c>
      <c r="H604" s="434"/>
      <c r="I604" s="434" t="s">
        <v>1739</v>
      </c>
      <c r="J604" s="434"/>
      <c r="K604" s="435">
        <v>20.1</v>
      </c>
    </row>
    <row r="605" customHeight="1" spans="1:11">
      <c r="A605" s="436"/>
      <c r="B605" s="436"/>
      <c r="C605" s="436"/>
      <c r="D605" s="436"/>
      <c r="E605" s="436"/>
      <c r="F605" s="436"/>
      <c r="G605" s="436"/>
      <c r="H605" s="436" t="s">
        <v>1740</v>
      </c>
      <c r="I605" s="447" t="s">
        <v>2044</v>
      </c>
      <c r="J605" s="436" t="s">
        <v>1742</v>
      </c>
      <c r="K605" s="448">
        <v>17229.72</v>
      </c>
    </row>
    <row r="606" customHeight="1" spans="1:11">
      <c r="A606" s="437"/>
      <c r="B606" s="437"/>
      <c r="C606" s="437"/>
      <c r="D606" s="437"/>
      <c r="E606" s="437"/>
      <c r="F606" s="437"/>
      <c r="G606" s="437"/>
      <c r="H606" s="437"/>
      <c r="I606" s="437"/>
      <c r="J606" s="437"/>
      <c r="K606" s="437"/>
    </row>
    <row r="607" customHeight="1" spans="1:11">
      <c r="A607" s="423" t="s">
        <v>238</v>
      </c>
      <c r="B607" s="424" t="s">
        <v>1714</v>
      </c>
      <c r="C607" s="423" t="s">
        <v>1715</v>
      </c>
      <c r="D607" s="423" t="s">
        <v>1716</v>
      </c>
      <c r="E607" s="423" t="s">
        <v>1717</v>
      </c>
      <c r="F607" s="423"/>
      <c r="G607" s="425" t="s">
        <v>1718</v>
      </c>
      <c r="H607" s="424" t="s">
        <v>1719</v>
      </c>
      <c r="I607" s="424" t="s">
        <v>1720</v>
      </c>
      <c r="J607" s="424" t="s">
        <v>1721</v>
      </c>
      <c r="K607" s="424" t="s">
        <v>1722</v>
      </c>
    </row>
    <row r="608" customHeight="1" spans="1:11">
      <c r="A608" s="426" t="s">
        <v>1723</v>
      </c>
      <c r="B608" s="427" t="s">
        <v>215</v>
      </c>
      <c r="C608" s="426" t="s">
        <v>71</v>
      </c>
      <c r="D608" s="426" t="s">
        <v>216</v>
      </c>
      <c r="E608" s="426" t="s">
        <v>1632</v>
      </c>
      <c r="F608" s="426"/>
      <c r="G608" s="428" t="s">
        <v>158</v>
      </c>
      <c r="H608" s="429">
        <v>1</v>
      </c>
      <c r="I608" s="445"/>
      <c r="J608" s="445">
        <v>14.82</v>
      </c>
      <c r="K608" s="445">
        <v>14.82</v>
      </c>
    </row>
    <row r="609" customHeight="1" spans="1:11">
      <c r="A609" s="430" t="s">
        <v>1724</v>
      </c>
      <c r="B609" s="431" t="s">
        <v>1956</v>
      </c>
      <c r="C609" s="430" t="s">
        <v>71</v>
      </c>
      <c r="D609" s="430" t="s">
        <v>1957</v>
      </c>
      <c r="E609" s="430" t="s">
        <v>1708</v>
      </c>
      <c r="F609" s="430"/>
      <c r="G609" s="432" t="s">
        <v>82</v>
      </c>
      <c r="H609" s="433">
        <v>0.0129</v>
      </c>
      <c r="I609" s="433">
        <v>0</v>
      </c>
      <c r="J609" s="446">
        <v>30.06</v>
      </c>
      <c r="K609" s="446">
        <v>0.38</v>
      </c>
    </row>
    <row r="610" customHeight="1" spans="1:11">
      <c r="A610" s="430" t="s">
        <v>1724</v>
      </c>
      <c r="B610" s="431" t="s">
        <v>2027</v>
      </c>
      <c r="C610" s="430" t="s">
        <v>71</v>
      </c>
      <c r="D610" s="430" t="s">
        <v>2028</v>
      </c>
      <c r="E610" s="430" t="s">
        <v>1632</v>
      </c>
      <c r="F610" s="430"/>
      <c r="G610" s="432" t="s">
        <v>158</v>
      </c>
      <c r="H610" s="433">
        <v>1</v>
      </c>
      <c r="I610" s="433">
        <v>0</v>
      </c>
      <c r="J610" s="446">
        <v>10.84</v>
      </c>
      <c r="K610" s="446">
        <v>10.84</v>
      </c>
    </row>
    <row r="611" customHeight="1" spans="1:11">
      <c r="A611" s="430" t="s">
        <v>1724</v>
      </c>
      <c r="B611" s="431" t="s">
        <v>1958</v>
      </c>
      <c r="C611" s="430" t="s">
        <v>71</v>
      </c>
      <c r="D611" s="430" t="s">
        <v>1959</v>
      </c>
      <c r="E611" s="430" t="s">
        <v>1708</v>
      </c>
      <c r="F611" s="430"/>
      <c r="G611" s="432" t="s">
        <v>82</v>
      </c>
      <c r="H611" s="433">
        <v>0.079</v>
      </c>
      <c r="I611" s="433">
        <v>0</v>
      </c>
      <c r="J611" s="446">
        <v>35.95</v>
      </c>
      <c r="K611" s="446">
        <v>2.84</v>
      </c>
    </row>
    <row r="612" customHeight="1" spans="1:11">
      <c r="A612" s="438" t="s">
        <v>1750</v>
      </c>
      <c r="B612" s="439" t="s">
        <v>1962</v>
      </c>
      <c r="C612" s="438" t="s">
        <v>71</v>
      </c>
      <c r="D612" s="438" t="s">
        <v>1963</v>
      </c>
      <c r="E612" s="438" t="s">
        <v>1631</v>
      </c>
      <c r="F612" s="438"/>
      <c r="G612" s="440" t="s">
        <v>105</v>
      </c>
      <c r="H612" s="441">
        <v>0.97</v>
      </c>
      <c r="I612" s="441">
        <v>0</v>
      </c>
      <c r="J612" s="449">
        <v>0.22</v>
      </c>
      <c r="K612" s="449">
        <v>0.21</v>
      </c>
    </row>
    <row r="613" customHeight="1" spans="1:11">
      <c r="A613" s="438" t="s">
        <v>1750</v>
      </c>
      <c r="B613" s="439" t="s">
        <v>1960</v>
      </c>
      <c r="C613" s="438" t="s">
        <v>71</v>
      </c>
      <c r="D613" s="438" t="s">
        <v>1961</v>
      </c>
      <c r="E613" s="438" t="s">
        <v>1631</v>
      </c>
      <c r="F613" s="438"/>
      <c r="G613" s="440" t="s">
        <v>158</v>
      </c>
      <c r="H613" s="441">
        <v>0.025</v>
      </c>
      <c r="I613" s="441">
        <v>0</v>
      </c>
      <c r="J613" s="449">
        <v>22</v>
      </c>
      <c r="K613" s="449">
        <v>0.55</v>
      </c>
    </row>
    <row r="614" customHeight="1" spans="1:11">
      <c r="A614" s="434"/>
      <c r="B614" s="434"/>
      <c r="C614" s="434"/>
      <c r="D614" s="434"/>
      <c r="E614" s="434"/>
      <c r="F614" s="434" t="s">
        <v>1735</v>
      </c>
      <c r="G614" s="435">
        <v>1.67</v>
      </c>
      <c r="H614" s="434" t="s">
        <v>1736</v>
      </c>
      <c r="I614" s="435">
        <v>1.52</v>
      </c>
      <c r="J614" s="434" t="s">
        <v>1737</v>
      </c>
      <c r="K614" s="435">
        <v>3.19</v>
      </c>
    </row>
    <row r="615" customHeight="1" spans="1:11">
      <c r="A615" s="434"/>
      <c r="B615" s="434"/>
      <c r="C615" s="434"/>
      <c r="D615" s="434"/>
      <c r="E615" s="434"/>
      <c r="F615" s="434" t="s">
        <v>1738</v>
      </c>
      <c r="G615" s="435">
        <v>3.65</v>
      </c>
      <c r="H615" s="434"/>
      <c r="I615" s="434" t="s">
        <v>1739</v>
      </c>
      <c r="J615" s="434"/>
      <c r="K615" s="435">
        <v>18.47</v>
      </c>
    </row>
    <row r="616" customHeight="1" spans="1:11">
      <c r="A616" s="436"/>
      <c r="B616" s="436"/>
      <c r="C616" s="436"/>
      <c r="D616" s="436"/>
      <c r="E616" s="436"/>
      <c r="F616" s="436"/>
      <c r="G616" s="436"/>
      <c r="H616" s="436" t="s">
        <v>1740</v>
      </c>
      <c r="I616" s="447" t="s">
        <v>2045</v>
      </c>
      <c r="J616" s="436" t="s">
        <v>1742</v>
      </c>
      <c r="K616" s="448">
        <v>37071.13</v>
      </c>
    </row>
    <row r="617" customHeight="1" spans="1:11">
      <c r="A617" s="437"/>
      <c r="B617" s="437"/>
      <c r="C617" s="437"/>
      <c r="D617" s="437"/>
      <c r="E617" s="437"/>
      <c r="F617" s="437"/>
      <c r="G617" s="437"/>
      <c r="H617" s="437"/>
      <c r="I617" s="437"/>
      <c r="J617" s="437"/>
      <c r="K617" s="437"/>
    </row>
    <row r="618" customHeight="1" spans="1:11">
      <c r="A618" s="423" t="s">
        <v>239</v>
      </c>
      <c r="B618" s="424" t="s">
        <v>1714</v>
      </c>
      <c r="C618" s="423" t="s">
        <v>1715</v>
      </c>
      <c r="D618" s="423" t="s">
        <v>1716</v>
      </c>
      <c r="E618" s="423" t="s">
        <v>1717</v>
      </c>
      <c r="F618" s="423"/>
      <c r="G618" s="425" t="s">
        <v>1718</v>
      </c>
      <c r="H618" s="424" t="s">
        <v>1719</v>
      </c>
      <c r="I618" s="424" t="s">
        <v>1720</v>
      </c>
      <c r="J618" s="424" t="s">
        <v>1721</v>
      </c>
      <c r="K618" s="424" t="s">
        <v>1722</v>
      </c>
    </row>
    <row r="619" customHeight="1" spans="1:11">
      <c r="A619" s="426" t="s">
        <v>1723</v>
      </c>
      <c r="B619" s="427" t="s">
        <v>218</v>
      </c>
      <c r="C619" s="426" t="s">
        <v>71</v>
      </c>
      <c r="D619" s="426" t="s">
        <v>219</v>
      </c>
      <c r="E619" s="426" t="s">
        <v>1632</v>
      </c>
      <c r="F619" s="426"/>
      <c r="G619" s="428" t="s">
        <v>158</v>
      </c>
      <c r="H619" s="429">
        <v>1</v>
      </c>
      <c r="I619" s="445"/>
      <c r="J619" s="445">
        <v>13.64</v>
      </c>
      <c r="K619" s="445">
        <v>13.64</v>
      </c>
    </row>
    <row r="620" customHeight="1" spans="1:11">
      <c r="A620" s="430" t="s">
        <v>1724</v>
      </c>
      <c r="B620" s="431" t="s">
        <v>1958</v>
      </c>
      <c r="C620" s="430" t="s">
        <v>71</v>
      </c>
      <c r="D620" s="430" t="s">
        <v>1959</v>
      </c>
      <c r="E620" s="430" t="s">
        <v>1708</v>
      </c>
      <c r="F620" s="430"/>
      <c r="G620" s="432" t="s">
        <v>82</v>
      </c>
      <c r="H620" s="433">
        <v>0.0561</v>
      </c>
      <c r="I620" s="433">
        <v>0</v>
      </c>
      <c r="J620" s="446">
        <v>35.95</v>
      </c>
      <c r="K620" s="446">
        <v>2.01</v>
      </c>
    </row>
    <row r="621" customHeight="1" spans="1:11">
      <c r="A621" s="430" t="s">
        <v>1724</v>
      </c>
      <c r="B621" s="431" t="s">
        <v>1969</v>
      </c>
      <c r="C621" s="430" t="s">
        <v>71</v>
      </c>
      <c r="D621" s="430" t="s">
        <v>1970</v>
      </c>
      <c r="E621" s="430" t="s">
        <v>1632</v>
      </c>
      <c r="F621" s="430"/>
      <c r="G621" s="432" t="s">
        <v>158</v>
      </c>
      <c r="H621" s="433">
        <v>1</v>
      </c>
      <c r="I621" s="433">
        <v>0</v>
      </c>
      <c r="J621" s="446">
        <v>10.65</v>
      </c>
      <c r="K621" s="446">
        <v>10.65</v>
      </c>
    </row>
    <row r="622" customHeight="1" spans="1:11">
      <c r="A622" s="430" t="s">
        <v>1724</v>
      </c>
      <c r="B622" s="431" t="s">
        <v>1956</v>
      </c>
      <c r="C622" s="430" t="s">
        <v>71</v>
      </c>
      <c r="D622" s="430" t="s">
        <v>1957</v>
      </c>
      <c r="E622" s="430" t="s">
        <v>1708</v>
      </c>
      <c r="F622" s="430"/>
      <c r="G622" s="432" t="s">
        <v>82</v>
      </c>
      <c r="H622" s="433">
        <v>0.0092</v>
      </c>
      <c r="I622" s="433">
        <v>0</v>
      </c>
      <c r="J622" s="446">
        <v>30.06</v>
      </c>
      <c r="K622" s="446">
        <v>0.27</v>
      </c>
    </row>
    <row r="623" customHeight="1" spans="1:11">
      <c r="A623" s="438" t="s">
        <v>1750</v>
      </c>
      <c r="B623" s="439" t="s">
        <v>1962</v>
      </c>
      <c r="C623" s="438" t="s">
        <v>71</v>
      </c>
      <c r="D623" s="438" t="s">
        <v>1963</v>
      </c>
      <c r="E623" s="438" t="s">
        <v>1631</v>
      </c>
      <c r="F623" s="438"/>
      <c r="G623" s="440" t="s">
        <v>105</v>
      </c>
      <c r="H623" s="441">
        <v>0.743</v>
      </c>
      <c r="I623" s="441">
        <v>0</v>
      </c>
      <c r="J623" s="449">
        <v>0.22</v>
      </c>
      <c r="K623" s="449">
        <v>0.16</v>
      </c>
    </row>
    <row r="624" customHeight="1" spans="1:11">
      <c r="A624" s="438" t="s">
        <v>1750</v>
      </c>
      <c r="B624" s="439" t="s">
        <v>1960</v>
      </c>
      <c r="C624" s="438" t="s">
        <v>71</v>
      </c>
      <c r="D624" s="438" t="s">
        <v>1961</v>
      </c>
      <c r="E624" s="438" t="s">
        <v>1631</v>
      </c>
      <c r="F624" s="438"/>
      <c r="G624" s="440" t="s">
        <v>158</v>
      </c>
      <c r="H624" s="441">
        <v>0.025</v>
      </c>
      <c r="I624" s="441">
        <v>0</v>
      </c>
      <c r="J624" s="449">
        <v>22</v>
      </c>
      <c r="K624" s="449">
        <v>0.55</v>
      </c>
    </row>
    <row r="625" customHeight="1" spans="1:11">
      <c r="A625" s="434"/>
      <c r="B625" s="434"/>
      <c r="C625" s="434"/>
      <c r="D625" s="434"/>
      <c r="E625" s="434"/>
      <c r="F625" s="434" t="s">
        <v>1735</v>
      </c>
      <c r="G625" s="435">
        <v>1.1</v>
      </c>
      <c r="H625" s="434" t="s">
        <v>1736</v>
      </c>
      <c r="I625" s="435">
        <v>1</v>
      </c>
      <c r="J625" s="434" t="s">
        <v>1737</v>
      </c>
      <c r="K625" s="435">
        <v>2.1</v>
      </c>
    </row>
    <row r="626" customHeight="1" spans="1:11">
      <c r="A626" s="434"/>
      <c r="B626" s="434"/>
      <c r="C626" s="434"/>
      <c r="D626" s="434"/>
      <c r="E626" s="434"/>
      <c r="F626" s="434" t="s">
        <v>1738</v>
      </c>
      <c r="G626" s="435">
        <v>3.36</v>
      </c>
      <c r="H626" s="434"/>
      <c r="I626" s="434" t="s">
        <v>1739</v>
      </c>
      <c r="J626" s="434"/>
      <c r="K626" s="435">
        <v>17</v>
      </c>
    </row>
    <row r="627" customHeight="1" spans="1:11">
      <c r="A627" s="436"/>
      <c r="B627" s="436"/>
      <c r="C627" s="436"/>
      <c r="D627" s="436"/>
      <c r="E627" s="436"/>
      <c r="F627" s="436"/>
      <c r="G627" s="436"/>
      <c r="H627" s="436" t="s">
        <v>1740</v>
      </c>
      <c r="I627" s="447" t="s">
        <v>2046</v>
      </c>
      <c r="J627" s="436" t="s">
        <v>1742</v>
      </c>
      <c r="K627" s="448">
        <v>2397</v>
      </c>
    </row>
    <row r="628" customHeight="1" spans="1:11">
      <c r="A628" s="437"/>
      <c r="B628" s="437"/>
      <c r="C628" s="437"/>
      <c r="D628" s="437"/>
      <c r="E628" s="437"/>
      <c r="F628" s="437"/>
      <c r="G628" s="437"/>
      <c r="H628" s="437"/>
      <c r="I628" s="437"/>
      <c r="J628" s="437"/>
      <c r="K628" s="437"/>
    </row>
    <row r="629" customHeight="1" spans="1:11">
      <c r="A629" s="423" t="s">
        <v>240</v>
      </c>
      <c r="B629" s="424" t="s">
        <v>1714</v>
      </c>
      <c r="C629" s="423" t="s">
        <v>1715</v>
      </c>
      <c r="D629" s="423" t="s">
        <v>1716</v>
      </c>
      <c r="E629" s="423" t="s">
        <v>1717</v>
      </c>
      <c r="F629" s="423"/>
      <c r="G629" s="425" t="s">
        <v>1718</v>
      </c>
      <c r="H629" s="424" t="s">
        <v>1719</v>
      </c>
      <c r="I629" s="424" t="s">
        <v>1720</v>
      </c>
      <c r="J629" s="424" t="s">
        <v>1721</v>
      </c>
      <c r="K629" s="424" t="s">
        <v>1722</v>
      </c>
    </row>
    <row r="630" customHeight="1" spans="1:11">
      <c r="A630" s="426" t="s">
        <v>1723</v>
      </c>
      <c r="B630" s="427" t="s">
        <v>221</v>
      </c>
      <c r="C630" s="426" t="s">
        <v>71</v>
      </c>
      <c r="D630" s="426" t="s">
        <v>222</v>
      </c>
      <c r="E630" s="426" t="s">
        <v>1632</v>
      </c>
      <c r="F630" s="426"/>
      <c r="G630" s="428" t="s">
        <v>158</v>
      </c>
      <c r="H630" s="429">
        <v>1</v>
      </c>
      <c r="I630" s="445"/>
      <c r="J630" s="445">
        <v>12.03</v>
      </c>
      <c r="K630" s="445">
        <v>12.03</v>
      </c>
    </row>
    <row r="631" customHeight="1" spans="1:11">
      <c r="A631" s="430" t="s">
        <v>1724</v>
      </c>
      <c r="B631" s="431" t="s">
        <v>1958</v>
      </c>
      <c r="C631" s="430" t="s">
        <v>71</v>
      </c>
      <c r="D631" s="430" t="s">
        <v>1959</v>
      </c>
      <c r="E631" s="430" t="s">
        <v>1708</v>
      </c>
      <c r="F631" s="430"/>
      <c r="G631" s="432" t="s">
        <v>82</v>
      </c>
      <c r="H631" s="433">
        <v>0.0392</v>
      </c>
      <c r="I631" s="433">
        <v>0</v>
      </c>
      <c r="J631" s="446">
        <v>35.95</v>
      </c>
      <c r="K631" s="446">
        <v>1.4</v>
      </c>
    </row>
    <row r="632" customHeight="1" spans="1:11">
      <c r="A632" s="430" t="s">
        <v>1724</v>
      </c>
      <c r="B632" s="431" t="s">
        <v>1956</v>
      </c>
      <c r="C632" s="430" t="s">
        <v>71</v>
      </c>
      <c r="D632" s="430" t="s">
        <v>1957</v>
      </c>
      <c r="E632" s="430" t="s">
        <v>1708</v>
      </c>
      <c r="F632" s="430"/>
      <c r="G632" s="432" t="s">
        <v>82</v>
      </c>
      <c r="H632" s="433">
        <v>0.0064</v>
      </c>
      <c r="I632" s="433">
        <v>0</v>
      </c>
      <c r="J632" s="446">
        <v>30.06</v>
      </c>
      <c r="K632" s="446">
        <v>0.19</v>
      </c>
    </row>
    <row r="633" customHeight="1" spans="1:11">
      <c r="A633" s="430" t="s">
        <v>1724</v>
      </c>
      <c r="B633" s="431" t="s">
        <v>1965</v>
      </c>
      <c r="C633" s="430" t="s">
        <v>71</v>
      </c>
      <c r="D633" s="430" t="s">
        <v>1966</v>
      </c>
      <c r="E633" s="430" t="s">
        <v>1632</v>
      </c>
      <c r="F633" s="430"/>
      <c r="G633" s="432" t="s">
        <v>158</v>
      </c>
      <c r="H633" s="433">
        <v>1</v>
      </c>
      <c r="I633" s="433">
        <v>0</v>
      </c>
      <c r="J633" s="446">
        <v>9.78</v>
      </c>
      <c r="K633" s="446">
        <v>9.78</v>
      </c>
    </row>
    <row r="634" customHeight="1" spans="1:11">
      <c r="A634" s="438" t="s">
        <v>1750</v>
      </c>
      <c r="B634" s="439" t="s">
        <v>1960</v>
      </c>
      <c r="C634" s="438" t="s">
        <v>71</v>
      </c>
      <c r="D634" s="438" t="s">
        <v>1961</v>
      </c>
      <c r="E634" s="438" t="s">
        <v>1631</v>
      </c>
      <c r="F634" s="438"/>
      <c r="G634" s="440" t="s">
        <v>158</v>
      </c>
      <c r="H634" s="441">
        <v>0.025</v>
      </c>
      <c r="I634" s="441">
        <v>0</v>
      </c>
      <c r="J634" s="449">
        <v>22</v>
      </c>
      <c r="K634" s="449">
        <v>0.55</v>
      </c>
    </row>
    <row r="635" customHeight="1" spans="1:11">
      <c r="A635" s="438" t="s">
        <v>1750</v>
      </c>
      <c r="B635" s="439" t="s">
        <v>1962</v>
      </c>
      <c r="C635" s="438" t="s">
        <v>71</v>
      </c>
      <c r="D635" s="438" t="s">
        <v>1963</v>
      </c>
      <c r="E635" s="438" t="s">
        <v>1631</v>
      </c>
      <c r="F635" s="438"/>
      <c r="G635" s="440" t="s">
        <v>105</v>
      </c>
      <c r="H635" s="441">
        <v>0.543</v>
      </c>
      <c r="I635" s="441">
        <v>0</v>
      </c>
      <c r="J635" s="449">
        <v>0.22</v>
      </c>
      <c r="K635" s="449">
        <v>0.11</v>
      </c>
    </row>
    <row r="636" customHeight="1" spans="1:11">
      <c r="A636" s="434"/>
      <c r="B636" s="434"/>
      <c r="C636" s="434"/>
      <c r="D636" s="434"/>
      <c r="E636" s="434"/>
      <c r="F636" s="434" t="s">
        <v>1735</v>
      </c>
      <c r="G636" s="435">
        <v>0.71</v>
      </c>
      <c r="H636" s="434" t="s">
        <v>1736</v>
      </c>
      <c r="I636" s="435">
        <v>0.66</v>
      </c>
      <c r="J636" s="434" t="s">
        <v>1737</v>
      </c>
      <c r="K636" s="435">
        <v>1.37</v>
      </c>
    </row>
    <row r="637" customHeight="1" spans="1:11">
      <c r="A637" s="434"/>
      <c r="B637" s="434"/>
      <c r="C637" s="434"/>
      <c r="D637" s="434"/>
      <c r="E637" s="434"/>
      <c r="F637" s="434" t="s">
        <v>1738</v>
      </c>
      <c r="G637" s="435">
        <v>2.96</v>
      </c>
      <c r="H637" s="434"/>
      <c r="I637" s="434" t="s">
        <v>1739</v>
      </c>
      <c r="J637" s="434"/>
      <c r="K637" s="435">
        <v>14.99</v>
      </c>
    </row>
    <row r="638" customHeight="1" spans="1:11">
      <c r="A638" s="436"/>
      <c r="B638" s="436"/>
      <c r="C638" s="436"/>
      <c r="D638" s="436"/>
      <c r="E638" s="436"/>
      <c r="F638" s="436"/>
      <c r="G638" s="436"/>
      <c r="H638" s="436" t="s">
        <v>1740</v>
      </c>
      <c r="I638" s="447" t="s">
        <v>2047</v>
      </c>
      <c r="J638" s="436" t="s">
        <v>1742</v>
      </c>
      <c r="K638" s="448">
        <v>29530.3</v>
      </c>
    </row>
    <row r="639" customHeight="1" spans="1:11">
      <c r="A639" s="437"/>
      <c r="B639" s="437"/>
      <c r="C639" s="437"/>
      <c r="D639" s="437"/>
      <c r="E639" s="437"/>
      <c r="F639" s="437"/>
      <c r="G639" s="437"/>
      <c r="H639" s="437"/>
      <c r="I639" s="437"/>
      <c r="J639" s="437"/>
      <c r="K639" s="437"/>
    </row>
    <row r="640" customHeight="1" spans="1:11">
      <c r="A640" s="423" t="s">
        <v>241</v>
      </c>
      <c r="B640" s="424" t="s">
        <v>1714</v>
      </c>
      <c r="C640" s="423" t="s">
        <v>1715</v>
      </c>
      <c r="D640" s="423" t="s">
        <v>1716</v>
      </c>
      <c r="E640" s="423" t="s">
        <v>1717</v>
      </c>
      <c r="F640" s="423"/>
      <c r="G640" s="425" t="s">
        <v>1718</v>
      </c>
      <c r="H640" s="424" t="s">
        <v>1719</v>
      </c>
      <c r="I640" s="424" t="s">
        <v>1720</v>
      </c>
      <c r="J640" s="424" t="s">
        <v>1721</v>
      </c>
      <c r="K640" s="424" t="s">
        <v>1722</v>
      </c>
    </row>
    <row r="641" customHeight="1" spans="1:11">
      <c r="A641" s="426" t="s">
        <v>1723</v>
      </c>
      <c r="B641" s="427" t="s">
        <v>224</v>
      </c>
      <c r="C641" s="426" t="s">
        <v>71</v>
      </c>
      <c r="D641" s="426" t="s">
        <v>225</v>
      </c>
      <c r="E641" s="426" t="s">
        <v>1632</v>
      </c>
      <c r="F641" s="426"/>
      <c r="G641" s="428" t="s">
        <v>158</v>
      </c>
      <c r="H641" s="429">
        <v>1</v>
      </c>
      <c r="I641" s="445"/>
      <c r="J641" s="445">
        <v>10.02</v>
      </c>
      <c r="K641" s="445">
        <v>10.02</v>
      </c>
    </row>
    <row r="642" customHeight="1" spans="1:11">
      <c r="A642" s="430" t="s">
        <v>1724</v>
      </c>
      <c r="B642" s="431" t="s">
        <v>1956</v>
      </c>
      <c r="C642" s="430" t="s">
        <v>71</v>
      </c>
      <c r="D642" s="430" t="s">
        <v>1957</v>
      </c>
      <c r="E642" s="430" t="s">
        <v>1708</v>
      </c>
      <c r="F642" s="430"/>
      <c r="G642" s="432" t="s">
        <v>82</v>
      </c>
      <c r="H642" s="433">
        <v>0.0042</v>
      </c>
      <c r="I642" s="433">
        <v>0</v>
      </c>
      <c r="J642" s="446">
        <v>30.06</v>
      </c>
      <c r="K642" s="446">
        <v>0.12</v>
      </c>
    </row>
    <row r="643" customHeight="1" spans="1:11">
      <c r="A643" s="430" t="s">
        <v>1724</v>
      </c>
      <c r="B643" s="431" t="s">
        <v>1973</v>
      </c>
      <c r="C643" s="430" t="s">
        <v>71</v>
      </c>
      <c r="D643" s="430" t="s">
        <v>1974</v>
      </c>
      <c r="E643" s="430" t="s">
        <v>1632</v>
      </c>
      <c r="F643" s="430"/>
      <c r="G643" s="432" t="s">
        <v>158</v>
      </c>
      <c r="H643" s="433">
        <v>1</v>
      </c>
      <c r="I643" s="433">
        <v>0</v>
      </c>
      <c r="J643" s="446">
        <v>8.35</v>
      </c>
      <c r="K643" s="446">
        <v>8.35</v>
      </c>
    </row>
    <row r="644" customHeight="1" spans="1:11">
      <c r="A644" s="430" t="s">
        <v>1724</v>
      </c>
      <c r="B644" s="431" t="s">
        <v>1958</v>
      </c>
      <c r="C644" s="430" t="s">
        <v>71</v>
      </c>
      <c r="D644" s="430" t="s">
        <v>1959</v>
      </c>
      <c r="E644" s="430" t="s">
        <v>1708</v>
      </c>
      <c r="F644" s="430"/>
      <c r="G644" s="432" t="s">
        <v>82</v>
      </c>
      <c r="H644" s="433">
        <v>0.0257</v>
      </c>
      <c r="I644" s="433">
        <v>0</v>
      </c>
      <c r="J644" s="446">
        <v>35.95</v>
      </c>
      <c r="K644" s="446">
        <v>0.92</v>
      </c>
    </row>
    <row r="645" customHeight="1" spans="1:11">
      <c r="A645" s="438" t="s">
        <v>1750</v>
      </c>
      <c r="B645" s="439" t="s">
        <v>1962</v>
      </c>
      <c r="C645" s="438" t="s">
        <v>71</v>
      </c>
      <c r="D645" s="438" t="s">
        <v>1963</v>
      </c>
      <c r="E645" s="438" t="s">
        <v>1631</v>
      </c>
      <c r="F645" s="438"/>
      <c r="G645" s="440" t="s">
        <v>105</v>
      </c>
      <c r="H645" s="441">
        <v>0.367</v>
      </c>
      <c r="I645" s="441">
        <v>0</v>
      </c>
      <c r="J645" s="449">
        <v>0.22</v>
      </c>
      <c r="K645" s="449">
        <v>0.08</v>
      </c>
    </row>
    <row r="646" customHeight="1" spans="1:11">
      <c r="A646" s="438" t="s">
        <v>1750</v>
      </c>
      <c r="B646" s="439" t="s">
        <v>1960</v>
      </c>
      <c r="C646" s="438" t="s">
        <v>71</v>
      </c>
      <c r="D646" s="438" t="s">
        <v>1961</v>
      </c>
      <c r="E646" s="438" t="s">
        <v>1631</v>
      </c>
      <c r="F646" s="438"/>
      <c r="G646" s="440" t="s">
        <v>158</v>
      </c>
      <c r="H646" s="441">
        <v>0.025</v>
      </c>
      <c r="I646" s="441">
        <v>0</v>
      </c>
      <c r="J646" s="449">
        <v>22</v>
      </c>
      <c r="K646" s="449">
        <v>0.55</v>
      </c>
    </row>
    <row r="647" customHeight="1" spans="1:11">
      <c r="A647" s="434"/>
      <c r="B647" s="434"/>
      <c r="C647" s="434"/>
      <c r="D647" s="434"/>
      <c r="E647" s="434"/>
      <c r="F647" s="434" t="s">
        <v>1735</v>
      </c>
      <c r="G647" s="435">
        <v>0.45</v>
      </c>
      <c r="H647" s="434" t="s">
        <v>1736</v>
      </c>
      <c r="I647" s="435">
        <v>0.42</v>
      </c>
      <c r="J647" s="434" t="s">
        <v>1737</v>
      </c>
      <c r="K647" s="435">
        <v>0.87</v>
      </c>
    </row>
    <row r="648" customHeight="1" spans="1:11">
      <c r="A648" s="434"/>
      <c r="B648" s="434"/>
      <c r="C648" s="434"/>
      <c r="D648" s="434"/>
      <c r="E648" s="434"/>
      <c r="F648" s="434" t="s">
        <v>1738</v>
      </c>
      <c r="G648" s="435">
        <v>2.47</v>
      </c>
      <c r="H648" s="434"/>
      <c r="I648" s="434" t="s">
        <v>1739</v>
      </c>
      <c r="J648" s="434"/>
      <c r="K648" s="435">
        <v>12.49</v>
      </c>
    </row>
    <row r="649" customHeight="1" spans="1:11">
      <c r="A649" s="436"/>
      <c r="B649" s="436"/>
      <c r="C649" s="436"/>
      <c r="D649" s="436"/>
      <c r="E649" s="436"/>
      <c r="F649" s="436"/>
      <c r="G649" s="436"/>
      <c r="H649" s="436" t="s">
        <v>1740</v>
      </c>
      <c r="I649" s="447" t="s">
        <v>2048</v>
      </c>
      <c r="J649" s="436" t="s">
        <v>1742</v>
      </c>
      <c r="K649" s="448">
        <v>14167.4</v>
      </c>
    </row>
    <row r="650" customHeight="1" spans="1:11">
      <c r="A650" s="437"/>
      <c r="B650" s="437"/>
      <c r="C650" s="437"/>
      <c r="D650" s="437"/>
      <c r="E650" s="437"/>
      <c r="F650" s="437"/>
      <c r="G650" s="437"/>
      <c r="H650" s="437"/>
      <c r="I650" s="437"/>
      <c r="J650" s="437"/>
      <c r="K650" s="437"/>
    </row>
    <row r="651" customHeight="1" spans="1:11">
      <c r="A651" s="423" t="s">
        <v>242</v>
      </c>
      <c r="B651" s="424" t="s">
        <v>1714</v>
      </c>
      <c r="C651" s="423" t="s">
        <v>1715</v>
      </c>
      <c r="D651" s="423" t="s">
        <v>1716</v>
      </c>
      <c r="E651" s="423" t="s">
        <v>1717</v>
      </c>
      <c r="F651" s="423"/>
      <c r="G651" s="425" t="s">
        <v>1718</v>
      </c>
      <c r="H651" s="424" t="s">
        <v>1719</v>
      </c>
      <c r="I651" s="424" t="s">
        <v>1720</v>
      </c>
      <c r="J651" s="424" t="s">
        <v>1721</v>
      </c>
      <c r="K651" s="424" t="s">
        <v>1722</v>
      </c>
    </row>
    <row r="652" customHeight="1" spans="1:11">
      <c r="A652" s="426" t="s">
        <v>1723</v>
      </c>
      <c r="B652" s="427" t="s">
        <v>227</v>
      </c>
      <c r="C652" s="426" t="s">
        <v>71</v>
      </c>
      <c r="D652" s="426" t="s">
        <v>228</v>
      </c>
      <c r="E652" s="426" t="s">
        <v>1632</v>
      </c>
      <c r="F652" s="426"/>
      <c r="G652" s="428" t="s">
        <v>158</v>
      </c>
      <c r="H652" s="429">
        <v>1</v>
      </c>
      <c r="I652" s="445"/>
      <c r="J652" s="445">
        <v>9.61</v>
      </c>
      <c r="K652" s="445">
        <v>9.61</v>
      </c>
    </row>
    <row r="653" customHeight="1" spans="1:11">
      <c r="A653" s="430" t="s">
        <v>1724</v>
      </c>
      <c r="B653" s="431" t="s">
        <v>1956</v>
      </c>
      <c r="C653" s="430" t="s">
        <v>71</v>
      </c>
      <c r="D653" s="430" t="s">
        <v>1957</v>
      </c>
      <c r="E653" s="430" t="s">
        <v>1708</v>
      </c>
      <c r="F653" s="430"/>
      <c r="G653" s="432" t="s">
        <v>82</v>
      </c>
      <c r="H653" s="433">
        <v>0.0032</v>
      </c>
      <c r="I653" s="433">
        <v>0</v>
      </c>
      <c r="J653" s="446">
        <v>30.06</v>
      </c>
      <c r="K653" s="446">
        <v>0.09</v>
      </c>
    </row>
    <row r="654" customHeight="1" spans="1:11">
      <c r="A654" s="430" t="s">
        <v>1724</v>
      </c>
      <c r="B654" s="431" t="s">
        <v>1976</v>
      </c>
      <c r="C654" s="430" t="s">
        <v>71</v>
      </c>
      <c r="D654" s="430" t="s">
        <v>1977</v>
      </c>
      <c r="E654" s="430" t="s">
        <v>1632</v>
      </c>
      <c r="F654" s="430"/>
      <c r="G654" s="432" t="s">
        <v>158</v>
      </c>
      <c r="H654" s="433">
        <v>1</v>
      </c>
      <c r="I654" s="433">
        <v>0</v>
      </c>
      <c r="J654" s="446">
        <v>8.24</v>
      </c>
      <c r="K654" s="446">
        <v>8.24</v>
      </c>
    </row>
    <row r="655" customHeight="1" spans="1:11">
      <c r="A655" s="430" t="s">
        <v>1724</v>
      </c>
      <c r="B655" s="431" t="s">
        <v>1958</v>
      </c>
      <c r="C655" s="430" t="s">
        <v>71</v>
      </c>
      <c r="D655" s="430" t="s">
        <v>1959</v>
      </c>
      <c r="E655" s="430" t="s">
        <v>1708</v>
      </c>
      <c r="F655" s="430"/>
      <c r="G655" s="432" t="s">
        <v>82</v>
      </c>
      <c r="H655" s="433">
        <v>0.0194</v>
      </c>
      <c r="I655" s="433">
        <v>0</v>
      </c>
      <c r="J655" s="446">
        <v>35.95</v>
      </c>
      <c r="K655" s="446">
        <v>0.69</v>
      </c>
    </row>
    <row r="656" customHeight="1" spans="1:11">
      <c r="A656" s="438" t="s">
        <v>1750</v>
      </c>
      <c r="B656" s="439" t="s">
        <v>1962</v>
      </c>
      <c r="C656" s="438" t="s">
        <v>71</v>
      </c>
      <c r="D656" s="438" t="s">
        <v>1963</v>
      </c>
      <c r="E656" s="438" t="s">
        <v>1631</v>
      </c>
      <c r="F656" s="438"/>
      <c r="G656" s="440" t="s">
        <v>105</v>
      </c>
      <c r="H656" s="441">
        <v>0.212</v>
      </c>
      <c r="I656" s="441">
        <v>0</v>
      </c>
      <c r="J656" s="449">
        <v>0.22</v>
      </c>
      <c r="K656" s="449">
        <v>0.04</v>
      </c>
    </row>
    <row r="657" customHeight="1" spans="1:11">
      <c r="A657" s="438" t="s">
        <v>1750</v>
      </c>
      <c r="B657" s="439" t="s">
        <v>1960</v>
      </c>
      <c r="C657" s="438" t="s">
        <v>71</v>
      </c>
      <c r="D657" s="438" t="s">
        <v>1961</v>
      </c>
      <c r="E657" s="438" t="s">
        <v>1631</v>
      </c>
      <c r="F657" s="438"/>
      <c r="G657" s="440" t="s">
        <v>158</v>
      </c>
      <c r="H657" s="441">
        <v>0.025</v>
      </c>
      <c r="I657" s="441">
        <v>0</v>
      </c>
      <c r="J657" s="449">
        <v>22</v>
      </c>
      <c r="K657" s="449">
        <v>0.55</v>
      </c>
    </row>
    <row r="658" customHeight="1" spans="1:11">
      <c r="A658" s="434"/>
      <c r="B658" s="434"/>
      <c r="C658" s="434"/>
      <c r="D658" s="434"/>
      <c r="E658" s="434"/>
      <c r="F658" s="434" t="s">
        <v>1735</v>
      </c>
      <c r="G658" s="435">
        <v>0.32</v>
      </c>
      <c r="H658" s="434" t="s">
        <v>1736</v>
      </c>
      <c r="I658" s="435">
        <v>0.3</v>
      </c>
      <c r="J658" s="434" t="s">
        <v>1737</v>
      </c>
      <c r="K658" s="435">
        <v>0.62</v>
      </c>
    </row>
    <row r="659" customHeight="1" spans="1:11">
      <c r="A659" s="434"/>
      <c r="B659" s="434"/>
      <c r="C659" s="434"/>
      <c r="D659" s="434"/>
      <c r="E659" s="434"/>
      <c r="F659" s="434" t="s">
        <v>1738</v>
      </c>
      <c r="G659" s="435">
        <v>2.36</v>
      </c>
      <c r="H659" s="434"/>
      <c r="I659" s="434" t="s">
        <v>1739</v>
      </c>
      <c r="J659" s="434"/>
      <c r="K659" s="435">
        <v>11.97</v>
      </c>
    </row>
    <row r="660" customHeight="1" spans="1:11">
      <c r="A660" s="436"/>
      <c r="B660" s="436"/>
      <c r="C660" s="436"/>
      <c r="D660" s="436"/>
      <c r="E660" s="436"/>
      <c r="F660" s="436"/>
      <c r="G660" s="436"/>
      <c r="H660" s="436" t="s">
        <v>1740</v>
      </c>
      <c r="I660" s="447" t="s">
        <v>2049</v>
      </c>
      <c r="J660" s="436" t="s">
        <v>1742</v>
      </c>
      <c r="K660" s="448">
        <v>43939.47</v>
      </c>
    </row>
    <row r="661" customHeight="1" spans="1:11">
      <c r="A661" s="437"/>
      <c r="B661" s="437"/>
      <c r="C661" s="437"/>
      <c r="D661" s="437"/>
      <c r="E661" s="437"/>
      <c r="F661" s="437"/>
      <c r="G661" s="437"/>
      <c r="H661" s="437"/>
      <c r="I661" s="437"/>
      <c r="J661" s="437"/>
      <c r="K661" s="437"/>
    </row>
    <row r="662" customHeight="1" spans="1:11">
      <c r="A662" s="423" t="s">
        <v>243</v>
      </c>
      <c r="B662" s="424" t="s">
        <v>1714</v>
      </c>
      <c r="C662" s="423" t="s">
        <v>1715</v>
      </c>
      <c r="D662" s="423" t="s">
        <v>1716</v>
      </c>
      <c r="E662" s="423" t="s">
        <v>1717</v>
      </c>
      <c r="F662" s="423"/>
      <c r="G662" s="425" t="s">
        <v>1718</v>
      </c>
      <c r="H662" s="424" t="s">
        <v>1719</v>
      </c>
      <c r="I662" s="424" t="s">
        <v>1720</v>
      </c>
      <c r="J662" s="424" t="s">
        <v>1721</v>
      </c>
      <c r="K662" s="424" t="s">
        <v>1722</v>
      </c>
    </row>
    <row r="663" customHeight="1" spans="1:11">
      <c r="A663" s="426" t="s">
        <v>1723</v>
      </c>
      <c r="B663" s="427" t="s">
        <v>244</v>
      </c>
      <c r="C663" s="426" t="s">
        <v>71</v>
      </c>
      <c r="D663" s="426" t="s">
        <v>245</v>
      </c>
      <c r="E663" s="426" t="s">
        <v>1632</v>
      </c>
      <c r="F663" s="426"/>
      <c r="G663" s="428" t="s">
        <v>158</v>
      </c>
      <c r="H663" s="429">
        <v>1</v>
      </c>
      <c r="I663" s="445"/>
      <c r="J663" s="445">
        <v>10.88</v>
      </c>
      <c r="K663" s="445">
        <v>10.88</v>
      </c>
    </row>
    <row r="664" customHeight="1" spans="1:11">
      <c r="A664" s="430" t="s">
        <v>1724</v>
      </c>
      <c r="B664" s="431" t="s">
        <v>1956</v>
      </c>
      <c r="C664" s="430" t="s">
        <v>71</v>
      </c>
      <c r="D664" s="430" t="s">
        <v>1957</v>
      </c>
      <c r="E664" s="430" t="s">
        <v>1708</v>
      </c>
      <c r="F664" s="430"/>
      <c r="G664" s="432" t="s">
        <v>82</v>
      </c>
      <c r="H664" s="433">
        <v>0.0025</v>
      </c>
      <c r="I664" s="433">
        <v>0</v>
      </c>
      <c r="J664" s="446">
        <v>30.06</v>
      </c>
      <c r="K664" s="446">
        <v>0.07</v>
      </c>
    </row>
    <row r="665" customHeight="1" spans="1:11">
      <c r="A665" s="430" t="s">
        <v>1724</v>
      </c>
      <c r="B665" s="431" t="s">
        <v>2050</v>
      </c>
      <c r="C665" s="430" t="s">
        <v>71</v>
      </c>
      <c r="D665" s="430" t="s">
        <v>2051</v>
      </c>
      <c r="E665" s="430" t="s">
        <v>1632</v>
      </c>
      <c r="F665" s="430"/>
      <c r="G665" s="432" t="s">
        <v>158</v>
      </c>
      <c r="H665" s="433">
        <v>1</v>
      </c>
      <c r="I665" s="433">
        <v>0</v>
      </c>
      <c r="J665" s="446">
        <v>9.7</v>
      </c>
      <c r="K665" s="446">
        <v>9.7</v>
      </c>
    </row>
    <row r="666" customHeight="1" spans="1:11">
      <c r="A666" s="430" t="s">
        <v>1724</v>
      </c>
      <c r="B666" s="431" t="s">
        <v>1958</v>
      </c>
      <c r="C666" s="430" t="s">
        <v>71</v>
      </c>
      <c r="D666" s="430" t="s">
        <v>1959</v>
      </c>
      <c r="E666" s="430" t="s">
        <v>1708</v>
      </c>
      <c r="F666" s="430"/>
      <c r="G666" s="432" t="s">
        <v>82</v>
      </c>
      <c r="H666" s="433">
        <v>0.0152</v>
      </c>
      <c r="I666" s="433">
        <v>0</v>
      </c>
      <c r="J666" s="446">
        <v>35.95</v>
      </c>
      <c r="K666" s="446">
        <v>0.54</v>
      </c>
    </row>
    <row r="667" customHeight="1" spans="1:11">
      <c r="A667" s="438" t="s">
        <v>1750</v>
      </c>
      <c r="B667" s="439" t="s">
        <v>1962</v>
      </c>
      <c r="C667" s="438" t="s">
        <v>71</v>
      </c>
      <c r="D667" s="438" t="s">
        <v>1963</v>
      </c>
      <c r="E667" s="438" t="s">
        <v>1631</v>
      </c>
      <c r="F667" s="438"/>
      <c r="G667" s="440" t="s">
        <v>105</v>
      </c>
      <c r="H667" s="441">
        <v>0.113</v>
      </c>
      <c r="I667" s="441">
        <v>0</v>
      </c>
      <c r="J667" s="449">
        <v>0.22</v>
      </c>
      <c r="K667" s="449">
        <v>0.02</v>
      </c>
    </row>
    <row r="668" customHeight="1" spans="1:11">
      <c r="A668" s="438" t="s">
        <v>1750</v>
      </c>
      <c r="B668" s="439" t="s">
        <v>1960</v>
      </c>
      <c r="C668" s="438" t="s">
        <v>71</v>
      </c>
      <c r="D668" s="438" t="s">
        <v>1961</v>
      </c>
      <c r="E668" s="438" t="s">
        <v>1631</v>
      </c>
      <c r="F668" s="438"/>
      <c r="G668" s="440" t="s">
        <v>158</v>
      </c>
      <c r="H668" s="441">
        <v>0.025</v>
      </c>
      <c r="I668" s="441">
        <v>0</v>
      </c>
      <c r="J668" s="449">
        <v>22</v>
      </c>
      <c r="K668" s="449">
        <v>0.55</v>
      </c>
    </row>
    <row r="669" customHeight="1" spans="1:11">
      <c r="A669" s="434"/>
      <c r="B669" s="434"/>
      <c r="C669" s="434"/>
      <c r="D669" s="434"/>
      <c r="E669" s="434"/>
      <c r="F669" s="434" t="s">
        <v>1735</v>
      </c>
      <c r="G669" s="435">
        <v>0.24</v>
      </c>
      <c r="H669" s="434" t="s">
        <v>1736</v>
      </c>
      <c r="I669" s="435">
        <v>0.23</v>
      </c>
      <c r="J669" s="434" t="s">
        <v>1737</v>
      </c>
      <c r="K669" s="435">
        <v>0.47</v>
      </c>
    </row>
    <row r="670" customHeight="1" spans="1:11">
      <c r="A670" s="434"/>
      <c r="B670" s="434"/>
      <c r="C670" s="434"/>
      <c r="D670" s="434"/>
      <c r="E670" s="434"/>
      <c r="F670" s="434" t="s">
        <v>1738</v>
      </c>
      <c r="G670" s="435">
        <v>2.68</v>
      </c>
      <c r="H670" s="434"/>
      <c r="I670" s="434" t="s">
        <v>1739</v>
      </c>
      <c r="J670" s="434"/>
      <c r="K670" s="435">
        <v>13.56</v>
      </c>
    </row>
    <row r="671" customHeight="1" spans="1:11">
      <c r="A671" s="436"/>
      <c r="B671" s="436"/>
      <c r="C671" s="436"/>
      <c r="D671" s="436"/>
      <c r="E671" s="436"/>
      <c r="F671" s="436"/>
      <c r="G671" s="436"/>
      <c r="H671" s="436" t="s">
        <v>1740</v>
      </c>
      <c r="I671" s="447" t="s">
        <v>2052</v>
      </c>
      <c r="J671" s="436" t="s">
        <v>1742</v>
      </c>
      <c r="K671" s="448">
        <v>14034.6</v>
      </c>
    </row>
    <row r="672" customHeight="1" spans="1:11">
      <c r="A672" s="437"/>
      <c r="B672" s="437"/>
      <c r="C672" s="437"/>
      <c r="D672" s="437"/>
      <c r="E672" s="437"/>
      <c r="F672" s="437"/>
      <c r="G672" s="437"/>
      <c r="H672" s="437"/>
      <c r="I672" s="437"/>
      <c r="J672" s="437"/>
      <c r="K672" s="437"/>
    </row>
    <row r="673" customHeight="1" spans="1:11">
      <c r="A673" s="422" t="s">
        <v>246</v>
      </c>
      <c r="B673" s="422"/>
      <c r="C673" s="422"/>
      <c r="D673" s="422" t="s">
        <v>247</v>
      </c>
      <c r="E673" s="422"/>
      <c r="F673" s="422"/>
      <c r="G673" s="422"/>
      <c r="H673" s="422"/>
      <c r="I673" s="443"/>
      <c r="J673" s="422"/>
      <c r="K673" s="444">
        <v>408923.91</v>
      </c>
    </row>
    <row r="674" customHeight="1" spans="1:11">
      <c r="A674" s="423" t="s">
        <v>248</v>
      </c>
      <c r="B674" s="424" t="s">
        <v>1714</v>
      </c>
      <c r="C674" s="423" t="s">
        <v>1715</v>
      </c>
      <c r="D674" s="423" t="s">
        <v>1716</v>
      </c>
      <c r="E674" s="423" t="s">
        <v>1717</v>
      </c>
      <c r="F674" s="423"/>
      <c r="G674" s="425" t="s">
        <v>1718</v>
      </c>
      <c r="H674" s="424" t="s">
        <v>1719</v>
      </c>
      <c r="I674" s="424" t="s">
        <v>1720</v>
      </c>
      <c r="J674" s="424" t="s">
        <v>1721</v>
      </c>
      <c r="K674" s="424" t="s">
        <v>1722</v>
      </c>
    </row>
    <row r="675" customHeight="1" spans="1:11">
      <c r="A675" s="426" t="s">
        <v>1723</v>
      </c>
      <c r="B675" s="427" t="s">
        <v>249</v>
      </c>
      <c r="C675" s="426" t="s">
        <v>71</v>
      </c>
      <c r="D675" s="426" t="s">
        <v>250</v>
      </c>
      <c r="E675" s="426" t="s">
        <v>1626</v>
      </c>
      <c r="F675" s="426"/>
      <c r="G675" s="428" t="s">
        <v>73</v>
      </c>
      <c r="H675" s="429">
        <v>1</v>
      </c>
      <c r="I675" s="445"/>
      <c r="J675" s="445">
        <v>73.76</v>
      </c>
      <c r="K675" s="445">
        <v>73.76</v>
      </c>
    </row>
    <row r="676" customHeight="1" spans="1:11">
      <c r="A676" s="430" t="s">
        <v>1724</v>
      </c>
      <c r="B676" s="431" t="s">
        <v>1800</v>
      </c>
      <c r="C676" s="430" t="s">
        <v>71</v>
      </c>
      <c r="D676" s="430" t="s">
        <v>1801</v>
      </c>
      <c r="E676" s="430" t="s">
        <v>1708</v>
      </c>
      <c r="F676" s="430"/>
      <c r="G676" s="432" t="s">
        <v>82</v>
      </c>
      <c r="H676" s="433">
        <v>0.126</v>
      </c>
      <c r="I676" s="433">
        <v>0</v>
      </c>
      <c r="J676" s="446">
        <v>29.91</v>
      </c>
      <c r="K676" s="446">
        <v>3.76</v>
      </c>
    </row>
    <row r="677" customHeight="1" spans="1:11">
      <c r="A677" s="430" t="s">
        <v>1724</v>
      </c>
      <c r="B677" s="431" t="s">
        <v>1743</v>
      </c>
      <c r="C677" s="430" t="s">
        <v>71</v>
      </c>
      <c r="D677" s="430" t="s">
        <v>1744</v>
      </c>
      <c r="E677" s="430" t="s">
        <v>1708</v>
      </c>
      <c r="F677" s="430"/>
      <c r="G677" s="432" t="s">
        <v>82</v>
      </c>
      <c r="H677" s="433">
        <v>0.687</v>
      </c>
      <c r="I677" s="433">
        <v>0</v>
      </c>
      <c r="J677" s="446">
        <v>37.51</v>
      </c>
      <c r="K677" s="446">
        <v>25.76</v>
      </c>
    </row>
    <row r="678" customHeight="1" spans="1:11">
      <c r="A678" s="430" t="s">
        <v>1724</v>
      </c>
      <c r="B678" s="431" t="s">
        <v>2053</v>
      </c>
      <c r="C678" s="430" t="s">
        <v>71</v>
      </c>
      <c r="D678" s="430" t="s">
        <v>2054</v>
      </c>
      <c r="E678" s="430" t="s">
        <v>1626</v>
      </c>
      <c r="F678" s="430"/>
      <c r="G678" s="432" t="s">
        <v>73</v>
      </c>
      <c r="H678" s="433">
        <v>0.577</v>
      </c>
      <c r="I678" s="433">
        <v>0</v>
      </c>
      <c r="J678" s="446">
        <v>49.58</v>
      </c>
      <c r="K678" s="446">
        <v>28.6</v>
      </c>
    </row>
    <row r="679" customHeight="1" spans="1:11">
      <c r="A679" s="438" t="s">
        <v>1750</v>
      </c>
      <c r="B679" s="439" t="s">
        <v>1943</v>
      </c>
      <c r="C679" s="438" t="s">
        <v>71</v>
      </c>
      <c r="D679" s="438" t="s">
        <v>1944</v>
      </c>
      <c r="E679" s="438" t="s">
        <v>1631</v>
      </c>
      <c r="F679" s="438"/>
      <c r="G679" s="440" t="s">
        <v>1945</v>
      </c>
      <c r="H679" s="441">
        <v>0.01</v>
      </c>
      <c r="I679" s="441">
        <v>0</v>
      </c>
      <c r="J679" s="449">
        <v>7.97</v>
      </c>
      <c r="K679" s="449">
        <v>0.07</v>
      </c>
    </row>
    <row r="680" customHeight="1" spans="1:11">
      <c r="A680" s="438" t="s">
        <v>1750</v>
      </c>
      <c r="B680" s="439" t="s">
        <v>2055</v>
      </c>
      <c r="C680" s="438" t="s">
        <v>71</v>
      </c>
      <c r="D680" s="438" t="s">
        <v>2056</v>
      </c>
      <c r="E680" s="438" t="s">
        <v>1892</v>
      </c>
      <c r="F680" s="438"/>
      <c r="G680" s="440" t="s">
        <v>93</v>
      </c>
      <c r="H680" s="441">
        <v>0.397</v>
      </c>
      <c r="I680" s="441">
        <v>0</v>
      </c>
      <c r="J680" s="449">
        <v>26.62</v>
      </c>
      <c r="K680" s="449">
        <v>10.56</v>
      </c>
    </row>
    <row r="681" customHeight="1" spans="1:11">
      <c r="A681" s="438" t="s">
        <v>1750</v>
      </c>
      <c r="B681" s="439" t="s">
        <v>2057</v>
      </c>
      <c r="C681" s="438" t="s">
        <v>71</v>
      </c>
      <c r="D681" s="438" t="s">
        <v>2058</v>
      </c>
      <c r="E681" s="438" t="s">
        <v>1631</v>
      </c>
      <c r="F681" s="438"/>
      <c r="G681" s="440" t="s">
        <v>78</v>
      </c>
      <c r="H681" s="441">
        <v>0.038</v>
      </c>
      <c r="I681" s="441">
        <v>0</v>
      </c>
      <c r="J681" s="449">
        <v>132.03</v>
      </c>
      <c r="K681" s="449">
        <v>5.01</v>
      </c>
    </row>
    <row r="682" customHeight="1" spans="1:11">
      <c r="A682" s="434"/>
      <c r="B682" s="434"/>
      <c r="C682" s="434"/>
      <c r="D682" s="434"/>
      <c r="E682" s="434"/>
      <c r="F682" s="434" t="s">
        <v>1735</v>
      </c>
      <c r="G682" s="435">
        <v>11.61</v>
      </c>
      <c r="H682" s="434" t="s">
        <v>1736</v>
      </c>
      <c r="I682" s="435">
        <v>10.56</v>
      </c>
      <c r="J682" s="434" t="s">
        <v>1737</v>
      </c>
      <c r="K682" s="435">
        <v>22.17</v>
      </c>
    </row>
    <row r="683" customHeight="1" spans="1:11">
      <c r="A683" s="434"/>
      <c r="B683" s="434"/>
      <c r="C683" s="434"/>
      <c r="D683" s="434"/>
      <c r="E683" s="434"/>
      <c r="F683" s="434" t="s">
        <v>1738</v>
      </c>
      <c r="G683" s="435">
        <v>18.18</v>
      </c>
      <c r="H683" s="434"/>
      <c r="I683" s="434" t="s">
        <v>1739</v>
      </c>
      <c r="J683" s="434"/>
      <c r="K683" s="435">
        <v>91.94</v>
      </c>
    </row>
    <row r="684" customHeight="1" spans="1:11">
      <c r="A684" s="436"/>
      <c r="B684" s="436"/>
      <c r="C684" s="436"/>
      <c r="D684" s="436"/>
      <c r="E684" s="436"/>
      <c r="F684" s="436"/>
      <c r="G684" s="436"/>
      <c r="H684" s="436" t="s">
        <v>1740</v>
      </c>
      <c r="I684" s="447" t="s">
        <v>2059</v>
      </c>
      <c r="J684" s="436" t="s">
        <v>1742</v>
      </c>
      <c r="K684" s="448">
        <v>14456.64</v>
      </c>
    </row>
    <row r="685" customHeight="1" spans="1:11">
      <c r="A685" s="437"/>
      <c r="B685" s="437"/>
      <c r="C685" s="437"/>
      <c r="D685" s="437"/>
      <c r="E685" s="437"/>
      <c r="F685" s="437"/>
      <c r="G685" s="437"/>
      <c r="H685" s="437"/>
      <c r="I685" s="437"/>
      <c r="J685" s="437"/>
      <c r="K685" s="437"/>
    </row>
    <row r="686" customHeight="1" spans="1:11">
      <c r="A686" s="423" t="s">
        <v>251</v>
      </c>
      <c r="B686" s="424" t="s">
        <v>1714</v>
      </c>
      <c r="C686" s="423" t="s">
        <v>1715</v>
      </c>
      <c r="D686" s="423" t="s">
        <v>1716</v>
      </c>
      <c r="E686" s="423" t="s">
        <v>1717</v>
      </c>
      <c r="F686" s="423"/>
      <c r="G686" s="425" t="s">
        <v>1718</v>
      </c>
      <c r="H686" s="424" t="s">
        <v>1719</v>
      </c>
      <c r="I686" s="424" t="s">
        <v>1720</v>
      </c>
      <c r="J686" s="424" t="s">
        <v>1721</v>
      </c>
      <c r="K686" s="424" t="s">
        <v>1722</v>
      </c>
    </row>
    <row r="687" customHeight="1" spans="1:11">
      <c r="A687" s="426" t="s">
        <v>1723</v>
      </c>
      <c r="B687" s="427" t="s">
        <v>252</v>
      </c>
      <c r="C687" s="426" t="s">
        <v>71</v>
      </c>
      <c r="D687" s="426" t="s">
        <v>253</v>
      </c>
      <c r="E687" s="426" t="s">
        <v>1632</v>
      </c>
      <c r="F687" s="426"/>
      <c r="G687" s="428" t="s">
        <v>158</v>
      </c>
      <c r="H687" s="429">
        <v>1</v>
      </c>
      <c r="I687" s="445"/>
      <c r="J687" s="445">
        <v>15.37</v>
      </c>
      <c r="K687" s="445">
        <v>15.37</v>
      </c>
    </row>
    <row r="688" customHeight="1" spans="1:11">
      <c r="A688" s="430" t="s">
        <v>1724</v>
      </c>
      <c r="B688" s="431" t="s">
        <v>1954</v>
      </c>
      <c r="C688" s="430" t="s">
        <v>71</v>
      </c>
      <c r="D688" s="430" t="s">
        <v>1955</v>
      </c>
      <c r="E688" s="430" t="s">
        <v>1632</v>
      </c>
      <c r="F688" s="430"/>
      <c r="G688" s="432" t="s">
        <v>158</v>
      </c>
      <c r="H688" s="433">
        <v>1</v>
      </c>
      <c r="I688" s="433">
        <v>0</v>
      </c>
      <c r="J688" s="446">
        <v>10.96</v>
      </c>
      <c r="K688" s="446">
        <v>10.96</v>
      </c>
    </row>
    <row r="689" customHeight="1" spans="1:11">
      <c r="A689" s="430" t="s">
        <v>1724</v>
      </c>
      <c r="B689" s="431" t="s">
        <v>1956</v>
      </c>
      <c r="C689" s="430" t="s">
        <v>71</v>
      </c>
      <c r="D689" s="430" t="s">
        <v>1957</v>
      </c>
      <c r="E689" s="430" t="s">
        <v>1708</v>
      </c>
      <c r="F689" s="430"/>
      <c r="G689" s="432" t="s">
        <v>82</v>
      </c>
      <c r="H689" s="433">
        <v>0.0136</v>
      </c>
      <c r="I689" s="433">
        <v>0</v>
      </c>
      <c r="J689" s="446">
        <v>30.06</v>
      </c>
      <c r="K689" s="446">
        <v>0.4</v>
      </c>
    </row>
    <row r="690" customHeight="1" spans="1:11">
      <c r="A690" s="430" t="s">
        <v>1724</v>
      </c>
      <c r="B690" s="431" t="s">
        <v>1958</v>
      </c>
      <c r="C690" s="430" t="s">
        <v>71</v>
      </c>
      <c r="D690" s="430" t="s">
        <v>1959</v>
      </c>
      <c r="E690" s="430" t="s">
        <v>1708</v>
      </c>
      <c r="F690" s="430"/>
      <c r="G690" s="432" t="s">
        <v>82</v>
      </c>
      <c r="H690" s="433">
        <v>0.0836</v>
      </c>
      <c r="I690" s="433">
        <v>0</v>
      </c>
      <c r="J690" s="446">
        <v>35.95</v>
      </c>
      <c r="K690" s="446">
        <v>3</v>
      </c>
    </row>
    <row r="691" customHeight="1" spans="1:11">
      <c r="A691" s="438" t="s">
        <v>1750</v>
      </c>
      <c r="B691" s="439" t="s">
        <v>1960</v>
      </c>
      <c r="C691" s="438" t="s">
        <v>71</v>
      </c>
      <c r="D691" s="438" t="s">
        <v>1961</v>
      </c>
      <c r="E691" s="438" t="s">
        <v>1631</v>
      </c>
      <c r="F691" s="438"/>
      <c r="G691" s="440" t="s">
        <v>158</v>
      </c>
      <c r="H691" s="441">
        <v>0.025</v>
      </c>
      <c r="I691" s="441">
        <v>0</v>
      </c>
      <c r="J691" s="449">
        <v>22</v>
      </c>
      <c r="K691" s="449">
        <v>0.55</v>
      </c>
    </row>
    <row r="692" customHeight="1" spans="1:11">
      <c r="A692" s="438" t="s">
        <v>1750</v>
      </c>
      <c r="B692" s="439" t="s">
        <v>1962</v>
      </c>
      <c r="C692" s="438" t="s">
        <v>71</v>
      </c>
      <c r="D692" s="438" t="s">
        <v>1963</v>
      </c>
      <c r="E692" s="438" t="s">
        <v>1631</v>
      </c>
      <c r="F692" s="438"/>
      <c r="G692" s="440" t="s">
        <v>105</v>
      </c>
      <c r="H692" s="441">
        <v>2.118</v>
      </c>
      <c r="I692" s="441">
        <v>0</v>
      </c>
      <c r="J692" s="449">
        <v>0.22</v>
      </c>
      <c r="K692" s="449">
        <v>0.46</v>
      </c>
    </row>
    <row r="693" customHeight="1" spans="1:11">
      <c r="A693" s="434"/>
      <c r="B693" s="434"/>
      <c r="C693" s="434"/>
      <c r="D693" s="434"/>
      <c r="E693" s="434"/>
      <c r="F693" s="434" t="s">
        <v>1735</v>
      </c>
      <c r="G693" s="435">
        <v>2.15</v>
      </c>
      <c r="H693" s="434" t="s">
        <v>1736</v>
      </c>
      <c r="I693" s="435">
        <v>1.97</v>
      </c>
      <c r="J693" s="434" t="s">
        <v>1737</v>
      </c>
      <c r="K693" s="435">
        <v>4.12</v>
      </c>
    </row>
    <row r="694" customHeight="1" spans="1:11">
      <c r="A694" s="434"/>
      <c r="B694" s="434"/>
      <c r="C694" s="434"/>
      <c r="D694" s="434"/>
      <c r="E694" s="434"/>
      <c r="F694" s="434" t="s">
        <v>1738</v>
      </c>
      <c r="G694" s="435">
        <v>3.79</v>
      </c>
      <c r="H694" s="434"/>
      <c r="I694" s="434" t="s">
        <v>1739</v>
      </c>
      <c r="J694" s="434"/>
      <c r="K694" s="435">
        <v>19.16</v>
      </c>
    </row>
    <row r="695" customHeight="1" spans="1:11">
      <c r="A695" s="436"/>
      <c r="B695" s="436"/>
      <c r="C695" s="436"/>
      <c r="D695" s="436"/>
      <c r="E695" s="436"/>
      <c r="F695" s="436"/>
      <c r="G695" s="436"/>
      <c r="H695" s="436" t="s">
        <v>1740</v>
      </c>
      <c r="I695" s="447" t="s">
        <v>2060</v>
      </c>
      <c r="J695" s="436" t="s">
        <v>1742</v>
      </c>
      <c r="K695" s="448">
        <v>16238.1</v>
      </c>
    </row>
    <row r="696" customHeight="1" spans="1:11">
      <c r="A696" s="437"/>
      <c r="B696" s="437"/>
      <c r="C696" s="437"/>
      <c r="D696" s="437"/>
      <c r="E696" s="437"/>
      <c r="F696" s="437"/>
      <c r="G696" s="437"/>
      <c r="H696" s="437"/>
      <c r="I696" s="437"/>
      <c r="J696" s="437"/>
      <c r="K696" s="437"/>
    </row>
    <row r="697" customHeight="1" spans="1:11">
      <c r="A697" s="423" t="s">
        <v>254</v>
      </c>
      <c r="B697" s="424" t="s">
        <v>1714</v>
      </c>
      <c r="C697" s="423" t="s">
        <v>1715</v>
      </c>
      <c r="D697" s="423" t="s">
        <v>1716</v>
      </c>
      <c r="E697" s="423" t="s">
        <v>1717</v>
      </c>
      <c r="F697" s="423"/>
      <c r="G697" s="425" t="s">
        <v>1718</v>
      </c>
      <c r="H697" s="424" t="s">
        <v>1719</v>
      </c>
      <c r="I697" s="424" t="s">
        <v>1720</v>
      </c>
      <c r="J697" s="424" t="s">
        <v>1721</v>
      </c>
      <c r="K697" s="424" t="s">
        <v>1722</v>
      </c>
    </row>
    <row r="698" customHeight="1" spans="1:11">
      <c r="A698" s="426" t="s">
        <v>1723</v>
      </c>
      <c r="B698" s="427" t="s">
        <v>255</v>
      </c>
      <c r="C698" s="426" t="s">
        <v>71</v>
      </c>
      <c r="D698" s="426" t="s">
        <v>256</v>
      </c>
      <c r="E698" s="426" t="s">
        <v>1632</v>
      </c>
      <c r="F698" s="426"/>
      <c r="G698" s="428" t="s">
        <v>158</v>
      </c>
      <c r="H698" s="429">
        <v>1</v>
      </c>
      <c r="I698" s="445"/>
      <c r="J698" s="445">
        <v>14.11</v>
      </c>
      <c r="K698" s="445">
        <v>14.11</v>
      </c>
    </row>
    <row r="699" customHeight="1" spans="1:11">
      <c r="A699" s="430" t="s">
        <v>1724</v>
      </c>
      <c r="B699" s="431" t="s">
        <v>2027</v>
      </c>
      <c r="C699" s="430" t="s">
        <v>71</v>
      </c>
      <c r="D699" s="430" t="s">
        <v>2028</v>
      </c>
      <c r="E699" s="430" t="s">
        <v>1632</v>
      </c>
      <c r="F699" s="430"/>
      <c r="G699" s="432" t="s">
        <v>158</v>
      </c>
      <c r="H699" s="433">
        <v>1</v>
      </c>
      <c r="I699" s="433">
        <v>0</v>
      </c>
      <c r="J699" s="446">
        <v>10.84</v>
      </c>
      <c r="K699" s="446">
        <v>10.84</v>
      </c>
    </row>
    <row r="700" customHeight="1" spans="1:11">
      <c r="A700" s="430" t="s">
        <v>1724</v>
      </c>
      <c r="B700" s="431" t="s">
        <v>1958</v>
      </c>
      <c r="C700" s="430" t="s">
        <v>71</v>
      </c>
      <c r="D700" s="430" t="s">
        <v>1959</v>
      </c>
      <c r="E700" s="430" t="s">
        <v>1708</v>
      </c>
      <c r="F700" s="430"/>
      <c r="G700" s="432" t="s">
        <v>82</v>
      </c>
      <c r="H700" s="433">
        <v>0.0597</v>
      </c>
      <c r="I700" s="433">
        <v>0</v>
      </c>
      <c r="J700" s="446">
        <v>35.95</v>
      </c>
      <c r="K700" s="446">
        <v>2.14</v>
      </c>
    </row>
    <row r="701" customHeight="1" spans="1:11">
      <c r="A701" s="430" t="s">
        <v>1724</v>
      </c>
      <c r="B701" s="431" t="s">
        <v>1956</v>
      </c>
      <c r="C701" s="430" t="s">
        <v>71</v>
      </c>
      <c r="D701" s="430" t="s">
        <v>1957</v>
      </c>
      <c r="E701" s="430" t="s">
        <v>1708</v>
      </c>
      <c r="F701" s="430"/>
      <c r="G701" s="432" t="s">
        <v>82</v>
      </c>
      <c r="H701" s="433">
        <v>0.0098</v>
      </c>
      <c r="I701" s="433">
        <v>0</v>
      </c>
      <c r="J701" s="446">
        <v>30.06</v>
      </c>
      <c r="K701" s="446">
        <v>0.29</v>
      </c>
    </row>
    <row r="702" customHeight="1" spans="1:11">
      <c r="A702" s="438" t="s">
        <v>1750</v>
      </c>
      <c r="B702" s="439" t="s">
        <v>1962</v>
      </c>
      <c r="C702" s="438" t="s">
        <v>71</v>
      </c>
      <c r="D702" s="438" t="s">
        <v>1963</v>
      </c>
      <c r="E702" s="438" t="s">
        <v>1631</v>
      </c>
      <c r="F702" s="438"/>
      <c r="G702" s="440" t="s">
        <v>105</v>
      </c>
      <c r="H702" s="441">
        <v>1.333</v>
      </c>
      <c r="I702" s="441">
        <v>0</v>
      </c>
      <c r="J702" s="449">
        <v>0.22</v>
      </c>
      <c r="K702" s="449">
        <v>0.29</v>
      </c>
    </row>
    <row r="703" customHeight="1" spans="1:11">
      <c r="A703" s="438" t="s">
        <v>1750</v>
      </c>
      <c r="B703" s="439" t="s">
        <v>1960</v>
      </c>
      <c r="C703" s="438" t="s">
        <v>71</v>
      </c>
      <c r="D703" s="438" t="s">
        <v>1961</v>
      </c>
      <c r="E703" s="438" t="s">
        <v>1631</v>
      </c>
      <c r="F703" s="438"/>
      <c r="G703" s="440" t="s">
        <v>158</v>
      </c>
      <c r="H703" s="441">
        <v>0.025</v>
      </c>
      <c r="I703" s="441">
        <v>0</v>
      </c>
      <c r="J703" s="449">
        <v>22</v>
      </c>
      <c r="K703" s="449">
        <v>0.55</v>
      </c>
    </row>
    <row r="704" customHeight="1" spans="1:11">
      <c r="A704" s="434"/>
      <c r="B704" s="434"/>
      <c r="C704" s="434"/>
      <c r="D704" s="434"/>
      <c r="E704" s="434"/>
      <c r="F704" s="434" t="s">
        <v>1735</v>
      </c>
      <c r="G704" s="435">
        <v>1.37</v>
      </c>
      <c r="H704" s="434" t="s">
        <v>1736</v>
      </c>
      <c r="I704" s="435">
        <v>1.26</v>
      </c>
      <c r="J704" s="434" t="s">
        <v>1737</v>
      </c>
      <c r="K704" s="435">
        <v>2.63</v>
      </c>
    </row>
    <row r="705" customHeight="1" spans="1:11">
      <c r="A705" s="434"/>
      <c r="B705" s="434"/>
      <c r="C705" s="434"/>
      <c r="D705" s="434"/>
      <c r="E705" s="434"/>
      <c r="F705" s="434" t="s">
        <v>1738</v>
      </c>
      <c r="G705" s="435">
        <v>3.47</v>
      </c>
      <c r="H705" s="434"/>
      <c r="I705" s="434" t="s">
        <v>1739</v>
      </c>
      <c r="J705" s="434"/>
      <c r="K705" s="435">
        <v>17.58</v>
      </c>
    </row>
    <row r="706" customHeight="1" spans="1:11">
      <c r="A706" s="436"/>
      <c r="B706" s="436"/>
      <c r="C706" s="436"/>
      <c r="D706" s="436"/>
      <c r="E706" s="436"/>
      <c r="F706" s="436"/>
      <c r="G706" s="436"/>
      <c r="H706" s="436" t="s">
        <v>1740</v>
      </c>
      <c r="I706" s="447" t="s">
        <v>2061</v>
      </c>
      <c r="J706" s="436" t="s">
        <v>1742</v>
      </c>
      <c r="K706" s="448">
        <v>8930.64</v>
      </c>
    </row>
    <row r="707" customHeight="1" spans="1:11">
      <c r="A707" s="437"/>
      <c r="B707" s="437"/>
      <c r="C707" s="437"/>
      <c r="D707" s="437"/>
      <c r="E707" s="437"/>
      <c r="F707" s="437"/>
      <c r="G707" s="437"/>
      <c r="H707" s="437"/>
      <c r="I707" s="437"/>
      <c r="J707" s="437"/>
      <c r="K707" s="437"/>
    </row>
    <row r="708" customHeight="1" spans="1:11">
      <c r="A708" s="423" t="s">
        <v>257</v>
      </c>
      <c r="B708" s="424" t="s">
        <v>1714</v>
      </c>
      <c r="C708" s="423" t="s">
        <v>1715</v>
      </c>
      <c r="D708" s="423" t="s">
        <v>1716</v>
      </c>
      <c r="E708" s="423" t="s">
        <v>1717</v>
      </c>
      <c r="F708" s="423"/>
      <c r="G708" s="425" t="s">
        <v>1718</v>
      </c>
      <c r="H708" s="424" t="s">
        <v>1719</v>
      </c>
      <c r="I708" s="424" t="s">
        <v>1720</v>
      </c>
      <c r="J708" s="424" t="s">
        <v>1721</v>
      </c>
      <c r="K708" s="424" t="s">
        <v>1722</v>
      </c>
    </row>
    <row r="709" customHeight="1" spans="1:11">
      <c r="A709" s="426" t="s">
        <v>1723</v>
      </c>
      <c r="B709" s="427" t="s">
        <v>258</v>
      </c>
      <c r="C709" s="426" t="s">
        <v>71</v>
      </c>
      <c r="D709" s="426" t="s">
        <v>259</v>
      </c>
      <c r="E709" s="426" t="s">
        <v>1632</v>
      </c>
      <c r="F709" s="426"/>
      <c r="G709" s="428" t="s">
        <v>158</v>
      </c>
      <c r="H709" s="429">
        <v>1</v>
      </c>
      <c r="I709" s="445"/>
      <c r="J709" s="445">
        <v>12.99</v>
      </c>
      <c r="K709" s="445">
        <v>12.99</v>
      </c>
    </row>
    <row r="710" customHeight="1" spans="1:11">
      <c r="A710" s="430" t="s">
        <v>1724</v>
      </c>
      <c r="B710" s="431" t="s">
        <v>1969</v>
      </c>
      <c r="C710" s="430" t="s">
        <v>71</v>
      </c>
      <c r="D710" s="430" t="s">
        <v>1970</v>
      </c>
      <c r="E710" s="430" t="s">
        <v>1632</v>
      </c>
      <c r="F710" s="430"/>
      <c r="G710" s="432" t="s">
        <v>158</v>
      </c>
      <c r="H710" s="433">
        <v>1</v>
      </c>
      <c r="I710" s="433">
        <v>0</v>
      </c>
      <c r="J710" s="446">
        <v>10.65</v>
      </c>
      <c r="K710" s="446">
        <v>10.65</v>
      </c>
    </row>
    <row r="711" customHeight="1" spans="1:11">
      <c r="A711" s="430" t="s">
        <v>1724</v>
      </c>
      <c r="B711" s="431" t="s">
        <v>1958</v>
      </c>
      <c r="C711" s="430" t="s">
        <v>71</v>
      </c>
      <c r="D711" s="430" t="s">
        <v>1959</v>
      </c>
      <c r="E711" s="430" t="s">
        <v>1708</v>
      </c>
      <c r="F711" s="430"/>
      <c r="G711" s="432" t="s">
        <v>82</v>
      </c>
      <c r="H711" s="433">
        <v>0.0403</v>
      </c>
      <c r="I711" s="433">
        <v>0</v>
      </c>
      <c r="J711" s="446">
        <v>35.95</v>
      </c>
      <c r="K711" s="446">
        <v>1.44</v>
      </c>
    </row>
    <row r="712" customHeight="1" spans="1:11">
      <c r="A712" s="430" t="s">
        <v>1724</v>
      </c>
      <c r="B712" s="431" t="s">
        <v>1956</v>
      </c>
      <c r="C712" s="430" t="s">
        <v>71</v>
      </c>
      <c r="D712" s="430" t="s">
        <v>1957</v>
      </c>
      <c r="E712" s="430" t="s">
        <v>1708</v>
      </c>
      <c r="F712" s="430"/>
      <c r="G712" s="432" t="s">
        <v>82</v>
      </c>
      <c r="H712" s="433">
        <v>0.0066</v>
      </c>
      <c r="I712" s="433">
        <v>0</v>
      </c>
      <c r="J712" s="446">
        <v>30.06</v>
      </c>
      <c r="K712" s="446">
        <v>0.19</v>
      </c>
    </row>
    <row r="713" customHeight="1" spans="1:11">
      <c r="A713" s="438" t="s">
        <v>1750</v>
      </c>
      <c r="B713" s="439" t="s">
        <v>1960</v>
      </c>
      <c r="C713" s="438" t="s">
        <v>71</v>
      </c>
      <c r="D713" s="438" t="s">
        <v>1961</v>
      </c>
      <c r="E713" s="438" t="s">
        <v>1631</v>
      </c>
      <c r="F713" s="438"/>
      <c r="G713" s="440" t="s">
        <v>158</v>
      </c>
      <c r="H713" s="441">
        <v>0.025</v>
      </c>
      <c r="I713" s="441">
        <v>0</v>
      </c>
      <c r="J713" s="449">
        <v>22</v>
      </c>
      <c r="K713" s="449">
        <v>0.55</v>
      </c>
    </row>
    <row r="714" customHeight="1" spans="1:11">
      <c r="A714" s="438" t="s">
        <v>1750</v>
      </c>
      <c r="B714" s="439" t="s">
        <v>1962</v>
      </c>
      <c r="C714" s="438" t="s">
        <v>71</v>
      </c>
      <c r="D714" s="438" t="s">
        <v>1963</v>
      </c>
      <c r="E714" s="438" t="s">
        <v>1631</v>
      </c>
      <c r="F714" s="438"/>
      <c r="G714" s="440" t="s">
        <v>105</v>
      </c>
      <c r="H714" s="441">
        <v>0.728</v>
      </c>
      <c r="I714" s="441">
        <v>0</v>
      </c>
      <c r="J714" s="449">
        <v>0.22</v>
      </c>
      <c r="K714" s="449">
        <v>0.16</v>
      </c>
    </row>
    <row r="715" customHeight="1" spans="1:11">
      <c r="A715" s="434"/>
      <c r="B715" s="434"/>
      <c r="C715" s="434"/>
      <c r="D715" s="434"/>
      <c r="E715" s="434"/>
      <c r="F715" s="434" t="s">
        <v>1735</v>
      </c>
      <c r="G715" s="435">
        <v>0.85</v>
      </c>
      <c r="H715" s="434" t="s">
        <v>1736</v>
      </c>
      <c r="I715" s="435">
        <v>0.79</v>
      </c>
      <c r="J715" s="434" t="s">
        <v>1737</v>
      </c>
      <c r="K715" s="435">
        <v>1.64</v>
      </c>
    </row>
    <row r="716" customHeight="1" spans="1:11">
      <c r="A716" s="434"/>
      <c r="B716" s="434"/>
      <c r="C716" s="434"/>
      <c r="D716" s="434"/>
      <c r="E716" s="434"/>
      <c r="F716" s="434" t="s">
        <v>1738</v>
      </c>
      <c r="G716" s="435">
        <v>3.2</v>
      </c>
      <c r="H716" s="434"/>
      <c r="I716" s="434" t="s">
        <v>1739</v>
      </c>
      <c r="J716" s="434"/>
      <c r="K716" s="435">
        <v>16.19</v>
      </c>
    </row>
    <row r="717" customHeight="1" spans="1:11">
      <c r="A717" s="436"/>
      <c r="B717" s="436"/>
      <c r="C717" s="436"/>
      <c r="D717" s="436"/>
      <c r="E717" s="436"/>
      <c r="F717" s="436"/>
      <c r="G717" s="436"/>
      <c r="H717" s="436" t="s">
        <v>1740</v>
      </c>
      <c r="I717" s="447" t="s">
        <v>2062</v>
      </c>
      <c r="J717" s="436" t="s">
        <v>1742</v>
      </c>
      <c r="K717" s="448">
        <v>2088.51</v>
      </c>
    </row>
    <row r="718" customHeight="1" spans="1:11">
      <c r="A718" s="437"/>
      <c r="B718" s="437"/>
      <c r="C718" s="437"/>
      <c r="D718" s="437"/>
      <c r="E718" s="437"/>
      <c r="F718" s="437"/>
      <c r="G718" s="437"/>
      <c r="H718" s="437"/>
      <c r="I718" s="437"/>
      <c r="J718" s="437"/>
      <c r="K718" s="437"/>
    </row>
    <row r="719" customHeight="1" spans="1:11">
      <c r="A719" s="423" t="s">
        <v>260</v>
      </c>
      <c r="B719" s="424" t="s">
        <v>1714</v>
      </c>
      <c r="C719" s="423" t="s">
        <v>1715</v>
      </c>
      <c r="D719" s="423" t="s">
        <v>1716</v>
      </c>
      <c r="E719" s="423" t="s">
        <v>1717</v>
      </c>
      <c r="F719" s="423"/>
      <c r="G719" s="425" t="s">
        <v>1718</v>
      </c>
      <c r="H719" s="424" t="s">
        <v>1719</v>
      </c>
      <c r="I719" s="424" t="s">
        <v>1720</v>
      </c>
      <c r="J719" s="424" t="s">
        <v>1721</v>
      </c>
      <c r="K719" s="424" t="s">
        <v>1722</v>
      </c>
    </row>
    <row r="720" customHeight="1" spans="1:11">
      <c r="A720" s="426" t="s">
        <v>1723</v>
      </c>
      <c r="B720" s="427" t="s">
        <v>261</v>
      </c>
      <c r="C720" s="426" t="s">
        <v>71</v>
      </c>
      <c r="D720" s="426" t="s">
        <v>262</v>
      </c>
      <c r="E720" s="426" t="s">
        <v>1632</v>
      </c>
      <c r="F720" s="426"/>
      <c r="G720" s="428" t="s">
        <v>158</v>
      </c>
      <c r="H720" s="429">
        <v>1</v>
      </c>
      <c r="I720" s="445"/>
      <c r="J720" s="445">
        <v>11.45</v>
      </c>
      <c r="K720" s="445">
        <v>11.45</v>
      </c>
    </row>
    <row r="721" customHeight="1" spans="1:11">
      <c r="A721" s="430" t="s">
        <v>1724</v>
      </c>
      <c r="B721" s="431" t="s">
        <v>1965</v>
      </c>
      <c r="C721" s="430" t="s">
        <v>71</v>
      </c>
      <c r="D721" s="430" t="s">
        <v>1966</v>
      </c>
      <c r="E721" s="430" t="s">
        <v>1632</v>
      </c>
      <c r="F721" s="430"/>
      <c r="G721" s="432" t="s">
        <v>158</v>
      </c>
      <c r="H721" s="433">
        <v>1</v>
      </c>
      <c r="I721" s="433">
        <v>0</v>
      </c>
      <c r="J721" s="446">
        <v>9.78</v>
      </c>
      <c r="K721" s="446">
        <v>9.78</v>
      </c>
    </row>
    <row r="722" customHeight="1" spans="1:11">
      <c r="A722" s="430" t="s">
        <v>1724</v>
      </c>
      <c r="B722" s="431" t="s">
        <v>1956</v>
      </c>
      <c r="C722" s="430" t="s">
        <v>71</v>
      </c>
      <c r="D722" s="430" t="s">
        <v>1957</v>
      </c>
      <c r="E722" s="430" t="s">
        <v>1708</v>
      </c>
      <c r="F722" s="430"/>
      <c r="G722" s="432" t="s">
        <v>82</v>
      </c>
      <c r="H722" s="433">
        <v>0.0042</v>
      </c>
      <c r="I722" s="433">
        <v>0</v>
      </c>
      <c r="J722" s="446">
        <v>30.06</v>
      </c>
      <c r="K722" s="446">
        <v>0.12</v>
      </c>
    </row>
    <row r="723" customHeight="1" spans="1:11">
      <c r="A723" s="430" t="s">
        <v>1724</v>
      </c>
      <c r="B723" s="431" t="s">
        <v>1958</v>
      </c>
      <c r="C723" s="430" t="s">
        <v>71</v>
      </c>
      <c r="D723" s="430" t="s">
        <v>1959</v>
      </c>
      <c r="E723" s="430" t="s">
        <v>1708</v>
      </c>
      <c r="F723" s="430"/>
      <c r="G723" s="432" t="s">
        <v>82</v>
      </c>
      <c r="H723" s="433">
        <v>0.0259</v>
      </c>
      <c r="I723" s="433">
        <v>0</v>
      </c>
      <c r="J723" s="446">
        <v>35.95</v>
      </c>
      <c r="K723" s="446">
        <v>0.93</v>
      </c>
    </row>
    <row r="724" customHeight="1" spans="1:11">
      <c r="A724" s="438" t="s">
        <v>1750</v>
      </c>
      <c r="B724" s="439" t="s">
        <v>1962</v>
      </c>
      <c r="C724" s="438" t="s">
        <v>71</v>
      </c>
      <c r="D724" s="438" t="s">
        <v>1963</v>
      </c>
      <c r="E724" s="438" t="s">
        <v>1631</v>
      </c>
      <c r="F724" s="438"/>
      <c r="G724" s="440" t="s">
        <v>105</v>
      </c>
      <c r="H724" s="441">
        <v>0.357</v>
      </c>
      <c r="I724" s="441">
        <v>0</v>
      </c>
      <c r="J724" s="449">
        <v>0.22</v>
      </c>
      <c r="K724" s="449">
        <v>0.07</v>
      </c>
    </row>
    <row r="725" customHeight="1" spans="1:11">
      <c r="A725" s="438" t="s">
        <v>1750</v>
      </c>
      <c r="B725" s="439" t="s">
        <v>1960</v>
      </c>
      <c r="C725" s="438" t="s">
        <v>71</v>
      </c>
      <c r="D725" s="438" t="s">
        <v>1961</v>
      </c>
      <c r="E725" s="438" t="s">
        <v>1631</v>
      </c>
      <c r="F725" s="438"/>
      <c r="G725" s="440" t="s">
        <v>158</v>
      </c>
      <c r="H725" s="441">
        <v>0.025</v>
      </c>
      <c r="I725" s="441">
        <v>0</v>
      </c>
      <c r="J725" s="449">
        <v>22</v>
      </c>
      <c r="K725" s="449">
        <v>0.55</v>
      </c>
    </row>
    <row r="726" customHeight="1" spans="1:11">
      <c r="A726" s="434"/>
      <c r="B726" s="434"/>
      <c r="C726" s="434"/>
      <c r="D726" s="434"/>
      <c r="E726" s="434"/>
      <c r="F726" s="434" t="s">
        <v>1735</v>
      </c>
      <c r="G726" s="435">
        <v>0.51</v>
      </c>
      <c r="H726" s="434" t="s">
        <v>1736</v>
      </c>
      <c r="I726" s="435">
        <v>0.48</v>
      </c>
      <c r="J726" s="434" t="s">
        <v>1737</v>
      </c>
      <c r="K726" s="435">
        <v>0.99</v>
      </c>
    </row>
    <row r="727" customHeight="1" spans="1:11">
      <c r="A727" s="434"/>
      <c r="B727" s="434"/>
      <c r="C727" s="434"/>
      <c r="D727" s="434"/>
      <c r="E727" s="434"/>
      <c r="F727" s="434" t="s">
        <v>1738</v>
      </c>
      <c r="G727" s="435">
        <v>2.82</v>
      </c>
      <c r="H727" s="434"/>
      <c r="I727" s="434" t="s">
        <v>1739</v>
      </c>
      <c r="J727" s="434"/>
      <c r="K727" s="435">
        <v>14.27</v>
      </c>
    </row>
    <row r="728" customHeight="1" spans="1:11">
      <c r="A728" s="436"/>
      <c r="B728" s="436"/>
      <c r="C728" s="436"/>
      <c r="D728" s="436"/>
      <c r="E728" s="436"/>
      <c r="F728" s="436"/>
      <c r="G728" s="436"/>
      <c r="H728" s="436" t="s">
        <v>1740</v>
      </c>
      <c r="I728" s="447" t="s">
        <v>2063</v>
      </c>
      <c r="J728" s="436" t="s">
        <v>1742</v>
      </c>
      <c r="K728" s="448">
        <v>29224.96</v>
      </c>
    </row>
    <row r="729" customHeight="1" spans="1:11">
      <c r="A729" s="437"/>
      <c r="B729" s="437"/>
      <c r="C729" s="437"/>
      <c r="D729" s="437"/>
      <c r="E729" s="437"/>
      <c r="F729" s="437"/>
      <c r="G729" s="437"/>
      <c r="H729" s="437"/>
      <c r="I729" s="437"/>
      <c r="J729" s="437"/>
      <c r="K729" s="437"/>
    </row>
    <row r="730" customHeight="1" spans="1:11">
      <c r="A730" s="423" t="s">
        <v>263</v>
      </c>
      <c r="B730" s="424" t="s">
        <v>1714</v>
      </c>
      <c r="C730" s="423" t="s">
        <v>1715</v>
      </c>
      <c r="D730" s="423" t="s">
        <v>1716</v>
      </c>
      <c r="E730" s="423" t="s">
        <v>1717</v>
      </c>
      <c r="F730" s="423"/>
      <c r="G730" s="425" t="s">
        <v>1718</v>
      </c>
      <c r="H730" s="424" t="s">
        <v>1719</v>
      </c>
      <c r="I730" s="424" t="s">
        <v>1720</v>
      </c>
      <c r="J730" s="424" t="s">
        <v>1721</v>
      </c>
      <c r="K730" s="424" t="s">
        <v>1722</v>
      </c>
    </row>
    <row r="731" customHeight="1" spans="1:11">
      <c r="A731" s="426" t="s">
        <v>1723</v>
      </c>
      <c r="B731" s="427" t="s">
        <v>264</v>
      </c>
      <c r="C731" s="426" t="s">
        <v>71</v>
      </c>
      <c r="D731" s="426" t="s">
        <v>265</v>
      </c>
      <c r="E731" s="426" t="s">
        <v>1632</v>
      </c>
      <c r="F731" s="426"/>
      <c r="G731" s="428" t="s">
        <v>158</v>
      </c>
      <c r="H731" s="429">
        <v>1</v>
      </c>
      <c r="I731" s="445"/>
      <c r="J731" s="445">
        <v>9.5</v>
      </c>
      <c r="K731" s="445">
        <v>9.5</v>
      </c>
    </row>
    <row r="732" customHeight="1" spans="1:11">
      <c r="A732" s="430" t="s">
        <v>1724</v>
      </c>
      <c r="B732" s="431" t="s">
        <v>1958</v>
      </c>
      <c r="C732" s="430" t="s">
        <v>71</v>
      </c>
      <c r="D732" s="430" t="s">
        <v>1959</v>
      </c>
      <c r="E732" s="430" t="s">
        <v>1708</v>
      </c>
      <c r="F732" s="430"/>
      <c r="G732" s="432" t="s">
        <v>82</v>
      </c>
      <c r="H732" s="433">
        <v>0.0143</v>
      </c>
      <c r="I732" s="433">
        <v>0</v>
      </c>
      <c r="J732" s="446">
        <v>35.95</v>
      </c>
      <c r="K732" s="446">
        <v>0.51</v>
      </c>
    </row>
    <row r="733" customHeight="1" spans="1:11">
      <c r="A733" s="430" t="s">
        <v>1724</v>
      </c>
      <c r="B733" s="431" t="s">
        <v>1973</v>
      </c>
      <c r="C733" s="430" t="s">
        <v>71</v>
      </c>
      <c r="D733" s="430" t="s">
        <v>1974</v>
      </c>
      <c r="E733" s="430" t="s">
        <v>1632</v>
      </c>
      <c r="F733" s="430"/>
      <c r="G733" s="432" t="s">
        <v>158</v>
      </c>
      <c r="H733" s="433">
        <v>1</v>
      </c>
      <c r="I733" s="433">
        <v>0</v>
      </c>
      <c r="J733" s="446">
        <v>8.35</v>
      </c>
      <c r="K733" s="446">
        <v>8.35</v>
      </c>
    </row>
    <row r="734" customHeight="1" spans="1:11">
      <c r="A734" s="430" t="s">
        <v>1724</v>
      </c>
      <c r="B734" s="431" t="s">
        <v>1956</v>
      </c>
      <c r="C734" s="430" t="s">
        <v>71</v>
      </c>
      <c r="D734" s="430" t="s">
        <v>1957</v>
      </c>
      <c r="E734" s="430" t="s">
        <v>1708</v>
      </c>
      <c r="F734" s="430"/>
      <c r="G734" s="432" t="s">
        <v>82</v>
      </c>
      <c r="H734" s="433">
        <v>0.0023</v>
      </c>
      <c r="I734" s="433">
        <v>0</v>
      </c>
      <c r="J734" s="446">
        <v>30.06</v>
      </c>
      <c r="K734" s="446">
        <v>0.06</v>
      </c>
    </row>
    <row r="735" customHeight="1" spans="1:11">
      <c r="A735" s="438" t="s">
        <v>1750</v>
      </c>
      <c r="B735" s="439" t="s">
        <v>1960</v>
      </c>
      <c r="C735" s="438" t="s">
        <v>71</v>
      </c>
      <c r="D735" s="438" t="s">
        <v>1961</v>
      </c>
      <c r="E735" s="438" t="s">
        <v>1631</v>
      </c>
      <c r="F735" s="438"/>
      <c r="G735" s="440" t="s">
        <v>158</v>
      </c>
      <c r="H735" s="441">
        <v>0.025</v>
      </c>
      <c r="I735" s="441">
        <v>0</v>
      </c>
      <c r="J735" s="449">
        <v>22</v>
      </c>
      <c r="K735" s="449">
        <v>0.55</v>
      </c>
    </row>
    <row r="736" customHeight="1" spans="1:11">
      <c r="A736" s="438" t="s">
        <v>1750</v>
      </c>
      <c r="B736" s="439" t="s">
        <v>1962</v>
      </c>
      <c r="C736" s="438" t="s">
        <v>71</v>
      </c>
      <c r="D736" s="438" t="s">
        <v>1963</v>
      </c>
      <c r="E736" s="438" t="s">
        <v>1631</v>
      </c>
      <c r="F736" s="438"/>
      <c r="G736" s="440" t="s">
        <v>105</v>
      </c>
      <c r="H736" s="441">
        <v>0.147</v>
      </c>
      <c r="I736" s="441">
        <v>0</v>
      </c>
      <c r="J736" s="449">
        <v>0.22</v>
      </c>
      <c r="K736" s="449">
        <v>0.03</v>
      </c>
    </row>
    <row r="737" customHeight="1" spans="1:11">
      <c r="A737" s="434"/>
      <c r="B737" s="434"/>
      <c r="C737" s="434"/>
      <c r="D737" s="434"/>
      <c r="E737" s="434"/>
      <c r="F737" s="434" t="s">
        <v>1735</v>
      </c>
      <c r="G737" s="435">
        <v>0.28</v>
      </c>
      <c r="H737" s="434" t="s">
        <v>1736</v>
      </c>
      <c r="I737" s="435">
        <v>0.26</v>
      </c>
      <c r="J737" s="434" t="s">
        <v>1737</v>
      </c>
      <c r="K737" s="435">
        <v>0.54</v>
      </c>
    </row>
    <row r="738" customHeight="1" spans="1:11">
      <c r="A738" s="434"/>
      <c r="B738" s="434"/>
      <c r="C738" s="434"/>
      <c r="D738" s="434"/>
      <c r="E738" s="434"/>
      <c r="F738" s="434" t="s">
        <v>1738</v>
      </c>
      <c r="G738" s="435">
        <v>2.34</v>
      </c>
      <c r="H738" s="434"/>
      <c r="I738" s="434" t="s">
        <v>1739</v>
      </c>
      <c r="J738" s="434"/>
      <c r="K738" s="435">
        <v>11.84</v>
      </c>
    </row>
    <row r="739" customHeight="1" spans="1:11">
      <c r="A739" s="436"/>
      <c r="B739" s="436"/>
      <c r="C739" s="436"/>
      <c r="D739" s="436"/>
      <c r="E739" s="436"/>
      <c r="F739" s="436"/>
      <c r="G739" s="436"/>
      <c r="H739" s="436" t="s">
        <v>1740</v>
      </c>
      <c r="I739" s="447" t="s">
        <v>2064</v>
      </c>
      <c r="J739" s="436" t="s">
        <v>1742</v>
      </c>
      <c r="K739" s="448">
        <v>54688.96</v>
      </c>
    </row>
    <row r="740" customHeight="1" spans="1:11">
      <c r="A740" s="437"/>
      <c r="B740" s="437"/>
      <c r="C740" s="437"/>
      <c r="D740" s="437"/>
      <c r="E740" s="437"/>
      <c r="F740" s="437"/>
      <c r="G740" s="437"/>
      <c r="H740" s="437"/>
      <c r="I740" s="437"/>
      <c r="J740" s="437"/>
      <c r="K740" s="437"/>
    </row>
    <row r="741" customHeight="1" spans="1:11">
      <c r="A741" s="423" t="s">
        <v>266</v>
      </c>
      <c r="B741" s="424" t="s">
        <v>1714</v>
      </c>
      <c r="C741" s="423" t="s">
        <v>1715</v>
      </c>
      <c r="D741" s="423" t="s">
        <v>1716</v>
      </c>
      <c r="E741" s="423" t="s">
        <v>1717</v>
      </c>
      <c r="F741" s="423"/>
      <c r="G741" s="425" t="s">
        <v>1718</v>
      </c>
      <c r="H741" s="424" t="s">
        <v>1719</v>
      </c>
      <c r="I741" s="424" t="s">
        <v>1720</v>
      </c>
      <c r="J741" s="424" t="s">
        <v>1721</v>
      </c>
      <c r="K741" s="424" t="s">
        <v>1722</v>
      </c>
    </row>
    <row r="742" customHeight="1" spans="1:11">
      <c r="A742" s="426" t="s">
        <v>1723</v>
      </c>
      <c r="B742" s="427" t="s">
        <v>267</v>
      </c>
      <c r="C742" s="426" t="s">
        <v>71</v>
      </c>
      <c r="D742" s="426" t="s">
        <v>268</v>
      </c>
      <c r="E742" s="426" t="s">
        <v>1632</v>
      </c>
      <c r="F742" s="426"/>
      <c r="G742" s="428" t="s">
        <v>158</v>
      </c>
      <c r="H742" s="429">
        <v>1</v>
      </c>
      <c r="I742" s="445"/>
      <c r="J742" s="445">
        <v>9.28</v>
      </c>
      <c r="K742" s="445">
        <v>9.28</v>
      </c>
    </row>
    <row r="743" customHeight="1" spans="1:11">
      <c r="A743" s="430" t="s">
        <v>1724</v>
      </c>
      <c r="B743" s="431" t="s">
        <v>1956</v>
      </c>
      <c r="C743" s="430" t="s">
        <v>71</v>
      </c>
      <c r="D743" s="430" t="s">
        <v>1957</v>
      </c>
      <c r="E743" s="430" t="s">
        <v>1708</v>
      </c>
      <c r="F743" s="430"/>
      <c r="G743" s="432" t="s">
        <v>82</v>
      </c>
      <c r="H743" s="433">
        <v>0.002</v>
      </c>
      <c r="I743" s="433">
        <v>0</v>
      </c>
      <c r="J743" s="446">
        <v>30.06</v>
      </c>
      <c r="K743" s="446">
        <v>0.06</v>
      </c>
    </row>
    <row r="744" customHeight="1" spans="1:11">
      <c r="A744" s="430" t="s">
        <v>1724</v>
      </c>
      <c r="B744" s="431" t="s">
        <v>1976</v>
      </c>
      <c r="C744" s="430" t="s">
        <v>71</v>
      </c>
      <c r="D744" s="430" t="s">
        <v>1977</v>
      </c>
      <c r="E744" s="430" t="s">
        <v>1632</v>
      </c>
      <c r="F744" s="430"/>
      <c r="G744" s="432" t="s">
        <v>158</v>
      </c>
      <c r="H744" s="433">
        <v>1</v>
      </c>
      <c r="I744" s="433">
        <v>0</v>
      </c>
      <c r="J744" s="446">
        <v>8.24</v>
      </c>
      <c r="K744" s="446">
        <v>8.24</v>
      </c>
    </row>
    <row r="745" customHeight="1" spans="1:11">
      <c r="A745" s="430" t="s">
        <v>1724</v>
      </c>
      <c r="B745" s="431" t="s">
        <v>1958</v>
      </c>
      <c r="C745" s="430" t="s">
        <v>71</v>
      </c>
      <c r="D745" s="430" t="s">
        <v>1959</v>
      </c>
      <c r="E745" s="430" t="s">
        <v>1708</v>
      </c>
      <c r="F745" s="430"/>
      <c r="G745" s="432" t="s">
        <v>82</v>
      </c>
      <c r="H745" s="433">
        <v>0.0121</v>
      </c>
      <c r="I745" s="433">
        <v>0</v>
      </c>
      <c r="J745" s="446">
        <v>35.95</v>
      </c>
      <c r="K745" s="446">
        <v>0.43</v>
      </c>
    </row>
    <row r="746" customHeight="1" spans="1:11">
      <c r="A746" s="438" t="s">
        <v>1750</v>
      </c>
      <c r="B746" s="439" t="s">
        <v>1960</v>
      </c>
      <c r="C746" s="438" t="s">
        <v>71</v>
      </c>
      <c r="D746" s="438" t="s">
        <v>1961</v>
      </c>
      <c r="E746" s="438" t="s">
        <v>1631</v>
      </c>
      <c r="F746" s="438"/>
      <c r="G746" s="440" t="s">
        <v>158</v>
      </c>
      <c r="H746" s="441">
        <v>0.025</v>
      </c>
      <c r="I746" s="441">
        <v>0</v>
      </c>
      <c r="J746" s="449">
        <v>22</v>
      </c>
      <c r="K746" s="449">
        <v>0.55</v>
      </c>
    </row>
    <row r="747" customHeight="1" spans="1:11">
      <c r="A747" s="434"/>
      <c r="B747" s="434"/>
      <c r="C747" s="434"/>
      <c r="D747" s="434"/>
      <c r="E747" s="434"/>
      <c r="F747" s="434" t="s">
        <v>1735</v>
      </c>
      <c r="G747" s="435">
        <v>0.21</v>
      </c>
      <c r="H747" s="434" t="s">
        <v>1736</v>
      </c>
      <c r="I747" s="435">
        <v>0.2</v>
      </c>
      <c r="J747" s="434" t="s">
        <v>1737</v>
      </c>
      <c r="K747" s="435">
        <v>0.41</v>
      </c>
    </row>
    <row r="748" customHeight="1" spans="1:11">
      <c r="A748" s="434"/>
      <c r="B748" s="434"/>
      <c r="C748" s="434"/>
      <c r="D748" s="434"/>
      <c r="E748" s="434"/>
      <c r="F748" s="434" t="s">
        <v>1738</v>
      </c>
      <c r="G748" s="435">
        <v>2.28</v>
      </c>
      <c r="H748" s="434"/>
      <c r="I748" s="434" t="s">
        <v>1739</v>
      </c>
      <c r="J748" s="434"/>
      <c r="K748" s="435">
        <v>11.56</v>
      </c>
    </row>
    <row r="749" customHeight="1" spans="1:11">
      <c r="A749" s="436"/>
      <c r="B749" s="436"/>
      <c r="C749" s="436"/>
      <c r="D749" s="436"/>
      <c r="E749" s="436"/>
      <c r="F749" s="436"/>
      <c r="G749" s="436"/>
      <c r="H749" s="436" t="s">
        <v>1740</v>
      </c>
      <c r="I749" s="447" t="s">
        <v>2065</v>
      </c>
      <c r="J749" s="436" t="s">
        <v>1742</v>
      </c>
      <c r="K749" s="448">
        <v>497.08</v>
      </c>
    </row>
    <row r="750" customHeight="1" spans="1:11">
      <c r="A750" s="437"/>
      <c r="B750" s="437"/>
      <c r="C750" s="437"/>
      <c r="D750" s="437"/>
      <c r="E750" s="437"/>
      <c r="F750" s="437"/>
      <c r="G750" s="437"/>
      <c r="H750" s="437"/>
      <c r="I750" s="437"/>
      <c r="J750" s="437"/>
      <c r="K750" s="437"/>
    </row>
    <row r="751" customHeight="1" spans="1:11">
      <c r="A751" s="423" t="s">
        <v>269</v>
      </c>
      <c r="B751" s="424" t="s">
        <v>1714</v>
      </c>
      <c r="C751" s="423" t="s">
        <v>1715</v>
      </c>
      <c r="D751" s="423" t="s">
        <v>1716</v>
      </c>
      <c r="E751" s="423" t="s">
        <v>1717</v>
      </c>
      <c r="F751" s="423"/>
      <c r="G751" s="425" t="s">
        <v>1718</v>
      </c>
      <c r="H751" s="424" t="s">
        <v>1719</v>
      </c>
      <c r="I751" s="424" t="s">
        <v>1720</v>
      </c>
      <c r="J751" s="424" t="s">
        <v>1721</v>
      </c>
      <c r="K751" s="424" t="s">
        <v>1722</v>
      </c>
    </row>
    <row r="752" customHeight="1" spans="1:11">
      <c r="A752" s="426" t="s">
        <v>1723</v>
      </c>
      <c r="B752" s="427" t="s">
        <v>270</v>
      </c>
      <c r="C752" s="426" t="s">
        <v>71</v>
      </c>
      <c r="D752" s="426" t="s">
        <v>271</v>
      </c>
      <c r="E752" s="426" t="s">
        <v>1654</v>
      </c>
      <c r="F752" s="426"/>
      <c r="G752" s="428" t="s">
        <v>73</v>
      </c>
      <c r="H752" s="429">
        <v>1</v>
      </c>
      <c r="I752" s="445"/>
      <c r="J752" s="445">
        <v>213.63</v>
      </c>
      <c r="K752" s="445">
        <v>213.63</v>
      </c>
    </row>
    <row r="753" customHeight="1" spans="1:11">
      <c r="A753" s="430" t="s">
        <v>1724</v>
      </c>
      <c r="B753" s="431" t="s">
        <v>1743</v>
      </c>
      <c r="C753" s="430" t="s">
        <v>71</v>
      </c>
      <c r="D753" s="430" t="s">
        <v>1744</v>
      </c>
      <c r="E753" s="430" t="s">
        <v>1708</v>
      </c>
      <c r="F753" s="430"/>
      <c r="G753" s="432" t="s">
        <v>82</v>
      </c>
      <c r="H753" s="433">
        <v>0.52</v>
      </c>
      <c r="I753" s="433">
        <v>0</v>
      </c>
      <c r="J753" s="446">
        <v>37.51</v>
      </c>
      <c r="K753" s="446">
        <v>19.5</v>
      </c>
    </row>
    <row r="754" customHeight="1" spans="1:11">
      <c r="A754" s="430" t="s">
        <v>1724</v>
      </c>
      <c r="B754" s="431" t="s">
        <v>2066</v>
      </c>
      <c r="C754" s="430" t="s">
        <v>71</v>
      </c>
      <c r="D754" s="430" t="s">
        <v>2067</v>
      </c>
      <c r="E754" s="430" t="s">
        <v>1632</v>
      </c>
      <c r="F754" s="430"/>
      <c r="G754" s="432" t="s">
        <v>158</v>
      </c>
      <c r="H754" s="433">
        <v>1.211</v>
      </c>
      <c r="I754" s="433">
        <v>0</v>
      </c>
      <c r="J754" s="446">
        <v>17.86</v>
      </c>
      <c r="K754" s="446">
        <v>21.62</v>
      </c>
    </row>
    <row r="755" customHeight="1" spans="1:11">
      <c r="A755" s="430" t="s">
        <v>1724</v>
      </c>
      <c r="B755" s="431" t="s">
        <v>1745</v>
      </c>
      <c r="C755" s="430" t="s">
        <v>71</v>
      </c>
      <c r="D755" s="430" t="s">
        <v>1746</v>
      </c>
      <c r="E755" s="430" t="s">
        <v>1708</v>
      </c>
      <c r="F755" s="430"/>
      <c r="G755" s="432" t="s">
        <v>82</v>
      </c>
      <c r="H755" s="433">
        <v>0.39</v>
      </c>
      <c r="I755" s="433">
        <v>0</v>
      </c>
      <c r="J755" s="446">
        <v>29.15</v>
      </c>
      <c r="K755" s="446">
        <v>11.36</v>
      </c>
    </row>
    <row r="756" customHeight="1" spans="1:11">
      <c r="A756" s="430" t="s">
        <v>1724</v>
      </c>
      <c r="B756" s="431" t="s">
        <v>2068</v>
      </c>
      <c r="C756" s="430" t="s">
        <v>71</v>
      </c>
      <c r="D756" s="430" t="s">
        <v>2069</v>
      </c>
      <c r="E756" s="430" t="s">
        <v>1621</v>
      </c>
      <c r="F756" s="430"/>
      <c r="G756" s="432" t="s">
        <v>129</v>
      </c>
      <c r="H756" s="433">
        <v>0.054</v>
      </c>
      <c r="I756" s="433">
        <v>0</v>
      </c>
      <c r="J756" s="446">
        <v>685.43</v>
      </c>
      <c r="K756" s="446">
        <v>37.01</v>
      </c>
    </row>
    <row r="757" customHeight="1" spans="1:11">
      <c r="A757" s="430" t="s">
        <v>1724</v>
      </c>
      <c r="B757" s="431" t="s">
        <v>2070</v>
      </c>
      <c r="C757" s="430" t="s">
        <v>71</v>
      </c>
      <c r="D757" s="430" t="s">
        <v>2071</v>
      </c>
      <c r="E757" s="430" t="s">
        <v>1626</v>
      </c>
      <c r="F757" s="430"/>
      <c r="G757" s="432" t="s">
        <v>78</v>
      </c>
      <c r="H757" s="433">
        <v>1.16</v>
      </c>
      <c r="I757" s="433">
        <v>0</v>
      </c>
      <c r="J757" s="446">
        <v>17.44</v>
      </c>
      <c r="K757" s="446">
        <v>20.23</v>
      </c>
    </row>
    <row r="758" customHeight="1" spans="1:11">
      <c r="A758" s="438" t="s">
        <v>1750</v>
      </c>
      <c r="B758" s="439" t="s">
        <v>2072</v>
      </c>
      <c r="C758" s="438" t="s">
        <v>71</v>
      </c>
      <c r="D758" s="438" t="s">
        <v>2073</v>
      </c>
      <c r="E758" s="438" t="s">
        <v>1631</v>
      </c>
      <c r="F758" s="438"/>
      <c r="G758" s="440" t="s">
        <v>73</v>
      </c>
      <c r="H758" s="441">
        <v>1</v>
      </c>
      <c r="I758" s="441">
        <v>0</v>
      </c>
      <c r="J758" s="449">
        <v>62.98</v>
      </c>
      <c r="K758" s="449">
        <v>62.98</v>
      </c>
    </row>
    <row r="759" customHeight="1" spans="1:11">
      <c r="A759" s="438" t="s">
        <v>1750</v>
      </c>
      <c r="B759" s="439" t="s">
        <v>1948</v>
      </c>
      <c r="C759" s="438" t="s">
        <v>71</v>
      </c>
      <c r="D759" s="438" t="s">
        <v>1949</v>
      </c>
      <c r="E759" s="438" t="s">
        <v>1631</v>
      </c>
      <c r="F759" s="438"/>
      <c r="G759" s="440" t="s">
        <v>158</v>
      </c>
      <c r="H759" s="441">
        <v>0.04</v>
      </c>
      <c r="I759" s="441">
        <v>0</v>
      </c>
      <c r="J759" s="449">
        <v>22.69</v>
      </c>
      <c r="K759" s="449">
        <v>0.9</v>
      </c>
    </row>
    <row r="760" customHeight="1" spans="1:11">
      <c r="A760" s="438" t="s">
        <v>1750</v>
      </c>
      <c r="B760" s="439" t="s">
        <v>2041</v>
      </c>
      <c r="C760" s="438" t="s">
        <v>71</v>
      </c>
      <c r="D760" s="438" t="s">
        <v>2042</v>
      </c>
      <c r="E760" s="438" t="s">
        <v>1631</v>
      </c>
      <c r="F760" s="438"/>
      <c r="G760" s="440" t="s">
        <v>78</v>
      </c>
      <c r="H760" s="441">
        <v>1.87</v>
      </c>
      <c r="I760" s="441">
        <v>0</v>
      </c>
      <c r="J760" s="449">
        <v>21.41</v>
      </c>
      <c r="K760" s="449">
        <v>40.03</v>
      </c>
    </row>
    <row r="761" customHeight="1" spans="1:11">
      <c r="A761" s="434"/>
      <c r="B761" s="434"/>
      <c r="C761" s="434"/>
      <c r="D761" s="434"/>
      <c r="E761" s="434"/>
      <c r="F761" s="434" t="s">
        <v>1735</v>
      </c>
      <c r="G761" s="435">
        <v>19.25</v>
      </c>
      <c r="H761" s="434" t="s">
        <v>1736</v>
      </c>
      <c r="I761" s="435">
        <v>17.5</v>
      </c>
      <c r="J761" s="434" t="s">
        <v>1737</v>
      </c>
      <c r="K761" s="435">
        <v>36.75</v>
      </c>
    </row>
    <row r="762" customHeight="1" spans="1:11">
      <c r="A762" s="434"/>
      <c r="B762" s="434"/>
      <c r="C762" s="434"/>
      <c r="D762" s="434"/>
      <c r="E762" s="434"/>
      <c r="F762" s="434" t="s">
        <v>1738</v>
      </c>
      <c r="G762" s="435">
        <v>52.68</v>
      </c>
      <c r="H762" s="434"/>
      <c r="I762" s="434" t="s">
        <v>1739</v>
      </c>
      <c r="J762" s="434"/>
      <c r="K762" s="435">
        <v>266.31</v>
      </c>
    </row>
    <row r="763" customHeight="1" spans="1:11">
      <c r="A763" s="436"/>
      <c r="B763" s="436"/>
      <c r="C763" s="436"/>
      <c r="D763" s="436"/>
      <c r="E763" s="436"/>
      <c r="F763" s="436"/>
      <c r="G763" s="436"/>
      <c r="H763" s="436" t="s">
        <v>1740</v>
      </c>
      <c r="I763" s="447" t="s">
        <v>2074</v>
      </c>
      <c r="J763" s="436" t="s">
        <v>1742</v>
      </c>
      <c r="K763" s="448">
        <v>14223.61</v>
      </c>
    </row>
    <row r="764" customHeight="1" spans="1:11">
      <c r="A764" s="437"/>
      <c r="B764" s="437"/>
      <c r="C764" s="437"/>
      <c r="D764" s="437"/>
      <c r="E764" s="437"/>
      <c r="F764" s="437"/>
      <c r="G764" s="437"/>
      <c r="H764" s="437"/>
      <c r="I764" s="437"/>
      <c r="J764" s="437"/>
      <c r="K764" s="437"/>
    </row>
    <row r="765" customHeight="1" spans="1:11">
      <c r="A765" s="423" t="s">
        <v>272</v>
      </c>
      <c r="B765" s="424" t="s">
        <v>1714</v>
      </c>
      <c r="C765" s="423" t="s">
        <v>1715</v>
      </c>
      <c r="D765" s="423" t="s">
        <v>1716</v>
      </c>
      <c r="E765" s="423" t="s">
        <v>1717</v>
      </c>
      <c r="F765" s="423"/>
      <c r="G765" s="425" t="s">
        <v>1718</v>
      </c>
      <c r="H765" s="424" t="s">
        <v>1719</v>
      </c>
      <c r="I765" s="424" t="s">
        <v>1720</v>
      </c>
      <c r="J765" s="424" t="s">
        <v>1721</v>
      </c>
      <c r="K765" s="424" t="s">
        <v>1722</v>
      </c>
    </row>
    <row r="766" customHeight="1" spans="1:11">
      <c r="A766" s="426" t="s">
        <v>1723</v>
      </c>
      <c r="B766" s="427" t="s">
        <v>273</v>
      </c>
      <c r="C766" s="426" t="s">
        <v>71</v>
      </c>
      <c r="D766" s="426" t="s">
        <v>274</v>
      </c>
      <c r="E766" s="426" t="s">
        <v>1626</v>
      </c>
      <c r="F766" s="426"/>
      <c r="G766" s="428" t="s">
        <v>73</v>
      </c>
      <c r="H766" s="429">
        <v>1</v>
      </c>
      <c r="I766" s="445"/>
      <c r="J766" s="445">
        <v>86.86</v>
      </c>
      <c r="K766" s="445">
        <v>86.86</v>
      </c>
    </row>
    <row r="767" customHeight="1" spans="1:11">
      <c r="A767" s="430" t="s">
        <v>1724</v>
      </c>
      <c r="B767" s="431" t="s">
        <v>2053</v>
      </c>
      <c r="C767" s="430" t="s">
        <v>71</v>
      </c>
      <c r="D767" s="430" t="s">
        <v>2054</v>
      </c>
      <c r="E767" s="430" t="s">
        <v>1626</v>
      </c>
      <c r="F767" s="430"/>
      <c r="G767" s="432" t="s">
        <v>73</v>
      </c>
      <c r="H767" s="433">
        <v>0.183</v>
      </c>
      <c r="I767" s="433">
        <v>0</v>
      </c>
      <c r="J767" s="446">
        <v>49.58</v>
      </c>
      <c r="K767" s="446">
        <v>9.07</v>
      </c>
    </row>
    <row r="768" customHeight="1" spans="1:11">
      <c r="A768" s="430" t="s">
        <v>1724</v>
      </c>
      <c r="B768" s="431" t="s">
        <v>1800</v>
      </c>
      <c r="C768" s="430" t="s">
        <v>71</v>
      </c>
      <c r="D768" s="430" t="s">
        <v>1801</v>
      </c>
      <c r="E768" s="430" t="s">
        <v>1708</v>
      </c>
      <c r="F768" s="430"/>
      <c r="G768" s="432" t="s">
        <v>82</v>
      </c>
      <c r="H768" s="433">
        <v>0.202</v>
      </c>
      <c r="I768" s="433">
        <v>0</v>
      </c>
      <c r="J768" s="446">
        <v>29.91</v>
      </c>
      <c r="K768" s="446">
        <v>6.04</v>
      </c>
    </row>
    <row r="769" customHeight="1" spans="1:11">
      <c r="A769" s="430" t="s">
        <v>1724</v>
      </c>
      <c r="B769" s="431" t="s">
        <v>1743</v>
      </c>
      <c r="C769" s="430" t="s">
        <v>71</v>
      </c>
      <c r="D769" s="430" t="s">
        <v>1744</v>
      </c>
      <c r="E769" s="430" t="s">
        <v>1708</v>
      </c>
      <c r="F769" s="430"/>
      <c r="G769" s="432" t="s">
        <v>82</v>
      </c>
      <c r="H769" s="433">
        <v>1.101</v>
      </c>
      <c r="I769" s="433">
        <v>0</v>
      </c>
      <c r="J769" s="446">
        <v>37.51</v>
      </c>
      <c r="K769" s="446">
        <v>41.29</v>
      </c>
    </row>
    <row r="770" customHeight="1" spans="1:11">
      <c r="A770" s="438" t="s">
        <v>1750</v>
      </c>
      <c r="B770" s="439" t="s">
        <v>1943</v>
      </c>
      <c r="C770" s="438" t="s">
        <v>71</v>
      </c>
      <c r="D770" s="438" t="s">
        <v>1944</v>
      </c>
      <c r="E770" s="438" t="s">
        <v>1631</v>
      </c>
      <c r="F770" s="438"/>
      <c r="G770" s="440" t="s">
        <v>1945</v>
      </c>
      <c r="H770" s="441">
        <v>0.008</v>
      </c>
      <c r="I770" s="441">
        <v>0</v>
      </c>
      <c r="J770" s="449">
        <v>7.97</v>
      </c>
      <c r="K770" s="449">
        <v>0.06</v>
      </c>
    </row>
    <row r="771" customHeight="1" spans="1:11">
      <c r="A771" s="438" t="s">
        <v>1750</v>
      </c>
      <c r="B771" s="439" t="s">
        <v>2075</v>
      </c>
      <c r="C771" s="438" t="s">
        <v>71</v>
      </c>
      <c r="D771" s="438" t="s">
        <v>2076</v>
      </c>
      <c r="E771" s="438" t="s">
        <v>1892</v>
      </c>
      <c r="F771" s="438"/>
      <c r="G771" s="440" t="s">
        <v>93</v>
      </c>
      <c r="H771" s="441">
        <v>1.03</v>
      </c>
      <c r="I771" s="441">
        <v>0</v>
      </c>
      <c r="J771" s="449">
        <v>14.4</v>
      </c>
      <c r="K771" s="449">
        <v>14.83</v>
      </c>
    </row>
    <row r="772" customHeight="1" spans="1:11">
      <c r="A772" s="438" t="s">
        <v>1750</v>
      </c>
      <c r="B772" s="439" t="s">
        <v>2055</v>
      </c>
      <c r="C772" s="438" t="s">
        <v>71</v>
      </c>
      <c r="D772" s="438" t="s">
        <v>2056</v>
      </c>
      <c r="E772" s="438" t="s">
        <v>1892</v>
      </c>
      <c r="F772" s="438"/>
      <c r="G772" s="440" t="s">
        <v>93</v>
      </c>
      <c r="H772" s="441">
        <v>0.397</v>
      </c>
      <c r="I772" s="441">
        <v>0</v>
      </c>
      <c r="J772" s="449">
        <v>26.62</v>
      </c>
      <c r="K772" s="449">
        <v>10.56</v>
      </c>
    </row>
    <row r="773" customHeight="1" spans="1:11">
      <c r="A773" s="438" t="s">
        <v>1750</v>
      </c>
      <c r="B773" s="439" t="s">
        <v>2057</v>
      </c>
      <c r="C773" s="438" t="s">
        <v>71</v>
      </c>
      <c r="D773" s="438" t="s">
        <v>2058</v>
      </c>
      <c r="E773" s="438" t="s">
        <v>1631</v>
      </c>
      <c r="F773" s="438"/>
      <c r="G773" s="440" t="s">
        <v>78</v>
      </c>
      <c r="H773" s="441">
        <v>0.038</v>
      </c>
      <c r="I773" s="441">
        <v>0</v>
      </c>
      <c r="J773" s="449">
        <v>132.03</v>
      </c>
      <c r="K773" s="449">
        <v>5.01</v>
      </c>
    </row>
    <row r="774" customHeight="1" spans="1:11">
      <c r="A774" s="434"/>
      <c r="B774" s="434"/>
      <c r="C774" s="434"/>
      <c r="D774" s="434"/>
      <c r="E774" s="434"/>
      <c r="F774" s="434" t="s">
        <v>1735</v>
      </c>
      <c r="G774" s="435">
        <v>18.2</v>
      </c>
      <c r="H774" s="434" t="s">
        <v>1736</v>
      </c>
      <c r="I774" s="435">
        <v>16.55</v>
      </c>
      <c r="J774" s="434" t="s">
        <v>1737</v>
      </c>
      <c r="K774" s="435">
        <v>34.75</v>
      </c>
    </row>
    <row r="775" customHeight="1" spans="1:11">
      <c r="A775" s="434"/>
      <c r="B775" s="434"/>
      <c r="C775" s="434"/>
      <c r="D775" s="434"/>
      <c r="E775" s="434"/>
      <c r="F775" s="434" t="s">
        <v>1738</v>
      </c>
      <c r="G775" s="435">
        <v>21.41</v>
      </c>
      <c r="H775" s="434"/>
      <c r="I775" s="434" t="s">
        <v>1739</v>
      </c>
      <c r="J775" s="434"/>
      <c r="K775" s="435">
        <v>108.27</v>
      </c>
    </row>
    <row r="776" customHeight="1" spans="1:11">
      <c r="A776" s="436"/>
      <c r="B776" s="436"/>
      <c r="C776" s="436"/>
      <c r="D776" s="436"/>
      <c r="E776" s="436"/>
      <c r="F776" s="436"/>
      <c r="G776" s="436"/>
      <c r="H776" s="436" t="s">
        <v>1740</v>
      </c>
      <c r="I776" s="447" t="s">
        <v>2077</v>
      </c>
      <c r="J776" s="436" t="s">
        <v>1742</v>
      </c>
      <c r="K776" s="448">
        <v>70608.28</v>
      </c>
    </row>
    <row r="777" customHeight="1" spans="1:11">
      <c r="A777" s="437"/>
      <c r="B777" s="437"/>
      <c r="C777" s="437"/>
      <c r="D777" s="437"/>
      <c r="E777" s="437"/>
      <c r="F777" s="437"/>
      <c r="G777" s="437"/>
      <c r="H777" s="437"/>
      <c r="I777" s="437"/>
      <c r="J777" s="437"/>
      <c r="K777" s="437"/>
    </row>
    <row r="778" customHeight="1" spans="1:11">
      <c r="A778" s="423" t="s">
        <v>275</v>
      </c>
      <c r="B778" s="424" t="s">
        <v>1714</v>
      </c>
      <c r="C778" s="423" t="s">
        <v>1715</v>
      </c>
      <c r="D778" s="423" t="s">
        <v>1716</v>
      </c>
      <c r="E778" s="423" t="s">
        <v>1717</v>
      </c>
      <c r="F778" s="423"/>
      <c r="G778" s="425" t="s">
        <v>1718</v>
      </c>
      <c r="H778" s="424" t="s">
        <v>1719</v>
      </c>
      <c r="I778" s="424" t="s">
        <v>1720</v>
      </c>
      <c r="J778" s="424" t="s">
        <v>1721</v>
      </c>
      <c r="K778" s="424" t="s">
        <v>1722</v>
      </c>
    </row>
    <row r="779" customHeight="1" spans="1:11">
      <c r="A779" s="426" t="s">
        <v>1723</v>
      </c>
      <c r="B779" s="427" t="s">
        <v>276</v>
      </c>
      <c r="C779" s="426" t="s">
        <v>71</v>
      </c>
      <c r="D779" s="426" t="s">
        <v>277</v>
      </c>
      <c r="E779" s="426" t="s">
        <v>1621</v>
      </c>
      <c r="F779" s="426"/>
      <c r="G779" s="428" t="s">
        <v>129</v>
      </c>
      <c r="H779" s="429">
        <v>1</v>
      </c>
      <c r="I779" s="445"/>
      <c r="J779" s="445">
        <v>658.81</v>
      </c>
      <c r="K779" s="445">
        <v>658.81</v>
      </c>
    </row>
    <row r="780" customHeight="1" spans="1:11">
      <c r="A780" s="430" t="s">
        <v>1724</v>
      </c>
      <c r="B780" s="431" t="s">
        <v>1979</v>
      </c>
      <c r="C780" s="430" t="s">
        <v>71</v>
      </c>
      <c r="D780" s="430" t="s">
        <v>1980</v>
      </c>
      <c r="E780" s="430" t="s">
        <v>1795</v>
      </c>
      <c r="F780" s="430"/>
      <c r="G780" s="432" t="s">
        <v>1796</v>
      </c>
      <c r="H780" s="433">
        <v>0.12</v>
      </c>
      <c r="I780" s="433">
        <v>0</v>
      </c>
      <c r="J780" s="446">
        <v>1.45</v>
      </c>
      <c r="K780" s="446">
        <v>0.17</v>
      </c>
    </row>
    <row r="781" customHeight="1" spans="1:11">
      <c r="A781" s="430" t="s">
        <v>1724</v>
      </c>
      <c r="B781" s="431" t="s">
        <v>1743</v>
      </c>
      <c r="C781" s="430" t="s">
        <v>71</v>
      </c>
      <c r="D781" s="430" t="s">
        <v>1744</v>
      </c>
      <c r="E781" s="430" t="s">
        <v>1708</v>
      </c>
      <c r="F781" s="430"/>
      <c r="G781" s="432" t="s">
        <v>82</v>
      </c>
      <c r="H781" s="433">
        <v>0.125</v>
      </c>
      <c r="I781" s="433">
        <v>0</v>
      </c>
      <c r="J781" s="446">
        <v>37.51</v>
      </c>
      <c r="K781" s="446">
        <v>4.68</v>
      </c>
    </row>
    <row r="782" customHeight="1" spans="1:11">
      <c r="A782" s="430" t="s">
        <v>1724</v>
      </c>
      <c r="B782" s="431" t="s">
        <v>1745</v>
      </c>
      <c r="C782" s="430" t="s">
        <v>71</v>
      </c>
      <c r="D782" s="430" t="s">
        <v>1746</v>
      </c>
      <c r="E782" s="430" t="s">
        <v>1708</v>
      </c>
      <c r="F782" s="430"/>
      <c r="G782" s="432" t="s">
        <v>82</v>
      </c>
      <c r="H782" s="433">
        <v>0.826</v>
      </c>
      <c r="I782" s="433">
        <v>0</v>
      </c>
      <c r="J782" s="446">
        <v>29.15</v>
      </c>
      <c r="K782" s="446">
        <v>24.07</v>
      </c>
    </row>
    <row r="783" customHeight="1" spans="1:11">
      <c r="A783" s="430" t="s">
        <v>1724</v>
      </c>
      <c r="B783" s="431" t="s">
        <v>1981</v>
      </c>
      <c r="C783" s="430" t="s">
        <v>71</v>
      </c>
      <c r="D783" s="430" t="s">
        <v>1982</v>
      </c>
      <c r="E783" s="430" t="s">
        <v>1795</v>
      </c>
      <c r="F783" s="430"/>
      <c r="G783" s="432" t="s">
        <v>1804</v>
      </c>
      <c r="H783" s="433">
        <v>0.131</v>
      </c>
      <c r="I783" s="433">
        <v>0</v>
      </c>
      <c r="J783" s="446">
        <v>0.53</v>
      </c>
      <c r="K783" s="446">
        <v>0.06</v>
      </c>
    </row>
    <row r="784" customHeight="1" spans="1:11">
      <c r="A784" s="430" t="s">
        <v>1724</v>
      </c>
      <c r="B784" s="431" t="s">
        <v>1936</v>
      </c>
      <c r="C784" s="430" t="s">
        <v>71</v>
      </c>
      <c r="D784" s="430" t="s">
        <v>1937</v>
      </c>
      <c r="E784" s="430" t="s">
        <v>1708</v>
      </c>
      <c r="F784" s="430"/>
      <c r="G784" s="432" t="s">
        <v>82</v>
      </c>
      <c r="H784" s="433">
        <v>0.753</v>
      </c>
      <c r="I784" s="433">
        <v>0</v>
      </c>
      <c r="J784" s="446">
        <v>36.96</v>
      </c>
      <c r="K784" s="446">
        <v>27.83</v>
      </c>
    </row>
    <row r="785" customHeight="1" spans="1:11">
      <c r="A785" s="438" t="s">
        <v>1750</v>
      </c>
      <c r="B785" s="439" t="s">
        <v>2034</v>
      </c>
      <c r="C785" s="438" t="s">
        <v>71</v>
      </c>
      <c r="D785" s="438" t="s">
        <v>2035</v>
      </c>
      <c r="E785" s="438" t="s">
        <v>1631</v>
      </c>
      <c r="F785" s="438"/>
      <c r="G785" s="440" t="s">
        <v>129</v>
      </c>
      <c r="H785" s="441">
        <v>1.103</v>
      </c>
      <c r="I785" s="441">
        <v>0</v>
      </c>
      <c r="J785" s="449">
        <v>545.79</v>
      </c>
      <c r="K785" s="449">
        <v>602</v>
      </c>
    </row>
    <row r="786" customHeight="1" spans="1:11">
      <c r="A786" s="434"/>
      <c r="B786" s="434"/>
      <c r="C786" s="434"/>
      <c r="D786" s="434"/>
      <c r="E786" s="434"/>
      <c r="F786" s="434" t="s">
        <v>1735</v>
      </c>
      <c r="G786" s="435">
        <v>20.75</v>
      </c>
      <c r="H786" s="434" t="s">
        <v>1736</v>
      </c>
      <c r="I786" s="435">
        <v>18.86</v>
      </c>
      <c r="J786" s="434" t="s">
        <v>1737</v>
      </c>
      <c r="K786" s="435">
        <v>39.61</v>
      </c>
    </row>
    <row r="787" customHeight="1" spans="1:11">
      <c r="A787" s="434"/>
      <c r="B787" s="434"/>
      <c r="C787" s="434"/>
      <c r="D787" s="434"/>
      <c r="E787" s="434"/>
      <c r="F787" s="434" t="s">
        <v>1738</v>
      </c>
      <c r="G787" s="435">
        <v>162.46</v>
      </c>
      <c r="H787" s="434"/>
      <c r="I787" s="434" t="s">
        <v>1739</v>
      </c>
      <c r="J787" s="434"/>
      <c r="K787" s="435">
        <v>821.27</v>
      </c>
    </row>
    <row r="788" customHeight="1" spans="1:11">
      <c r="A788" s="436"/>
      <c r="B788" s="436"/>
      <c r="C788" s="436"/>
      <c r="D788" s="436"/>
      <c r="E788" s="436"/>
      <c r="F788" s="436"/>
      <c r="G788" s="436"/>
      <c r="H788" s="436" t="s">
        <v>1740</v>
      </c>
      <c r="I788" s="447" t="s">
        <v>2078</v>
      </c>
      <c r="J788" s="436" t="s">
        <v>1742</v>
      </c>
      <c r="K788" s="448">
        <v>197967.13</v>
      </c>
    </row>
    <row r="789" customHeight="1" spans="1:11">
      <c r="A789" s="437"/>
      <c r="B789" s="437"/>
      <c r="C789" s="437"/>
      <c r="D789" s="437"/>
      <c r="E789" s="437"/>
      <c r="F789" s="437"/>
      <c r="G789" s="437"/>
      <c r="H789" s="437"/>
      <c r="I789" s="437"/>
      <c r="J789" s="437"/>
      <c r="K789" s="437"/>
    </row>
    <row r="790" customHeight="1" spans="1:11">
      <c r="A790" s="422" t="s">
        <v>278</v>
      </c>
      <c r="B790" s="422"/>
      <c r="C790" s="422"/>
      <c r="D790" s="422" t="s">
        <v>279</v>
      </c>
      <c r="E790" s="422"/>
      <c r="F790" s="422"/>
      <c r="G790" s="422"/>
      <c r="H790" s="422"/>
      <c r="I790" s="443"/>
      <c r="J790" s="422"/>
      <c r="K790" s="444">
        <v>20941.9</v>
      </c>
    </row>
    <row r="791" customHeight="1" spans="1:11">
      <c r="A791" s="423" t="s">
        <v>280</v>
      </c>
      <c r="B791" s="424" t="s">
        <v>1714</v>
      </c>
      <c r="C791" s="423" t="s">
        <v>1715</v>
      </c>
      <c r="D791" s="423" t="s">
        <v>1716</v>
      </c>
      <c r="E791" s="423" t="s">
        <v>1717</v>
      </c>
      <c r="F791" s="423"/>
      <c r="G791" s="425" t="s">
        <v>1718</v>
      </c>
      <c r="H791" s="424" t="s">
        <v>1719</v>
      </c>
      <c r="I791" s="424" t="s">
        <v>1720</v>
      </c>
      <c r="J791" s="424" t="s">
        <v>1721</v>
      </c>
      <c r="K791" s="424" t="s">
        <v>1722</v>
      </c>
    </row>
    <row r="792" customHeight="1" spans="1:11">
      <c r="A792" s="426" t="s">
        <v>1723</v>
      </c>
      <c r="B792" s="427" t="s">
        <v>281</v>
      </c>
      <c r="C792" s="426" t="s">
        <v>71</v>
      </c>
      <c r="D792" s="426" t="s">
        <v>282</v>
      </c>
      <c r="E792" s="426" t="s">
        <v>1672</v>
      </c>
      <c r="F792" s="426"/>
      <c r="G792" s="428" t="s">
        <v>73</v>
      </c>
      <c r="H792" s="429">
        <v>1</v>
      </c>
      <c r="I792" s="445"/>
      <c r="J792" s="445">
        <v>511.61</v>
      </c>
      <c r="K792" s="445">
        <v>511.61</v>
      </c>
    </row>
    <row r="793" customHeight="1" spans="1:11">
      <c r="A793" s="430" t="s">
        <v>1724</v>
      </c>
      <c r="B793" s="431" t="s">
        <v>1800</v>
      </c>
      <c r="C793" s="430" t="s">
        <v>71</v>
      </c>
      <c r="D793" s="430" t="s">
        <v>1801</v>
      </c>
      <c r="E793" s="430" t="s">
        <v>1708</v>
      </c>
      <c r="F793" s="430"/>
      <c r="G793" s="432" t="s">
        <v>82</v>
      </c>
      <c r="H793" s="433">
        <v>0.801</v>
      </c>
      <c r="I793" s="433">
        <v>0</v>
      </c>
      <c r="J793" s="446">
        <v>29.91</v>
      </c>
      <c r="K793" s="446">
        <v>23.95</v>
      </c>
    </row>
    <row r="794" customHeight="1" spans="1:11">
      <c r="A794" s="430" t="s">
        <v>1724</v>
      </c>
      <c r="B794" s="431" t="s">
        <v>2079</v>
      </c>
      <c r="C794" s="430" t="s">
        <v>71</v>
      </c>
      <c r="D794" s="430" t="s">
        <v>2080</v>
      </c>
      <c r="E794" s="430" t="s">
        <v>1672</v>
      </c>
      <c r="F794" s="430"/>
      <c r="G794" s="432" t="s">
        <v>73</v>
      </c>
      <c r="H794" s="433">
        <v>0.88</v>
      </c>
      <c r="I794" s="433">
        <v>0</v>
      </c>
      <c r="J794" s="446">
        <v>279.13</v>
      </c>
      <c r="K794" s="446">
        <v>245.63</v>
      </c>
    </row>
    <row r="795" customHeight="1" spans="1:11">
      <c r="A795" s="430" t="s">
        <v>1724</v>
      </c>
      <c r="B795" s="431" t="s">
        <v>2070</v>
      </c>
      <c r="C795" s="430" t="s">
        <v>71</v>
      </c>
      <c r="D795" s="430" t="s">
        <v>2071</v>
      </c>
      <c r="E795" s="430" t="s">
        <v>1626</v>
      </c>
      <c r="F795" s="430"/>
      <c r="G795" s="432" t="s">
        <v>78</v>
      </c>
      <c r="H795" s="433">
        <v>3.076</v>
      </c>
      <c r="I795" s="433">
        <v>0</v>
      </c>
      <c r="J795" s="446">
        <v>17.44</v>
      </c>
      <c r="K795" s="446">
        <v>53.64</v>
      </c>
    </row>
    <row r="796" customHeight="1" spans="1:11">
      <c r="A796" s="430" t="s">
        <v>1724</v>
      </c>
      <c r="B796" s="431" t="s">
        <v>1743</v>
      </c>
      <c r="C796" s="430" t="s">
        <v>71</v>
      </c>
      <c r="D796" s="430" t="s">
        <v>1744</v>
      </c>
      <c r="E796" s="430" t="s">
        <v>1708</v>
      </c>
      <c r="F796" s="430"/>
      <c r="G796" s="432" t="s">
        <v>82</v>
      </c>
      <c r="H796" s="433">
        <v>4.806</v>
      </c>
      <c r="I796" s="433">
        <v>0</v>
      </c>
      <c r="J796" s="446">
        <v>37.51</v>
      </c>
      <c r="K796" s="446">
        <v>180.27</v>
      </c>
    </row>
    <row r="797" customHeight="1" spans="1:11">
      <c r="A797" s="438" t="s">
        <v>1750</v>
      </c>
      <c r="B797" s="439" t="s">
        <v>2041</v>
      </c>
      <c r="C797" s="438" t="s">
        <v>71</v>
      </c>
      <c r="D797" s="438" t="s">
        <v>2042</v>
      </c>
      <c r="E797" s="438" t="s">
        <v>1631</v>
      </c>
      <c r="F797" s="438"/>
      <c r="G797" s="440" t="s">
        <v>78</v>
      </c>
      <c r="H797" s="441">
        <v>0.272</v>
      </c>
      <c r="I797" s="441">
        <v>0</v>
      </c>
      <c r="J797" s="449">
        <v>21.41</v>
      </c>
      <c r="K797" s="449">
        <v>5.82</v>
      </c>
    </row>
    <row r="798" customHeight="1" spans="1:11">
      <c r="A798" s="438" t="s">
        <v>1750</v>
      </c>
      <c r="B798" s="439" t="s">
        <v>1943</v>
      </c>
      <c r="C798" s="438" t="s">
        <v>71</v>
      </c>
      <c r="D798" s="438" t="s">
        <v>1944</v>
      </c>
      <c r="E798" s="438" t="s">
        <v>1631</v>
      </c>
      <c r="F798" s="438"/>
      <c r="G798" s="440" t="s">
        <v>1945</v>
      </c>
      <c r="H798" s="441">
        <v>0.017</v>
      </c>
      <c r="I798" s="441">
        <v>0</v>
      </c>
      <c r="J798" s="449">
        <v>7.97</v>
      </c>
      <c r="K798" s="449">
        <v>0.13</v>
      </c>
    </row>
    <row r="799" customHeight="1" spans="1:11">
      <c r="A799" s="438" t="s">
        <v>1750</v>
      </c>
      <c r="B799" s="439" t="s">
        <v>1948</v>
      </c>
      <c r="C799" s="438" t="s">
        <v>71</v>
      </c>
      <c r="D799" s="438" t="s">
        <v>1949</v>
      </c>
      <c r="E799" s="438" t="s">
        <v>1631</v>
      </c>
      <c r="F799" s="438"/>
      <c r="G799" s="440" t="s">
        <v>158</v>
      </c>
      <c r="H799" s="441">
        <v>0.096</v>
      </c>
      <c r="I799" s="441">
        <v>0</v>
      </c>
      <c r="J799" s="449">
        <v>22.69</v>
      </c>
      <c r="K799" s="449">
        <v>2.17</v>
      </c>
    </row>
    <row r="800" customHeight="1" spans="1:11">
      <c r="A800" s="434"/>
      <c r="B800" s="434"/>
      <c r="C800" s="434"/>
      <c r="D800" s="434"/>
      <c r="E800" s="434"/>
      <c r="F800" s="434" t="s">
        <v>1735</v>
      </c>
      <c r="G800" s="435">
        <v>100.87</v>
      </c>
      <c r="H800" s="434" t="s">
        <v>1736</v>
      </c>
      <c r="I800" s="435">
        <v>91.63</v>
      </c>
      <c r="J800" s="434" t="s">
        <v>1737</v>
      </c>
      <c r="K800" s="435">
        <v>192.5</v>
      </c>
    </row>
    <row r="801" customHeight="1" spans="1:11">
      <c r="A801" s="434"/>
      <c r="B801" s="434"/>
      <c r="C801" s="434"/>
      <c r="D801" s="434"/>
      <c r="E801" s="434"/>
      <c r="F801" s="434" t="s">
        <v>1738</v>
      </c>
      <c r="G801" s="435">
        <v>126.16</v>
      </c>
      <c r="H801" s="434"/>
      <c r="I801" s="434" t="s">
        <v>1739</v>
      </c>
      <c r="J801" s="434"/>
      <c r="K801" s="435">
        <v>637.77</v>
      </c>
    </row>
    <row r="802" customHeight="1" spans="1:11">
      <c r="A802" s="436"/>
      <c r="B802" s="436"/>
      <c r="C802" s="436"/>
      <c r="D802" s="436"/>
      <c r="E802" s="436"/>
      <c r="F802" s="436"/>
      <c r="G802" s="436"/>
      <c r="H802" s="436" t="s">
        <v>1740</v>
      </c>
      <c r="I802" s="447" t="s">
        <v>2081</v>
      </c>
      <c r="J802" s="436" t="s">
        <v>1742</v>
      </c>
      <c r="K802" s="448">
        <v>988.54</v>
      </c>
    </row>
    <row r="803" customHeight="1" spans="1:11">
      <c r="A803" s="437"/>
      <c r="B803" s="437"/>
      <c r="C803" s="437"/>
      <c r="D803" s="437"/>
      <c r="E803" s="437"/>
      <c r="F803" s="437"/>
      <c r="G803" s="437"/>
      <c r="H803" s="437"/>
      <c r="I803" s="437"/>
      <c r="J803" s="437"/>
      <c r="K803" s="437"/>
    </row>
    <row r="804" customHeight="1" spans="1:11">
      <c r="A804" s="423" t="s">
        <v>283</v>
      </c>
      <c r="B804" s="424" t="s">
        <v>1714</v>
      </c>
      <c r="C804" s="423" t="s">
        <v>1715</v>
      </c>
      <c r="D804" s="423" t="s">
        <v>1716</v>
      </c>
      <c r="E804" s="423" t="s">
        <v>1717</v>
      </c>
      <c r="F804" s="423"/>
      <c r="G804" s="425" t="s">
        <v>1718</v>
      </c>
      <c r="H804" s="424" t="s">
        <v>1719</v>
      </c>
      <c r="I804" s="424" t="s">
        <v>1720</v>
      </c>
      <c r="J804" s="424" t="s">
        <v>1721</v>
      </c>
      <c r="K804" s="424" t="s">
        <v>1722</v>
      </c>
    </row>
    <row r="805" customHeight="1" spans="1:11">
      <c r="A805" s="426" t="s">
        <v>1723</v>
      </c>
      <c r="B805" s="427" t="s">
        <v>284</v>
      </c>
      <c r="C805" s="426" t="s">
        <v>71</v>
      </c>
      <c r="D805" s="426" t="s">
        <v>285</v>
      </c>
      <c r="E805" s="426" t="s">
        <v>1672</v>
      </c>
      <c r="F805" s="426"/>
      <c r="G805" s="428" t="s">
        <v>158</v>
      </c>
      <c r="H805" s="429">
        <v>1</v>
      </c>
      <c r="I805" s="445"/>
      <c r="J805" s="445">
        <v>26.62</v>
      </c>
      <c r="K805" s="445">
        <v>26.62</v>
      </c>
    </row>
    <row r="806" customHeight="1" spans="1:11">
      <c r="A806" s="430" t="s">
        <v>1724</v>
      </c>
      <c r="B806" s="431" t="s">
        <v>1954</v>
      </c>
      <c r="C806" s="430" t="s">
        <v>71</v>
      </c>
      <c r="D806" s="430" t="s">
        <v>1955</v>
      </c>
      <c r="E806" s="430" t="s">
        <v>1632</v>
      </c>
      <c r="F806" s="430"/>
      <c r="G806" s="432" t="s">
        <v>158</v>
      </c>
      <c r="H806" s="433">
        <v>1</v>
      </c>
      <c r="I806" s="433">
        <v>0</v>
      </c>
      <c r="J806" s="446">
        <v>10.96</v>
      </c>
      <c r="K806" s="446">
        <v>10.96</v>
      </c>
    </row>
    <row r="807" customHeight="1" spans="1:11">
      <c r="A807" s="430" t="s">
        <v>1724</v>
      </c>
      <c r="B807" s="431" t="s">
        <v>1956</v>
      </c>
      <c r="C807" s="430" t="s">
        <v>71</v>
      </c>
      <c r="D807" s="430" t="s">
        <v>1957</v>
      </c>
      <c r="E807" s="430" t="s">
        <v>1708</v>
      </c>
      <c r="F807" s="430"/>
      <c r="G807" s="432" t="s">
        <v>82</v>
      </c>
      <c r="H807" s="433">
        <v>0.058</v>
      </c>
      <c r="I807" s="433">
        <v>0</v>
      </c>
      <c r="J807" s="446">
        <v>30.06</v>
      </c>
      <c r="K807" s="446">
        <v>1.74</v>
      </c>
    </row>
    <row r="808" customHeight="1" spans="1:11">
      <c r="A808" s="430" t="s">
        <v>1724</v>
      </c>
      <c r="B808" s="431" t="s">
        <v>1958</v>
      </c>
      <c r="C808" s="430" t="s">
        <v>71</v>
      </c>
      <c r="D808" s="430" t="s">
        <v>1959</v>
      </c>
      <c r="E808" s="430" t="s">
        <v>1708</v>
      </c>
      <c r="F808" s="430"/>
      <c r="G808" s="432" t="s">
        <v>82</v>
      </c>
      <c r="H808" s="433">
        <v>0.366</v>
      </c>
      <c r="I808" s="433">
        <v>0</v>
      </c>
      <c r="J808" s="446">
        <v>35.95</v>
      </c>
      <c r="K808" s="446">
        <v>13.15</v>
      </c>
    </row>
    <row r="809" customHeight="1" spans="1:11">
      <c r="A809" s="438" t="s">
        <v>1750</v>
      </c>
      <c r="B809" s="439" t="s">
        <v>1960</v>
      </c>
      <c r="C809" s="438" t="s">
        <v>71</v>
      </c>
      <c r="D809" s="438" t="s">
        <v>1961</v>
      </c>
      <c r="E809" s="438" t="s">
        <v>1631</v>
      </c>
      <c r="F809" s="438"/>
      <c r="G809" s="440" t="s">
        <v>158</v>
      </c>
      <c r="H809" s="441">
        <v>0.025</v>
      </c>
      <c r="I809" s="441">
        <v>0</v>
      </c>
      <c r="J809" s="449">
        <v>22</v>
      </c>
      <c r="K809" s="449">
        <v>0.55</v>
      </c>
    </row>
    <row r="810" customHeight="1" spans="1:11">
      <c r="A810" s="438" t="s">
        <v>1750</v>
      </c>
      <c r="B810" s="439" t="s">
        <v>1962</v>
      </c>
      <c r="C810" s="438" t="s">
        <v>71</v>
      </c>
      <c r="D810" s="438" t="s">
        <v>1963</v>
      </c>
      <c r="E810" s="438" t="s">
        <v>1631</v>
      </c>
      <c r="F810" s="438"/>
      <c r="G810" s="440" t="s">
        <v>105</v>
      </c>
      <c r="H810" s="441">
        <v>1.04</v>
      </c>
      <c r="I810" s="441">
        <v>0</v>
      </c>
      <c r="J810" s="449">
        <v>0.22</v>
      </c>
      <c r="K810" s="449">
        <v>0.22</v>
      </c>
    </row>
    <row r="811" customHeight="1" spans="1:11">
      <c r="A811" s="434"/>
      <c r="B811" s="434"/>
      <c r="C811" s="434"/>
      <c r="D811" s="434"/>
      <c r="E811" s="434"/>
      <c r="F811" s="434" t="s">
        <v>1735</v>
      </c>
      <c r="G811" s="435">
        <v>6.46</v>
      </c>
      <c r="H811" s="434" t="s">
        <v>1736</v>
      </c>
      <c r="I811" s="435">
        <v>5.88</v>
      </c>
      <c r="J811" s="434" t="s">
        <v>1737</v>
      </c>
      <c r="K811" s="435">
        <v>12.34</v>
      </c>
    </row>
    <row r="812" customHeight="1" spans="1:11">
      <c r="A812" s="434"/>
      <c r="B812" s="434"/>
      <c r="C812" s="434"/>
      <c r="D812" s="434"/>
      <c r="E812" s="434"/>
      <c r="F812" s="434" t="s">
        <v>1738</v>
      </c>
      <c r="G812" s="435">
        <v>6.56</v>
      </c>
      <c r="H812" s="434"/>
      <c r="I812" s="434" t="s">
        <v>1739</v>
      </c>
      <c r="J812" s="434"/>
      <c r="K812" s="435">
        <v>33.18</v>
      </c>
    </row>
    <row r="813" customHeight="1" spans="1:11">
      <c r="A813" s="436"/>
      <c r="B813" s="436"/>
      <c r="C813" s="436"/>
      <c r="D813" s="436"/>
      <c r="E813" s="436"/>
      <c r="F813" s="436"/>
      <c r="G813" s="436"/>
      <c r="H813" s="436" t="s">
        <v>1740</v>
      </c>
      <c r="I813" s="447" t="s">
        <v>2020</v>
      </c>
      <c r="J813" s="436" t="s">
        <v>1742</v>
      </c>
      <c r="K813" s="448">
        <v>398.16</v>
      </c>
    </row>
    <row r="814" customHeight="1" spans="1:11">
      <c r="A814" s="437"/>
      <c r="B814" s="437"/>
      <c r="C814" s="437"/>
      <c r="D814" s="437"/>
      <c r="E814" s="437"/>
      <c r="F814" s="437"/>
      <c r="G814" s="437"/>
      <c r="H814" s="437"/>
      <c r="I814" s="437"/>
      <c r="J814" s="437"/>
      <c r="K814" s="437"/>
    </row>
    <row r="815" customHeight="1" spans="1:11">
      <c r="A815" s="423" t="s">
        <v>286</v>
      </c>
      <c r="B815" s="424" t="s">
        <v>1714</v>
      </c>
      <c r="C815" s="423" t="s">
        <v>1715</v>
      </c>
      <c r="D815" s="423" t="s">
        <v>1716</v>
      </c>
      <c r="E815" s="423" t="s">
        <v>1717</v>
      </c>
      <c r="F815" s="423"/>
      <c r="G815" s="425" t="s">
        <v>1718</v>
      </c>
      <c r="H815" s="424" t="s">
        <v>1719</v>
      </c>
      <c r="I815" s="424" t="s">
        <v>1720</v>
      </c>
      <c r="J815" s="424" t="s">
        <v>1721</v>
      </c>
      <c r="K815" s="424" t="s">
        <v>1722</v>
      </c>
    </row>
    <row r="816" customHeight="1" spans="1:11">
      <c r="A816" s="426" t="s">
        <v>1723</v>
      </c>
      <c r="B816" s="427" t="s">
        <v>287</v>
      </c>
      <c r="C816" s="426" t="s">
        <v>71</v>
      </c>
      <c r="D816" s="426" t="s">
        <v>288</v>
      </c>
      <c r="E816" s="426" t="s">
        <v>1672</v>
      </c>
      <c r="F816" s="426"/>
      <c r="G816" s="428" t="s">
        <v>158</v>
      </c>
      <c r="H816" s="429">
        <v>1</v>
      </c>
      <c r="I816" s="445"/>
      <c r="J816" s="445">
        <v>23.65</v>
      </c>
      <c r="K816" s="445">
        <v>23.65</v>
      </c>
    </row>
    <row r="817" customHeight="1" spans="1:11">
      <c r="A817" s="430" t="s">
        <v>1724</v>
      </c>
      <c r="B817" s="431" t="s">
        <v>2027</v>
      </c>
      <c r="C817" s="430" t="s">
        <v>71</v>
      </c>
      <c r="D817" s="430" t="s">
        <v>2028</v>
      </c>
      <c r="E817" s="430" t="s">
        <v>1632</v>
      </c>
      <c r="F817" s="430"/>
      <c r="G817" s="432" t="s">
        <v>158</v>
      </c>
      <c r="H817" s="433">
        <v>1</v>
      </c>
      <c r="I817" s="433">
        <v>0</v>
      </c>
      <c r="J817" s="446">
        <v>10.84</v>
      </c>
      <c r="K817" s="446">
        <v>10.84</v>
      </c>
    </row>
    <row r="818" customHeight="1" spans="1:11">
      <c r="A818" s="430" t="s">
        <v>1724</v>
      </c>
      <c r="B818" s="431" t="s">
        <v>1958</v>
      </c>
      <c r="C818" s="430" t="s">
        <v>71</v>
      </c>
      <c r="D818" s="430" t="s">
        <v>1959</v>
      </c>
      <c r="E818" s="430" t="s">
        <v>1708</v>
      </c>
      <c r="F818" s="430"/>
      <c r="G818" s="432" t="s">
        <v>82</v>
      </c>
      <c r="H818" s="433">
        <v>0.297</v>
      </c>
      <c r="I818" s="433">
        <v>0</v>
      </c>
      <c r="J818" s="446">
        <v>35.95</v>
      </c>
      <c r="K818" s="446">
        <v>10.67</v>
      </c>
    </row>
    <row r="819" customHeight="1" spans="1:11">
      <c r="A819" s="430" t="s">
        <v>1724</v>
      </c>
      <c r="B819" s="431" t="s">
        <v>1956</v>
      </c>
      <c r="C819" s="430" t="s">
        <v>71</v>
      </c>
      <c r="D819" s="430" t="s">
        <v>1957</v>
      </c>
      <c r="E819" s="430" t="s">
        <v>1708</v>
      </c>
      <c r="F819" s="430"/>
      <c r="G819" s="432" t="s">
        <v>82</v>
      </c>
      <c r="H819" s="433">
        <v>0.047</v>
      </c>
      <c r="I819" s="433">
        <v>0</v>
      </c>
      <c r="J819" s="446">
        <v>30.06</v>
      </c>
      <c r="K819" s="446">
        <v>1.41</v>
      </c>
    </row>
    <row r="820" customHeight="1" spans="1:11">
      <c r="A820" s="438" t="s">
        <v>1750</v>
      </c>
      <c r="B820" s="439" t="s">
        <v>1960</v>
      </c>
      <c r="C820" s="438" t="s">
        <v>71</v>
      </c>
      <c r="D820" s="438" t="s">
        <v>1961</v>
      </c>
      <c r="E820" s="438" t="s">
        <v>1631</v>
      </c>
      <c r="F820" s="438"/>
      <c r="G820" s="440" t="s">
        <v>158</v>
      </c>
      <c r="H820" s="441">
        <v>0.025</v>
      </c>
      <c r="I820" s="441">
        <v>0</v>
      </c>
      <c r="J820" s="449">
        <v>22</v>
      </c>
      <c r="K820" s="449">
        <v>0.55</v>
      </c>
    </row>
    <row r="821" customHeight="1" spans="1:11">
      <c r="A821" s="438" t="s">
        <v>1750</v>
      </c>
      <c r="B821" s="439" t="s">
        <v>1962</v>
      </c>
      <c r="C821" s="438" t="s">
        <v>71</v>
      </c>
      <c r="D821" s="438" t="s">
        <v>1963</v>
      </c>
      <c r="E821" s="438" t="s">
        <v>1631</v>
      </c>
      <c r="F821" s="438"/>
      <c r="G821" s="440" t="s">
        <v>105</v>
      </c>
      <c r="H821" s="441">
        <v>0.827</v>
      </c>
      <c r="I821" s="441">
        <v>0</v>
      </c>
      <c r="J821" s="449">
        <v>0.22</v>
      </c>
      <c r="K821" s="449">
        <v>0.18</v>
      </c>
    </row>
    <row r="822" customHeight="1" spans="1:11">
      <c r="A822" s="434"/>
      <c r="B822" s="434"/>
      <c r="C822" s="434"/>
      <c r="D822" s="434"/>
      <c r="E822" s="434"/>
      <c r="F822" s="434" t="s">
        <v>1735</v>
      </c>
      <c r="G822" s="435">
        <v>4.99</v>
      </c>
      <c r="H822" s="434" t="s">
        <v>1736</v>
      </c>
      <c r="I822" s="435">
        <v>4.55</v>
      </c>
      <c r="J822" s="434" t="s">
        <v>1737</v>
      </c>
      <c r="K822" s="435">
        <v>9.54</v>
      </c>
    </row>
    <row r="823" customHeight="1" spans="1:11">
      <c r="A823" s="434"/>
      <c r="B823" s="434"/>
      <c r="C823" s="434"/>
      <c r="D823" s="434"/>
      <c r="E823" s="434"/>
      <c r="F823" s="434" t="s">
        <v>1738</v>
      </c>
      <c r="G823" s="435">
        <v>5.83</v>
      </c>
      <c r="H823" s="434"/>
      <c r="I823" s="434" t="s">
        <v>1739</v>
      </c>
      <c r="J823" s="434"/>
      <c r="K823" s="435">
        <v>29.48</v>
      </c>
    </row>
    <row r="824" customHeight="1" spans="1:11">
      <c r="A824" s="436"/>
      <c r="B824" s="436"/>
      <c r="C824" s="436"/>
      <c r="D824" s="436"/>
      <c r="E824" s="436"/>
      <c r="F824" s="436"/>
      <c r="G824" s="436"/>
      <c r="H824" s="436" t="s">
        <v>1740</v>
      </c>
      <c r="I824" s="447" t="s">
        <v>1964</v>
      </c>
      <c r="J824" s="436" t="s">
        <v>1742</v>
      </c>
      <c r="K824" s="448">
        <v>294.8</v>
      </c>
    </row>
    <row r="825" customHeight="1" spans="1:11">
      <c r="A825" s="437"/>
      <c r="B825" s="437"/>
      <c r="C825" s="437"/>
      <c r="D825" s="437"/>
      <c r="E825" s="437"/>
      <c r="F825" s="437"/>
      <c r="G825" s="437"/>
      <c r="H825" s="437"/>
      <c r="I825" s="437"/>
      <c r="J825" s="437"/>
      <c r="K825" s="437"/>
    </row>
    <row r="826" customHeight="1" spans="1:11">
      <c r="A826" s="423" t="s">
        <v>289</v>
      </c>
      <c r="B826" s="424" t="s">
        <v>1714</v>
      </c>
      <c r="C826" s="423" t="s">
        <v>1715</v>
      </c>
      <c r="D826" s="423" t="s">
        <v>1716</v>
      </c>
      <c r="E826" s="423" t="s">
        <v>1717</v>
      </c>
      <c r="F826" s="423"/>
      <c r="G826" s="425" t="s">
        <v>1718</v>
      </c>
      <c r="H826" s="424" t="s">
        <v>1719</v>
      </c>
      <c r="I826" s="424" t="s">
        <v>1720</v>
      </c>
      <c r="J826" s="424" t="s">
        <v>1721</v>
      </c>
      <c r="K826" s="424" t="s">
        <v>1722</v>
      </c>
    </row>
    <row r="827" customHeight="1" spans="1:11">
      <c r="A827" s="426" t="s">
        <v>1723</v>
      </c>
      <c r="B827" s="427" t="s">
        <v>290</v>
      </c>
      <c r="C827" s="426" t="s">
        <v>71</v>
      </c>
      <c r="D827" s="426" t="s">
        <v>291</v>
      </c>
      <c r="E827" s="426" t="s">
        <v>1672</v>
      </c>
      <c r="F827" s="426"/>
      <c r="G827" s="428" t="s">
        <v>158</v>
      </c>
      <c r="H827" s="429">
        <v>1</v>
      </c>
      <c r="I827" s="445"/>
      <c r="J827" s="445">
        <v>18.46</v>
      </c>
      <c r="K827" s="445">
        <v>18.46</v>
      </c>
    </row>
    <row r="828" customHeight="1" spans="1:11">
      <c r="A828" s="430" t="s">
        <v>1724</v>
      </c>
      <c r="B828" s="431" t="s">
        <v>1969</v>
      </c>
      <c r="C828" s="430" t="s">
        <v>71</v>
      </c>
      <c r="D828" s="430" t="s">
        <v>1970</v>
      </c>
      <c r="E828" s="430" t="s">
        <v>1632</v>
      </c>
      <c r="F828" s="430"/>
      <c r="G828" s="432" t="s">
        <v>158</v>
      </c>
      <c r="H828" s="433">
        <v>1</v>
      </c>
      <c r="I828" s="433">
        <v>0</v>
      </c>
      <c r="J828" s="446">
        <v>10.65</v>
      </c>
      <c r="K828" s="446">
        <v>10.65</v>
      </c>
    </row>
    <row r="829" customHeight="1" spans="1:11">
      <c r="A829" s="430" t="s">
        <v>1724</v>
      </c>
      <c r="B829" s="431" t="s">
        <v>1956</v>
      </c>
      <c r="C829" s="430" t="s">
        <v>71</v>
      </c>
      <c r="D829" s="430" t="s">
        <v>1957</v>
      </c>
      <c r="E829" s="430" t="s">
        <v>1708</v>
      </c>
      <c r="F829" s="430"/>
      <c r="G829" s="432" t="s">
        <v>82</v>
      </c>
      <c r="H829" s="433">
        <v>0.028</v>
      </c>
      <c r="I829" s="433">
        <v>0</v>
      </c>
      <c r="J829" s="446">
        <v>30.06</v>
      </c>
      <c r="K829" s="446">
        <v>0.84</v>
      </c>
    </row>
    <row r="830" customHeight="1" spans="1:11">
      <c r="A830" s="430" t="s">
        <v>1724</v>
      </c>
      <c r="B830" s="431" t="s">
        <v>1958</v>
      </c>
      <c r="C830" s="430" t="s">
        <v>71</v>
      </c>
      <c r="D830" s="430" t="s">
        <v>1959</v>
      </c>
      <c r="E830" s="430" t="s">
        <v>1708</v>
      </c>
      <c r="F830" s="430"/>
      <c r="G830" s="432" t="s">
        <v>82</v>
      </c>
      <c r="H830" s="433">
        <v>0.175</v>
      </c>
      <c r="I830" s="433">
        <v>0</v>
      </c>
      <c r="J830" s="446">
        <v>35.95</v>
      </c>
      <c r="K830" s="446">
        <v>6.29</v>
      </c>
    </row>
    <row r="831" customHeight="1" spans="1:11">
      <c r="A831" s="438" t="s">
        <v>1750</v>
      </c>
      <c r="B831" s="439" t="s">
        <v>1962</v>
      </c>
      <c r="C831" s="438" t="s">
        <v>71</v>
      </c>
      <c r="D831" s="438" t="s">
        <v>1963</v>
      </c>
      <c r="E831" s="438" t="s">
        <v>1631</v>
      </c>
      <c r="F831" s="438"/>
      <c r="G831" s="440" t="s">
        <v>105</v>
      </c>
      <c r="H831" s="441">
        <v>0.613</v>
      </c>
      <c r="I831" s="441">
        <v>0</v>
      </c>
      <c r="J831" s="449">
        <v>0.22</v>
      </c>
      <c r="K831" s="449">
        <v>0.13</v>
      </c>
    </row>
    <row r="832" customHeight="1" spans="1:11">
      <c r="A832" s="438" t="s">
        <v>1750</v>
      </c>
      <c r="B832" s="439" t="s">
        <v>1960</v>
      </c>
      <c r="C832" s="438" t="s">
        <v>71</v>
      </c>
      <c r="D832" s="438" t="s">
        <v>1961</v>
      </c>
      <c r="E832" s="438" t="s">
        <v>1631</v>
      </c>
      <c r="F832" s="438"/>
      <c r="G832" s="440" t="s">
        <v>158</v>
      </c>
      <c r="H832" s="441">
        <v>0.025</v>
      </c>
      <c r="I832" s="441">
        <v>0</v>
      </c>
      <c r="J832" s="449">
        <v>22</v>
      </c>
      <c r="K832" s="449">
        <v>0.55</v>
      </c>
    </row>
    <row r="833" customHeight="1" spans="1:11">
      <c r="A833" s="434"/>
      <c r="B833" s="434"/>
      <c r="C833" s="434"/>
      <c r="D833" s="434"/>
      <c r="E833" s="434"/>
      <c r="F833" s="434" t="s">
        <v>1735</v>
      </c>
      <c r="G833" s="435">
        <v>2.91</v>
      </c>
      <c r="H833" s="434" t="s">
        <v>1736</v>
      </c>
      <c r="I833" s="435">
        <v>2.65</v>
      </c>
      <c r="J833" s="434" t="s">
        <v>1737</v>
      </c>
      <c r="K833" s="435">
        <v>5.56</v>
      </c>
    </row>
    <row r="834" customHeight="1" spans="1:11">
      <c r="A834" s="434"/>
      <c r="B834" s="434"/>
      <c r="C834" s="434"/>
      <c r="D834" s="434"/>
      <c r="E834" s="434"/>
      <c r="F834" s="434" t="s">
        <v>1738</v>
      </c>
      <c r="G834" s="435">
        <v>4.55</v>
      </c>
      <c r="H834" s="434"/>
      <c r="I834" s="434" t="s">
        <v>1739</v>
      </c>
      <c r="J834" s="434"/>
      <c r="K834" s="435">
        <v>23.01</v>
      </c>
    </row>
    <row r="835" customHeight="1" spans="1:11">
      <c r="A835" s="436"/>
      <c r="B835" s="436"/>
      <c r="C835" s="436"/>
      <c r="D835" s="436"/>
      <c r="E835" s="436"/>
      <c r="F835" s="436"/>
      <c r="G835" s="436"/>
      <c r="H835" s="436" t="s">
        <v>1740</v>
      </c>
      <c r="I835" s="447" t="s">
        <v>2082</v>
      </c>
      <c r="J835" s="436" t="s">
        <v>1742</v>
      </c>
      <c r="K835" s="448">
        <v>2416.05</v>
      </c>
    </row>
    <row r="836" customHeight="1" spans="1:11">
      <c r="A836" s="437"/>
      <c r="B836" s="437"/>
      <c r="C836" s="437"/>
      <c r="D836" s="437"/>
      <c r="E836" s="437"/>
      <c r="F836" s="437"/>
      <c r="G836" s="437"/>
      <c r="H836" s="437"/>
      <c r="I836" s="437"/>
      <c r="J836" s="437"/>
      <c r="K836" s="437"/>
    </row>
    <row r="837" customHeight="1" spans="1:11">
      <c r="A837" s="423" t="s">
        <v>292</v>
      </c>
      <c r="B837" s="424" t="s">
        <v>1714</v>
      </c>
      <c r="C837" s="423" t="s">
        <v>1715</v>
      </c>
      <c r="D837" s="423" t="s">
        <v>1716</v>
      </c>
      <c r="E837" s="423" t="s">
        <v>1717</v>
      </c>
      <c r="F837" s="423"/>
      <c r="G837" s="425" t="s">
        <v>1718</v>
      </c>
      <c r="H837" s="424" t="s">
        <v>1719</v>
      </c>
      <c r="I837" s="424" t="s">
        <v>1720</v>
      </c>
      <c r="J837" s="424" t="s">
        <v>1721</v>
      </c>
      <c r="K837" s="424" t="s">
        <v>1722</v>
      </c>
    </row>
    <row r="838" customHeight="1" spans="1:11">
      <c r="A838" s="426" t="s">
        <v>1723</v>
      </c>
      <c r="B838" s="427" t="s">
        <v>293</v>
      </c>
      <c r="C838" s="426" t="s">
        <v>71</v>
      </c>
      <c r="D838" s="426" t="s">
        <v>294</v>
      </c>
      <c r="E838" s="426" t="s">
        <v>1672</v>
      </c>
      <c r="F838" s="426"/>
      <c r="G838" s="428" t="s">
        <v>158</v>
      </c>
      <c r="H838" s="429">
        <v>1</v>
      </c>
      <c r="I838" s="445"/>
      <c r="J838" s="445">
        <v>14.24</v>
      </c>
      <c r="K838" s="445">
        <v>14.24</v>
      </c>
    </row>
    <row r="839" customHeight="1" spans="1:11">
      <c r="A839" s="430" t="s">
        <v>1724</v>
      </c>
      <c r="B839" s="431" t="s">
        <v>1965</v>
      </c>
      <c r="C839" s="430" t="s">
        <v>71</v>
      </c>
      <c r="D839" s="430" t="s">
        <v>1966</v>
      </c>
      <c r="E839" s="430" t="s">
        <v>1632</v>
      </c>
      <c r="F839" s="430"/>
      <c r="G839" s="432" t="s">
        <v>158</v>
      </c>
      <c r="H839" s="433">
        <v>1</v>
      </c>
      <c r="I839" s="433">
        <v>0</v>
      </c>
      <c r="J839" s="446">
        <v>9.78</v>
      </c>
      <c r="K839" s="446">
        <v>9.78</v>
      </c>
    </row>
    <row r="840" customHeight="1" spans="1:11">
      <c r="A840" s="430" t="s">
        <v>1724</v>
      </c>
      <c r="B840" s="431" t="s">
        <v>1958</v>
      </c>
      <c r="C840" s="430" t="s">
        <v>71</v>
      </c>
      <c r="D840" s="430" t="s">
        <v>1959</v>
      </c>
      <c r="E840" s="430" t="s">
        <v>1708</v>
      </c>
      <c r="F840" s="430"/>
      <c r="G840" s="432" t="s">
        <v>82</v>
      </c>
      <c r="H840" s="433">
        <v>0.094</v>
      </c>
      <c r="I840" s="433">
        <v>0</v>
      </c>
      <c r="J840" s="446">
        <v>35.95</v>
      </c>
      <c r="K840" s="446">
        <v>3.37</v>
      </c>
    </row>
    <row r="841" customHeight="1" spans="1:11">
      <c r="A841" s="430" t="s">
        <v>1724</v>
      </c>
      <c r="B841" s="431" t="s">
        <v>1956</v>
      </c>
      <c r="C841" s="430" t="s">
        <v>71</v>
      </c>
      <c r="D841" s="430" t="s">
        <v>1957</v>
      </c>
      <c r="E841" s="430" t="s">
        <v>1708</v>
      </c>
      <c r="F841" s="430"/>
      <c r="G841" s="432" t="s">
        <v>82</v>
      </c>
      <c r="H841" s="433">
        <v>0.015</v>
      </c>
      <c r="I841" s="433">
        <v>0</v>
      </c>
      <c r="J841" s="446">
        <v>30.06</v>
      </c>
      <c r="K841" s="446">
        <v>0.45</v>
      </c>
    </row>
    <row r="842" customHeight="1" spans="1:11">
      <c r="A842" s="438" t="s">
        <v>1750</v>
      </c>
      <c r="B842" s="439" t="s">
        <v>1962</v>
      </c>
      <c r="C842" s="438" t="s">
        <v>71</v>
      </c>
      <c r="D842" s="438" t="s">
        <v>1963</v>
      </c>
      <c r="E842" s="438" t="s">
        <v>1631</v>
      </c>
      <c r="F842" s="438"/>
      <c r="G842" s="440" t="s">
        <v>105</v>
      </c>
      <c r="H842" s="441">
        <v>0.431</v>
      </c>
      <c r="I842" s="441">
        <v>0</v>
      </c>
      <c r="J842" s="449">
        <v>0.22</v>
      </c>
      <c r="K842" s="449">
        <v>0.09</v>
      </c>
    </row>
    <row r="843" customHeight="1" spans="1:11">
      <c r="A843" s="438" t="s">
        <v>1750</v>
      </c>
      <c r="B843" s="439" t="s">
        <v>1960</v>
      </c>
      <c r="C843" s="438" t="s">
        <v>71</v>
      </c>
      <c r="D843" s="438" t="s">
        <v>1961</v>
      </c>
      <c r="E843" s="438" t="s">
        <v>1631</v>
      </c>
      <c r="F843" s="438"/>
      <c r="G843" s="440" t="s">
        <v>158</v>
      </c>
      <c r="H843" s="441">
        <v>0.025</v>
      </c>
      <c r="I843" s="441">
        <v>0</v>
      </c>
      <c r="J843" s="449">
        <v>22</v>
      </c>
      <c r="K843" s="449">
        <v>0.55</v>
      </c>
    </row>
    <row r="844" customHeight="1" spans="1:11">
      <c r="A844" s="434"/>
      <c r="B844" s="434"/>
      <c r="C844" s="434"/>
      <c r="D844" s="434"/>
      <c r="E844" s="434"/>
      <c r="F844" s="434" t="s">
        <v>1735</v>
      </c>
      <c r="G844" s="435">
        <v>1.55</v>
      </c>
      <c r="H844" s="434" t="s">
        <v>1736</v>
      </c>
      <c r="I844" s="435">
        <v>1.42</v>
      </c>
      <c r="J844" s="434" t="s">
        <v>1737</v>
      </c>
      <c r="K844" s="435">
        <v>2.97</v>
      </c>
    </row>
    <row r="845" customHeight="1" spans="1:11">
      <c r="A845" s="434"/>
      <c r="B845" s="434"/>
      <c r="C845" s="434"/>
      <c r="D845" s="434"/>
      <c r="E845" s="434"/>
      <c r="F845" s="434" t="s">
        <v>1738</v>
      </c>
      <c r="G845" s="435">
        <v>3.51</v>
      </c>
      <c r="H845" s="434"/>
      <c r="I845" s="434" t="s">
        <v>1739</v>
      </c>
      <c r="J845" s="434"/>
      <c r="K845" s="435">
        <v>17.75</v>
      </c>
    </row>
    <row r="846" customHeight="1" spans="1:11">
      <c r="A846" s="436"/>
      <c r="B846" s="436"/>
      <c r="C846" s="436"/>
      <c r="D846" s="436"/>
      <c r="E846" s="436"/>
      <c r="F846" s="436"/>
      <c r="G846" s="436"/>
      <c r="H846" s="436" t="s">
        <v>1740</v>
      </c>
      <c r="I846" s="447" t="s">
        <v>2029</v>
      </c>
      <c r="J846" s="436" t="s">
        <v>1742</v>
      </c>
      <c r="K846" s="448">
        <v>5697.75</v>
      </c>
    </row>
    <row r="847" customHeight="1" spans="1:11">
      <c r="A847" s="437"/>
      <c r="B847" s="437"/>
      <c r="C847" s="437"/>
      <c r="D847" s="437"/>
      <c r="E847" s="437"/>
      <c r="F847" s="437"/>
      <c r="G847" s="437"/>
      <c r="H847" s="437"/>
      <c r="I847" s="437"/>
      <c r="J847" s="437"/>
      <c r="K847" s="437"/>
    </row>
    <row r="848" customHeight="1" spans="1:11">
      <c r="A848" s="423" t="s">
        <v>295</v>
      </c>
      <c r="B848" s="424" t="s">
        <v>1714</v>
      </c>
      <c r="C848" s="423" t="s">
        <v>1715</v>
      </c>
      <c r="D848" s="423" t="s">
        <v>1716</v>
      </c>
      <c r="E848" s="423" t="s">
        <v>1717</v>
      </c>
      <c r="F848" s="423"/>
      <c r="G848" s="425" t="s">
        <v>1718</v>
      </c>
      <c r="H848" s="424" t="s">
        <v>1719</v>
      </c>
      <c r="I848" s="424" t="s">
        <v>1720</v>
      </c>
      <c r="J848" s="424" t="s">
        <v>1721</v>
      </c>
      <c r="K848" s="424" t="s">
        <v>1722</v>
      </c>
    </row>
    <row r="849" customHeight="1" spans="1:11">
      <c r="A849" s="426" t="s">
        <v>1723</v>
      </c>
      <c r="B849" s="427" t="s">
        <v>296</v>
      </c>
      <c r="C849" s="426" t="s">
        <v>71</v>
      </c>
      <c r="D849" s="426" t="s">
        <v>297</v>
      </c>
      <c r="E849" s="426" t="s">
        <v>1672</v>
      </c>
      <c r="F849" s="426"/>
      <c r="G849" s="428" t="s">
        <v>158</v>
      </c>
      <c r="H849" s="429">
        <v>1</v>
      </c>
      <c r="I849" s="445"/>
      <c r="J849" s="445">
        <v>10.67</v>
      </c>
      <c r="K849" s="445">
        <v>10.67</v>
      </c>
    </row>
    <row r="850" customHeight="1" spans="1:11">
      <c r="A850" s="430" t="s">
        <v>1724</v>
      </c>
      <c r="B850" s="431" t="s">
        <v>1958</v>
      </c>
      <c r="C850" s="430" t="s">
        <v>71</v>
      </c>
      <c r="D850" s="430" t="s">
        <v>1959</v>
      </c>
      <c r="E850" s="430" t="s">
        <v>1708</v>
      </c>
      <c r="F850" s="430"/>
      <c r="G850" s="432" t="s">
        <v>82</v>
      </c>
      <c r="H850" s="433">
        <v>0.042</v>
      </c>
      <c r="I850" s="433">
        <v>0</v>
      </c>
      <c r="J850" s="446">
        <v>35.95</v>
      </c>
      <c r="K850" s="446">
        <v>1.5</v>
      </c>
    </row>
    <row r="851" customHeight="1" spans="1:11">
      <c r="A851" s="430" t="s">
        <v>1724</v>
      </c>
      <c r="B851" s="431" t="s">
        <v>1956</v>
      </c>
      <c r="C851" s="430" t="s">
        <v>71</v>
      </c>
      <c r="D851" s="430" t="s">
        <v>1957</v>
      </c>
      <c r="E851" s="430" t="s">
        <v>1708</v>
      </c>
      <c r="F851" s="430"/>
      <c r="G851" s="432" t="s">
        <v>82</v>
      </c>
      <c r="H851" s="433">
        <v>0.007</v>
      </c>
      <c r="I851" s="433">
        <v>0</v>
      </c>
      <c r="J851" s="446">
        <v>30.06</v>
      </c>
      <c r="K851" s="446">
        <v>0.21</v>
      </c>
    </row>
    <row r="852" customHeight="1" spans="1:11">
      <c r="A852" s="430" t="s">
        <v>1724</v>
      </c>
      <c r="B852" s="431" t="s">
        <v>1973</v>
      </c>
      <c r="C852" s="430" t="s">
        <v>71</v>
      </c>
      <c r="D852" s="430" t="s">
        <v>1974</v>
      </c>
      <c r="E852" s="430" t="s">
        <v>1632</v>
      </c>
      <c r="F852" s="430"/>
      <c r="G852" s="432" t="s">
        <v>158</v>
      </c>
      <c r="H852" s="433">
        <v>1</v>
      </c>
      <c r="I852" s="433">
        <v>0</v>
      </c>
      <c r="J852" s="446">
        <v>8.35</v>
      </c>
      <c r="K852" s="446">
        <v>8.35</v>
      </c>
    </row>
    <row r="853" customHeight="1" spans="1:11">
      <c r="A853" s="438" t="s">
        <v>1750</v>
      </c>
      <c r="B853" s="439" t="s">
        <v>1960</v>
      </c>
      <c r="C853" s="438" t="s">
        <v>71</v>
      </c>
      <c r="D853" s="438" t="s">
        <v>1961</v>
      </c>
      <c r="E853" s="438" t="s">
        <v>1631</v>
      </c>
      <c r="F853" s="438"/>
      <c r="G853" s="440" t="s">
        <v>158</v>
      </c>
      <c r="H853" s="441">
        <v>0.025</v>
      </c>
      <c r="I853" s="441">
        <v>0</v>
      </c>
      <c r="J853" s="449">
        <v>22</v>
      </c>
      <c r="K853" s="449">
        <v>0.55</v>
      </c>
    </row>
    <row r="854" customHeight="1" spans="1:11">
      <c r="A854" s="438" t="s">
        <v>1750</v>
      </c>
      <c r="B854" s="439" t="s">
        <v>1962</v>
      </c>
      <c r="C854" s="438" t="s">
        <v>71</v>
      </c>
      <c r="D854" s="438" t="s">
        <v>1963</v>
      </c>
      <c r="E854" s="438" t="s">
        <v>1631</v>
      </c>
      <c r="F854" s="438"/>
      <c r="G854" s="440" t="s">
        <v>105</v>
      </c>
      <c r="H854" s="441">
        <v>0.278</v>
      </c>
      <c r="I854" s="441">
        <v>0</v>
      </c>
      <c r="J854" s="449">
        <v>0.22</v>
      </c>
      <c r="K854" s="449">
        <v>0.06</v>
      </c>
    </row>
    <row r="855" customHeight="1" spans="1:11">
      <c r="A855" s="434"/>
      <c r="B855" s="434"/>
      <c r="C855" s="434"/>
      <c r="D855" s="434"/>
      <c r="E855" s="434"/>
      <c r="F855" s="434" t="s">
        <v>1735</v>
      </c>
      <c r="G855" s="435">
        <v>0.7</v>
      </c>
      <c r="H855" s="434" t="s">
        <v>1736</v>
      </c>
      <c r="I855" s="435">
        <v>0.65</v>
      </c>
      <c r="J855" s="434" t="s">
        <v>1737</v>
      </c>
      <c r="K855" s="435">
        <v>1.35</v>
      </c>
    </row>
    <row r="856" customHeight="1" spans="1:11">
      <c r="A856" s="434"/>
      <c r="B856" s="434"/>
      <c r="C856" s="434"/>
      <c r="D856" s="434"/>
      <c r="E856" s="434"/>
      <c r="F856" s="434" t="s">
        <v>1738</v>
      </c>
      <c r="G856" s="435">
        <v>2.63</v>
      </c>
      <c r="H856" s="434"/>
      <c r="I856" s="434" t="s">
        <v>1739</v>
      </c>
      <c r="J856" s="434"/>
      <c r="K856" s="435">
        <v>13.3</v>
      </c>
    </row>
    <row r="857" customHeight="1" spans="1:11">
      <c r="A857" s="436"/>
      <c r="B857" s="436"/>
      <c r="C857" s="436"/>
      <c r="D857" s="436"/>
      <c r="E857" s="436"/>
      <c r="F857" s="436"/>
      <c r="G857" s="436"/>
      <c r="H857" s="436" t="s">
        <v>1740</v>
      </c>
      <c r="I857" s="447" t="s">
        <v>2083</v>
      </c>
      <c r="J857" s="436" t="s">
        <v>1742</v>
      </c>
      <c r="K857" s="448">
        <v>5506.2</v>
      </c>
    </row>
    <row r="858" customHeight="1" spans="1:11">
      <c r="A858" s="437"/>
      <c r="B858" s="437"/>
      <c r="C858" s="437"/>
      <c r="D858" s="437"/>
      <c r="E858" s="437"/>
      <c r="F858" s="437"/>
      <c r="G858" s="437"/>
      <c r="H858" s="437"/>
      <c r="I858" s="437"/>
      <c r="J858" s="437"/>
      <c r="K858" s="437"/>
    </row>
    <row r="859" customHeight="1" spans="1:11">
      <c r="A859" s="423" t="s">
        <v>298</v>
      </c>
      <c r="B859" s="424" t="s">
        <v>1714</v>
      </c>
      <c r="C859" s="423" t="s">
        <v>1715</v>
      </c>
      <c r="D859" s="423" t="s">
        <v>1716</v>
      </c>
      <c r="E859" s="423" t="s">
        <v>1717</v>
      </c>
      <c r="F859" s="423"/>
      <c r="G859" s="425" t="s">
        <v>1718</v>
      </c>
      <c r="H859" s="424" t="s">
        <v>1719</v>
      </c>
      <c r="I859" s="424" t="s">
        <v>1720</v>
      </c>
      <c r="J859" s="424" t="s">
        <v>1721</v>
      </c>
      <c r="K859" s="424" t="s">
        <v>1722</v>
      </c>
    </row>
    <row r="860" customHeight="1" spans="1:11">
      <c r="A860" s="426" t="s">
        <v>1723</v>
      </c>
      <c r="B860" s="427" t="s">
        <v>299</v>
      </c>
      <c r="C860" s="426" t="s">
        <v>71</v>
      </c>
      <c r="D860" s="426" t="s">
        <v>300</v>
      </c>
      <c r="E860" s="426" t="s">
        <v>1621</v>
      </c>
      <c r="F860" s="426"/>
      <c r="G860" s="428" t="s">
        <v>129</v>
      </c>
      <c r="H860" s="429">
        <v>1</v>
      </c>
      <c r="I860" s="445"/>
      <c r="J860" s="445">
        <v>746.33</v>
      </c>
      <c r="K860" s="445">
        <v>746.33</v>
      </c>
    </row>
    <row r="861" customHeight="1" spans="1:11">
      <c r="A861" s="430" t="s">
        <v>1724</v>
      </c>
      <c r="B861" s="431" t="s">
        <v>1743</v>
      </c>
      <c r="C861" s="430" t="s">
        <v>71</v>
      </c>
      <c r="D861" s="430" t="s">
        <v>1744</v>
      </c>
      <c r="E861" s="430" t="s">
        <v>1708</v>
      </c>
      <c r="F861" s="430"/>
      <c r="G861" s="432" t="s">
        <v>82</v>
      </c>
      <c r="H861" s="433">
        <v>0.67</v>
      </c>
      <c r="I861" s="433">
        <v>0</v>
      </c>
      <c r="J861" s="446">
        <v>37.51</v>
      </c>
      <c r="K861" s="446">
        <v>25.13</v>
      </c>
    </row>
    <row r="862" customHeight="1" spans="1:11">
      <c r="A862" s="430" t="s">
        <v>1724</v>
      </c>
      <c r="B862" s="431" t="s">
        <v>1981</v>
      </c>
      <c r="C862" s="430" t="s">
        <v>71</v>
      </c>
      <c r="D862" s="430" t="s">
        <v>1982</v>
      </c>
      <c r="E862" s="430" t="s">
        <v>1795</v>
      </c>
      <c r="F862" s="430"/>
      <c r="G862" s="432" t="s">
        <v>1804</v>
      </c>
      <c r="H862" s="433">
        <v>0.405</v>
      </c>
      <c r="I862" s="433">
        <v>0</v>
      </c>
      <c r="J862" s="446">
        <v>0.53</v>
      </c>
      <c r="K862" s="446">
        <v>0.21</v>
      </c>
    </row>
    <row r="863" customHeight="1" spans="1:11">
      <c r="A863" s="430" t="s">
        <v>1724</v>
      </c>
      <c r="B863" s="431" t="s">
        <v>1936</v>
      </c>
      <c r="C863" s="430" t="s">
        <v>71</v>
      </c>
      <c r="D863" s="430" t="s">
        <v>1937</v>
      </c>
      <c r="E863" s="430" t="s">
        <v>1708</v>
      </c>
      <c r="F863" s="430"/>
      <c r="G863" s="432" t="s">
        <v>82</v>
      </c>
      <c r="H863" s="433">
        <v>2.681</v>
      </c>
      <c r="I863" s="433">
        <v>0</v>
      </c>
      <c r="J863" s="446">
        <v>36.96</v>
      </c>
      <c r="K863" s="446">
        <v>99.08</v>
      </c>
    </row>
    <row r="864" customHeight="1" spans="1:11">
      <c r="A864" s="430" t="s">
        <v>1724</v>
      </c>
      <c r="B864" s="431" t="s">
        <v>1979</v>
      </c>
      <c r="C864" s="430" t="s">
        <v>71</v>
      </c>
      <c r="D864" s="430" t="s">
        <v>1980</v>
      </c>
      <c r="E864" s="430" t="s">
        <v>1795</v>
      </c>
      <c r="F864" s="430"/>
      <c r="G864" s="432" t="s">
        <v>1796</v>
      </c>
      <c r="H864" s="433">
        <v>0.265</v>
      </c>
      <c r="I864" s="433">
        <v>0</v>
      </c>
      <c r="J864" s="446">
        <v>1.45</v>
      </c>
      <c r="K864" s="446">
        <v>0.38</v>
      </c>
    </row>
    <row r="865" customHeight="1" spans="1:11">
      <c r="A865" s="430" t="s">
        <v>1724</v>
      </c>
      <c r="B865" s="431" t="s">
        <v>1745</v>
      </c>
      <c r="C865" s="430" t="s">
        <v>71</v>
      </c>
      <c r="D865" s="430" t="s">
        <v>1746</v>
      </c>
      <c r="E865" s="430" t="s">
        <v>1708</v>
      </c>
      <c r="F865" s="430"/>
      <c r="G865" s="432" t="s">
        <v>82</v>
      </c>
      <c r="H865" s="433">
        <v>0.67</v>
      </c>
      <c r="I865" s="433">
        <v>0</v>
      </c>
      <c r="J865" s="446">
        <v>29.15</v>
      </c>
      <c r="K865" s="446">
        <v>19.53</v>
      </c>
    </row>
    <row r="866" customHeight="1" spans="1:11">
      <c r="A866" s="438" t="s">
        <v>1750</v>
      </c>
      <c r="B866" s="439" t="s">
        <v>2034</v>
      </c>
      <c r="C866" s="438" t="s">
        <v>71</v>
      </c>
      <c r="D866" s="438" t="s">
        <v>2035</v>
      </c>
      <c r="E866" s="438" t="s">
        <v>1631</v>
      </c>
      <c r="F866" s="438"/>
      <c r="G866" s="440" t="s">
        <v>129</v>
      </c>
      <c r="H866" s="441">
        <v>1.103</v>
      </c>
      <c r="I866" s="441">
        <v>0</v>
      </c>
      <c r="J866" s="449">
        <v>545.79</v>
      </c>
      <c r="K866" s="449">
        <v>602</v>
      </c>
    </row>
    <row r="867" customHeight="1" spans="1:11">
      <c r="A867" s="434"/>
      <c r="B867" s="434"/>
      <c r="C867" s="434"/>
      <c r="D867" s="434"/>
      <c r="E867" s="434"/>
      <c r="F867" s="434" t="s">
        <v>1735</v>
      </c>
      <c r="G867" s="435">
        <v>54.31</v>
      </c>
      <c r="H867" s="434" t="s">
        <v>1736</v>
      </c>
      <c r="I867" s="435">
        <v>49.34</v>
      </c>
      <c r="J867" s="434" t="s">
        <v>1737</v>
      </c>
      <c r="K867" s="435">
        <v>103.65</v>
      </c>
    </row>
    <row r="868" customHeight="1" spans="1:11">
      <c r="A868" s="434"/>
      <c r="B868" s="434"/>
      <c r="C868" s="434"/>
      <c r="D868" s="434"/>
      <c r="E868" s="434"/>
      <c r="F868" s="434" t="s">
        <v>1738</v>
      </c>
      <c r="G868" s="435">
        <v>184.04</v>
      </c>
      <c r="H868" s="434"/>
      <c r="I868" s="434" t="s">
        <v>1739</v>
      </c>
      <c r="J868" s="434"/>
      <c r="K868" s="435">
        <v>930.37</v>
      </c>
    </row>
    <row r="869" customHeight="1" spans="1:11">
      <c r="A869" s="436"/>
      <c r="B869" s="436"/>
      <c r="C869" s="436"/>
      <c r="D869" s="436"/>
      <c r="E869" s="436"/>
      <c r="F869" s="436"/>
      <c r="G869" s="436"/>
      <c r="H869" s="436" t="s">
        <v>1740</v>
      </c>
      <c r="I869" s="447" t="s">
        <v>2084</v>
      </c>
      <c r="J869" s="436" t="s">
        <v>1742</v>
      </c>
      <c r="K869" s="448">
        <v>232.59</v>
      </c>
    </row>
    <row r="870" customHeight="1" spans="1:11">
      <c r="A870" s="437"/>
      <c r="B870" s="437"/>
      <c r="C870" s="437"/>
      <c r="D870" s="437"/>
      <c r="E870" s="437"/>
      <c r="F870" s="437"/>
      <c r="G870" s="437"/>
      <c r="H870" s="437"/>
      <c r="I870" s="437"/>
      <c r="J870" s="437"/>
      <c r="K870" s="437"/>
    </row>
    <row r="871" customHeight="1" spans="1:11">
      <c r="A871" s="423" t="s">
        <v>301</v>
      </c>
      <c r="B871" s="424" t="s">
        <v>1714</v>
      </c>
      <c r="C871" s="423" t="s">
        <v>1715</v>
      </c>
      <c r="D871" s="423" t="s">
        <v>1716</v>
      </c>
      <c r="E871" s="423" t="s">
        <v>1717</v>
      </c>
      <c r="F871" s="423"/>
      <c r="G871" s="425" t="s">
        <v>1718</v>
      </c>
      <c r="H871" s="424" t="s">
        <v>1719</v>
      </c>
      <c r="I871" s="424" t="s">
        <v>1720</v>
      </c>
      <c r="J871" s="424" t="s">
        <v>1721</v>
      </c>
      <c r="K871" s="424" t="s">
        <v>1722</v>
      </c>
    </row>
    <row r="872" customHeight="1" spans="1:11">
      <c r="A872" s="426" t="s">
        <v>1723</v>
      </c>
      <c r="B872" s="427" t="s">
        <v>249</v>
      </c>
      <c r="C872" s="426" t="s">
        <v>71</v>
      </c>
      <c r="D872" s="426" t="s">
        <v>250</v>
      </c>
      <c r="E872" s="426" t="s">
        <v>1626</v>
      </c>
      <c r="F872" s="426"/>
      <c r="G872" s="428" t="s">
        <v>73</v>
      </c>
      <c r="H872" s="429">
        <v>1</v>
      </c>
      <c r="I872" s="445"/>
      <c r="J872" s="445">
        <v>73.76</v>
      </c>
      <c r="K872" s="445">
        <v>73.76</v>
      </c>
    </row>
    <row r="873" customHeight="1" spans="1:11">
      <c r="A873" s="430" t="s">
        <v>1724</v>
      </c>
      <c r="B873" s="431" t="s">
        <v>1800</v>
      </c>
      <c r="C873" s="430" t="s">
        <v>71</v>
      </c>
      <c r="D873" s="430" t="s">
        <v>1801</v>
      </c>
      <c r="E873" s="430" t="s">
        <v>1708</v>
      </c>
      <c r="F873" s="430"/>
      <c r="G873" s="432" t="s">
        <v>82</v>
      </c>
      <c r="H873" s="433">
        <v>0.126</v>
      </c>
      <c r="I873" s="433">
        <v>0</v>
      </c>
      <c r="J873" s="446">
        <v>29.91</v>
      </c>
      <c r="K873" s="446">
        <v>3.76</v>
      </c>
    </row>
    <row r="874" customHeight="1" spans="1:11">
      <c r="A874" s="430" t="s">
        <v>1724</v>
      </c>
      <c r="B874" s="431" t="s">
        <v>1743</v>
      </c>
      <c r="C874" s="430" t="s">
        <v>71</v>
      </c>
      <c r="D874" s="430" t="s">
        <v>1744</v>
      </c>
      <c r="E874" s="430" t="s">
        <v>1708</v>
      </c>
      <c r="F874" s="430"/>
      <c r="G874" s="432" t="s">
        <v>82</v>
      </c>
      <c r="H874" s="433">
        <v>0.687</v>
      </c>
      <c r="I874" s="433">
        <v>0</v>
      </c>
      <c r="J874" s="446">
        <v>37.51</v>
      </c>
      <c r="K874" s="446">
        <v>25.76</v>
      </c>
    </row>
    <row r="875" customHeight="1" spans="1:11">
      <c r="A875" s="430" t="s">
        <v>1724</v>
      </c>
      <c r="B875" s="431" t="s">
        <v>2053</v>
      </c>
      <c r="C875" s="430" t="s">
        <v>71</v>
      </c>
      <c r="D875" s="430" t="s">
        <v>2054</v>
      </c>
      <c r="E875" s="430" t="s">
        <v>1626</v>
      </c>
      <c r="F875" s="430"/>
      <c r="G875" s="432" t="s">
        <v>73</v>
      </c>
      <c r="H875" s="433">
        <v>0.577</v>
      </c>
      <c r="I875" s="433">
        <v>0</v>
      </c>
      <c r="J875" s="446">
        <v>49.58</v>
      </c>
      <c r="K875" s="446">
        <v>28.6</v>
      </c>
    </row>
    <row r="876" customHeight="1" spans="1:11">
      <c r="A876" s="438" t="s">
        <v>1750</v>
      </c>
      <c r="B876" s="439" t="s">
        <v>1943</v>
      </c>
      <c r="C876" s="438" t="s">
        <v>71</v>
      </c>
      <c r="D876" s="438" t="s">
        <v>1944</v>
      </c>
      <c r="E876" s="438" t="s">
        <v>1631</v>
      </c>
      <c r="F876" s="438"/>
      <c r="G876" s="440" t="s">
        <v>1945</v>
      </c>
      <c r="H876" s="441">
        <v>0.01</v>
      </c>
      <c r="I876" s="441">
        <v>0</v>
      </c>
      <c r="J876" s="449">
        <v>7.97</v>
      </c>
      <c r="K876" s="449">
        <v>0.07</v>
      </c>
    </row>
    <row r="877" customHeight="1" spans="1:11">
      <c r="A877" s="438" t="s">
        <v>1750</v>
      </c>
      <c r="B877" s="439" t="s">
        <v>2055</v>
      </c>
      <c r="C877" s="438" t="s">
        <v>71</v>
      </c>
      <c r="D877" s="438" t="s">
        <v>2056</v>
      </c>
      <c r="E877" s="438" t="s">
        <v>1892</v>
      </c>
      <c r="F877" s="438"/>
      <c r="G877" s="440" t="s">
        <v>93</v>
      </c>
      <c r="H877" s="441">
        <v>0.397</v>
      </c>
      <c r="I877" s="441">
        <v>0</v>
      </c>
      <c r="J877" s="449">
        <v>26.62</v>
      </c>
      <c r="K877" s="449">
        <v>10.56</v>
      </c>
    </row>
    <row r="878" customHeight="1" spans="1:11">
      <c r="A878" s="438" t="s">
        <v>1750</v>
      </c>
      <c r="B878" s="439" t="s">
        <v>2057</v>
      </c>
      <c r="C878" s="438" t="s">
        <v>71</v>
      </c>
      <c r="D878" s="438" t="s">
        <v>2058</v>
      </c>
      <c r="E878" s="438" t="s">
        <v>1631</v>
      </c>
      <c r="F878" s="438"/>
      <c r="G878" s="440" t="s">
        <v>78</v>
      </c>
      <c r="H878" s="441">
        <v>0.038</v>
      </c>
      <c r="I878" s="441">
        <v>0</v>
      </c>
      <c r="J878" s="449">
        <v>132.03</v>
      </c>
      <c r="K878" s="449">
        <v>5.01</v>
      </c>
    </row>
    <row r="879" customHeight="1" spans="1:11">
      <c r="A879" s="434"/>
      <c r="B879" s="434"/>
      <c r="C879" s="434"/>
      <c r="D879" s="434"/>
      <c r="E879" s="434"/>
      <c r="F879" s="434" t="s">
        <v>1735</v>
      </c>
      <c r="G879" s="435">
        <v>11.61</v>
      </c>
      <c r="H879" s="434" t="s">
        <v>1736</v>
      </c>
      <c r="I879" s="435">
        <v>10.56</v>
      </c>
      <c r="J879" s="434" t="s">
        <v>1737</v>
      </c>
      <c r="K879" s="435">
        <v>22.17</v>
      </c>
    </row>
    <row r="880" customHeight="1" spans="1:11">
      <c r="A880" s="434"/>
      <c r="B880" s="434"/>
      <c r="C880" s="434"/>
      <c r="D880" s="434"/>
      <c r="E880" s="434"/>
      <c r="F880" s="434" t="s">
        <v>1738</v>
      </c>
      <c r="G880" s="435">
        <v>18.18</v>
      </c>
      <c r="H880" s="434"/>
      <c r="I880" s="434" t="s">
        <v>1739</v>
      </c>
      <c r="J880" s="434"/>
      <c r="K880" s="435">
        <v>91.94</v>
      </c>
    </row>
    <row r="881" customHeight="1" spans="1:11">
      <c r="A881" s="436"/>
      <c r="B881" s="436"/>
      <c r="C881" s="436"/>
      <c r="D881" s="436"/>
      <c r="E881" s="436"/>
      <c r="F881" s="436"/>
      <c r="G881" s="436"/>
      <c r="H881" s="436" t="s">
        <v>1740</v>
      </c>
      <c r="I881" s="447" t="s">
        <v>2085</v>
      </c>
      <c r="J881" s="436" t="s">
        <v>1742</v>
      </c>
      <c r="K881" s="448">
        <v>2590.86</v>
      </c>
    </row>
    <row r="882" customHeight="1" spans="1:11">
      <c r="A882" s="437"/>
      <c r="B882" s="437"/>
      <c r="C882" s="437"/>
      <c r="D882" s="437"/>
      <c r="E882" s="437"/>
      <c r="F882" s="437"/>
      <c r="G882" s="437"/>
      <c r="H882" s="437"/>
      <c r="I882" s="437"/>
      <c r="J882" s="437"/>
      <c r="K882" s="437"/>
    </row>
    <row r="883" customHeight="1" spans="1:11">
      <c r="A883" s="423" t="s">
        <v>302</v>
      </c>
      <c r="B883" s="424" t="s">
        <v>1714</v>
      </c>
      <c r="C883" s="423" t="s">
        <v>1715</v>
      </c>
      <c r="D883" s="423" t="s">
        <v>1716</v>
      </c>
      <c r="E883" s="423" t="s">
        <v>1717</v>
      </c>
      <c r="F883" s="423"/>
      <c r="G883" s="425" t="s">
        <v>1718</v>
      </c>
      <c r="H883" s="424" t="s">
        <v>1719</v>
      </c>
      <c r="I883" s="424" t="s">
        <v>1720</v>
      </c>
      <c r="J883" s="424" t="s">
        <v>1721</v>
      </c>
      <c r="K883" s="424" t="s">
        <v>1722</v>
      </c>
    </row>
    <row r="884" customHeight="1" spans="1:11">
      <c r="A884" s="426" t="s">
        <v>1723</v>
      </c>
      <c r="B884" s="427" t="s">
        <v>276</v>
      </c>
      <c r="C884" s="426" t="s">
        <v>71</v>
      </c>
      <c r="D884" s="426" t="s">
        <v>277</v>
      </c>
      <c r="E884" s="426" t="s">
        <v>1621</v>
      </c>
      <c r="F884" s="426"/>
      <c r="G884" s="428" t="s">
        <v>129</v>
      </c>
      <c r="H884" s="429">
        <v>1</v>
      </c>
      <c r="I884" s="445"/>
      <c r="J884" s="445">
        <v>658.81</v>
      </c>
      <c r="K884" s="445">
        <v>658.81</v>
      </c>
    </row>
    <row r="885" customHeight="1" spans="1:11">
      <c r="A885" s="430" t="s">
        <v>1724</v>
      </c>
      <c r="B885" s="431" t="s">
        <v>1979</v>
      </c>
      <c r="C885" s="430" t="s">
        <v>71</v>
      </c>
      <c r="D885" s="430" t="s">
        <v>1980</v>
      </c>
      <c r="E885" s="430" t="s">
        <v>1795</v>
      </c>
      <c r="F885" s="430"/>
      <c r="G885" s="432" t="s">
        <v>1796</v>
      </c>
      <c r="H885" s="433">
        <v>0.12</v>
      </c>
      <c r="I885" s="433">
        <v>0</v>
      </c>
      <c r="J885" s="446">
        <v>1.45</v>
      </c>
      <c r="K885" s="446">
        <v>0.17</v>
      </c>
    </row>
    <row r="886" customHeight="1" spans="1:11">
      <c r="A886" s="430" t="s">
        <v>1724</v>
      </c>
      <c r="B886" s="431" t="s">
        <v>1743</v>
      </c>
      <c r="C886" s="430" t="s">
        <v>71</v>
      </c>
      <c r="D886" s="430" t="s">
        <v>1744</v>
      </c>
      <c r="E886" s="430" t="s">
        <v>1708</v>
      </c>
      <c r="F886" s="430"/>
      <c r="G886" s="432" t="s">
        <v>82</v>
      </c>
      <c r="H886" s="433">
        <v>0.125</v>
      </c>
      <c r="I886" s="433">
        <v>0</v>
      </c>
      <c r="J886" s="446">
        <v>37.51</v>
      </c>
      <c r="K886" s="446">
        <v>4.68</v>
      </c>
    </row>
    <row r="887" customHeight="1" spans="1:11">
      <c r="A887" s="430" t="s">
        <v>1724</v>
      </c>
      <c r="B887" s="431" t="s">
        <v>1745</v>
      </c>
      <c r="C887" s="430" t="s">
        <v>71</v>
      </c>
      <c r="D887" s="430" t="s">
        <v>1746</v>
      </c>
      <c r="E887" s="430" t="s">
        <v>1708</v>
      </c>
      <c r="F887" s="430"/>
      <c r="G887" s="432" t="s">
        <v>82</v>
      </c>
      <c r="H887" s="433">
        <v>0.826</v>
      </c>
      <c r="I887" s="433">
        <v>0</v>
      </c>
      <c r="J887" s="446">
        <v>29.15</v>
      </c>
      <c r="K887" s="446">
        <v>24.07</v>
      </c>
    </row>
    <row r="888" customHeight="1" spans="1:11">
      <c r="A888" s="430" t="s">
        <v>1724</v>
      </c>
      <c r="B888" s="431" t="s">
        <v>1981</v>
      </c>
      <c r="C888" s="430" t="s">
        <v>71</v>
      </c>
      <c r="D888" s="430" t="s">
        <v>1982</v>
      </c>
      <c r="E888" s="430" t="s">
        <v>1795</v>
      </c>
      <c r="F888" s="430"/>
      <c r="G888" s="432" t="s">
        <v>1804</v>
      </c>
      <c r="H888" s="433">
        <v>0.131</v>
      </c>
      <c r="I888" s="433">
        <v>0</v>
      </c>
      <c r="J888" s="446">
        <v>0.53</v>
      </c>
      <c r="K888" s="446">
        <v>0.06</v>
      </c>
    </row>
    <row r="889" customHeight="1" spans="1:11">
      <c r="A889" s="430" t="s">
        <v>1724</v>
      </c>
      <c r="B889" s="431" t="s">
        <v>1936</v>
      </c>
      <c r="C889" s="430" t="s">
        <v>71</v>
      </c>
      <c r="D889" s="430" t="s">
        <v>1937</v>
      </c>
      <c r="E889" s="430" t="s">
        <v>1708</v>
      </c>
      <c r="F889" s="430"/>
      <c r="G889" s="432" t="s">
        <v>82</v>
      </c>
      <c r="H889" s="433">
        <v>0.753</v>
      </c>
      <c r="I889" s="433">
        <v>0</v>
      </c>
      <c r="J889" s="446">
        <v>36.96</v>
      </c>
      <c r="K889" s="446">
        <v>27.83</v>
      </c>
    </row>
    <row r="890" customHeight="1" spans="1:11">
      <c r="A890" s="438" t="s">
        <v>1750</v>
      </c>
      <c r="B890" s="439" t="s">
        <v>2034</v>
      </c>
      <c r="C890" s="438" t="s">
        <v>71</v>
      </c>
      <c r="D890" s="438" t="s">
        <v>2035</v>
      </c>
      <c r="E890" s="438" t="s">
        <v>1631</v>
      </c>
      <c r="F890" s="438"/>
      <c r="G890" s="440" t="s">
        <v>129</v>
      </c>
      <c r="H890" s="441">
        <v>1.103</v>
      </c>
      <c r="I890" s="441">
        <v>0</v>
      </c>
      <c r="J890" s="449">
        <v>545.79</v>
      </c>
      <c r="K890" s="449">
        <v>602</v>
      </c>
    </row>
    <row r="891" customHeight="1" spans="1:11">
      <c r="A891" s="434"/>
      <c r="B891" s="434"/>
      <c r="C891" s="434"/>
      <c r="D891" s="434"/>
      <c r="E891" s="434"/>
      <c r="F891" s="434" t="s">
        <v>1735</v>
      </c>
      <c r="G891" s="435">
        <v>20.75</v>
      </c>
      <c r="H891" s="434" t="s">
        <v>1736</v>
      </c>
      <c r="I891" s="435">
        <v>18.86</v>
      </c>
      <c r="J891" s="434" t="s">
        <v>1737</v>
      </c>
      <c r="K891" s="435">
        <v>39.61</v>
      </c>
    </row>
    <row r="892" customHeight="1" spans="1:11">
      <c r="A892" s="434"/>
      <c r="B892" s="434"/>
      <c r="C892" s="434"/>
      <c r="D892" s="434"/>
      <c r="E892" s="434"/>
      <c r="F892" s="434" t="s">
        <v>1738</v>
      </c>
      <c r="G892" s="435">
        <v>162.46</v>
      </c>
      <c r="H892" s="434"/>
      <c r="I892" s="434" t="s">
        <v>1739</v>
      </c>
      <c r="J892" s="434"/>
      <c r="K892" s="435">
        <v>821.27</v>
      </c>
    </row>
    <row r="893" customHeight="1" spans="1:11">
      <c r="A893" s="436"/>
      <c r="B893" s="436"/>
      <c r="C893" s="436"/>
      <c r="D893" s="436"/>
      <c r="E893" s="436"/>
      <c r="F893" s="436"/>
      <c r="G893" s="436"/>
      <c r="H893" s="436" t="s">
        <v>1740</v>
      </c>
      <c r="I893" s="447" t="s">
        <v>2086</v>
      </c>
      <c r="J893" s="436" t="s">
        <v>1742</v>
      </c>
      <c r="K893" s="448">
        <v>2816.95</v>
      </c>
    </row>
    <row r="894" customHeight="1" spans="1:11">
      <c r="A894" s="437"/>
      <c r="B894" s="437"/>
      <c r="C894" s="437"/>
      <c r="D894" s="437"/>
      <c r="E894" s="437"/>
      <c r="F894" s="437"/>
      <c r="G894" s="437"/>
      <c r="H894" s="437"/>
      <c r="I894" s="437"/>
      <c r="J894" s="437"/>
      <c r="K894" s="437"/>
    </row>
    <row r="895" customHeight="1" spans="1:11">
      <c r="A895" s="422" t="s">
        <v>303</v>
      </c>
      <c r="B895" s="422"/>
      <c r="C895" s="422"/>
      <c r="D895" s="422" t="s">
        <v>304</v>
      </c>
      <c r="E895" s="422"/>
      <c r="F895" s="422"/>
      <c r="G895" s="422"/>
      <c r="H895" s="422"/>
      <c r="I895" s="443"/>
      <c r="J895" s="422"/>
      <c r="K895" s="444">
        <v>262317.69</v>
      </c>
    </row>
    <row r="896" customHeight="1" spans="1:11">
      <c r="A896" s="423" t="s">
        <v>305</v>
      </c>
      <c r="B896" s="424" t="s">
        <v>1714</v>
      </c>
      <c r="C896" s="423" t="s">
        <v>1715</v>
      </c>
      <c r="D896" s="423" t="s">
        <v>1716</v>
      </c>
      <c r="E896" s="423" t="s">
        <v>1717</v>
      </c>
      <c r="F896" s="423"/>
      <c r="G896" s="425" t="s">
        <v>1718</v>
      </c>
      <c r="H896" s="424" t="s">
        <v>1719</v>
      </c>
      <c r="I896" s="424" t="s">
        <v>1720</v>
      </c>
      <c r="J896" s="424" t="s">
        <v>1721</v>
      </c>
      <c r="K896" s="424" t="s">
        <v>1722</v>
      </c>
    </row>
    <row r="897" customHeight="1" spans="1:11">
      <c r="A897" s="426" t="s">
        <v>1723</v>
      </c>
      <c r="B897" s="427" t="s">
        <v>306</v>
      </c>
      <c r="C897" s="426" t="s">
        <v>71</v>
      </c>
      <c r="D897" s="426" t="s">
        <v>307</v>
      </c>
      <c r="E897" s="426" t="s">
        <v>1698</v>
      </c>
      <c r="F897" s="426"/>
      <c r="G897" s="428" t="s">
        <v>158</v>
      </c>
      <c r="H897" s="429">
        <v>1</v>
      </c>
      <c r="I897" s="445"/>
      <c r="J897" s="445">
        <v>11.94</v>
      </c>
      <c r="K897" s="445">
        <v>11.94</v>
      </c>
    </row>
    <row r="898" customHeight="1" spans="1:11">
      <c r="A898" s="430" t="s">
        <v>1724</v>
      </c>
      <c r="B898" s="431" t="s">
        <v>1956</v>
      </c>
      <c r="C898" s="430" t="s">
        <v>71</v>
      </c>
      <c r="D898" s="430" t="s">
        <v>1957</v>
      </c>
      <c r="E898" s="430" t="s">
        <v>1708</v>
      </c>
      <c r="F898" s="430"/>
      <c r="G898" s="432" t="s">
        <v>82</v>
      </c>
      <c r="H898" s="433">
        <v>0.041</v>
      </c>
      <c r="I898" s="433">
        <v>0</v>
      </c>
      <c r="J898" s="446">
        <v>30.06</v>
      </c>
      <c r="K898" s="446">
        <v>1.23</v>
      </c>
    </row>
    <row r="899" customHeight="1" spans="1:11">
      <c r="A899" s="430" t="s">
        <v>1724</v>
      </c>
      <c r="B899" s="431" t="s">
        <v>1958</v>
      </c>
      <c r="C899" s="430" t="s">
        <v>71</v>
      </c>
      <c r="D899" s="430" t="s">
        <v>1959</v>
      </c>
      <c r="E899" s="430" t="s">
        <v>1708</v>
      </c>
      <c r="F899" s="430"/>
      <c r="G899" s="432" t="s">
        <v>82</v>
      </c>
      <c r="H899" s="433">
        <v>0.0615</v>
      </c>
      <c r="I899" s="433">
        <v>0</v>
      </c>
      <c r="J899" s="446">
        <v>35.95</v>
      </c>
      <c r="K899" s="446">
        <v>2.21</v>
      </c>
    </row>
    <row r="900" customHeight="1" spans="1:11">
      <c r="A900" s="438" t="s">
        <v>1750</v>
      </c>
      <c r="B900" s="439" t="s">
        <v>2087</v>
      </c>
      <c r="C900" s="438" t="s">
        <v>71</v>
      </c>
      <c r="D900" s="438" t="s">
        <v>2088</v>
      </c>
      <c r="E900" s="438" t="s">
        <v>1631</v>
      </c>
      <c r="F900" s="438"/>
      <c r="G900" s="440" t="s">
        <v>158</v>
      </c>
      <c r="H900" s="441">
        <v>1</v>
      </c>
      <c r="I900" s="441">
        <v>0</v>
      </c>
      <c r="J900" s="449">
        <v>8.5</v>
      </c>
      <c r="K900" s="449">
        <v>8.5</v>
      </c>
    </row>
    <row r="901" customHeight="1" spans="1:11">
      <c r="A901" s="434"/>
      <c r="B901" s="434"/>
      <c r="C901" s="434"/>
      <c r="D901" s="434"/>
      <c r="E901" s="434"/>
      <c r="F901" s="434" t="s">
        <v>1735</v>
      </c>
      <c r="G901" s="435">
        <v>1.26</v>
      </c>
      <c r="H901" s="434" t="s">
        <v>1736</v>
      </c>
      <c r="I901" s="435">
        <v>1.15</v>
      </c>
      <c r="J901" s="434" t="s">
        <v>1737</v>
      </c>
      <c r="K901" s="435">
        <v>2.41</v>
      </c>
    </row>
    <row r="902" customHeight="1" spans="1:11">
      <c r="A902" s="434"/>
      <c r="B902" s="434"/>
      <c r="C902" s="434"/>
      <c r="D902" s="434"/>
      <c r="E902" s="434"/>
      <c r="F902" s="434" t="s">
        <v>1738</v>
      </c>
      <c r="G902" s="435">
        <v>2.94</v>
      </c>
      <c r="H902" s="434"/>
      <c r="I902" s="434" t="s">
        <v>1739</v>
      </c>
      <c r="J902" s="434"/>
      <c r="K902" s="435">
        <v>14.88</v>
      </c>
    </row>
    <row r="903" customHeight="1" spans="1:11">
      <c r="A903" s="436"/>
      <c r="B903" s="436"/>
      <c r="C903" s="436"/>
      <c r="D903" s="436"/>
      <c r="E903" s="436"/>
      <c r="F903" s="436"/>
      <c r="G903" s="436"/>
      <c r="H903" s="436" t="s">
        <v>1740</v>
      </c>
      <c r="I903" s="447" t="s">
        <v>2089</v>
      </c>
      <c r="J903" s="436" t="s">
        <v>1742</v>
      </c>
      <c r="K903" s="448">
        <v>1354.08</v>
      </c>
    </row>
    <row r="904" customHeight="1" spans="1:11">
      <c r="A904" s="437"/>
      <c r="B904" s="437"/>
      <c r="C904" s="437"/>
      <c r="D904" s="437"/>
      <c r="E904" s="437"/>
      <c r="F904" s="437"/>
      <c r="G904" s="437"/>
      <c r="H904" s="437"/>
      <c r="I904" s="437"/>
      <c r="J904" s="437"/>
      <c r="K904" s="437"/>
    </row>
    <row r="905" customHeight="1" spans="1:11">
      <c r="A905" s="423" t="s">
        <v>308</v>
      </c>
      <c r="B905" s="424" t="s">
        <v>1714</v>
      </c>
      <c r="C905" s="423" t="s">
        <v>1715</v>
      </c>
      <c r="D905" s="423" t="s">
        <v>1716</v>
      </c>
      <c r="E905" s="423" t="s">
        <v>1717</v>
      </c>
      <c r="F905" s="423"/>
      <c r="G905" s="425" t="s">
        <v>1718</v>
      </c>
      <c r="H905" s="424" t="s">
        <v>1719</v>
      </c>
      <c r="I905" s="424" t="s">
        <v>1720</v>
      </c>
      <c r="J905" s="424" t="s">
        <v>1721</v>
      </c>
      <c r="K905" s="424" t="s">
        <v>1722</v>
      </c>
    </row>
    <row r="906" customHeight="1" spans="1:11">
      <c r="A906" s="426" t="s">
        <v>1723</v>
      </c>
      <c r="B906" s="427" t="s">
        <v>309</v>
      </c>
      <c r="C906" s="426" t="s">
        <v>71</v>
      </c>
      <c r="D906" s="426" t="s">
        <v>310</v>
      </c>
      <c r="E906" s="426" t="s">
        <v>1698</v>
      </c>
      <c r="F906" s="426"/>
      <c r="G906" s="428" t="s">
        <v>158</v>
      </c>
      <c r="H906" s="429">
        <v>1</v>
      </c>
      <c r="I906" s="445"/>
      <c r="J906" s="445">
        <v>9.1</v>
      </c>
      <c r="K906" s="445">
        <v>9.1</v>
      </c>
    </row>
    <row r="907" customHeight="1" spans="1:11">
      <c r="A907" s="430" t="s">
        <v>1724</v>
      </c>
      <c r="B907" s="431" t="s">
        <v>1958</v>
      </c>
      <c r="C907" s="430" t="s">
        <v>71</v>
      </c>
      <c r="D907" s="430" t="s">
        <v>1959</v>
      </c>
      <c r="E907" s="430" t="s">
        <v>1708</v>
      </c>
      <c r="F907" s="430"/>
      <c r="G907" s="432" t="s">
        <v>82</v>
      </c>
      <c r="H907" s="433">
        <v>0.0313</v>
      </c>
      <c r="I907" s="433">
        <v>0</v>
      </c>
      <c r="J907" s="446">
        <v>35.95</v>
      </c>
      <c r="K907" s="446">
        <v>1.12</v>
      </c>
    </row>
    <row r="908" customHeight="1" spans="1:11">
      <c r="A908" s="430" t="s">
        <v>1724</v>
      </c>
      <c r="B908" s="431" t="s">
        <v>1956</v>
      </c>
      <c r="C908" s="430" t="s">
        <v>71</v>
      </c>
      <c r="D908" s="430" t="s">
        <v>1957</v>
      </c>
      <c r="E908" s="430" t="s">
        <v>1708</v>
      </c>
      <c r="F908" s="430"/>
      <c r="G908" s="432" t="s">
        <v>82</v>
      </c>
      <c r="H908" s="433">
        <v>0.0209</v>
      </c>
      <c r="I908" s="433">
        <v>0</v>
      </c>
      <c r="J908" s="446">
        <v>30.06</v>
      </c>
      <c r="K908" s="446">
        <v>0.62</v>
      </c>
    </row>
    <row r="909" customHeight="1" spans="1:11">
      <c r="A909" s="438" t="s">
        <v>1750</v>
      </c>
      <c r="B909" s="439" t="s">
        <v>2090</v>
      </c>
      <c r="C909" s="438" t="s">
        <v>71</v>
      </c>
      <c r="D909" s="438" t="s">
        <v>2091</v>
      </c>
      <c r="E909" s="438" t="s">
        <v>1631</v>
      </c>
      <c r="F909" s="438"/>
      <c r="G909" s="440" t="s">
        <v>158</v>
      </c>
      <c r="H909" s="441">
        <v>1</v>
      </c>
      <c r="I909" s="441">
        <v>0</v>
      </c>
      <c r="J909" s="449">
        <v>7.36</v>
      </c>
      <c r="K909" s="449">
        <v>7.36</v>
      </c>
    </row>
    <row r="910" customHeight="1" spans="1:11">
      <c r="A910" s="434"/>
      <c r="B910" s="434"/>
      <c r="C910" s="434"/>
      <c r="D910" s="434"/>
      <c r="E910" s="434"/>
      <c r="F910" s="434" t="s">
        <v>1735</v>
      </c>
      <c r="G910" s="435">
        <v>0.63</v>
      </c>
      <c r="H910" s="434" t="s">
        <v>1736</v>
      </c>
      <c r="I910" s="435">
        <v>0.59</v>
      </c>
      <c r="J910" s="434" t="s">
        <v>1737</v>
      </c>
      <c r="K910" s="435">
        <v>1.22</v>
      </c>
    </row>
    <row r="911" customHeight="1" spans="1:11">
      <c r="A911" s="434"/>
      <c r="B911" s="434"/>
      <c r="C911" s="434"/>
      <c r="D911" s="434"/>
      <c r="E911" s="434"/>
      <c r="F911" s="434" t="s">
        <v>1738</v>
      </c>
      <c r="G911" s="435">
        <v>2.24</v>
      </c>
      <c r="H911" s="434"/>
      <c r="I911" s="434" t="s">
        <v>1739</v>
      </c>
      <c r="J911" s="434"/>
      <c r="K911" s="435">
        <v>11.34</v>
      </c>
    </row>
    <row r="912" customHeight="1" spans="1:11">
      <c r="A912" s="436"/>
      <c r="B912" s="436"/>
      <c r="C912" s="436"/>
      <c r="D912" s="436"/>
      <c r="E912" s="436"/>
      <c r="F912" s="436"/>
      <c r="G912" s="436"/>
      <c r="H912" s="436" t="s">
        <v>1740</v>
      </c>
      <c r="I912" s="447" t="s">
        <v>2092</v>
      </c>
      <c r="J912" s="436" t="s">
        <v>1742</v>
      </c>
      <c r="K912" s="448">
        <v>612.36</v>
      </c>
    </row>
    <row r="913" customHeight="1" spans="1:11">
      <c r="A913" s="437"/>
      <c r="B913" s="437"/>
      <c r="C913" s="437"/>
      <c r="D913" s="437"/>
      <c r="E913" s="437"/>
      <c r="F913" s="437"/>
      <c r="G913" s="437"/>
      <c r="H913" s="437"/>
      <c r="I913" s="437"/>
      <c r="J913" s="437"/>
      <c r="K913" s="437"/>
    </row>
    <row r="914" customHeight="1" spans="1:11">
      <c r="A914" s="423" t="s">
        <v>311</v>
      </c>
      <c r="B914" s="424" t="s">
        <v>1714</v>
      </c>
      <c r="C914" s="423" t="s">
        <v>1715</v>
      </c>
      <c r="D914" s="423" t="s">
        <v>1716</v>
      </c>
      <c r="E914" s="423" t="s">
        <v>1717</v>
      </c>
      <c r="F914" s="423"/>
      <c r="G914" s="425" t="s">
        <v>1718</v>
      </c>
      <c r="H914" s="424" t="s">
        <v>1719</v>
      </c>
      <c r="I914" s="424" t="s">
        <v>1720</v>
      </c>
      <c r="J914" s="424" t="s">
        <v>1721</v>
      </c>
      <c r="K914" s="424" t="s">
        <v>1722</v>
      </c>
    </row>
    <row r="915" customHeight="1" spans="1:11">
      <c r="A915" s="426" t="s">
        <v>1723</v>
      </c>
      <c r="B915" s="427" t="s">
        <v>312</v>
      </c>
      <c r="C915" s="426" t="s">
        <v>71</v>
      </c>
      <c r="D915" s="426" t="s">
        <v>313</v>
      </c>
      <c r="E915" s="426" t="s">
        <v>1671</v>
      </c>
      <c r="F915" s="426"/>
      <c r="G915" s="428" t="s">
        <v>73</v>
      </c>
      <c r="H915" s="429">
        <v>1</v>
      </c>
      <c r="I915" s="445"/>
      <c r="J915" s="445">
        <v>86.45</v>
      </c>
      <c r="K915" s="445">
        <v>86.45</v>
      </c>
    </row>
    <row r="916" customHeight="1" spans="1:11">
      <c r="A916" s="430" t="s">
        <v>1724</v>
      </c>
      <c r="B916" s="431" t="s">
        <v>1745</v>
      </c>
      <c r="C916" s="430" t="s">
        <v>71</v>
      </c>
      <c r="D916" s="430" t="s">
        <v>1746</v>
      </c>
      <c r="E916" s="430" t="s">
        <v>1708</v>
      </c>
      <c r="F916" s="430"/>
      <c r="G916" s="432" t="s">
        <v>82</v>
      </c>
      <c r="H916" s="433">
        <v>0.45</v>
      </c>
      <c r="I916" s="433">
        <v>0</v>
      </c>
      <c r="J916" s="446">
        <v>29.15</v>
      </c>
      <c r="K916" s="446">
        <v>13.11</v>
      </c>
    </row>
    <row r="917" customHeight="1" spans="1:11">
      <c r="A917" s="430" t="s">
        <v>1724</v>
      </c>
      <c r="B917" s="431" t="s">
        <v>1936</v>
      </c>
      <c r="C917" s="430" t="s">
        <v>71</v>
      </c>
      <c r="D917" s="430" t="s">
        <v>1937</v>
      </c>
      <c r="E917" s="430" t="s">
        <v>1708</v>
      </c>
      <c r="F917" s="430"/>
      <c r="G917" s="432" t="s">
        <v>82</v>
      </c>
      <c r="H917" s="433">
        <v>0.45</v>
      </c>
      <c r="I917" s="433">
        <v>0</v>
      </c>
      <c r="J917" s="446">
        <v>36.96</v>
      </c>
      <c r="K917" s="446">
        <v>16.63</v>
      </c>
    </row>
    <row r="918" customHeight="1" spans="1:11">
      <c r="A918" s="430" t="s">
        <v>1724</v>
      </c>
      <c r="B918" s="431" t="s">
        <v>2093</v>
      </c>
      <c r="C918" s="430" t="s">
        <v>71</v>
      </c>
      <c r="D918" s="430" t="s">
        <v>2094</v>
      </c>
      <c r="E918" s="430" t="s">
        <v>2095</v>
      </c>
      <c r="F918" s="430"/>
      <c r="G918" s="432" t="s">
        <v>129</v>
      </c>
      <c r="H918" s="433">
        <v>0.0113</v>
      </c>
      <c r="I918" s="433">
        <v>0</v>
      </c>
      <c r="J918" s="446">
        <v>600.74</v>
      </c>
      <c r="K918" s="446">
        <v>6.78</v>
      </c>
    </row>
    <row r="919" customHeight="1" spans="1:11">
      <c r="A919" s="438" t="s">
        <v>1750</v>
      </c>
      <c r="B919" s="439" t="s">
        <v>2096</v>
      </c>
      <c r="C919" s="438" t="s">
        <v>71</v>
      </c>
      <c r="D919" s="438" t="s">
        <v>2097</v>
      </c>
      <c r="E919" s="438" t="s">
        <v>1631</v>
      </c>
      <c r="F919" s="438"/>
      <c r="G919" s="440" t="s">
        <v>105</v>
      </c>
      <c r="H919" s="441">
        <v>1.46</v>
      </c>
      <c r="I919" s="441">
        <v>0</v>
      </c>
      <c r="J919" s="449">
        <v>3.39</v>
      </c>
      <c r="K919" s="449">
        <v>4.94</v>
      </c>
    </row>
    <row r="920" customHeight="1" spans="1:11">
      <c r="A920" s="438" t="s">
        <v>1750</v>
      </c>
      <c r="B920" s="439" t="s">
        <v>2098</v>
      </c>
      <c r="C920" s="438" t="s">
        <v>71</v>
      </c>
      <c r="D920" s="438" t="s">
        <v>2099</v>
      </c>
      <c r="E920" s="438" t="s">
        <v>1631</v>
      </c>
      <c r="F920" s="438"/>
      <c r="G920" s="440" t="s">
        <v>105</v>
      </c>
      <c r="H920" s="441">
        <v>10.204</v>
      </c>
      <c r="I920" s="441">
        <v>0</v>
      </c>
      <c r="J920" s="449">
        <v>3.71</v>
      </c>
      <c r="K920" s="449">
        <v>37.85</v>
      </c>
    </row>
    <row r="921" customHeight="1" spans="1:11">
      <c r="A921" s="438" t="s">
        <v>1750</v>
      </c>
      <c r="B921" s="439" t="s">
        <v>2100</v>
      </c>
      <c r="C921" s="438" t="s">
        <v>71</v>
      </c>
      <c r="D921" s="438" t="s">
        <v>2101</v>
      </c>
      <c r="E921" s="438" t="s">
        <v>1631</v>
      </c>
      <c r="F921" s="438"/>
      <c r="G921" s="440" t="s">
        <v>105</v>
      </c>
      <c r="H921" s="441">
        <v>0.97</v>
      </c>
      <c r="I921" s="441">
        <v>0</v>
      </c>
      <c r="J921" s="449">
        <v>4.18</v>
      </c>
      <c r="K921" s="449">
        <v>4.05</v>
      </c>
    </row>
    <row r="922" customHeight="1" spans="1:11">
      <c r="A922" s="438" t="s">
        <v>1750</v>
      </c>
      <c r="B922" s="439" t="s">
        <v>2102</v>
      </c>
      <c r="C922" s="438" t="s">
        <v>71</v>
      </c>
      <c r="D922" s="438" t="s">
        <v>2103</v>
      </c>
      <c r="E922" s="438" t="s">
        <v>1631</v>
      </c>
      <c r="F922" s="438"/>
      <c r="G922" s="440" t="s">
        <v>105</v>
      </c>
      <c r="H922" s="441">
        <v>1.46</v>
      </c>
      <c r="I922" s="441">
        <v>0</v>
      </c>
      <c r="J922" s="449">
        <v>2.12</v>
      </c>
      <c r="K922" s="449">
        <v>3.09</v>
      </c>
    </row>
    <row r="923" customHeight="1" spans="1:11">
      <c r="A923" s="434"/>
      <c r="B923" s="434"/>
      <c r="C923" s="434"/>
      <c r="D923" s="434"/>
      <c r="E923" s="434"/>
      <c r="F923" s="434" t="s">
        <v>1735</v>
      </c>
      <c r="G923" s="435">
        <v>11.46</v>
      </c>
      <c r="H923" s="434" t="s">
        <v>1736</v>
      </c>
      <c r="I923" s="435">
        <v>10.42</v>
      </c>
      <c r="J923" s="434" t="s">
        <v>1737</v>
      </c>
      <c r="K923" s="435">
        <v>21.88</v>
      </c>
    </row>
    <row r="924" customHeight="1" spans="1:11">
      <c r="A924" s="434"/>
      <c r="B924" s="434"/>
      <c r="C924" s="434"/>
      <c r="D924" s="434"/>
      <c r="E924" s="434"/>
      <c r="F924" s="434" t="s">
        <v>1738</v>
      </c>
      <c r="G924" s="435">
        <v>21.31</v>
      </c>
      <c r="H924" s="434"/>
      <c r="I924" s="434" t="s">
        <v>1739</v>
      </c>
      <c r="J924" s="434"/>
      <c r="K924" s="435">
        <v>107.76</v>
      </c>
    </row>
    <row r="925" customHeight="1" spans="1:11">
      <c r="A925" s="436"/>
      <c r="B925" s="436"/>
      <c r="C925" s="436"/>
      <c r="D925" s="436"/>
      <c r="E925" s="436"/>
      <c r="F925" s="436"/>
      <c r="G925" s="436"/>
      <c r="H925" s="436" t="s">
        <v>1740</v>
      </c>
      <c r="I925" s="447" t="s">
        <v>2104</v>
      </c>
      <c r="J925" s="436" t="s">
        <v>1742</v>
      </c>
      <c r="K925" s="448">
        <v>6101.37</v>
      </c>
    </row>
    <row r="926" customHeight="1" spans="1:11">
      <c r="A926" s="437"/>
      <c r="B926" s="437"/>
      <c r="C926" s="437"/>
      <c r="D926" s="437"/>
      <c r="E926" s="437"/>
      <c r="F926" s="437"/>
      <c r="G926" s="437"/>
      <c r="H926" s="437"/>
      <c r="I926" s="437"/>
      <c r="J926" s="437"/>
      <c r="K926" s="437"/>
    </row>
    <row r="927" customHeight="1" spans="1:11">
      <c r="A927" s="423" t="s">
        <v>314</v>
      </c>
      <c r="B927" s="424" t="s">
        <v>1714</v>
      </c>
      <c r="C927" s="423" t="s">
        <v>1715</v>
      </c>
      <c r="D927" s="423" t="s">
        <v>1716</v>
      </c>
      <c r="E927" s="423" t="s">
        <v>1717</v>
      </c>
      <c r="F927" s="423"/>
      <c r="G927" s="425" t="s">
        <v>1718</v>
      </c>
      <c r="H927" s="424" t="s">
        <v>1719</v>
      </c>
      <c r="I927" s="424" t="s">
        <v>1720</v>
      </c>
      <c r="J927" s="424" t="s">
        <v>1721</v>
      </c>
      <c r="K927" s="424" t="s">
        <v>1722</v>
      </c>
    </row>
    <row r="928" customHeight="1" spans="1:11">
      <c r="A928" s="426" t="s">
        <v>1723</v>
      </c>
      <c r="B928" s="427" t="s">
        <v>315</v>
      </c>
      <c r="C928" s="426" t="s">
        <v>71</v>
      </c>
      <c r="D928" s="426" t="s">
        <v>316</v>
      </c>
      <c r="E928" s="426" t="s">
        <v>1698</v>
      </c>
      <c r="F928" s="426"/>
      <c r="G928" s="428" t="s">
        <v>129</v>
      </c>
      <c r="H928" s="429">
        <v>1</v>
      </c>
      <c r="I928" s="445"/>
      <c r="J928" s="445">
        <v>483.96</v>
      </c>
      <c r="K928" s="445">
        <v>483.96</v>
      </c>
    </row>
    <row r="929" customHeight="1" spans="1:11">
      <c r="A929" s="430" t="s">
        <v>1724</v>
      </c>
      <c r="B929" s="431" t="s">
        <v>2105</v>
      </c>
      <c r="C929" s="430" t="s">
        <v>71</v>
      </c>
      <c r="D929" s="430" t="s">
        <v>2106</v>
      </c>
      <c r="E929" s="430" t="s">
        <v>1795</v>
      </c>
      <c r="F929" s="430"/>
      <c r="G929" s="432" t="s">
        <v>1804</v>
      </c>
      <c r="H929" s="433">
        <v>0.4354</v>
      </c>
      <c r="I929" s="433">
        <v>0</v>
      </c>
      <c r="J929" s="446">
        <v>0.43</v>
      </c>
      <c r="K929" s="446">
        <v>0.18</v>
      </c>
    </row>
    <row r="930" customHeight="1" spans="1:11">
      <c r="A930" s="430" t="s">
        <v>1724</v>
      </c>
      <c r="B930" s="431" t="s">
        <v>2107</v>
      </c>
      <c r="C930" s="430" t="s">
        <v>71</v>
      </c>
      <c r="D930" s="430" t="s">
        <v>2108</v>
      </c>
      <c r="E930" s="430" t="s">
        <v>1795</v>
      </c>
      <c r="F930" s="430"/>
      <c r="G930" s="432" t="s">
        <v>1796</v>
      </c>
      <c r="H930" s="433">
        <v>0.9834</v>
      </c>
      <c r="I930" s="433">
        <v>0</v>
      </c>
      <c r="J930" s="446">
        <v>2.24</v>
      </c>
      <c r="K930" s="446">
        <v>2.2</v>
      </c>
    </row>
    <row r="931" customHeight="1" spans="1:11">
      <c r="A931" s="430" t="s">
        <v>1724</v>
      </c>
      <c r="B931" s="431" t="s">
        <v>2109</v>
      </c>
      <c r="C931" s="430" t="s">
        <v>71</v>
      </c>
      <c r="D931" s="430" t="s">
        <v>2110</v>
      </c>
      <c r="E931" s="430" t="s">
        <v>1708</v>
      </c>
      <c r="F931" s="430"/>
      <c r="G931" s="432" t="s">
        <v>82</v>
      </c>
      <c r="H931" s="433">
        <v>1.4187</v>
      </c>
      <c r="I931" s="433">
        <v>0</v>
      </c>
      <c r="J931" s="446">
        <v>32.2</v>
      </c>
      <c r="K931" s="446">
        <v>45.68</v>
      </c>
    </row>
    <row r="932" customHeight="1" spans="1:11">
      <c r="A932" s="430" t="s">
        <v>1724</v>
      </c>
      <c r="B932" s="431" t="s">
        <v>1745</v>
      </c>
      <c r="C932" s="430" t="s">
        <v>71</v>
      </c>
      <c r="D932" s="430" t="s">
        <v>1746</v>
      </c>
      <c r="E932" s="430" t="s">
        <v>1708</v>
      </c>
      <c r="F932" s="430"/>
      <c r="G932" s="432" t="s">
        <v>82</v>
      </c>
      <c r="H932" s="433">
        <v>2.2483</v>
      </c>
      <c r="I932" s="433">
        <v>0</v>
      </c>
      <c r="J932" s="446">
        <v>29.15</v>
      </c>
      <c r="K932" s="446">
        <v>65.53</v>
      </c>
    </row>
    <row r="933" customHeight="1" spans="1:11">
      <c r="A933" s="438" t="s">
        <v>1750</v>
      </c>
      <c r="B933" s="439" t="s">
        <v>2111</v>
      </c>
      <c r="C933" s="438" t="s">
        <v>71</v>
      </c>
      <c r="D933" s="438" t="s">
        <v>2112</v>
      </c>
      <c r="E933" s="438" t="s">
        <v>1631</v>
      </c>
      <c r="F933" s="438"/>
      <c r="G933" s="440" t="s">
        <v>1945</v>
      </c>
      <c r="H933" s="441">
        <v>0.5607</v>
      </c>
      <c r="I933" s="441">
        <v>0</v>
      </c>
      <c r="J933" s="449">
        <v>8.53</v>
      </c>
      <c r="K933" s="449">
        <v>4.78</v>
      </c>
    </row>
    <row r="934" customHeight="1" spans="1:11">
      <c r="A934" s="438" t="s">
        <v>1750</v>
      </c>
      <c r="B934" s="439" t="s">
        <v>2113</v>
      </c>
      <c r="C934" s="438" t="s">
        <v>71</v>
      </c>
      <c r="D934" s="438" t="s">
        <v>2114</v>
      </c>
      <c r="E934" s="438" t="s">
        <v>1631</v>
      </c>
      <c r="F934" s="438"/>
      <c r="G934" s="440" t="s">
        <v>129</v>
      </c>
      <c r="H934" s="441">
        <v>0.6699</v>
      </c>
      <c r="I934" s="441">
        <v>0</v>
      </c>
      <c r="J934" s="449">
        <v>91.17</v>
      </c>
      <c r="K934" s="449">
        <v>61.07</v>
      </c>
    </row>
    <row r="935" customHeight="1" spans="1:11">
      <c r="A935" s="438" t="s">
        <v>1750</v>
      </c>
      <c r="B935" s="439" t="s">
        <v>2115</v>
      </c>
      <c r="C935" s="438" t="s">
        <v>71</v>
      </c>
      <c r="D935" s="438" t="s">
        <v>2116</v>
      </c>
      <c r="E935" s="438" t="s">
        <v>1631</v>
      </c>
      <c r="F935" s="438"/>
      <c r="G935" s="440" t="s">
        <v>129</v>
      </c>
      <c r="H935" s="441">
        <v>0.6074</v>
      </c>
      <c r="I935" s="441">
        <v>0</v>
      </c>
      <c r="J935" s="449">
        <v>124.89</v>
      </c>
      <c r="K935" s="449">
        <v>75.85</v>
      </c>
    </row>
    <row r="936" customHeight="1" spans="1:11">
      <c r="A936" s="438" t="s">
        <v>1750</v>
      </c>
      <c r="B936" s="439" t="s">
        <v>2117</v>
      </c>
      <c r="C936" s="438" t="s">
        <v>71</v>
      </c>
      <c r="D936" s="438" t="s">
        <v>2118</v>
      </c>
      <c r="E936" s="438" t="s">
        <v>1631</v>
      </c>
      <c r="F936" s="438"/>
      <c r="G936" s="440" t="s">
        <v>158</v>
      </c>
      <c r="H936" s="441">
        <v>357.3041</v>
      </c>
      <c r="I936" s="441">
        <v>0</v>
      </c>
      <c r="J936" s="449">
        <v>0.64</v>
      </c>
      <c r="K936" s="449">
        <v>228.67</v>
      </c>
    </row>
    <row r="937" customHeight="1" spans="1:11">
      <c r="A937" s="434"/>
      <c r="B937" s="434"/>
      <c r="C937" s="434"/>
      <c r="D937" s="434"/>
      <c r="E937" s="434"/>
      <c r="F937" s="434" t="s">
        <v>1735</v>
      </c>
      <c r="G937" s="435">
        <v>40.01</v>
      </c>
      <c r="H937" s="434" t="s">
        <v>1736</v>
      </c>
      <c r="I937" s="435">
        <v>36.35</v>
      </c>
      <c r="J937" s="434" t="s">
        <v>1737</v>
      </c>
      <c r="K937" s="435">
        <v>76.36</v>
      </c>
    </row>
    <row r="938" customHeight="1" spans="1:11">
      <c r="A938" s="434"/>
      <c r="B938" s="434"/>
      <c r="C938" s="434"/>
      <c r="D938" s="434"/>
      <c r="E938" s="434"/>
      <c r="F938" s="434" t="s">
        <v>1738</v>
      </c>
      <c r="G938" s="435">
        <v>119.34</v>
      </c>
      <c r="H938" s="434"/>
      <c r="I938" s="434" t="s">
        <v>1739</v>
      </c>
      <c r="J938" s="434"/>
      <c r="K938" s="435">
        <v>603.3</v>
      </c>
    </row>
    <row r="939" customHeight="1" spans="1:11">
      <c r="A939" s="436"/>
      <c r="B939" s="436"/>
      <c r="C939" s="436"/>
      <c r="D939" s="436"/>
      <c r="E939" s="436"/>
      <c r="F939" s="436"/>
      <c r="G939" s="436"/>
      <c r="H939" s="436" t="s">
        <v>1740</v>
      </c>
      <c r="I939" s="447" t="s">
        <v>1741</v>
      </c>
      <c r="J939" s="436" t="s">
        <v>1742</v>
      </c>
      <c r="K939" s="448">
        <v>603.3</v>
      </c>
    </row>
    <row r="940" customHeight="1" spans="1:11">
      <c r="A940" s="437"/>
      <c r="B940" s="437"/>
      <c r="C940" s="437"/>
      <c r="D940" s="437"/>
      <c r="E940" s="437"/>
      <c r="F940" s="437"/>
      <c r="G940" s="437"/>
      <c r="H940" s="437"/>
      <c r="I940" s="437"/>
      <c r="J940" s="437"/>
      <c r="K940" s="437"/>
    </row>
    <row r="941" customHeight="1" spans="1:11">
      <c r="A941" s="423" t="s">
        <v>317</v>
      </c>
      <c r="B941" s="424" t="s">
        <v>1714</v>
      </c>
      <c r="C941" s="423" t="s">
        <v>1715</v>
      </c>
      <c r="D941" s="423" t="s">
        <v>1716</v>
      </c>
      <c r="E941" s="423" t="s">
        <v>1717</v>
      </c>
      <c r="F941" s="423"/>
      <c r="G941" s="425" t="s">
        <v>1718</v>
      </c>
      <c r="H941" s="424" t="s">
        <v>1719</v>
      </c>
      <c r="I941" s="424" t="s">
        <v>1720</v>
      </c>
      <c r="J941" s="424" t="s">
        <v>1721</v>
      </c>
      <c r="K941" s="424" t="s">
        <v>1722</v>
      </c>
    </row>
    <row r="942" customHeight="1" spans="1:11">
      <c r="A942" s="426" t="s">
        <v>1723</v>
      </c>
      <c r="B942" s="427" t="s">
        <v>318</v>
      </c>
      <c r="C942" s="426" t="s">
        <v>65</v>
      </c>
      <c r="D942" s="426" t="s">
        <v>319</v>
      </c>
      <c r="E942" s="426" t="s">
        <v>62</v>
      </c>
      <c r="F942" s="426"/>
      <c r="G942" s="428" t="s">
        <v>67</v>
      </c>
      <c r="H942" s="429">
        <v>1</v>
      </c>
      <c r="I942" s="445"/>
      <c r="J942" s="445">
        <v>300.11</v>
      </c>
      <c r="K942" s="445">
        <v>300.11</v>
      </c>
    </row>
    <row r="943" customHeight="1" spans="1:11">
      <c r="A943" s="430" t="s">
        <v>1724</v>
      </c>
      <c r="B943" s="431" t="s">
        <v>1936</v>
      </c>
      <c r="C943" s="430" t="s">
        <v>71</v>
      </c>
      <c r="D943" s="430" t="s">
        <v>1937</v>
      </c>
      <c r="E943" s="430" t="s">
        <v>1708</v>
      </c>
      <c r="F943" s="430"/>
      <c r="G943" s="432" t="s">
        <v>82</v>
      </c>
      <c r="H943" s="433">
        <v>1</v>
      </c>
      <c r="I943" s="433">
        <v>0</v>
      </c>
      <c r="J943" s="446">
        <v>36.96</v>
      </c>
      <c r="K943" s="446">
        <v>36.96</v>
      </c>
    </row>
    <row r="944" customHeight="1" spans="1:11">
      <c r="A944" s="430" t="s">
        <v>1724</v>
      </c>
      <c r="B944" s="431" t="s">
        <v>2119</v>
      </c>
      <c r="C944" s="430" t="s">
        <v>71</v>
      </c>
      <c r="D944" s="430" t="s">
        <v>2120</v>
      </c>
      <c r="E944" s="430" t="s">
        <v>1799</v>
      </c>
      <c r="F944" s="430"/>
      <c r="G944" s="432" t="s">
        <v>129</v>
      </c>
      <c r="H944" s="433">
        <v>0.08</v>
      </c>
      <c r="I944" s="433">
        <v>0</v>
      </c>
      <c r="J944" s="446">
        <v>541.49</v>
      </c>
      <c r="K944" s="446">
        <v>43.31</v>
      </c>
    </row>
    <row r="945" customHeight="1" spans="1:11">
      <c r="A945" s="430" t="s">
        <v>1724</v>
      </c>
      <c r="B945" s="431" t="s">
        <v>2121</v>
      </c>
      <c r="C945" s="430" t="s">
        <v>71</v>
      </c>
      <c r="D945" s="430" t="s">
        <v>2122</v>
      </c>
      <c r="E945" s="430" t="s">
        <v>1626</v>
      </c>
      <c r="F945" s="430"/>
      <c r="G945" s="432" t="s">
        <v>73</v>
      </c>
      <c r="H945" s="433">
        <v>1.1</v>
      </c>
      <c r="I945" s="433">
        <v>0</v>
      </c>
      <c r="J945" s="446">
        <v>166.54</v>
      </c>
      <c r="K945" s="446">
        <v>183.19</v>
      </c>
    </row>
    <row r="946" customHeight="1" spans="1:11">
      <c r="A946" s="430" t="s">
        <v>1724</v>
      </c>
      <c r="B946" s="431" t="s">
        <v>1745</v>
      </c>
      <c r="C946" s="430" t="s">
        <v>71</v>
      </c>
      <c r="D946" s="430" t="s">
        <v>1746</v>
      </c>
      <c r="E946" s="430" t="s">
        <v>1708</v>
      </c>
      <c r="F946" s="430"/>
      <c r="G946" s="432" t="s">
        <v>82</v>
      </c>
      <c r="H946" s="433">
        <v>1</v>
      </c>
      <c r="I946" s="433">
        <v>0</v>
      </c>
      <c r="J946" s="446">
        <v>29.15</v>
      </c>
      <c r="K946" s="446">
        <v>29.15</v>
      </c>
    </row>
    <row r="947" customHeight="1" spans="1:11">
      <c r="A947" s="438" t="s">
        <v>1750</v>
      </c>
      <c r="B947" s="439" t="s">
        <v>2123</v>
      </c>
      <c r="C947" s="438" t="s">
        <v>71</v>
      </c>
      <c r="D947" s="438" t="s">
        <v>2124</v>
      </c>
      <c r="E947" s="438" t="s">
        <v>1631</v>
      </c>
      <c r="F947" s="438"/>
      <c r="G947" s="440" t="s">
        <v>73</v>
      </c>
      <c r="H947" s="441">
        <v>1</v>
      </c>
      <c r="I947" s="441">
        <v>0</v>
      </c>
      <c r="J947" s="449">
        <v>7.11</v>
      </c>
      <c r="K947" s="449">
        <v>7.11</v>
      </c>
    </row>
    <row r="948" customHeight="1" spans="1:11">
      <c r="A948" s="438" t="s">
        <v>1750</v>
      </c>
      <c r="B948" s="439" t="s">
        <v>1943</v>
      </c>
      <c r="C948" s="438" t="s">
        <v>71</v>
      </c>
      <c r="D948" s="438" t="s">
        <v>1944</v>
      </c>
      <c r="E948" s="438" t="s">
        <v>1631</v>
      </c>
      <c r="F948" s="438"/>
      <c r="G948" s="440" t="s">
        <v>1945</v>
      </c>
      <c r="H948" s="441">
        <v>0.05</v>
      </c>
      <c r="I948" s="441">
        <v>0</v>
      </c>
      <c r="J948" s="449">
        <v>7.97</v>
      </c>
      <c r="K948" s="449">
        <v>0.39</v>
      </c>
    </row>
    <row r="949" customHeight="1" spans="1:11">
      <c r="A949" s="434"/>
      <c r="B949" s="434"/>
      <c r="C949" s="434"/>
      <c r="D949" s="434"/>
      <c r="E949" s="434"/>
      <c r="F949" s="434" t="s">
        <v>1735</v>
      </c>
      <c r="G949" s="435">
        <v>49.09</v>
      </c>
      <c r="H949" s="434" t="s">
        <v>1736</v>
      </c>
      <c r="I949" s="435">
        <v>44.59</v>
      </c>
      <c r="J949" s="434" t="s">
        <v>1737</v>
      </c>
      <c r="K949" s="435">
        <v>93.68</v>
      </c>
    </row>
    <row r="950" customHeight="1" spans="1:11">
      <c r="A950" s="434"/>
      <c r="B950" s="434"/>
      <c r="C950" s="434"/>
      <c r="D950" s="434"/>
      <c r="E950" s="434"/>
      <c r="F950" s="434" t="s">
        <v>1738</v>
      </c>
      <c r="G950" s="435">
        <v>74</v>
      </c>
      <c r="H950" s="434"/>
      <c r="I950" s="434" t="s">
        <v>1739</v>
      </c>
      <c r="J950" s="434"/>
      <c r="K950" s="435">
        <v>374.11</v>
      </c>
    </row>
    <row r="951" customHeight="1" spans="1:11">
      <c r="A951" s="436"/>
      <c r="B951" s="436"/>
      <c r="C951" s="436"/>
      <c r="D951" s="436"/>
      <c r="E951" s="436"/>
      <c r="F951" s="436"/>
      <c r="G951" s="436"/>
      <c r="H951" s="436" t="s">
        <v>1740</v>
      </c>
      <c r="I951" s="447" t="s">
        <v>2125</v>
      </c>
      <c r="J951" s="436" t="s">
        <v>1742</v>
      </c>
      <c r="K951" s="448">
        <v>253646.58</v>
      </c>
    </row>
    <row r="952" customHeight="1" spans="1:11">
      <c r="A952" s="437"/>
      <c r="B952" s="437"/>
      <c r="C952" s="437"/>
      <c r="D952" s="437"/>
      <c r="E952" s="437"/>
      <c r="F952" s="437"/>
      <c r="G952" s="437"/>
      <c r="H952" s="437"/>
      <c r="I952" s="437"/>
      <c r="J952" s="437"/>
      <c r="K952" s="437"/>
    </row>
    <row r="953" customHeight="1" spans="1:11">
      <c r="A953" s="422" t="s">
        <v>320</v>
      </c>
      <c r="B953" s="422"/>
      <c r="C953" s="422"/>
      <c r="D953" s="422" t="s">
        <v>27</v>
      </c>
      <c r="E953" s="422"/>
      <c r="F953" s="422"/>
      <c r="G953" s="422"/>
      <c r="H953" s="422"/>
      <c r="I953" s="443"/>
      <c r="J953" s="422"/>
      <c r="K953" s="444">
        <v>718574.07</v>
      </c>
    </row>
    <row r="954" customHeight="1" spans="1:11">
      <c r="A954" s="422" t="s">
        <v>321</v>
      </c>
      <c r="B954" s="422"/>
      <c r="C954" s="422"/>
      <c r="D954" s="422" t="s">
        <v>322</v>
      </c>
      <c r="E954" s="422"/>
      <c r="F954" s="422"/>
      <c r="G954" s="422"/>
      <c r="H954" s="422"/>
      <c r="I954" s="443"/>
      <c r="J954" s="422"/>
      <c r="K954" s="444">
        <v>314484.77</v>
      </c>
    </row>
    <row r="955" customHeight="1" spans="1:11">
      <c r="A955" s="423" t="s">
        <v>323</v>
      </c>
      <c r="B955" s="424" t="s">
        <v>1714</v>
      </c>
      <c r="C955" s="423" t="s">
        <v>1715</v>
      </c>
      <c r="D955" s="423" t="s">
        <v>1716</v>
      </c>
      <c r="E955" s="423" t="s">
        <v>1717</v>
      </c>
      <c r="F955" s="423"/>
      <c r="G955" s="425" t="s">
        <v>1718</v>
      </c>
      <c r="H955" s="424" t="s">
        <v>1719</v>
      </c>
      <c r="I955" s="424" t="s">
        <v>1720</v>
      </c>
      <c r="J955" s="424" t="s">
        <v>1721</v>
      </c>
      <c r="K955" s="424" t="s">
        <v>1722</v>
      </c>
    </row>
    <row r="956" customHeight="1" spans="1:11">
      <c r="A956" s="426" t="s">
        <v>1723</v>
      </c>
      <c r="B956" s="427" t="s">
        <v>324</v>
      </c>
      <c r="C956" s="426" t="s">
        <v>71</v>
      </c>
      <c r="D956" s="426" t="s">
        <v>325</v>
      </c>
      <c r="E956" s="426" t="s">
        <v>1677</v>
      </c>
      <c r="F956" s="426"/>
      <c r="G956" s="428" t="s">
        <v>73</v>
      </c>
      <c r="H956" s="429">
        <v>1</v>
      </c>
      <c r="I956" s="445"/>
      <c r="J956" s="445">
        <v>91.77</v>
      </c>
      <c r="K956" s="445">
        <v>91.77</v>
      </c>
    </row>
    <row r="957" customHeight="1" spans="1:11">
      <c r="A957" s="430" t="s">
        <v>1724</v>
      </c>
      <c r="B957" s="431" t="s">
        <v>2126</v>
      </c>
      <c r="C957" s="430" t="s">
        <v>71</v>
      </c>
      <c r="D957" s="430" t="s">
        <v>2127</v>
      </c>
      <c r="E957" s="430" t="s">
        <v>2095</v>
      </c>
      <c r="F957" s="430"/>
      <c r="G957" s="432" t="s">
        <v>129</v>
      </c>
      <c r="H957" s="433">
        <v>0.0087</v>
      </c>
      <c r="I957" s="433">
        <v>0</v>
      </c>
      <c r="J957" s="446">
        <v>639.63</v>
      </c>
      <c r="K957" s="446">
        <v>5.56</v>
      </c>
    </row>
    <row r="958" customHeight="1" spans="1:11">
      <c r="A958" s="430" t="s">
        <v>1724</v>
      </c>
      <c r="B958" s="431" t="s">
        <v>1745</v>
      </c>
      <c r="C958" s="430" t="s">
        <v>71</v>
      </c>
      <c r="D958" s="430" t="s">
        <v>1746</v>
      </c>
      <c r="E958" s="430" t="s">
        <v>1708</v>
      </c>
      <c r="F958" s="430"/>
      <c r="G958" s="432" t="s">
        <v>82</v>
      </c>
      <c r="H958" s="433">
        <v>0.475</v>
      </c>
      <c r="I958" s="433">
        <v>0</v>
      </c>
      <c r="J958" s="446">
        <v>29.15</v>
      </c>
      <c r="K958" s="446">
        <v>13.84</v>
      </c>
    </row>
    <row r="959" customHeight="1" spans="1:11">
      <c r="A959" s="430" t="s">
        <v>1724</v>
      </c>
      <c r="B959" s="431" t="s">
        <v>1936</v>
      </c>
      <c r="C959" s="430" t="s">
        <v>71</v>
      </c>
      <c r="D959" s="430" t="s">
        <v>1937</v>
      </c>
      <c r="E959" s="430" t="s">
        <v>1708</v>
      </c>
      <c r="F959" s="430"/>
      <c r="G959" s="432" t="s">
        <v>82</v>
      </c>
      <c r="H959" s="433">
        <v>0.95</v>
      </c>
      <c r="I959" s="433">
        <v>0</v>
      </c>
      <c r="J959" s="446">
        <v>36.96</v>
      </c>
      <c r="K959" s="446">
        <v>35.11</v>
      </c>
    </row>
    <row r="960" customHeight="1" spans="1:11">
      <c r="A960" s="438" t="s">
        <v>1750</v>
      </c>
      <c r="B960" s="439" t="s">
        <v>2128</v>
      </c>
      <c r="C960" s="438" t="s">
        <v>71</v>
      </c>
      <c r="D960" s="438" t="s">
        <v>2129</v>
      </c>
      <c r="E960" s="438" t="s">
        <v>1631</v>
      </c>
      <c r="F960" s="438"/>
      <c r="G960" s="440" t="s">
        <v>105</v>
      </c>
      <c r="H960" s="441">
        <v>13.6</v>
      </c>
      <c r="I960" s="441">
        <v>0</v>
      </c>
      <c r="J960" s="449">
        <v>2.65</v>
      </c>
      <c r="K960" s="449">
        <v>36.04</v>
      </c>
    </row>
    <row r="961" customHeight="1" spans="1:11">
      <c r="A961" s="438" t="s">
        <v>1750</v>
      </c>
      <c r="B961" s="439" t="s">
        <v>2130</v>
      </c>
      <c r="C961" s="438" t="s">
        <v>71</v>
      </c>
      <c r="D961" s="438" t="s">
        <v>2131</v>
      </c>
      <c r="E961" s="438" t="s">
        <v>1631</v>
      </c>
      <c r="F961" s="438"/>
      <c r="G961" s="440" t="s">
        <v>78</v>
      </c>
      <c r="H961" s="441">
        <v>0.42</v>
      </c>
      <c r="I961" s="441">
        <v>0</v>
      </c>
      <c r="J961" s="449">
        <v>2.08</v>
      </c>
      <c r="K961" s="449">
        <v>0.87</v>
      </c>
    </row>
    <row r="962" customHeight="1" spans="1:11">
      <c r="A962" s="438" t="s">
        <v>1750</v>
      </c>
      <c r="B962" s="439" t="s">
        <v>2132</v>
      </c>
      <c r="C962" s="438" t="s">
        <v>71</v>
      </c>
      <c r="D962" s="438" t="s">
        <v>2133</v>
      </c>
      <c r="E962" s="438" t="s">
        <v>1631</v>
      </c>
      <c r="F962" s="438"/>
      <c r="G962" s="440" t="s">
        <v>2134</v>
      </c>
      <c r="H962" s="441">
        <v>0.005</v>
      </c>
      <c r="I962" s="441">
        <v>0</v>
      </c>
      <c r="J962" s="449">
        <v>70.87</v>
      </c>
      <c r="K962" s="449">
        <v>0.35</v>
      </c>
    </row>
    <row r="963" customHeight="1" spans="1:11">
      <c r="A963" s="434"/>
      <c r="B963" s="434"/>
      <c r="C963" s="434"/>
      <c r="D963" s="434"/>
      <c r="E963" s="434"/>
      <c r="F963" s="434" t="s">
        <v>1735</v>
      </c>
      <c r="G963" s="435">
        <v>18.66</v>
      </c>
      <c r="H963" s="434" t="s">
        <v>1736</v>
      </c>
      <c r="I963" s="435">
        <v>16.96</v>
      </c>
      <c r="J963" s="434" t="s">
        <v>1737</v>
      </c>
      <c r="K963" s="435">
        <v>35.62</v>
      </c>
    </row>
    <row r="964" customHeight="1" spans="1:11">
      <c r="A964" s="434"/>
      <c r="B964" s="434"/>
      <c r="C964" s="434"/>
      <c r="D964" s="434"/>
      <c r="E964" s="434"/>
      <c r="F964" s="434" t="s">
        <v>1738</v>
      </c>
      <c r="G964" s="435">
        <v>22.63</v>
      </c>
      <c r="H964" s="434"/>
      <c r="I964" s="434" t="s">
        <v>1739</v>
      </c>
      <c r="J964" s="434"/>
      <c r="K964" s="435">
        <v>114.4</v>
      </c>
    </row>
    <row r="965" customHeight="1" spans="1:11">
      <c r="A965" s="436"/>
      <c r="B965" s="436"/>
      <c r="C965" s="436"/>
      <c r="D965" s="436"/>
      <c r="E965" s="436"/>
      <c r="F965" s="436"/>
      <c r="G965" s="436"/>
      <c r="H965" s="436" t="s">
        <v>1740</v>
      </c>
      <c r="I965" s="447" t="s">
        <v>2135</v>
      </c>
      <c r="J965" s="436" t="s">
        <v>1742</v>
      </c>
      <c r="K965" s="448">
        <v>3159.72</v>
      </c>
    </row>
    <row r="966" customHeight="1" spans="1:11">
      <c r="A966" s="437"/>
      <c r="B966" s="437"/>
      <c r="C966" s="437"/>
      <c r="D966" s="437"/>
      <c r="E966" s="437"/>
      <c r="F966" s="437"/>
      <c r="G966" s="437"/>
      <c r="H966" s="437"/>
      <c r="I966" s="437"/>
      <c r="J966" s="437"/>
      <c r="K966" s="437"/>
    </row>
    <row r="967" customHeight="1" spans="1:11">
      <c r="A967" s="423" t="s">
        <v>326</v>
      </c>
      <c r="B967" s="424" t="s">
        <v>1714</v>
      </c>
      <c r="C967" s="423" t="s">
        <v>1715</v>
      </c>
      <c r="D967" s="423" t="s">
        <v>1716</v>
      </c>
      <c r="E967" s="423" t="s">
        <v>1717</v>
      </c>
      <c r="F967" s="423"/>
      <c r="G967" s="425" t="s">
        <v>1718</v>
      </c>
      <c r="H967" s="424" t="s">
        <v>1719</v>
      </c>
      <c r="I967" s="424" t="s">
        <v>1720</v>
      </c>
      <c r="J967" s="424" t="s">
        <v>1721</v>
      </c>
      <c r="K967" s="424" t="s">
        <v>1722</v>
      </c>
    </row>
    <row r="968" customHeight="1" spans="1:11">
      <c r="A968" s="426" t="s">
        <v>1723</v>
      </c>
      <c r="B968" s="427" t="s">
        <v>327</v>
      </c>
      <c r="C968" s="426" t="s">
        <v>71</v>
      </c>
      <c r="D968" s="426" t="s">
        <v>328</v>
      </c>
      <c r="E968" s="426" t="s">
        <v>1677</v>
      </c>
      <c r="F968" s="426"/>
      <c r="G968" s="428" t="s">
        <v>73</v>
      </c>
      <c r="H968" s="429">
        <v>1</v>
      </c>
      <c r="I968" s="445"/>
      <c r="J968" s="445">
        <v>69.96</v>
      </c>
      <c r="K968" s="445">
        <v>69.96</v>
      </c>
    </row>
    <row r="969" customHeight="1" spans="1:11">
      <c r="A969" s="430" t="s">
        <v>1724</v>
      </c>
      <c r="B969" s="431" t="s">
        <v>2126</v>
      </c>
      <c r="C969" s="430" t="s">
        <v>71</v>
      </c>
      <c r="D969" s="430" t="s">
        <v>2127</v>
      </c>
      <c r="E969" s="430" t="s">
        <v>2095</v>
      </c>
      <c r="F969" s="430"/>
      <c r="G969" s="432" t="s">
        <v>129</v>
      </c>
      <c r="H969" s="433">
        <v>0.0077</v>
      </c>
      <c r="I969" s="433">
        <v>0</v>
      </c>
      <c r="J969" s="446">
        <v>639.63</v>
      </c>
      <c r="K969" s="446">
        <v>4.92</v>
      </c>
    </row>
    <row r="970" customHeight="1" spans="1:11">
      <c r="A970" s="430" t="s">
        <v>1724</v>
      </c>
      <c r="B970" s="431" t="s">
        <v>1745</v>
      </c>
      <c r="C970" s="430" t="s">
        <v>71</v>
      </c>
      <c r="D970" s="430" t="s">
        <v>1746</v>
      </c>
      <c r="E970" s="430" t="s">
        <v>1708</v>
      </c>
      <c r="F970" s="430"/>
      <c r="G970" s="432" t="s">
        <v>82</v>
      </c>
      <c r="H970" s="433">
        <v>0.385</v>
      </c>
      <c r="I970" s="433">
        <v>0</v>
      </c>
      <c r="J970" s="446">
        <v>29.15</v>
      </c>
      <c r="K970" s="446">
        <v>11.22</v>
      </c>
    </row>
    <row r="971" customHeight="1" spans="1:11">
      <c r="A971" s="430" t="s">
        <v>1724</v>
      </c>
      <c r="B971" s="431" t="s">
        <v>1936</v>
      </c>
      <c r="C971" s="430" t="s">
        <v>71</v>
      </c>
      <c r="D971" s="430" t="s">
        <v>1937</v>
      </c>
      <c r="E971" s="430" t="s">
        <v>1708</v>
      </c>
      <c r="F971" s="430"/>
      <c r="G971" s="432" t="s">
        <v>82</v>
      </c>
      <c r="H971" s="433">
        <v>0.77</v>
      </c>
      <c r="I971" s="433">
        <v>0</v>
      </c>
      <c r="J971" s="446">
        <v>36.96</v>
      </c>
      <c r="K971" s="446">
        <v>28.45</v>
      </c>
    </row>
    <row r="972" customHeight="1" spans="1:11">
      <c r="A972" s="438" t="s">
        <v>1750</v>
      </c>
      <c r="B972" s="439" t="s">
        <v>2136</v>
      </c>
      <c r="C972" s="438" t="s">
        <v>71</v>
      </c>
      <c r="D972" s="438" t="s">
        <v>2137</v>
      </c>
      <c r="E972" s="438" t="s">
        <v>1631</v>
      </c>
      <c r="F972" s="438"/>
      <c r="G972" s="440" t="s">
        <v>105</v>
      </c>
      <c r="H972" s="441">
        <v>18.87</v>
      </c>
      <c r="I972" s="441">
        <v>0</v>
      </c>
      <c r="J972" s="449">
        <v>1.28</v>
      </c>
      <c r="K972" s="449">
        <v>24.15</v>
      </c>
    </row>
    <row r="973" customHeight="1" spans="1:11">
      <c r="A973" s="438" t="s">
        <v>1750</v>
      </c>
      <c r="B973" s="439" t="s">
        <v>2132</v>
      </c>
      <c r="C973" s="438" t="s">
        <v>71</v>
      </c>
      <c r="D973" s="438" t="s">
        <v>2133</v>
      </c>
      <c r="E973" s="438" t="s">
        <v>1631</v>
      </c>
      <c r="F973" s="438"/>
      <c r="G973" s="440" t="s">
        <v>2134</v>
      </c>
      <c r="H973" s="441">
        <v>0.005</v>
      </c>
      <c r="I973" s="441">
        <v>0</v>
      </c>
      <c r="J973" s="449">
        <v>70.87</v>
      </c>
      <c r="K973" s="449">
        <v>0.35</v>
      </c>
    </row>
    <row r="974" customHeight="1" spans="1:11">
      <c r="A974" s="438" t="s">
        <v>1750</v>
      </c>
      <c r="B974" s="439" t="s">
        <v>2130</v>
      </c>
      <c r="C974" s="438" t="s">
        <v>71</v>
      </c>
      <c r="D974" s="438" t="s">
        <v>2131</v>
      </c>
      <c r="E974" s="438" t="s">
        <v>1631</v>
      </c>
      <c r="F974" s="438"/>
      <c r="G974" s="440" t="s">
        <v>78</v>
      </c>
      <c r="H974" s="441">
        <v>0.42</v>
      </c>
      <c r="I974" s="441">
        <v>0</v>
      </c>
      <c r="J974" s="449">
        <v>2.08</v>
      </c>
      <c r="K974" s="449">
        <v>0.87</v>
      </c>
    </row>
    <row r="975" customHeight="1" spans="1:11">
      <c r="A975" s="434"/>
      <c r="B975" s="434"/>
      <c r="C975" s="434"/>
      <c r="D975" s="434"/>
      <c r="E975" s="434"/>
      <c r="F975" s="434" t="s">
        <v>1735</v>
      </c>
      <c r="G975" s="435">
        <v>15.16</v>
      </c>
      <c r="H975" s="434" t="s">
        <v>1736</v>
      </c>
      <c r="I975" s="435">
        <v>13.77</v>
      </c>
      <c r="J975" s="434" t="s">
        <v>1737</v>
      </c>
      <c r="K975" s="435">
        <v>28.93</v>
      </c>
    </row>
    <row r="976" customHeight="1" spans="1:11">
      <c r="A976" s="434"/>
      <c r="B976" s="434"/>
      <c r="C976" s="434"/>
      <c r="D976" s="434"/>
      <c r="E976" s="434"/>
      <c r="F976" s="434" t="s">
        <v>1738</v>
      </c>
      <c r="G976" s="435">
        <v>17.25</v>
      </c>
      <c r="H976" s="434"/>
      <c r="I976" s="434" t="s">
        <v>1739</v>
      </c>
      <c r="J976" s="434"/>
      <c r="K976" s="435">
        <v>87.21</v>
      </c>
    </row>
    <row r="977" customHeight="1" spans="1:11">
      <c r="A977" s="436"/>
      <c r="B977" s="436"/>
      <c r="C977" s="436"/>
      <c r="D977" s="436"/>
      <c r="E977" s="436"/>
      <c r="F977" s="436"/>
      <c r="G977" s="436"/>
      <c r="H977" s="436" t="s">
        <v>1740</v>
      </c>
      <c r="I977" s="447" t="s">
        <v>2138</v>
      </c>
      <c r="J977" s="436" t="s">
        <v>1742</v>
      </c>
      <c r="K977" s="448">
        <v>5809.93</v>
      </c>
    </row>
    <row r="978" customHeight="1" spans="1:11">
      <c r="A978" s="437"/>
      <c r="B978" s="437"/>
      <c r="C978" s="437"/>
      <c r="D978" s="437"/>
      <c r="E978" s="437"/>
      <c r="F978" s="437"/>
      <c r="G978" s="437"/>
      <c r="H978" s="437"/>
      <c r="I978" s="437"/>
      <c r="J978" s="437"/>
      <c r="K978" s="437"/>
    </row>
    <row r="979" customHeight="1" spans="1:11">
      <c r="A979" s="423" t="s">
        <v>329</v>
      </c>
      <c r="B979" s="424" t="s">
        <v>1714</v>
      </c>
      <c r="C979" s="423" t="s">
        <v>1715</v>
      </c>
      <c r="D979" s="423" t="s">
        <v>1716</v>
      </c>
      <c r="E979" s="423" t="s">
        <v>1717</v>
      </c>
      <c r="F979" s="423"/>
      <c r="G979" s="425" t="s">
        <v>1718</v>
      </c>
      <c r="H979" s="424" t="s">
        <v>1719</v>
      </c>
      <c r="I979" s="424" t="s">
        <v>1720</v>
      </c>
      <c r="J979" s="424" t="s">
        <v>1721</v>
      </c>
      <c r="K979" s="424" t="s">
        <v>1722</v>
      </c>
    </row>
    <row r="980" customHeight="1" spans="1:11">
      <c r="A980" s="426" t="s">
        <v>1723</v>
      </c>
      <c r="B980" s="427" t="s">
        <v>330</v>
      </c>
      <c r="C980" s="426" t="s">
        <v>76</v>
      </c>
      <c r="D980" s="426" t="s">
        <v>331</v>
      </c>
      <c r="E980" s="426">
        <v>12</v>
      </c>
      <c r="F980" s="426"/>
      <c r="G980" s="428" t="s">
        <v>73</v>
      </c>
      <c r="H980" s="429">
        <v>1</v>
      </c>
      <c r="I980" s="445"/>
      <c r="J980" s="445">
        <v>106.37</v>
      </c>
      <c r="K980" s="445">
        <v>106.37</v>
      </c>
    </row>
    <row r="981" customHeight="1" spans="1:11">
      <c r="A981" s="430" t="s">
        <v>1724</v>
      </c>
      <c r="B981" s="431" t="s">
        <v>2139</v>
      </c>
      <c r="C981" s="430" t="s">
        <v>76</v>
      </c>
      <c r="D981" s="430" t="s">
        <v>2140</v>
      </c>
      <c r="E981" s="430">
        <v>54</v>
      </c>
      <c r="F981" s="430"/>
      <c r="G981" s="432" t="s">
        <v>78</v>
      </c>
      <c r="H981" s="433">
        <v>0.05</v>
      </c>
      <c r="I981" s="433">
        <v>0</v>
      </c>
      <c r="J981" s="446">
        <v>8.61</v>
      </c>
      <c r="K981" s="446">
        <v>0.43</v>
      </c>
    </row>
    <row r="982" customHeight="1" spans="1:11">
      <c r="A982" s="430" t="s">
        <v>1724</v>
      </c>
      <c r="B982" s="431" t="s">
        <v>2141</v>
      </c>
      <c r="C982" s="430" t="s">
        <v>76</v>
      </c>
      <c r="D982" s="430" t="s">
        <v>2142</v>
      </c>
      <c r="E982" s="430">
        <v>19</v>
      </c>
      <c r="F982" s="430"/>
      <c r="G982" s="432" t="s">
        <v>82</v>
      </c>
      <c r="H982" s="433">
        <v>0.02</v>
      </c>
      <c r="I982" s="433">
        <v>0</v>
      </c>
      <c r="J982" s="446">
        <v>58.56</v>
      </c>
      <c r="K982" s="446">
        <v>1.17</v>
      </c>
    </row>
    <row r="983" customHeight="1" spans="1:11">
      <c r="A983" s="430" t="s">
        <v>1724</v>
      </c>
      <c r="B983" s="431" t="s">
        <v>2143</v>
      </c>
      <c r="C983" s="430" t="s">
        <v>76</v>
      </c>
      <c r="D983" s="430" t="s">
        <v>2144</v>
      </c>
      <c r="E983" s="430">
        <v>7</v>
      </c>
      <c r="F983" s="430"/>
      <c r="G983" s="432" t="s">
        <v>129</v>
      </c>
      <c r="H983" s="433">
        <v>0.025</v>
      </c>
      <c r="I983" s="433">
        <v>0</v>
      </c>
      <c r="J983" s="446">
        <v>468.89</v>
      </c>
      <c r="K983" s="446">
        <v>11.72</v>
      </c>
    </row>
    <row r="984" customHeight="1" spans="1:11">
      <c r="A984" s="430" t="s">
        <v>1724</v>
      </c>
      <c r="B984" s="431" t="s">
        <v>2145</v>
      </c>
      <c r="C984" s="430" t="s">
        <v>76</v>
      </c>
      <c r="D984" s="430" t="s">
        <v>2146</v>
      </c>
      <c r="E984" s="430">
        <v>19</v>
      </c>
      <c r="F984" s="430"/>
      <c r="G984" s="432" t="s">
        <v>82</v>
      </c>
      <c r="H984" s="433">
        <v>0.008</v>
      </c>
      <c r="I984" s="433">
        <v>0</v>
      </c>
      <c r="J984" s="446">
        <v>38.94</v>
      </c>
      <c r="K984" s="446">
        <v>0.31</v>
      </c>
    </row>
    <row r="985" customHeight="1" spans="1:11">
      <c r="A985" s="438" t="s">
        <v>1750</v>
      </c>
      <c r="B985" s="439" t="s">
        <v>2147</v>
      </c>
      <c r="C985" s="438" t="s">
        <v>76</v>
      </c>
      <c r="D985" s="438" t="s">
        <v>2148</v>
      </c>
      <c r="E985" s="438" t="s">
        <v>1631</v>
      </c>
      <c r="F985" s="438"/>
      <c r="G985" s="440" t="s">
        <v>105</v>
      </c>
      <c r="H985" s="441">
        <v>18</v>
      </c>
      <c r="I985" s="441">
        <v>0</v>
      </c>
      <c r="J985" s="449">
        <v>2.25</v>
      </c>
      <c r="K985" s="449">
        <v>40.5</v>
      </c>
    </row>
    <row r="986" customHeight="1" spans="1:11">
      <c r="A986" s="438" t="s">
        <v>1750</v>
      </c>
      <c r="B986" s="439" t="s">
        <v>2149</v>
      </c>
      <c r="C986" s="438" t="s">
        <v>76</v>
      </c>
      <c r="D986" s="438" t="s">
        <v>2150</v>
      </c>
      <c r="E986" s="438" t="s">
        <v>1764</v>
      </c>
      <c r="F986" s="438"/>
      <c r="G986" s="440" t="s">
        <v>82</v>
      </c>
      <c r="H986" s="441">
        <v>0.94</v>
      </c>
      <c r="I986" s="441">
        <v>3</v>
      </c>
      <c r="J986" s="449">
        <v>26.52</v>
      </c>
      <c r="K986" s="449">
        <v>25.67</v>
      </c>
    </row>
    <row r="987" customHeight="1" spans="1:11">
      <c r="A987" s="438" t="s">
        <v>1750</v>
      </c>
      <c r="B987" s="439" t="s">
        <v>1769</v>
      </c>
      <c r="C987" s="438" t="s">
        <v>76</v>
      </c>
      <c r="D987" s="438" t="s">
        <v>1770</v>
      </c>
      <c r="E987" s="438" t="s">
        <v>1631</v>
      </c>
      <c r="F987" s="438"/>
      <c r="G987" s="440" t="s">
        <v>158</v>
      </c>
      <c r="H987" s="441">
        <v>0.01</v>
      </c>
      <c r="I987" s="441">
        <v>0</v>
      </c>
      <c r="J987" s="449">
        <v>15.35</v>
      </c>
      <c r="K987" s="449">
        <v>0.15</v>
      </c>
    </row>
    <row r="988" customHeight="1" spans="1:11">
      <c r="A988" s="438" t="s">
        <v>1750</v>
      </c>
      <c r="B988" s="439" t="s">
        <v>1767</v>
      </c>
      <c r="C988" s="438" t="s">
        <v>76</v>
      </c>
      <c r="D988" s="438" t="s">
        <v>1768</v>
      </c>
      <c r="E988" s="438" t="s">
        <v>1764</v>
      </c>
      <c r="F988" s="438"/>
      <c r="G988" s="440" t="s">
        <v>82</v>
      </c>
      <c r="H988" s="441">
        <v>1.3</v>
      </c>
      <c r="I988" s="441">
        <v>3</v>
      </c>
      <c r="J988" s="449">
        <v>19.16</v>
      </c>
      <c r="K988" s="449">
        <v>25.65</v>
      </c>
    </row>
    <row r="989" customHeight="1" spans="1:11">
      <c r="A989" s="438" t="s">
        <v>1750</v>
      </c>
      <c r="B989" s="439" t="s">
        <v>2151</v>
      </c>
      <c r="C989" s="438" t="s">
        <v>76</v>
      </c>
      <c r="D989" s="438" t="s">
        <v>2152</v>
      </c>
      <c r="E989" s="438" t="s">
        <v>1631</v>
      </c>
      <c r="F989" s="438"/>
      <c r="G989" s="440" t="s">
        <v>158</v>
      </c>
      <c r="H989" s="441">
        <v>0.1</v>
      </c>
      <c r="I989" s="441">
        <v>0</v>
      </c>
      <c r="J989" s="449">
        <v>7.72</v>
      </c>
      <c r="K989" s="449">
        <v>0.77</v>
      </c>
    </row>
    <row r="990" customHeight="1" spans="1:11">
      <c r="A990" s="434"/>
      <c r="B990" s="434"/>
      <c r="C990" s="434"/>
      <c r="D990" s="434"/>
      <c r="E990" s="434"/>
      <c r="F990" s="434" t="s">
        <v>1735</v>
      </c>
      <c r="G990" s="435">
        <v>28.07</v>
      </c>
      <c r="H990" s="434" t="s">
        <v>1736</v>
      </c>
      <c r="I990" s="435">
        <v>25.51</v>
      </c>
      <c r="J990" s="434" t="s">
        <v>1737</v>
      </c>
      <c r="K990" s="435">
        <v>53.58</v>
      </c>
    </row>
    <row r="991" customHeight="1" spans="1:11">
      <c r="A991" s="434"/>
      <c r="B991" s="434"/>
      <c r="C991" s="434"/>
      <c r="D991" s="434"/>
      <c r="E991" s="434"/>
      <c r="F991" s="434" t="s">
        <v>1738</v>
      </c>
      <c r="G991" s="435">
        <v>26.23</v>
      </c>
      <c r="H991" s="434"/>
      <c r="I991" s="434" t="s">
        <v>1739</v>
      </c>
      <c r="J991" s="434"/>
      <c r="K991" s="435">
        <v>132.6</v>
      </c>
    </row>
    <row r="992" customHeight="1" spans="1:11">
      <c r="A992" s="436"/>
      <c r="B992" s="436"/>
      <c r="C992" s="436"/>
      <c r="D992" s="436"/>
      <c r="E992" s="436"/>
      <c r="F992" s="436"/>
      <c r="G992" s="436"/>
      <c r="H992" s="436" t="s">
        <v>1740</v>
      </c>
      <c r="I992" s="447" t="s">
        <v>2153</v>
      </c>
      <c r="J992" s="436" t="s">
        <v>1742</v>
      </c>
      <c r="K992" s="448">
        <v>5211.18</v>
      </c>
    </row>
    <row r="993" customHeight="1" spans="1:11">
      <c r="A993" s="437"/>
      <c r="B993" s="437"/>
      <c r="C993" s="437"/>
      <c r="D993" s="437"/>
      <c r="E993" s="437"/>
      <c r="F993" s="437"/>
      <c r="G993" s="437"/>
      <c r="H993" s="437"/>
      <c r="I993" s="437"/>
      <c r="J993" s="437"/>
      <c r="K993" s="437"/>
    </row>
    <row r="994" customHeight="1" spans="1:11">
      <c r="A994" s="423" t="s">
        <v>332</v>
      </c>
      <c r="B994" s="424" t="s">
        <v>1714</v>
      </c>
      <c r="C994" s="423" t="s">
        <v>1715</v>
      </c>
      <c r="D994" s="423" t="s">
        <v>1716</v>
      </c>
      <c r="E994" s="423" t="s">
        <v>1717</v>
      </c>
      <c r="F994" s="423"/>
      <c r="G994" s="425" t="s">
        <v>1718</v>
      </c>
      <c r="H994" s="424" t="s">
        <v>1719</v>
      </c>
      <c r="I994" s="424" t="s">
        <v>1720</v>
      </c>
      <c r="J994" s="424" t="s">
        <v>1721</v>
      </c>
      <c r="K994" s="424" t="s">
        <v>1722</v>
      </c>
    </row>
    <row r="995" customHeight="1" spans="1:11">
      <c r="A995" s="426" t="s">
        <v>1723</v>
      </c>
      <c r="B995" s="427" t="s">
        <v>333</v>
      </c>
      <c r="C995" s="426" t="s">
        <v>71</v>
      </c>
      <c r="D995" s="426" t="s">
        <v>334</v>
      </c>
      <c r="E995" s="426" t="s">
        <v>1620</v>
      </c>
      <c r="F995" s="426"/>
      <c r="G995" s="428" t="s">
        <v>73</v>
      </c>
      <c r="H995" s="429">
        <v>1</v>
      </c>
      <c r="I995" s="445"/>
      <c r="J995" s="445">
        <v>231.55</v>
      </c>
      <c r="K995" s="445">
        <v>231.55</v>
      </c>
    </row>
    <row r="996" customHeight="1" spans="1:11">
      <c r="A996" s="430" t="s">
        <v>1724</v>
      </c>
      <c r="B996" s="431" t="s">
        <v>2154</v>
      </c>
      <c r="C996" s="430" t="s">
        <v>71</v>
      </c>
      <c r="D996" s="430" t="s">
        <v>2155</v>
      </c>
      <c r="E996" s="430" t="s">
        <v>2095</v>
      </c>
      <c r="F996" s="430"/>
      <c r="G996" s="432" t="s">
        <v>129</v>
      </c>
      <c r="H996" s="433">
        <v>0.01</v>
      </c>
      <c r="I996" s="433">
        <v>0</v>
      </c>
      <c r="J996" s="446">
        <v>513.14</v>
      </c>
      <c r="K996" s="446">
        <v>5.13</v>
      </c>
    </row>
    <row r="997" customHeight="1" spans="1:11">
      <c r="A997" s="430" t="s">
        <v>1724</v>
      </c>
      <c r="B997" s="431" t="s">
        <v>1745</v>
      </c>
      <c r="C997" s="430" t="s">
        <v>71</v>
      </c>
      <c r="D997" s="430" t="s">
        <v>1746</v>
      </c>
      <c r="E997" s="430" t="s">
        <v>1708</v>
      </c>
      <c r="F997" s="430"/>
      <c r="G997" s="432" t="s">
        <v>82</v>
      </c>
      <c r="H997" s="433">
        <v>1.028</v>
      </c>
      <c r="I997" s="433">
        <v>0</v>
      </c>
      <c r="J997" s="446">
        <v>29.15</v>
      </c>
      <c r="K997" s="446">
        <v>29.96</v>
      </c>
    </row>
    <row r="998" customHeight="1" spans="1:11">
      <c r="A998" s="430" t="s">
        <v>1724</v>
      </c>
      <c r="B998" s="431" t="s">
        <v>1936</v>
      </c>
      <c r="C998" s="430" t="s">
        <v>71</v>
      </c>
      <c r="D998" s="430" t="s">
        <v>1937</v>
      </c>
      <c r="E998" s="430" t="s">
        <v>1708</v>
      </c>
      <c r="F998" s="430"/>
      <c r="G998" s="432" t="s">
        <v>82</v>
      </c>
      <c r="H998" s="433">
        <v>2.055</v>
      </c>
      <c r="I998" s="433">
        <v>0</v>
      </c>
      <c r="J998" s="446">
        <v>36.96</v>
      </c>
      <c r="K998" s="446">
        <v>75.95</v>
      </c>
    </row>
    <row r="999" customHeight="1" spans="1:11">
      <c r="A999" s="438" t="s">
        <v>1750</v>
      </c>
      <c r="B999" s="439" t="s">
        <v>2156</v>
      </c>
      <c r="C999" s="438" t="s">
        <v>71</v>
      </c>
      <c r="D999" s="438" t="s">
        <v>2157</v>
      </c>
      <c r="E999" s="438" t="s">
        <v>1631</v>
      </c>
      <c r="F999" s="438"/>
      <c r="G999" s="440" t="s">
        <v>105</v>
      </c>
      <c r="H999" s="441">
        <v>3.95</v>
      </c>
      <c r="I999" s="441">
        <v>0</v>
      </c>
      <c r="J999" s="449">
        <v>30.51</v>
      </c>
      <c r="K999" s="449">
        <v>120.51</v>
      </c>
    </row>
    <row r="1000" customHeight="1" spans="1:11">
      <c r="A1000" s="434"/>
      <c r="B1000" s="434"/>
      <c r="C1000" s="434"/>
      <c r="D1000" s="434"/>
      <c r="E1000" s="434"/>
      <c r="F1000" s="434" t="s">
        <v>1735</v>
      </c>
      <c r="G1000" s="435">
        <v>39.73</v>
      </c>
      <c r="H1000" s="434" t="s">
        <v>1736</v>
      </c>
      <c r="I1000" s="435">
        <v>36.09</v>
      </c>
      <c r="J1000" s="434" t="s">
        <v>1737</v>
      </c>
      <c r="K1000" s="435">
        <v>75.82</v>
      </c>
    </row>
    <row r="1001" customHeight="1" spans="1:11">
      <c r="A1001" s="434"/>
      <c r="B1001" s="434"/>
      <c r="C1001" s="434"/>
      <c r="D1001" s="434"/>
      <c r="E1001" s="434"/>
      <c r="F1001" s="434" t="s">
        <v>1738</v>
      </c>
      <c r="G1001" s="435">
        <v>57.1</v>
      </c>
      <c r="H1001" s="434"/>
      <c r="I1001" s="434" t="s">
        <v>1739</v>
      </c>
      <c r="J1001" s="434"/>
      <c r="K1001" s="435">
        <v>288.65</v>
      </c>
    </row>
    <row r="1002" customHeight="1" spans="1:11">
      <c r="A1002" s="436"/>
      <c r="B1002" s="436"/>
      <c r="C1002" s="436"/>
      <c r="D1002" s="436"/>
      <c r="E1002" s="436"/>
      <c r="F1002" s="436"/>
      <c r="G1002" s="436"/>
      <c r="H1002" s="436" t="s">
        <v>1740</v>
      </c>
      <c r="I1002" s="447" t="s">
        <v>2158</v>
      </c>
      <c r="J1002" s="436" t="s">
        <v>1742</v>
      </c>
      <c r="K1002" s="448">
        <v>206006.61</v>
      </c>
    </row>
    <row r="1003" customHeight="1" spans="1:11">
      <c r="A1003" s="437"/>
      <c r="B1003" s="437"/>
      <c r="C1003" s="437"/>
      <c r="D1003" s="437"/>
      <c r="E1003" s="437"/>
      <c r="F1003" s="437"/>
      <c r="G1003" s="437"/>
      <c r="H1003" s="437"/>
      <c r="I1003" s="437"/>
      <c r="J1003" s="437"/>
      <c r="K1003" s="437"/>
    </row>
    <row r="1004" customHeight="1" spans="1:11">
      <c r="A1004" s="423" t="s">
        <v>335</v>
      </c>
      <c r="B1004" s="424" t="s">
        <v>1714</v>
      </c>
      <c r="C1004" s="423" t="s">
        <v>1715</v>
      </c>
      <c r="D1004" s="423" t="s">
        <v>1716</v>
      </c>
      <c r="E1004" s="423" t="s">
        <v>1717</v>
      </c>
      <c r="F1004" s="423"/>
      <c r="G1004" s="425" t="s">
        <v>1718</v>
      </c>
      <c r="H1004" s="424" t="s">
        <v>1719</v>
      </c>
      <c r="I1004" s="424" t="s">
        <v>1720</v>
      </c>
      <c r="J1004" s="424" t="s">
        <v>1721</v>
      </c>
      <c r="K1004" s="424" t="s">
        <v>1722</v>
      </c>
    </row>
    <row r="1005" customHeight="1" spans="1:11">
      <c r="A1005" s="426" t="s">
        <v>1723</v>
      </c>
      <c r="B1005" s="427" t="s">
        <v>336</v>
      </c>
      <c r="C1005" s="426" t="s">
        <v>65</v>
      </c>
      <c r="D1005" s="426" t="s">
        <v>337</v>
      </c>
      <c r="E1005" s="426" t="s">
        <v>62</v>
      </c>
      <c r="F1005" s="426"/>
      <c r="G1005" s="428" t="s">
        <v>67</v>
      </c>
      <c r="H1005" s="429">
        <v>1</v>
      </c>
      <c r="I1005" s="445"/>
      <c r="J1005" s="445">
        <v>171.3</v>
      </c>
      <c r="K1005" s="445">
        <v>171.3</v>
      </c>
    </row>
    <row r="1006" customHeight="1" spans="1:11">
      <c r="A1006" s="430" t="s">
        <v>1724</v>
      </c>
      <c r="B1006" s="431" t="s">
        <v>2159</v>
      </c>
      <c r="C1006" s="430" t="s">
        <v>71</v>
      </c>
      <c r="D1006" s="430" t="s">
        <v>2160</v>
      </c>
      <c r="E1006" s="430" t="s">
        <v>1708</v>
      </c>
      <c r="F1006" s="430"/>
      <c r="G1006" s="432" t="s">
        <v>82</v>
      </c>
      <c r="H1006" s="433">
        <v>1.7</v>
      </c>
      <c r="I1006" s="433">
        <v>0</v>
      </c>
      <c r="J1006" s="446">
        <v>39.71</v>
      </c>
      <c r="K1006" s="446">
        <v>67.5</v>
      </c>
    </row>
    <row r="1007" customHeight="1" spans="1:11">
      <c r="A1007" s="430" t="s">
        <v>1724</v>
      </c>
      <c r="B1007" s="431" t="s">
        <v>1800</v>
      </c>
      <c r="C1007" s="430" t="s">
        <v>71</v>
      </c>
      <c r="D1007" s="430" t="s">
        <v>1801</v>
      </c>
      <c r="E1007" s="430" t="s">
        <v>1708</v>
      </c>
      <c r="F1007" s="430"/>
      <c r="G1007" s="432" t="s">
        <v>82</v>
      </c>
      <c r="H1007" s="433">
        <v>1.7</v>
      </c>
      <c r="I1007" s="433">
        <v>0</v>
      </c>
      <c r="J1007" s="446">
        <v>29.91</v>
      </c>
      <c r="K1007" s="446">
        <v>50.84</v>
      </c>
    </row>
    <row r="1008" customHeight="1" spans="1:11">
      <c r="A1008" s="438" t="s">
        <v>1750</v>
      </c>
      <c r="B1008" s="439" t="s">
        <v>2161</v>
      </c>
      <c r="C1008" s="438" t="s">
        <v>65</v>
      </c>
      <c r="D1008" s="438" t="s">
        <v>2162</v>
      </c>
      <c r="E1008" s="438" t="s">
        <v>1631</v>
      </c>
      <c r="F1008" s="438"/>
      <c r="G1008" s="440" t="s">
        <v>73</v>
      </c>
      <c r="H1008" s="441">
        <v>1</v>
      </c>
      <c r="I1008" s="441">
        <v>0</v>
      </c>
      <c r="J1008" s="449">
        <v>18.09</v>
      </c>
      <c r="K1008" s="449">
        <v>18.09</v>
      </c>
    </row>
    <row r="1009" customHeight="1" spans="1:11">
      <c r="A1009" s="438" t="s">
        <v>1750</v>
      </c>
      <c r="B1009" s="439" t="s">
        <v>2163</v>
      </c>
      <c r="C1009" s="438" t="s">
        <v>76</v>
      </c>
      <c r="D1009" s="438" t="s">
        <v>2164</v>
      </c>
      <c r="E1009" s="438" t="s">
        <v>1631</v>
      </c>
      <c r="F1009" s="438"/>
      <c r="G1009" s="440" t="s">
        <v>158</v>
      </c>
      <c r="H1009" s="441">
        <v>4</v>
      </c>
      <c r="I1009" s="441">
        <v>0</v>
      </c>
      <c r="J1009" s="449">
        <v>8.55</v>
      </c>
      <c r="K1009" s="449">
        <v>34.2</v>
      </c>
    </row>
    <row r="1010" customHeight="1" spans="1:11">
      <c r="A1010" s="438" t="s">
        <v>1750</v>
      </c>
      <c r="B1010" s="439" t="s">
        <v>2165</v>
      </c>
      <c r="C1010" s="438" t="s">
        <v>76</v>
      </c>
      <c r="D1010" s="438" t="s">
        <v>2166</v>
      </c>
      <c r="E1010" s="438" t="s">
        <v>1631</v>
      </c>
      <c r="F1010" s="438"/>
      <c r="G1010" s="440" t="s">
        <v>105</v>
      </c>
      <c r="H1010" s="441">
        <v>6</v>
      </c>
      <c r="I1010" s="441">
        <v>0</v>
      </c>
      <c r="J1010" s="449">
        <v>0.0919</v>
      </c>
      <c r="K1010" s="449">
        <v>0.55</v>
      </c>
    </row>
    <row r="1011" customHeight="1" spans="1:11">
      <c r="A1011" s="438" t="s">
        <v>1750</v>
      </c>
      <c r="B1011" s="439" t="s">
        <v>2167</v>
      </c>
      <c r="C1011" s="438" t="s">
        <v>76</v>
      </c>
      <c r="D1011" s="438" t="s">
        <v>2168</v>
      </c>
      <c r="E1011" s="438" t="s">
        <v>1631</v>
      </c>
      <c r="F1011" s="438"/>
      <c r="G1011" s="440" t="s">
        <v>105</v>
      </c>
      <c r="H1011" s="441">
        <v>6</v>
      </c>
      <c r="I1011" s="441">
        <v>0</v>
      </c>
      <c r="J1011" s="449">
        <v>0.0209</v>
      </c>
      <c r="K1011" s="449">
        <v>0.12</v>
      </c>
    </row>
    <row r="1012" customHeight="1" spans="1:11">
      <c r="A1012" s="434"/>
      <c r="B1012" s="434"/>
      <c r="C1012" s="434"/>
      <c r="D1012" s="434"/>
      <c r="E1012" s="434"/>
      <c r="F1012" s="434" t="s">
        <v>1735</v>
      </c>
      <c r="G1012" s="435">
        <v>44.55</v>
      </c>
      <c r="H1012" s="434" t="s">
        <v>1736</v>
      </c>
      <c r="I1012" s="435">
        <v>40.47</v>
      </c>
      <c r="J1012" s="434" t="s">
        <v>1737</v>
      </c>
      <c r="K1012" s="435">
        <v>85.02</v>
      </c>
    </row>
    <row r="1013" customHeight="1" spans="1:11">
      <c r="A1013" s="434"/>
      <c r="B1013" s="434"/>
      <c r="C1013" s="434"/>
      <c r="D1013" s="434"/>
      <c r="E1013" s="434"/>
      <c r="F1013" s="434" t="s">
        <v>1738</v>
      </c>
      <c r="G1013" s="435">
        <v>42.24</v>
      </c>
      <c r="H1013" s="434"/>
      <c r="I1013" s="434" t="s">
        <v>1739</v>
      </c>
      <c r="J1013" s="434"/>
      <c r="K1013" s="435">
        <v>213.54</v>
      </c>
    </row>
    <row r="1014" customHeight="1" spans="1:11">
      <c r="A1014" s="436"/>
      <c r="B1014" s="436"/>
      <c r="C1014" s="436"/>
      <c r="D1014" s="436"/>
      <c r="E1014" s="436"/>
      <c r="F1014" s="436"/>
      <c r="G1014" s="436"/>
      <c r="H1014" s="436" t="s">
        <v>1740</v>
      </c>
      <c r="I1014" s="447" t="s">
        <v>2169</v>
      </c>
      <c r="J1014" s="436" t="s">
        <v>1742</v>
      </c>
      <c r="K1014" s="448">
        <v>79919.48</v>
      </c>
    </row>
    <row r="1015" customHeight="1" spans="1:11">
      <c r="A1015" s="437"/>
      <c r="B1015" s="437"/>
      <c r="C1015" s="437"/>
      <c r="D1015" s="437"/>
      <c r="E1015" s="437"/>
      <c r="F1015" s="437"/>
      <c r="G1015" s="437"/>
      <c r="H1015" s="437"/>
      <c r="I1015" s="437"/>
      <c r="J1015" s="437"/>
      <c r="K1015" s="437"/>
    </row>
    <row r="1016" customHeight="1" spans="1:11">
      <c r="A1016" s="423" t="s">
        <v>338</v>
      </c>
      <c r="B1016" s="424" t="s">
        <v>1714</v>
      </c>
      <c r="C1016" s="423" t="s">
        <v>1715</v>
      </c>
      <c r="D1016" s="423" t="s">
        <v>1716</v>
      </c>
      <c r="E1016" s="423" t="s">
        <v>1717</v>
      </c>
      <c r="F1016" s="423"/>
      <c r="G1016" s="425" t="s">
        <v>1718</v>
      </c>
      <c r="H1016" s="424" t="s">
        <v>1719</v>
      </c>
      <c r="I1016" s="424" t="s">
        <v>1720</v>
      </c>
      <c r="J1016" s="424" t="s">
        <v>1721</v>
      </c>
      <c r="K1016" s="424" t="s">
        <v>1722</v>
      </c>
    </row>
    <row r="1017" customHeight="1" spans="1:11">
      <c r="A1017" s="426" t="s">
        <v>1723</v>
      </c>
      <c r="B1017" s="427" t="s">
        <v>339</v>
      </c>
      <c r="C1017" s="426" t="s">
        <v>65</v>
      </c>
      <c r="D1017" s="426" t="s">
        <v>340</v>
      </c>
      <c r="E1017" s="426" t="s">
        <v>62</v>
      </c>
      <c r="F1017" s="426"/>
      <c r="G1017" s="428" t="s">
        <v>67</v>
      </c>
      <c r="H1017" s="429">
        <v>1</v>
      </c>
      <c r="I1017" s="445"/>
      <c r="J1017" s="445">
        <v>175.05</v>
      </c>
      <c r="K1017" s="445">
        <v>175.05</v>
      </c>
    </row>
    <row r="1018" customHeight="1" spans="1:11">
      <c r="A1018" s="430" t="s">
        <v>1724</v>
      </c>
      <c r="B1018" s="431" t="s">
        <v>1800</v>
      </c>
      <c r="C1018" s="430" t="s">
        <v>71</v>
      </c>
      <c r="D1018" s="430" t="s">
        <v>1801</v>
      </c>
      <c r="E1018" s="430" t="s">
        <v>1708</v>
      </c>
      <c r="F1018" s="430"/>
      <c r="G1018" s="432" t="s">
        <v>82</v>
      </c>
      <c r="H1018" s="433">
        <v>1.7</v>
      </c>
      <c r="I1018" s="433">
        <v>0</v>
      </c>
      <c r="J1018" s="446">
        <v>29.91</v>
      </c>
      <c r="K1018" s="446">
        <v>50.84</v>
      </c>
    </row>
    <row r="1019" customHeight="1" spans="1:11">
      <c r="A1019" s="430" t="s">
        <v>1724</v>
      </c>
      <c r="B1019" s="431" t="s">
        <v>2159</v>
      </c>
      <c r="C1019" s="430" t="s">
        <v>71</v>
      </c>
      <c r="D1019" s="430" t="s">
        <v>2160</v>
      </c>
      <c r="E1019" s="430" t="s">
        <v>1708</v>
      </c>
      <c r="F1019" s="430"/>
      <c r="G1019" s="432" t="s">
        <v>82</v>
      </c>
      <c r="H1019" s="433">
        <v>1.7</v>
      </c>
      <c r="I1019" s="433">
        <v>0</v>
      </c>
      <c r="J1019" s="446">
        <v>39.71</v>
      </c>
      <c r="K1019" s="446">
        <v>67.5</v>
      </c>
    </row>
    <row r="1020" customHeight="1" spans="1:11">
      <c r="A1020" s="438" t="s">
        <v>1750</v>
      </c>
      <c r="B1020" s="439" t="s">
        <v>2165</v>
      </c>
      <c r="C1020" s="438" t="s">
        <v>76</v>
      </c>
      <c r="D1020" s="438" t="s">
        <v>2166</v>
      </c>
      <c r="E1020" s="438" t="s">
        <v>1631</v>
      </c>
      <c r="F1020" s="438"/>
      <c r="G1020" s="440" t="s">
        <v>105</v>
      </c>
      <c r="H1020" s="441">
        <v>6</v>
      </c>
      <c r="I1020" s="441">
        <v>0</v>
      </c>
      <c r="J1020" s="449">
        <v>0.0919</v>
      </c>
      <c r="K1020" s="449">
        <v>0.55</v>
      </c>
    </row>
    <row r="1021" customHeight="1" spans="1:11">
      <c r="A1021" s="438" t="s">
        <v>1750</v>
      </c>
      <c r="B1021" s="439" t="s">
        <v>2167</v>
      </c>
      <c r="C1021" s="438" t="s">
        <v>76</v>
      </c>
      <c r="D1021" s="438" t="s">
        <v>2168</v>
      </c>
      <c r="E1021" s="438" t="s">
        <v>1631</v>
      </c>
      <c r="F1021" s="438"/>
      <c r="G1021" s="440" t="s">
        <v>105</v>
      </c>
      <c r="H1021" s="441">
        <v>6</v>
      </c>
      <c r="I1021" s="441">
        <v>0</v>
      </c>
      <c r="J1021" s="449">
        <v>0.0209</v>
      </c>
      <c r="K1021" s="449">
        <v>0.12</v>
      </c>
    </row>
    <row r="1022" customHeight="1" spans="1:11">
      <c r="A1022" s="438" t="s">
        <v>1750</v>
      </c>
      <c r="B1022" s="439" t="s">
        <v>2170</v>
      </c>
      <c r="C1022" s="438" t="s">
        <v>99</v>
      </c>
      <c r="D1022" s="438" t="s">
        <v>2171</v>
      </c>
      <c r="E1022" s="438" t="s">
        <v>1631</v>
      </c>
      <c r="F1022" s="438"/>
      <c r="G1022" s="440" t="s">
        <v>73</v>
      </c>
      <c r="H1022" s="441">
        <v>1</v>
      </c>
      <c r="I1022" s="441">
        <v>0</v>
      </c>
      <c r="J1022" s="449">
        <v>21.84</v>
      </c>
      <c r="K1022" s="449">
        <v>21.84</v>
      </c>
    </row>
    <row r="1023" customHeight="1" spans="1:11">
      <c r="A1023" s="438" t="s">
        <v>1750</v>
      </c>
      <c r="B1023" s="439" t="s">
        <v>2163</v>
      </c>
      <c r="C1023" s="438" t="s">
        <v>76</v>
      </c>
      <c r="D1023" s="438" t="s">
        <v>2164</v>
      </c>
      <c r="E1023" s="438" t="s">
        <v>1631</v>
      </c>
      <c r="F1023" s="438"/>
      <c r="G1023" s="440" t="s">
        <v>158</v>
      </c>
      <c r="H1023" s="441">
        <v>4</v>
      </c>
      <c r="I1023" s="441">
        <v>0</v>
      </c>
      <c r="J1023" s="449">
        <v>8.55</v>
      </c>
      <c r="K1023" s="449">
        <v>34.2</v>
      </c>
    </row>
    <row r="1024" customHeight="1" spans="1:11">
      <c r="A1024" s="434"/>
      <c r="B1024" s="434"/>
      <c r="C1024" s="434"/>
      <c r="D1024" s="434"/>
      <c r="E1024" s="434"/>
      <c r="F1024" s="434" t="s">
        <v>1735</v>
      </c>
      <c r="G1024" s="435">
        <v>44.55</v>
      </c>
      <c r="H1024" s="434" t="s">
        <v>1736</v>
      </c>
      <c r="I1024" s="435">
        <v>40.47</v>
      </c>
      <c r="J1024" s="434" t="s">
        <v>1737</v>
      </c>
      <c r="K1024" s="435">
        <v>85.02</v>
      </c>
    </row>
    <row r="1025" customHeight="1" spans="1:11">
      <c r="A1025" s="434"/>
      <c r="B1025" s="434"/>
      <c r="C1025" s="434"/>
      <c r="D1025" s="434"/>
      <c r="E1025" s="434"/>
      <c r="F1025" s="434" t="s">
        <v>1738</v>
      </c>
      <c r="G1025" s="435">
        <v>43.16</v>
      </c>
      <c r="H1025" s="434"/>
      <c r="I1025" s="434" t="s">
        <v>1739</v>
      </c>
      <c r="J1025" s="434"/>
      <c r="K1025" s="435">
        <v>218.21</v>
      </c>
    </row>
    <row r="1026" customHeight="1" spans="1:11">
      <c r="A1026" s="436"/>
      <c r="B1026" s="436"/>
      <c r="C1026" s="436"/>
      <c r="D1026" s="436"/>
      <c r="E1026" s="436"/>
      <c r="F1026" s="436"/>
      <c r="G1026" s="436"/>
      <c r="H1026" s="436" t="s">
        <v>1740</v>
      </c>
      <c r="I1026" s="447" t="s">
        <v>2172</v>
      </c>
      <c r="J1026" s="436" t="s">
        <v>1742</v>
      </c>
      <c r="K1026" s="448">
        <v>14377.85</v>
      </c>
    </row>
    <row r="1027" customHeight="1" spans="1:11">
      <c r="A1027" s="437"/>
      <c r="B1027" s="437"/>
      <c r="C1027" s="437"/>
      <c r="D1027" s="437"/>
      <c r="E1027" s="437"/>
      <c r="F1027" s="437"/>
      <c r="G1027" s="437"/>
      <c r="H1027" s="437"/>
      <c r="I1027" s="437"/>
      <c r="J1027" s="437"/>
      <c r="K1027" s="437"/>
    </row>
    <row r="1028" customHeight="1" spans="1:11">
      <c r="A1028" s="422" t="s">
        <v>341</v>
      </c>
      <c r="B1028" s="422"/>
      <c r="C1028" s="422"/>
      <c r="D1028" s="422" t="s">
        <v>342</v>
      </c>
      <c r="E1028" s="422"/>
      <c r="F1028" s="422"/>
      <c r="G1028" s="422"/>
      <c r="H1028" s="422"/>
      <c r="I1028" s="443"/>
      <c r="J1028" s="422"/>
      <c r="K1028" s="444">
        <v>87857.54</v>
      </c>
    </row>
    <row r="1029" customHeight="1" spans="1:11">
      <c r="A1029" s="423" t="s">
        <v>343</v>
      </c>
      <c r="B1029" s="424" t="s">
        <v>1714</v>
      </c>
      <c r="C1029" s="423" t="s">
        <v>1715</v>
      </c>
      <c r="D1029" s="423" t="s">
        <v>1716</v>
      </c>
      <c r="E1029" s="423" t="s">
        <v>1717</v>
      </c>
      <c r="F1029" s="423"/>
      <c r="G1029" s="425" t="s">
        <v>1718</v>
      </c>
      <c r="H1029" s="424" t="s">
        <v>1719</v>
      </c>
      <c r="I1029" s="424" t="s">
        <v>1720</v>
      </c>
      <c r="J1029" s="424" t="s">
        <v>1721</v>
      </c>
      <c r="K1029" s="424" t="s">
        <v>1722</v>
      </c>
    </row>
    <row r="1030" customHeight="1" spans="1:11">
      <c r="A1030" s="426" t="s">
        <v>1723</v>
      </c>
      <c r="B1030" s="427" t="s">
        <v>344</v>
      </c>
      <c r="C1030" s="426" t="s">
        <v>99</v>
      </c>
      <c r="D1030" s="426" t="s">
        <v>345</v>
      </c>
      <c r="E1030" s="426" t="s">
        <v>1629</v>
      </c>
      <c r="F1030" s="426"/>
      <c r="G1030" s="428" t="s">
        <v>73</v>
      </c>
      <c r="H1030" s="429">
        <v>1</v>
      </c>
      <c r="I1030" s="445"/>
      <c r="J1030" s="445">
        <v>357.78</v>
      </c>
      <c r="K1030" s="445">
        <v>357.78</v>
      </c>
    </row>
    <row r="1031" customHeight="1" spans="1:11">
      <c r="A1031" s="438" t="s">
        <v>1750</v>
      </c>
      <c r="B1031" s="439" t="s">
        <v>2173</v>
      </c>
      <c r="C1031" s="438" t="s">
        <v>99</v>
      </c>
      <c r="D1031" s="438" t="s">
        <v>2174</v>
      </c>
      <c r="E1031" s="438" t="s">
        <v>1631</v>
      </c>
      <c r="F1031" s="438"/>
      <c r="G1031" s="440" t="s">
        <v>73</v>
      </c>
      <c r="H1031" s="441">
        <v>1</v>
      </c>
      <c r="I1031" s="441">
        <v>0</v>
      </c>
      <c r="J1031" s="449">
        <v>357.78</v>
      </c>
      <c r="K1031" s="449">
        <v>357.78</v>
      </c>
    </row>
    <row r="1032" customHeight="1" spans="1:11">
      <c r="A1032" s="434"/>
      <c r="B1032" s="434"/>
      <c r="C1032" s="434"/>
      <c r="D1032" s="434"/>
      <c r="E1032" s="434"/>
      <c r="F1032" s="434" t="s">
        <v>1735</v>
      </c>
      <c r="G1032" s="435">
        <v>0</v>
      </c>
      <c r="H1032" s="434" t="s">
        <v>1736</v>
      </c>
      <c r="I1032" s="435">
        <v>0</v>
      </c>
      <c r="J1032" s="434" t="s">
        <v>1737</v>
      </c>
      <c r="K1032" s="435">
        <v>0</v>
      </c>
    </row>
    <row r="1033" customHeight="1" spans="1:11">
      <c r="A1033" s="434"/>
      <c r="B1033" s="434"/>
      <c r="C1033" s="434"/>
      <c r="D1033" s="434"/>
      <c r="E1033" s="434"/>
      <c r="F1033" s="434" t="s">
        <v>1738</v>
      </c>
      <c r="G1033" s="435">
        <v>88.22</v>
      </c>
      <c r="H1033" s="434"/>
      <c r="I1033" s="434" t="s">
        <v>1739</v>
      </c>
      <c r="J1033" s="434"/>
      <c r="K1033" s="435">
        <v>446</v>
      </c>
    </row>
    <row r="1034" customHeight="1" spans="1:11">
      <c r="A1034" s="436"/>
      <c r="B1034" s="436"/>
      <c r="C1034" s="436"/>
      <c r="D1034" s="436"/>
      <c r="E1034" s="436"/>
      <c r="F1034" s="436"/>
      <c r="G1034" s="436"/>
      <c r="H1034" s="436" t="s">
        <v>1740</v>
      </c>
      <c r="I1034" s="447" t="s">
        <v>2175</v>
      </c>
      <c r="J1034" s="436" t="s">
        <v>1742</v>
      </c>
      <c r="K1034" s="448">
        <v>87857.54</v>
      </c>
    </row>
    <row r="1035" customHeight="1" spans="1:11">
      <c r="A1035" s="437"/>
      <c r="B1035" s="437"/>
      <c r="C1035" s="437"/>
      <c r="D1035" s="437"/>
      <c r="E1035" s="437"/>
      <c r="F1035" s="437"/>
      <c r="G1035" s="437"/>
      <c r="H1035" s="437"/>
      <c r="I1035" s="437"/>
      <c r="J1035" s="437"/>
      <c r="K1035" s="437"/>
    </row>
    <row r="1036" customHeight="1" spans="1:11">
      <c r="A1036" s="422" t="s">
        <v>346</v>
      </c>
      <c r="B1036" s="422"/>
      <c r="C1036" s="422"/>
      <c r="D1036" s="422" t="s">
        <v>347</v>
      </c>
      <c r="E1036" s="422"/>
      <c r="F1036" s="422"/>
      <c r="G1036" s="422"/>
      <c r="H1036" s="422"/>
      <c r="I1036" s="443"/>
      <c r="J1036" s="422"/>
      <c r="K1036" s="444">
        <v>70040.05</v>
      </c>
    </row>
    <row r="1037" customHeight="1" spans="1:11">
      <c r="A1037" s="423" t="s">
        <v>348</v>
      </c>
      <c r="B1037" s="424" t="s">
        <v>1714</v>
      </c>
      <c r="C1037" s="423" t="s">
        <v>1715</v>
      </c>
      <c r="D1037" s="423" t="s">
        <v>1716</v>
      </c>
      <c r="E1037" s="423" t="s">
        <v>1717</v>
      </c>
      <c r="F1037" s="423"/>
      <c r="G1037" s="425" t="s">
        <v>1718</v>
      </c>
      <c r="H1037" s="424" t="s">
        <v>1719</v>
      </c>
      <c r="I1037" s="424" t="s">
        <v>1720</v>
      </c>
      <c r="J1037" s="424" t="s">
        <v>1721</v>
      </c>
      <c r="K1037" s="424" t="s">
        <v>1722</v>
      </c>
    </row>
    <row r="1038" customHeight="1" spans="1:11">
      <c r="A1038" s="426" t="s">
        <v>1723</v>
      </c>
      <c r="B1038" s="427" t="s">
        <v>349</v>
      </c>
      <c r="C1038" s="426" t="s">
        <v>71</v>
      </c>
      <c r="D1038" s="426" t="s">
        <v>350</v>
      </c>
      <c r="E1038" s="426" t="s">
        <v>1633</v>
      </c>
      <c r="F1038" s="426"/>
      <c r="G1038" s="428" t="s">
        <v>73</v>
      </c>
      <c r="H1038" s="429">
        <v>1</v>
      </c>
      <c r="I1038" s="445"/>
      <c r="J1038" s="445">
        <v>184.24</v>
      </c>
      <c r="K1038" s="445">
        <v>184.24</v>
      </c>
    </row>
    <row r="1039" customHeight="1" spans="1:11">
      <c r="A1039" s="430" t="s">
        <v>1724</v>
      </c>
      <c r="B1039" s="431" t="s">
        <v>1887</v>
      </c>
      <c r="C1039" s="430" t="s">
        <v>71</v>
      </c>
      <c r="D1039" s="430" t="s">
        <v>1888</v>
      </c>
      <c r="E1039" s="430" t="s">
        <v>1708</v>
      </c>
      <c r="F1039" s="430"/>
      <c r="G1039" s="432" t="s">
        <v>82</v>
      </c>
      <c r="H1039" s="433">
        <v>0.801</v>
      </c>
      <c r="I1039" s="433">
        <v>0</v>
      </c>
      <c r="J1039" s="446">
        <v>39.26</v>
      </c>
      <c r="K1039" s="446">
        <v>31.44</v>
      </c>
    </row>
    <row r="1040" customHeight="1" spans="1:11">
      <c r="A1040" s="430" t="s">
        <v>1724</v>
      </c>
      <c r="B1040" s="431" t="s">
        <v>1745</v>
      </c>
      <c r="C1040" s="430" t="s">
        <v>71</v>
      </c>
      <c r="D1040" s="430" t="s">
        <v>1746</v>
      </c>
      <c r="E1040" s="430" t="s">
        <v>1708</v>
      </c>
      <c r="F1040" s="430"/>
      <c r="G1040" s="432" t="s">
        <v>82</v>
      </c>
      <c r="H1040" s="433">
        <v>0.262</v>
      </c>
      <c r="I1040" s="433">
        <v>0</v>
      </c>
      <c r="J1040" s="446">
        <v>29.15</v>
      </c>
      <c r="K1040" s="446">
        <v>7.63</v>
      </c>
    </row>
    <row r="1041" customHeight="1" spans="1:11">
      <c r="A1041" s="438" t="s">
        <v>1750</v>
      </c>
      <c r="B1041" s="439" t="s">
        <v>2176</v>
      </c>
      <c r="C1041" s="438" t="s">
        <v>71</v>
      </c>
      <c r="D1041" s="438" t="s">
        <v>2177</v>
      </c>
      <c r="E1041" s="438" t="s">
        <v>1631</v>
      </c>
      <c r="F1041" s="438"/>
      <c r="G1041" s="440" t="s">
        <v>2134</v>
      </c>
      <c r="H1041" s="441">
        <v>0.0495</v>
      </c>
      <c r="I1041" s="441">
        <v>0</v>
      </c>
      <c r="J1041" s="449">
        <v>82.42</v>
      </c>
      <c r="K1041" s="449">
        <v>4.07</v>
      </c>
    </row>
    <row r="1042" customHeight="1" spans="1:11">
      <c r="A1042" s="438" t="s">
        <v>1750</v>
      </c>
      <c r="B1042" s="439" t="s">
        <v>2178</v>
      </c>
      <c r="C1042" s="438" t="s">
        <v>71</v>
      </c>
      <c r="D1042" s="438" t="s">
        <v>2179</v>
      </c>
      <c r="E1042" s="438" t="s">
        <v>1631</v>
      </c>
      <c r="F1042" s="438"/>
      <c r="G1042" s="440" t="s">
        <v>78</v>
      </c>
      <c r="H1042" s="441">
        <v>1.4815</v>
      </c>
      <c r="I1042" s="441">
        <v>0</v>
      </c>
      <c r="J1042" s="449">
        <v>2.84</v>
      </c>
      <c r="K1042" s="449">
        <v>4.2</v>
      </c>
    </row>
    <row r="1043" customHeight="1" spans="1:11">
      <c r="A1043" s="438" t="s">
        <v>1750</v>
      </c>
      <c r="B1043" s="439" t="s">
        <v>2180</v>
      </c>
      <c r="C1043" s="438" t="s">
        <v>71</v>
      </c>
      <c r="D1043" s="438" t="s">
        <v>2181</v>
      </c>
      <c r="E1043" s="438" t="s">
        <v>1631</v>
      </c>
      <c r="F1043" s="438"/>
      <c r="G1043" s="440" t="s">
        <v>158</v>
      </c>
      <c r="H1043" s="441">
        <v>1.0978</v>
      </c>
      <c r="I1043" s="441">
        <v>0</v>
      </c>
      <c r="J1043" s="449">
        <v>3.55</v>
      </c>
      <c r="K1043" s="449">
        <v>3.89</v>
      </c>
    </row>
    <row r="1044" customHeight="1" spans="1:11">
      <c r="A1044" s="438" t="s">
        <v>1750</v>
      </c>
      <c r="B1044" s="439" t="s">
        <v>2182</v>
      </c>
      <c r="C1044" s="438" t="s">
        <v>71</v>
      </c>
      <c r="D1044" s="438" t="s">
        <v>2183</v>
      </c>
      <c r="E1044" s="438" t="s">
        <v>1631</v>
      </c>
      <c r="F1044" s="438"/>
      <c r="G1044" s="440" t="s">
        <v>105</v>
      </c>
      <c r="H1044" s="441">
        <v>0.4803</v>
      </c>
      <c r="I1044" s="441">
        <v>0</v>
      </c>
      <c r="J1044" s="449">
        <v>0.32</v>
      </c>
      <c r="K1044" s="449">
        <v>0.15</v>
      </c>
    </row>
    <row r="1045" customHeight="1" spans="1:11">
      <c r="A1045" s="438" t="s">
        <v>1750</v>
      </c>
      <c r="B1045" s="439" t="s">
        <v>2184</v>
      </c>
      <c r="C1045" s="438" t="s">
        <v>71</v>
      </c>
      <c r="D1045" s="438" t="s">
        <v>2185</v>
      </c>
      <c r="E1045" s="438" t="s">
        <v>1631</v>
      </c>
      <c r="F1045" s="438"/>
      <c r="G1045" s="440" t="s">
        <v>78</v>
      </c>
      <c r="H1045" s="441">
        <v>2.5027</v>
      </c>
      <c r="I1045" s="441">
        <v>0</v>
      </c>
      <c r="J1045" s="449">
        <v>0.32</v>
      </c>
      <c r="K1045" s="449">
        <v>0.8</v>
      </c>
    </row>
    <row r="1046" customHeight="1" spans="1:11">
      <c r="A1046" s="438" t="s">
        <v>1750</v>
      </c>
      <c r="B1046" s="439" t="s">
        <v>2186</v>
      </c>
      <c r="C1046" s="438" t="s">
        <v>71</v>
      </c>
      <c r="D1046" s="438" t="s">
        <v>2187</v>
      </c>
      <c r="E1046" s="438" t="s">
        <v>1631</v>
      </c>
      <c r="F1046" s="438"/>
      <c r="G1046" s="440" t="s">
        <v>78</v>
      </c>
      <c r="H1046" s="441">
        <v>4.0011</v>
      </c>
      <c r="I1046" s="441">
        <v>0</v>
      </c>
      <c r="J1046" s="449">
        <v>6.89</v>
      </c>
      <c r="K1046" s="449">
        <v>27.56</v>
      </c>
    </row>
    <row r="1047" customHeight="1" spans="1:11">
      <c r="A1047" s="438" t="s">
        <v>1750</v>
      </c>
      <c r="B1047" s="439" t="s">
        <v>2188</v>
      </c>
      <c r="C1047" s="438" t="s">
        <v>71</v>
      </c>
      <c r="D1047" s="438" t="s">
        <v>2189</v>
      </c>
      <c r="E1047" s="438" t="s">
        <v>1631</v>
      </c>
      <c r="F1047" s="438"/>
      <c r="G1047" s="440" t="s">
        <v>78</v>
      </c>
      <c r="H1047" s="441">
        <v>1.5248</v>
      </c>
      <c r="I1047" s="441">
        <v>0</v>
      </c>
      <c r="J1047" s="449">
        <v>6.07</v>
      </c>
      <c r="K1047" s="449">
        <v>9.25</v>
      </c>
    </row>
    <row r="1048" customHeight="1" spans="1:11">
      <c r="A1048" s="438" t="s">
        <v>1750</v>
      </c>
      <c r="B1048" s="439" t="s">
        <v>2190</v>
      </c>
      <c r="C1048" s="438" t="s">
        <v>71</v>
      </c>
      <c r="D1048" s="438" t="s">
        <v>2191</v>
      </c>
      <c r="E1048" s="438" t="s">
        <v>1631</v>
      </c>
      <c r="F1048" s="438"/>
      <c r="G1048" s="440" t="s">
        <v>73</v>
      </c>
      <c r="H1048" s="441">
        <v>4.212</v>
      </c>
      <c r="I1048" s="441">
        <v>0</v>
      </c>
      <c r="J1048" s="449">
        <v>20.51</v>
      </c>
      <c r="K1048" s="449">
        <v>86.38</v>
      </c>
    </row>
    <row r="1049" customHeight="1" spans="1:11">
      <c r="A1049" s="438" t="s">
        <v>1750</v>
      </c>
      <c r="B1049" s="439" t="s">
        <v>2192</v>
      </c>
      <c r="C1049" s="438" t="s">
        <v>71</v>
      </c>
      <c r="D1049" s="438" t="s">
        <v>2193</v>
      </c>
      <c r="E1049" s="438" t="s">
        <v>1631</v>
      </c>
      <c r="F1049" s="438"/>
      <c r="G1049" s="440" t="s">
        <v>105</v>
      </c>
      <c r="H1049" s="441">
        <v>20.1868</v>
      </c>
      <c r="I1049" s="441">
        <v>0</v>
      </c>
      <c r="J1049" s="449">
        <v>0.14</v>
      </c>
      <c r="K1049" s="449">
        <v>2.82</v>
      </c>
    </row>
    <row r="1050" customHeight="1" spans="1:11">
      <c r="A1050" s="438" t="s">
        <v>1750</v>
      </c>
      <c r="B1050" s="439" t="s">
        <v>2194</v>
      </c>
      <c r="C1050" s="438" t="s">
        <v>71</v>
      </c>
      <c r="D1050" s="438" t="s">
        <v>2195</v>
      </c>
      <c r="E1050" s="438" t="s">
        <v>1631</v>
      </c>
      <c r="F1050" s="438"/>
      <c r="G1050" s="440" t="s">
        <v>105</v>
      </c>
      <c r="H1050" s="441">
        <v>20.1868</v>
      </c>
      <c r="I1050" s="441">
        <v>0</v>
      </c>
      <c r="J1050" s="449">
        <v>0.3</v>
      </c>
      <c r="K1050" s="449">
        <v>6.05</v>
      </c>
    </row>
    <row r="1051" customHeight="1" spans="1:11">
      <c r="A1051" s="434"/>
      <c r="B1051" s="434"/>
      <c r="C1051" s="434"/>
      <c r="D1051" s="434"/>
      <c r="E1051" s="434"/>
      <c r="F1051" s="434" t="s">
        <v>1735</v>
      </c>
      <c r="G1051" s="435">
        <v>15.4</v>
      </c>
      <c r="H1051" s="434" t="s">
        <v>1736</v>
      </c>
      <c r="I1051" s="435">
        <v>14</v>
      </c>
      <c r="J1051" s="434" t="s">
        <v>1737</v>
      </c>
      <c r="K1051" s="435">
        <v>29.4</v>
      </c>
    </row>
    <row r="1052" customHeight="1" spans="1:11">
      <c r="A1052" s="434"/>
      <c r="B1052" s="434"/>
      <c r="C1052" s="434"/>
      <c r="D1052" s="434"/>
      <c r="E1052" s="434"/>
      <c r="F1052" s="434" t="s">
        <v>1738</v>
      </c>
      <c r="G1052" s="435">
        <v>45.43</v>
      </c>
      <c r="H1052" s="434"/>
      <c r="I1052" s="434" t="s">
        <v>1739</v>
      </c>
      <c r="J1052" s="434"/>
      <c r="K1052" s="435">
        <v>229.67</v>
      </c>
    </row>
    <row r="1053" customHeight="1" spans="1:11">
      <c r="A1053" s="436"/>
      <c r="B1053" s="436"/>
      <c r="C1053" s="436"/>
      <c r="D1053" s="436"/>
      <c r="E1053" s="436"/>
      <c r="F1053" s="436"/>
      <c r="G1053" s="436"/>
      <c r="H1053" s="436" t="s">
        <v>1740</v>
      </c>
      <c r="I1053" s="447" t="s">
        <v>2196</v>
      </c>
      <c r="J1053" s="436" t="s">
        <v>1742</v>
      </c>
      <c r="K1053" s="448">
        <v>63756.39</v>
      </c>
    </row>
    <row r="1054" customHeight="1" spans="1:11">
      <c r="A1054" s="437"/>
      <c r="B1054" s="437"/>
      <c r="C1054" s="437"/>
      <c r="D1054" s="437"/>
      <c r="E1054" s="437"/>
      <c r="F1054" s="437"/>
      <c r="G1054" s="437"/>
      <c r="H1054" s="437"/>
      <c r="I1054" s="437"/>
      <c r="J1054" s="437"/>
      <c r="K1054" s="437"/>
    </row>
    <row r="1055" customHeight="1" spans="1:11">
      <c r="A1055" s="423" t="s">
        <v>351</v>
      </c>
      <c r="B1055" s="424" t="s">
        <v>1714</v>
      </c>
      <c r="C1055" s="423" t="s">
        <v>1715</v>
      </c>
      <c r="D1055" s="423" t="s">
        <v>1716</v>
      </c>
      <c r="E1055" s="423" t="s">
        <v>1717</v>
      </c>
      <c r="F1055" s="423"/>
      <c r="G1055" s="425" t="s">
        <v>1718</v>
      </c>
      <c r="H1055" s="424" t="s">
        <v>1719</v>
      </c>
      <c r="I1055" s="424" t="s">
        <v>1720</v>
      </c>
      <c r="J1055" s="424" t="s">
        <v>1721</v>
      </c>
      <c r="K1055" s="424" t="s">
        <v>1722</v>
      </c>
    </row>
    <row r="1056" customHeight="1" spans="1:11">
      <c r="A1056" s="426" t="s">
        <v>1723</v>
      </c>
      <c r="B1056" s="427" t="s">
        <v>352</v>
      </c>
      <c r="C1056" s="426" t="s">
        <v>71</v>
      </c>
      <c r="D1056" s="426" t="s">
        <v>353</v>
      </c>
      <c r="E1056" s="426" t="s">
        <v>1633</v>
      </c>
      <c r="F1056" s="426"/>
      <c r="G1056" s="428" t="s">
        <v>73</v>
      </c>
      <c r="H1056" s="429">
        <v>1</v>
      </c>
      <c r="I1056" s="445"/>
      <c r="J1056" s="445">
        <v>206.93</v>
      </c>
      <c r="K1056" s="445">
        <v>206.93</v>
      </c>
    </row>
    <row r="1057" customHeight="1" spans="1:11">
      <c r="A1057" s="430" t="s">
        <v>1724</v>
      </c>
      <c r="B1057" s="431" t="s">
        <v>1745</v>
      </c>
      <c r="C1057" s="430" t="s">
        <v>71</v>
      </c>
      <c r="D1057" s="430" t="s">
        <v>1746</v>
      </c>
      <c r="E1057" s="430" t="s">
        <v>1708</v>
      </c>
      <c r="F1057" s="430"/>
      <c r="G1057" s="432" t="s">
        <v>82</v>
      </c>
      <c r="H1057" s="433">
        <v>0.31</v>
      </c>
      <c r="I1057" s="433">
        <v>0</v>
      </c>
      <c r="J1057" s="446">
        <v>29.15</v>
      </c>
      <c r="K1057" s="446">
        <v>9.03</v>
      </c>
    </row>
    <row r="1058" customHeight="1" spans="1:11">
      <c r="A1058" s="430" t="s">
        <v>1724</v>
      </c>
      <c r="B1058" s="431" t="s">
        <v>1887</v>
      </c>
      <c r="C1058" s="430" t="s">
        <v>71</v>
      </c>
      <c r="D1058" s="430" t="s">
        <v>1888</v>
      </c>
      <c r="E1058" s="430" t="s">
        <v>1708</v>
      </c>
      <c r="F1058" s="430"/>
      <c r="G1058" s="432" t="s">
        <v>82</v>
      </c>
      <c r="H1058" s="433">
        <v>0.948</v>
      </c>
      <c r="I1058" s="433">
        <v>0</v>
      </c>
      <c r="J1058" s="446">
        <v>39.26</v>
      </c>
      <c r="K1058" s="446">
        <v>37.21</v>
      </c>
    </row>
    <row r="1059" customHeight="1" spans="1:11">
      <c r="A1059" s="438" t="s">
        <v>1750</v>
      </c>
      <c r="B1059" s="439" t="s">
        <v>2194</v>
      </c>
      <c r="C1059" s="438" t="s">
        <v>71</v>
      </c>
      <c r="D1059" s="438" t="s">
        <v>2195</v>
      </c>
      <c r="E1059" s="438" t="s">
        <v>1631</v>
      </c>
      <c r="F1059" s="438"/>
      <c r="G1059" s="440" t="s">
        <v>105</v>
      </c>
      <c r="H1059" s="441">
        <v>20.1868</v>
      </c>
      <c r="I1059" s="441">
        <v>0</v>
      </c>
      <c r="J1059" s="449">
        <v>0.3</v>
      </c>
      <c r="K1059" s="449">
        <v>6.05</v>
      </c>
    </row>
    <row r="1060" customHeight="1" spans="1:11">
      <c r="A1060" s="438" t="s">
        <v>1750</v>
      </c>
      <c r="B1060" s="439" t="s">
        <v>2184</v>
      </c>
      <c r="C1060" s="438" t="s">
        <v>71</v>
      </c>
      <c r="D1060" s="438" t="s">
        <v>2185</v>
      </c>
      <c r="E1060" s="438" t="s">
        <v>1631</v>
      </c>
      <c r="F1060" s="438"/>
      <c r="G1060" s="440" t="s">
        <v>78</v>
      </c>
      <c r="H1060" s="441">
        <v>2.5027</v>
      </c>
      <c r="I1060" s="441">
        <v>0</v>
      </c>
      <c r="J1060" s="449">
        <v>0.32</v>
      </c>
      <c r="K1060" s="449">
        <v>0.8</v>
      </c>
    </row>
    <row r="1061" customHeight="1" spans="1:11">
      <c r="A1061" s="438" t="s">
        <v>1750</v>
      </c>
      <c r="B1061" s="439" t="s">
        <v>2182</v>
      </c>
      <c r="C1061" s="438" t="s">
        <v>71</v>
      </c>
      <c r="D1061" s="438" t="s">
        <v>2183</v>
      </c>
      <c r="E1061" s="438" t="s">
        <v>1631</v>
      </c>
      <c r="F1061" s="438"/>
      <c r="G1061" s="440" t="s">
        <v>105</v>
      </c>
      <c r="H1061" s="441">
        <v>0.5441</v>
      </c>
      <c r="I1061" s="441">
        <v>0</v>
      </c>
      <c r="J1061" s="449">
        <v>0.32</v>
      </c>
      <c r="K1061" s="449">
        <v>0.17</v>
      </c>
    </row>
    <row r="1062" customHeight="1" spans="1:11">
      <c r="A1062" s="438" t="s">
        <v>1750</v>
      </c>
      <c r="B1062" s="439" t="s">
        <v>2190</v>
      </c>
      <c r="C1062" s="438" t="s">
        <v>71</v>
      </c>
      <c r="D1062" s="438" t="s">
        <v>2191</v>
      </c>
      <c r="E1062" s="438" t="s">
        <v>1631</v>
      </c>
      <c r="F1062" s="438"/>
      <c r="G1062" s="440" t="s">
        <v>73</v>
      </c>
      <c r="H1062" s="441">
        <v>4.212</v>
      </c>
      <c r="I1062" s="441">
        <v>0</v>
      </c>
      <c r="J1062" s="449">
        <v>20.51</v>
      </c>
      <c r="K1062" s="449">
        <v>86.38</v>
      </c>
    </row>
    <row r="1063" customHeight="1" spans="1:11">
      <c r="A1063" s="438" t="s">
        <v>1750</v>
      </c>
      <c r="B1063" s="439" t="s">
        <v>2186</v>
      </c>
      <c r="C1063" s="438" t="s">
        <v>71</v>
      </c>
      <c r="D1063" s="438" t="s">
        <v>2187</v>
      </c>
      <c r="E1063" s="438" t="s">
        <v>1631</v>
      </c>
      <c r="F1063" s="438"/>
      <c r="G1063" s="440" t="s">
        <v>78</v>
      </c>
      <c r="H1063" s="441">
        <v>5.8278</v>
      </c>
      <c r="I1063" s="441">
        <v>0</v>
      </c>
      <c r="J1063" s="449">
        <v>6.89</v>
      </c>
      <c r="K1063" s="449">
        <v>40.15</v>
      </c>
    </row>
    <row r="1064" customHeight="1" spans="1:11">
      <c r="A1064" s="438" t="s">
        <v>1750</v>
      </c>
      <c r="B1064" s="439" t="s">
        <v>2178</v>
      </c>
      <c r="C1064" s="438" t="s">
        <v>71</v>
      </c>
      <c r="D1064" s="438" t="s">
        <v>2179</v>
      </c>
      <c r="E1064" s="438" t="s">
        <v>1631</v>
      </c>
      <c r="F1064" s="438"/>
      <c r="G1064" s="440" t="s">
        <v>78</v>
      </c>
      <c r="H1064" s="441">
        <v>1.5851</v>
      </c>
      <c r="I1064" s="441">
        <v>0</v>
      </c>
      <c r="J1064" s="449">
        <v>2.84</v>
      </c>
      <c r="K1064" s="449">
        <v>4.5</v>
      </c>
    </row>
    <row r="1065" customHeight="1" spans="1:11">
      <c r="A1065" s="438" t="s">
        <v>1750</v>
      </c>
      <c r="B1065" s="439" t="s">
        <v>2188</v>
      </c>
      <c r="C1065" s="438" t="s">
        <v>71</v>
      </c>
      <c r="D1065" s="438" t="s">
        <v>2189</v>
      </c>
      <c r="E1065" s="438" t="s">
        <v>1631</v>
      </c>
      <c r="F1065" s="438"/>
      <c r="G1065" s="440" t="s">
        <v>78</v>
      </c>
      <c r="H1065" s="441">
        <v>1.8234</v>
      </c>
      <c r="I1065" s="441">
        <v>0</v>
      </c>
      <c r="J1065" s="449">
        <v>6.07</v>
      </c>
      <c r="K1065" s="449">
        <v>11.06</v>
      </c>
    </row>
    <row r="1066" customHeight="1" spans="1:11">
      <c r="A1066" s="438" t="s">
        <v>1750</v>
      </c>
      <c r="B1066" s="439" t="s">
        <v>2192</v>
      </c>
      <c r="C1066" s="438" t="s">
        <v>71</v>
      </c>
      <c r="D1066" s="438" t="s">
        <v>2193</v>
      </c>
      <c r="E1066" s="438" t="s">
        <v>1631</v>
      </c>
      <c r="F1066" s="438"/>
      <c r="G1066" s="440" t="s">
        <v>105</v>
      </c>
      <c r="H1066" s="441">
        <v>20.1868</v>
      </c>
      <c r="I1066" s="441">
        <v>0</v>
      </c>
      <c r="J1066" s="449">
        <v>0.14</v>
      </c>
      <c r="K1066" s="449">
        <v>2.82</v>
      </c>
    </row>
    <row r="1067" customHeight="1" spans="1:11">
      <c r="A1067" s="438" t="s">
        <v>1750</v>
      </c>
      <c r="B1067" s="439" t="s">
        <v>2176</v>
      </c>
      <c r="C1067" s="438" t="s">
        <v>71</v>
      </c>
      <c r="D1067" s="438" t="s">
        <v>2177</v>
      </c>
      <c r="E1067" s="438" t="s">
        <v>1631</v>
      </c>
      <c r="F1067" s="438"/>
      <c r="G1067" s="440" t="s">
        <v>2134</v>
      </c>
      <c r="H1067" s="441">
        <v>0.0592</v>
      </c>
      <c r="I1067" s="441">
        <v>0</v>
      </c>
      <c r="J1067" s="449">
        <v>82.42</v>
      </c>
      <c r="K1067" s="449">
        <v>4.87</v>
      </c>
    </row>
    <row r="1068" customHeight="1" spans="1:11">
      <c r="A1068" s="438" t="s">
        <v>1750</v>
      </c>
      <c r="B1068" s="439" t="s">
        <v>2180</v>
      </c>
      <c r="C1068" s="438" t="s">
        <v>71</v>
      </c>
      <c r="D1068" s="438" t="s">
        <v>2181</v>
      </c>
      <c r="E1068" s="438" t="s">
        <v>1631</v>
      </c>
      <c r="F1068" s="438"/>
      <c r="G1068" s="440" t="s">
        <v>158</v>
      </c>
      <c r="H1068" s="441">
        <v>1.0978</v>
      </c>
      <c r="I1068" s="441">
        <v>0</v>
      </c>
      <c r="J1068" s="449">
        <v>3.55</v>
      </c>
      <c r="K1068" s="449">
        <v>3.89</v>
      </c>
    </row>
    <row r="1069" customHeight="1" spans="1:11">
      <c r="A1069" s="434"/>
      <c r="B1069" s="434"/>
      <c r="C1069" s="434"/>
      <c r="D1069" s="434"/>
      <c r="E1069" s="434"/>
      <c r="F1069" s="434" t="s">
        <v>1735</v>
      </c>
      <c r="G1069" s="435">
        <v>18.23</v>
      </c>
      <c r="H1069" s="434" t="s">
        <v>1736</v>
      </c>
      <c r="I1069" s="435">
        <v>16.56</v>
      </c>
      <c r="J1069" s="434" t="s">
        <v>1737</v>
      </c>
      <c r="K1069" s="435">
        <v>34.79</v>
      </c>
    </row>
    <row r="1070" customHeight="1" spans="1:11">
      <c r="A1070" s="434"/>
      <c r="B1070" s="434"/>
      <c r="C1070" s="434"/>
      <c r="D1070" s="434"/>
      <c r="E1070" s="434"/>
      <c r="F1070" s="434" t="s">
        <v>1738</v>
      </c>
      <c r="G1070" s="435">
        <v>51.02</v>
      </c>
      <c r="H1070" s="434"/>
      <c r="I1070" s="434" t="s">
        <v>1739</v>
      </c>
      <c r="J1070" s="434"/>
      <c r="K1070" s="435">
        <v>257.95</v>
      </c>
    </row>
    <row r="1071" customHeight="1" spans="1:11">
      <c r="A1071" s="436"/>
      <c r="B1071" s="436"/>
      <c r="C1071" s="436"/>
      <c r="D1071" s="436"/>
      <c r="E1071" s="436"/>
      <c r="F1071" s="436"/>
      <c r="G1071" s="436"/>
      <c r="H1071" s="436" t="s">
        <v>1740</v>
      </c>
      <c r="I1071" s="447" t="s">
        <v>2197</v>
      </c>
      <c r="J1071" s="436" t="s">
        <v>1742</v>
      </c>
      <c r="K1071" s="448">
        <v>6283.66</v>
      </c>
    </row>
    <row r="1072" customHeight="1" spans="1:11">
      <c r="A1072" s="437"/>
      <c r="B1072" s="437"/>
      <c r="C1072" s="437"/>
      <c r="D1072" s="437"/>
      <c r="E1072" s="437"/>
      <c r="F1072" s="437"/>
      <c r="G1072" s="437"/>
      <c r="H1072" s="437"/>
      <c r="I1072" s="437"/>
      <c r="J1072" s="437"/>
      <c r="K1072" s="437"/>
    </row>
    <row r="1073" customHeight="1" spans="1:11">
      <c r="A1073" s="422" t="s">
        <v>354</v>
      </c>
      <c r="B1073" s="422"/>
      <c r="C1073" s="422"/>
      <c r="D1073" s="422" t="s">
        <v>355</v>
      </c>
      <c r="E1073" s="422"/>
      <c r="F1073" s="422"/>
      <c r="G1073" s="422"/>
      <c r="H1073" s="422"/>
      <c r="I1073" s="443"/>
      <c r="J1073" s="422"/>
      <c r="K1073" s="444">
        <v>246191.71</v>
      </c>
    </row>
    <row r="1074" customHeight="1" spans="1:11">
      <c r="A1074" s="423" t="s">
        <v>356</v>
      </c>
      <c r="B1074" s="424" t="s">
        <v>1714</v>
      </c>
      <c r="C1074" s="423" t="s">
        <v>1715</v>
      </c>
      <c r="D1074" s="423" t="s">
        <v>1716</v>
      </c>
      <c r="E1074" s="423" t="s">
        <v>1717</v>
      </c>
      <c r="F1074" s="423"/>
      <c r="G1074" s="425" t="s">
        <v>1718</v>
      </c>
      <c r="H1074" s="424" t="s">
        <v>1719</v>
      </c>
      <c r="I1074" s="424" t="s">
        <v>1720</v>
      </c>
      <c r="J1074" s="424" t="s">
        <v>1721</v>
      </c>
      <c r="K1074" s="424" t="s">
        <v>1722</v>
      </c>
    </row>
    <row r="1075" customHeight="1" spans="1:11">
      <c r="A1075" s="426" t="s">
        <v>1723</v>
      </c>
      <c r="B1075" s="427" t="s">
        <v>357</v>
      </c>
      <c r="C1075" s="426" t="s">
        <v>65</v>
      </c>
      <c r="D1075" s="426" t="s">
        <v>358</v>
      </c>
      <c r="E1075" s="426" t="s">
        <v>62</v>
      </c>
      <c r="F1075" s="426"/>
      <c r="G1075" s="428" t="s">
        <v>67</v>
      </c>
      <c r="H1075" s="429">
        <v>1</v>
      </c>
      <c r="I1075" s="445"/>
      <c r="J1075" s="445">
        <v>57.26</v>
      </c>
      <c r="K1075" s="445">
        <v>57.26</v>
      </c>
    </row>
    <row r="1076" customHeight="1" spans="1:11">
      <c r="A1076" s="430" t="s">
        <v>1724</v>
      </c>
      <c r="B1076" s="431" t="s">
        <v>2198</v>
      </c>
      <c r="C1076" s="430" t="s">
        <v>76</v>
      </c>
      <c r="D1076" s="430" t="s">
        <v>2199</v>
      </c>
      <c r="E1076" s="430">
        <v>21</v>
      </c>
      <c r="F1076" s="430"/>
      <c r="G1076" s="432" t="s">
        <v>105</v>
      </c>
      <c r="H1076" s="433">
        <v>4</v>
      </c>
      <c r="I1076" s="433">
        <v>0</v>
      </c>
      <c r="J1076" s="446">
        <v>12.64</v>
      </c>
      <c r="K1076" s="446">
        <v>50.56</v>
      </c>
    </row>
    <row r="1077" customHeight="1" spans="1:11">
      <c r="A1077" s="430" t="s">
        <v>1724</v>
      </c>
      <c r="B1077" s="431" t="s">
        <v>2200</v>
      </c>
      <c r="C1077" s="430" t="s">
        <v>71</v>
      </c>
      <c r="D1077" s="430" t="s">
        <v>2201</v>
      </c>
      <c r="E1077" s="430" t="s">
        <v>1708</v>
      </c>
      <c r="F1077" s="430"/>
      <c r="G1077" s="432" t="s">
        <v>82</v>
      </c>
      <c r="H1077" s="433">
        <v>0.1</v>
      </c>
      <c r="I1077" s="433">
        <v>0</v>
      </c>
      <c r="J1077" s="446">
        <v>30.13</v>
      </c>
      <c r="K1077" s="446">
        <v>3.01</v>
      </c>
    </row>
    <row r="1078" customHeight="1" spans="1:11">
      <c r="A1078" s="430" t="s">
        <v>1724</v>
      </c>
      <c r="B1078" s="431" t="s">
        <v>1936</v>
      </c>
      <c r="C1078" s="430" t="s">
        <v>71</v>
      </c>
      <c r="D1078" s="430" t="s">
        <v>1937</v>
      </c>
      <c r="E1078" s="430" t="s">
        <v>1708</v>
      </c>
      <c r="F1078" s="430"/>
      <c r="G1078" s="432" t="s">
        <v>82</v>
      </c>
      <c r="H1078" s="433">
        <v>0.1</v>
      </c>
      <c r="I1078" s="433">
        <v>0</v>
      </c>
      <c r="J1078" s="446">
        <v>36.96</v>
      </c>
      <c r="K1078" s="446">
        <v>3.69</v>
      </c>
    </row>
    <row r="1079" customHeight="1" spans="1:11">
      <c r="A1079" s="434"/>
      <c r="B1079" s="434"/>
      <c r="C1079" s="434"/>
      <c r="D1079" s="434"/>
      <c r="E1079" s="434"/>
      <c r="F1079" s="434" t="s">
        <v>1735</v>
      </c>
      <c r="G1079" s="435">
        <v>2.46</v>
      </c>
      <c r="H1079" s="434" t="s">
        <v>1736</v>
      </c>
      <c r="I1079" s="435">
        <v>2.24</v>
      </c>
      <c r="J1079" s="434" t="s">
        <v>1737</v>
      </c>
      <c r="K1079" s="435">
        <v>4.7</v>
      </c>
    </row>
    <row r="1080" customHeight="1" spans="1:11">
      <c r="A1080" s="434"/>
      <c r="B1080" s="434"/>
      <c r="C1080" s="434"/>
      <c r="D1080" s="434"/>
      <c r="E1080" s="434"/>
      <c r="F1080" s="434" t="s">
        <v>1738</v>
      </c>
      <c r="G1080" s="435">
        <v>14.12</v>
      </c>
      <c r="H1080" s="434"/>
      <c r="I1080" s="434" t="s">
        <v>1739</v>
      </c>
      <c r="J1080" s="434"/>
      <c r="K1080" s="435">
        <v>71.38</v>
      </c>
    </row>
    <row r="1081" customHeight="1" spans="1:11">
      <c r="A1081" s="436"/>
      <c r="B1081" s="436"/>
      <c r="C1081" s="436"/>
      <c r="D1081" s="436"/>
      <c r="E1081" s="436"/>
      <c r="F1081" s="436"/>
      <c r="G1081" s="436"/>
      <c r="H1081" s="436" t="s">
        <v>1740</v>
      </c>
      <c r="I1081" s="447" t="s">
        <v>2202</v>
      </c>
      <c r="J1081" s="436" t="s">
        <v>1742</v>
      </c>
      <c r="K1081" s="448">
        <v>46539.76</v>
      </c>
    </row>
    <row r="1082" customHeight="1" spans="1:11">
      <c r="A1082" s="437"/>
      <c r="B1082" s="437"/>
      <c r="C1082" s="437"/>
      <c r="D1082" s="437"/>
      <c r="E1082" s="437"/>
      <c r="F1082" s="437"/>
      <c r="G1082" s="437"/>
      <c r="H1082" s="437"/>
      <c r="I1082" s="437"/>
      <c r="J1082" s="437"/>
      <c r="K1082" s="437"/>
    </row>
    <row r="1083" customHeight="1" spans="1:11">
      <c r="A1083" s="423" t="s">
        <v>359</v>
      </c>
      <c r="B1083" s="424" t="s">
        <v>1714</v>
      </c>
      <c r="C1083" s="423" t="s">
        <v>1715</v>
      </c>
      <c r="D1083" s="423" t="s">
        <v>1716</v>
      </c>
      <c r="E1083" s="423" t="s">
        <v>1717</v>
      </c>
      <c r="F1083" s="423"/>
      <c r="G1083" s="425" t="s">
        <v>1718</v>
      </c>
      <c r="H1083" s="424" t="s">
        <v>1719</v>
      </c>
      <c r="I1083" s="424" t="s">
        <v>1720</v>
      </c>
      <c r="J1083" s="424" t="s">
        <v>1721</v>
      </c>
      <c r="K1083" s="424" t="s">
        <v>1722</v>
      </c>
    </row>
    <row r="1084" customHeight="1" spans="1:11">
      <c r="A1084" s="426" t="s">
        <v>1723</v>
      </c>
      <c r="B1084" s="427" t="s">
        <v>360</v>
      </c>
      <c r="C1084" s="426" t="s">
        <v>71</v>
      </c>
      <c r="D1084" s="426" t="s">
        <v>361</v>
      </c>
      <c r="E1084" s="426" t="s">
        <v>1622</v>
      </c>
      <c r="F1084" s="426"/>
      <c r="G1084" s="428" t="s">
        <v>78</v>
      </c>
      <c r="H1084" s="429">
        <v>1</v>
      </c>
      <c r="I1084" s="445"/>
      <c r="J1084" s="445">
        <v>87.24</v>
      </c>
      <c r="K1084" s="445">
        <v>87.24</v>
      </c>
    </row>
    <row r="1085" customHeight="1" spans="1:11">
      <c r="A1085" s="430" t="s">
        <v>1724</v>
      </c>
      <c r="B1085" s="431" t="s">
        <v>1745</v>
      </c>
      <c r="C1085" s="430" t="s">
        <v>71</v>
      </c>
      <c r="D1085" s="430" t="s">
        <v>1746</v>
      </c>
      <c r="E1085" s="430" t="s">
        <v>1708</v>
      </c>
      <c r="F1085" s="430"/>
      <c r="G1085" s="432" t="s">
        <v>82</v>
      </c>
      <c r="H1085" s="433">
        <v>0.2687</v>
      </c>
      <c r="I1085" s="433">
        <v>0</v>
      </c>
      <c r="J1085" s="446">
        <v>29.15</v>
      </c>
      <c r="K1085" s="446">
        <v>7.83</v>
      </c>
    </row>
    <row r="1086" customHeight="1" spans="1:11">
      <c r="A1086" s="430" t="s">
        <v>1724</v>
      </c>
      <c r="B1086" s="431" t="s">
        <v>1936</v>
      </c>
      <c r="C1086" s="430" t="s">
        <v>71</v>
      </c>
      <c r="D1086" s="430" t="s">
        <v>1937</v>
      </c>
      <c r="E1086" s="430" t="s">
        <v>1708</v>
      </c>
      <c r="F1086" s="430"/>
      <c r="G1086" s="432" t="s">
        <v>82</v>
      </c>
      <c r="H1086" s="433">
        <v>1.3276</v>
      </c>
      <c r="I1086" s="433">
        <v>0</v>
      </c>
      <c r="J1086" s="446">
        <v>36.96</v>
      </c>
      <c r="K1086" s="446">
        <v>49.06</v>
      </c>
    </row>
    <row r="1087" customHeight="1" spans="1:11">
      <c r="A1087" s="438" t="s">
        <v>1750</v>
      </c>
      <c r="B1087" s="439" t="s">
        <v>2203</v>
      </c>
      <c r="C1087" s="438" t="s">
        <v>71</v>
      </c>
      <c r="D1087" s="438" t="s">
        <v>2204</v>
      </c>
      <c r="E1087" s="438" t="s">
        <v>1631</v>
      </c>
      <c r="F1087" s="438"/>
      <c r="G1087" s="440" t="s">
        <v>1945</v>
      </c>
      <c r="H1087" s="441">
        <v>0.006</v>
      </c>
      <c r="I1087" s="441">
        <v>0</v>
      </c>
      <c r="J1087" s="449">
        <v>645.66</v>
      </c>
      <c r="K1087" s="449">
        <v>3.87</v>
      </c>
    </row>
    <row r="1088" customHeight="1" spans="1:11">
      <c r="A1088" s="438" t="s">
        <v>1750</v>
      </c>
      <c r="B1088" s="439" t="s">
        <v>2205</v>
      </c>
      <c r="C1088" s="438" t="s">
        <v>71</v>
      </c>
      <c r="D1088" s="438" t="s">
        <v>2206</v>
      </c>
      <c r="E1088" s="438" t="s">
        <v>1631</v>
      </c>
      <c r="F1088" s="438"/>
      <c r="G1088" s="440" t="s">
        <v>78</v>
      </c>
      <c r="H1088" s="441">
        <v>1</v>
      </c>
      <c r="I1088" s="441">
        <v>0</v>
      </c>
      <c r="J1088" s="449">
        <v>0.81</v>
      </c>
      <c r="K1088" s="449">
        <v>0.81</v>
      </c>
    </row>
    <row r="1089" customHeight="1" spans="1:11">
      <c r="A1089" s="438" t="s">
        <v>1750</v>
      </c>
      <c r="B1089" s="439" t="s">
        <v>2207</v>
      </c>
      <c r="C1089" s="438" t="s">
        <v>71</v>
      </c>
      <c r="D1089" s="438" t="s">
        <v>2208</v>
      </c>
      <c r="E1089" s="438" t="s">
        <v>1631</v>
      </c>
      <c r="F1089" s="438"/>
      <c r="G1089" s="440" t="s">
        <v>2209</v>
      </c>
      <c r="H1089" s="441">
        <v>0.6452</v>
      </c>
      <c r="I1089" s="441">
        <v>0</v>
      </c>
      <c r="J1089" s="449">
        <v>39.8</v>
      </c>
      <c r="K1089" s="449">
        <v>25.67</v>
      </c>
    </row>
    <row r="1090" customHeight="1" spans="1:11">
      <c r="A1090" s="434"/>
      <c r="B1090" s="434"/>
      <c r="C1090" s="434"/>
      <c r="D1090" s="434"/>
      <c r="E1090" s="434"/>
      <c r="F1090" s="434" t="s">
        <v>1735</v>
      </c>
      <c r="G1090" s="435">
        <v>21.44</v>
      </c>
      <c r="H1090" s="434" t="s">
        <v>1736</v>
      </c>
      <c r="I1090" s="435">
        <v>19.48</v>
      </c>
      <c r="J1090" s="434" t="s">
        <v>1737</v>
      </c>
      <c r="K1090" s="435">
        <v>40.92</v>
      </c>
    </row>
    <row r="1091" customHeight="1" spans="1:11">
      <c r="A1091" s="434"/>
      <c r="B1091" s="434"/>
      <c r="C1091" s="434"/>
      <c r="D1091" s="434"/>
      <c r="E1091" s="434"/>
      <c r="F1091" s="434" t="s">
        <v>1738</v>
      </c>
      <c r="G1091" s="435">
        <v>21.51</v>
      </c>
      <c r="H1091" s="434"/>
      <c r="I1091" s="434" t="s">
        <v>1739</v>
      </c>
      <c r="J1091" s="434"/>
      <c r="K1091" s="435">
        <v>108.75</v>
      </c>
    </row>
    <row r="1092" customHeight="1" spans="1:11">
      <c r="A1092" s="436"/>
      <c r="B1092" s="436"/>
      <c r="C1092" s="436"/>
      <c r="D1092" s="436"/>
      <c r="E1092" s="436"/>
      <c r="F1092" s="436"/>
      <c r="G1092" s="436"/>
      <c r="H1092" s="436" t="s">
        <v>1740</v>
      </c>
      <c r="I1092" s="447" t="s">
        <v>2210</v>
      </c>
      <c r="J1092" s="436" t="s">
        <v>1742</v>
      </c>
      <c r="K1092" s="448">
        <v>199651.95</v>
      </c>
    </row>
    <row r="1093" customHeight="1" spans="1:11">
      <c r="A1093" s="437"/>
      <c r="B1093" s="437"/>
      <c r="C1093" s="437"/>
      <c r="D1093" s="437"/>
      <c r="E1093" s="437"/>
      <c r="F1093" s="437"/>
      <c r="G1093" s="437"/>
      <c r="H1093" s="437"/>
      <c r="I1093" s="437"/>
      <c r="J1093" s="437"/>
      <c r="K1093" s="437"/>
    </row>
    <row r="1094" customHeight="1" spans="1:11">
      <c r="A1094" s="422" t="s">
        <v>362</v>
      </c>
      <c r="B1094" s="422"/>
      <c r="C1094" s="422"/>
      <c r="D1094" s="422" t="s">
        <v>28</v>
      </c>
      <c r="E1094" s="422"/>
      <c r="F1094" s="422"/>
      <c r="G1094" s="422"/>
      <c r="H1094" s="422"/>
      <c r="I1094" s="443"/>
      <c r="J1094" s="422"/>
      <c r="K1094" s="444">
        <v>428331.73</v>
      </c>
    </row>
    <row r="1095" customHeight="1" spans="1:11">
      <c r="A1095" s="422" t="s">
        <v>363</v>
      </c>
      <c r="B1095" s="422"/>
      <c r="C1095" s="422"/>
      <c r="D1095" s="422" t="s">
        <v>364</v>
      </c>
      <c r="E1095" s="422"/>
      <c r="F1095" s="422"/>
      <c r="G1095" s="422"/>
      <c r="H1095" s="422"/>
      <c r="I1095" s="443"/>
      <c r="J1095" s="422"/>
      <c r="K1095" s="444">
        <v>159970.35</v>
      </c>
    </row>
    <row r="1096" customHeight="1" spans="1:11">
      <c r="A1096" s="423" t="s">
        <v>365</v>
      </c>
      <c r="B1096" s="424" t="s">
        <v>1714</v>
      </c>
      <c r="C1096" s="423" t="s">
        <v>1715</v>
      </c>
      <c r="D1096" s="423" t="s">
        <v>1716</v>
      </c>
      <c r="E1096" s="423" t="s">
        <v>1717</v>
      </c>
      <c r="F1096" s="423"/>
      <c r="G1096" s="425" t="s">
        <v>1718</v>
      </c>
      <c r="H1096" s="424" t="s">
        <v>1719</v>
      </c>
      <c r="I1096" s="424" t="s">
        <v>1720</v>
      </c>
      <c r="J1096" s="424" t="s">
        <v>1721</v>
      </c>
      <c r="K1096" s="424" t="s">
        <v>1722</v>
      </c>
    </row>
    <row r="1097" customHeight="1" spans="1:11">
      <c r="A1097" s="426" t="s">
        <v>1723</v>
      </c>
      <c r="B1097" s="427" t="s">
        <v>366</v>
      </c>
      <c r="C1097" s="426" t="s">
        <v>76</v>
      </c>
      <c r="D1097" s="426" t="s">
        <v>367</v>
      </c>
      <c r="E1097" s="426">
        <v>14</v>
      </c>
      <c r="F1097" s="426"/>
      <c r="G1097" s="428" t="s">
        <v>73</v>
      </c>
      <c r="H1097" s="429">
        <v>1</v>
      </c>
      <c r="I1097" s="445"/>
      <c r="J1097" s="445">
        <v>615.59</v>
      </c>
      <c r="K1097" s="445">
        <v>615.59</v>
      </c>
    </row>
    <row r="1098" customHeight="1" spans="1:11">
      <c r="A1098" s="438" t="s">
        <v>1750</v>
      </c>
      <c r="B1098" s="439" t="s">
        <v>2211</v>
      </c>
      <c r="C1098" s="438" t="s">
        <v>76</v>
      </c>
      <c r="D1098" s="438" t="s">
        <v>2212</v>
      </c>
      <c r="E1098" s="438" t="s">
        <v>1764</v>
      </c>
      <c r="F1098" s="438"/>
      <c r="G1098" s="440" t="s">
        <v>82</v>
      </c>
      <c r="H1098" s="441">
        <v>4</v>
      </c>
      <c r="I1098" s="441">
        <v>3</v>
      </c>
      <c r="J1098" s="449">
        <v>28.55</v>
      </c>
      <c r="K1098" s="449">
        <v>117.62</v>
      </c>
    </row>
    <row r="1099" customHeight="1" spans="1:11">
      <c r="A1099" s="438" t="s">
        <v>1750</v>
      </c>
      <c r="B1099" s="439" t="s">
        <v>2213</v>
      </c>
      <c r="C1099" s="438" t="s">
        <v>76</v>
      </c>
      <c r="D1099" s="438" t="s">
        <v>2214</v>
      </c>
      <c r="E1099" s="438" t="s">
        <v>1631</v>
      </c>
      <c r="F1099" s="438"/>
      <c r="G1099" s="440" t="s">
        <v>158</v>
      </c>
      <c r="H1099" s="441">
        <v>10</v>
      </c>
      <c r="I1099" s="441">
        <v>20</v>
      </c>
      <c r="J1099" s="449">
        <v>34.92</v>
      </c>
      <c r="K1099" s="449">
        <v>419.04</v>
      </c>
    </row>
    <row r="1100" customHeight="1" spans="1:11">
      <c r="A1100" s="438" t="s">
        <v>1750</v>
      </c>
      <c r="B1100" s="439" t="s">
        <v>1767</v>
      </c>
      <c r="C1100" s="438" t="s">
        <v>76</v>
      </c>
      <c r="D1100" s="438" t="s">
        <v>1768</v>
      </c>
      <c r="E1100" s="438" t="s">
        <v>1764</v>
      </c>
      <c r="F1100" s="438"/>
      <c r="G1100" s="440" t="s">
        <v>82</v>
      </c>
      <c r="H1100" s="441">
        <v>4</v>
      </c>
      <c r="I1100" s="441">
        <v>3</v>
      </c>
      <c r="J1100" s="449">
        <v>19.16</v>
      </c>
      <c r="K1100" s="449">
        <v>78.93</v>
      </c>
    </row>
    <row r="1101" customHeight="1" spans="1:11">
      <c r="A1101" s="434"/>
      <c r="B1101" s="434"/>
      <c r="C1101" s="434"/>
      <c r="D1101" s="434"/>
      <c r="E1101" s="434"/>
      <c r="F1101" s="434" t="s">
        <v>1735</v>
      </c>
      <c r="G1101" s="435">
        <v>102.99</v>
      </c>
      <c r="H1101" s="434" t="s">
        <v>1736</v>
      </c>
      <c r="I1101" s="435">
        <v>93.56</v>
      </c>
      <c r="J1101" s="434" t="s">
        <v>1737</v>
      </c>
      <c r="K1101" s="435">
        <v>196.55</v>
      </c>
    </row>
    <row r="1102" customHeight="1" spans="1:11">
      <c r="A1102" s="434"/>
      <c r="B1102" s="434"/>
      <c r="C1102" s="434"/>
      <c r="D1102" s="434"/>
      <c r="E1102" s="434"/>
      <c r="F1102" s="434" t="s">
        <v>1738</v>
      </c>
      <c r="G1102" s="435">
        <v>151.8</v>
      </c>
      <c r="H1102" s="434"/>
      <c r="I1102" s="434" t="s">
        <v>1739</v>
      </c>
      <c r="J1102" s="434"/>
      <c r="K1102" s="435">
        <v>767.39</v>
      </c>
    </row>
    <row r="1103" customHeight="1" spans="1:11">
      <c r="A1103" s="436"/>
      <c r="B1103" s="436"/>
      <c r="C1103" s="436"/>
      <c r="D1103" s="436"/>
      <c r="E1103" s="436"/>
      <c r="F1103" s="436"/>
      <c r="G1103" s="436"/>
      <c r="H1103" s="436" t="s">
        <v>1740</v>
      </c>
      <c r="I1103" s="447" t="s">
        <v>2215</v>
      </c>
      <c r="J1103" s="436" t="s">
        <v>1742</v>
      </c>
      <c r="K1103" s="448">
        <v>1105.04</v>
      </c>
    </row>
    <row r="1104" customHeight="1" spans="1:11">
      <c r="A1104" s="437"/>
      <c r="B1104" s="437"/>
      <c r="C1104" s="437"/>
      <c r="D1104" s="437"/>
      <c r="E1104" s="437"/>
      <c r="F1104" s="437"/>
      <c r="G1104" s="437"/>
      <c r="H1104" s="437"/>
      <c r="I1104" s="437"/>
      <c r="J1104" s="437"/>
      <c r="K1104" s="437"/>
    </row>
    <row r="1105" customHeight="1" spans="1:11">
      <c r="A1105" s="423" t="s">
        <v>368</v>
      </c>
      <c r="B1105" s="424" t="s">
        <v>1714</v>
      </c>
      <c r="C1105" s="423" t="s">
        <v>1715</v>
      </c>
      <c r="D1105" s="423" t="s">
        <v>1716</v>
      </c>
      <c r="E1105" s="423" t="s">
        <v>1717</v>
      </c>
      <c r="F1105" s="423"/>
      <c r="G1105" s="425" t="s">
        <v>1718</v>
      </c>
      <c r="H1105" s="424" t="s">
        <v>1719</v>
      </c>
      <c r="I1105" s="424" t="s">
        <v>1720</v>
      </c>
      <c r="J1105" s="424" t="s">
        <v>1721</v>
      </c>
      <c r="K1105" s="424" t="s">
        <v>1722</v>
      </c>
    </row>
    <row r="1106" customHeight="1" spans="1:11">
      <c r="A1106" s="426" t="s">
        <v>1723</v>
      </c>
      <c r="B1106" s="427" t="s">
        <v>369</v>
      </c>
      <c r="C1106" s="426" t="s">
        <v>71</v>
      </c>
      <c r="D1106" s="426" t="s">
        <v>370</v>
      </c>
      <c r="E1106" s="426" t="s">
        <v>1623</v>
      </c>
      <c r="F1106" s="426"/>
      <c r="G1106" s="428" t="s">
        <v>73</v>
      </c>
      <c r="H1106" s="429">
        <v>1</v>
      </c>
      <c r="I1106" s="445"/>
      <c r="J1106" s="445">
        <v>1130.58</v>
      </c>
      <c r="K1106" s="445">
        <v>1130.58</v>
      </c>
    </row>
    <row r="1107" customHeight="1" spans="1:11">
      <c r="A1107" s="430" t="s">
        <v>1724</v>
      </c>
      <c r="B1107" s="431" t="s">
        <v>1936</v>
      </c>
      <c r="C1107" s="430" t="s">
        <v>71</v>
      </c>
      <c r="D1107" s="430" t="s">
        <v>1937</v>
      </c>
      <c r="E1107" s="430" t="s">
        <v>1708</v>
      </c>
      <c r="F1107" s="430"/>
      <c r="G1107" s="432" t="s">
        <v>82</v>
      </c>
      <c r="H1107" s="433">
        <v>1.0104139</v>
      </c>
      <c r="I1107" s="433">
        <v>0</v>
      </c>
      <c r="J1107" s="446">
        <v>36.96</v>
      </c>
      <c r="K1107" s="446">
        <v>37.34</v>
      </c>
    </row>
    <row r="1108" customHeight="1" spans="1:11">
      <c r="A1108" s="430" t="s">
        <v>1724</v>
      </c>
      <c r="B1108" s="431" t="s">
        <v>1745</v>
      </c>
      <c r="C1108" s="430" t="s">
        <v>71</v>
      </c>
      <c r="D1108" s="430" t="s">
        <v>1746</v>
      </c>
      <c r="E1108" s="430" t="s">
        <v>1708</v>
      </c>
      <c r="F1108" s="430"/>
      <c r="G1108" s="432" t="s">
        <v>82</v>
      </c>
      <c r="H1108" s="433">
        <v>0.5052069</v>
      </c>
      <c r="I1108" s="433">
        <v>0</v>
      </c>
      <c r="J1108" s="446">
        <v>29.15</v>
      </c>
      <c r="K1108" s="446">
        <v>14.72</v>
      </c>
    </row>
    <row r="1109" customHeight="1" spans="1:11">
      <c r="A1109" s="438" t="s">
        <v>1750</v>
      </c>
      <c r="B1109" s="439" t="s">
        <v>2216</v>
      </c>
      <c r="C1109" s="438" t="s">
        <v>71</v>
      </c>
      <c r="D1109" s="438" t="s">
        <v>2217</v>
      </c>
      <c r="E1109" s="438" t="s">
        <v>1631</v>
      </c>
      <c r="F1109" s="438"/>
      <c r="G1109" s="440" t="s">
        <v>105</v>
      </c>
      <c r="H1109" s="441">
        <v>1.16875</v>
      </c>
      <c r="I1109" s="441">
        <v>0</v>
      </c>
      <c r="J1109" s="449">
        <v>26.3</v>
      </c>
      <c r="K1109" s="449">
        <v>30.73</v>
      </c>
    </row>
    <row r="1110" customHeight="1" spans="1:11">
      <c r="A1110" s="438" t="s">
        <v>1750</v>
      </c>
      <c r="B1110" s="439" t="s">
        <v>2218</v>
      </c>
      <c r="C1110" s="438" t="s">
        <v>71</v>
      </c>
      <c r="D1110" s="438" t="s">
        <v>2219</v>
      </c>
      <c r="E1110" s="438" t="s">
        <v>1631</v>
      </c>
      <c r="F1110" s="438"/>
      <c r="G1110" s="440" t="s">
        <v>105</v>
      </c>
      <c r="H1110" s="441">
        <v>24.4</v>
      </c>
      <c r="I1110" s="441">
        <v>0</v>
      </c>
      <c r="J1110" s="449">
        <v>0.25</v>
      </c>
      <c r="K1110" s="449">
        <v>6.1</v>
      </c>
    </row>
    <row r="1111" customHeight="1" spans="1:11">
      <c r="A1111" s="438" t="s">
        <v>1750</v>
      </c>
      <c r="B1111" s="439" t="s">
        <v>2220</v>
      </c>
      <c r="C1111" s="438" t="s">
        <v>71</v>
      </c>
      <c r="D1111" s="438" t="s">
        <v>2221</v>
      </c>
      <c r="E1111" s="438" t="s">
        <v>1631</v>
      </c>
      <c r="F1111" s="438"/>
      <c r="G1111" s="440" t="s">
        <v>105</v>
      </c>
      <c r="H1111" s="441">
        <v>2.0833</v>
      </c>
      <c r="I1111" s="441">
        <v>0</v>
      </c>
      <c r="J1111" s="449">
        <v>500.02</v>
      </c>
      <c r="K1111" s="449">
        <v>1041.69</v>
      </c>
    </row>
    <row r="1112" customHeight="1" spans="1:11">
      <c r="A1112" s="434"/>
      <c r="B1112" s="434"/>
      <c r="C1112" s="434"/>
      <c r="D1112" s="434"/>
      <c r="E1112" s="434"/>
      <c r="F1112" s="434" t="s">
        <v>1735</v>
      </c>
      <c r="G1112" s="435">
        <v>19.35</v>
      </c>
      <c r="H1112" s="434" t="s">
        <v>1736</v>
      </c>
      <c r="I1112" s="435">
        <v>17.58</v>
      </c>
      <c r="J1112" s="434" t="s">
        <v>1737</v>
      </c>
      <c r="K1112" s="435">
        <v>36.93</v>
      </c>
    </row>
    <row r="1113" customHeight="1" spans="1:11">
      <c r="A1113" s="434"/>
      <c r="B1113" s="434"/>
      <c r="C1113" s="434"/>
      <c r="D1113" s="434"/>
      <c r="E1113" s="434"/>
      <c r="F1113" s="434" t="s">
        <v>1738</v>
      </c>
      <c r="G1113" s="435">
        <v>278.8</v>
      </c>
      <c r="H1113" s="434"/>
      <c r="I1113" s="434" t="s">
        <v>1739</v>
      </c>
      <c r="J1113" s="434"/>
      <c r="K1113" s="435">
        <v>1409.38</v>
      </c>
    </row>
    <row r="1114" customHeight="1" spans="1:11">
      <c r="A1114" s="436"/>
      <c r="B1114" s="436"/>
      <c r="C1114" s="436"/>
      <c r="D1114" s="436"/>
      <c r="E1114" s="436"/>
      <c r="F1114" s="436"/>
      <c r="G1114" s="436"/>
      <c r="H1114" s="436" t="s">
        <v>1740</v>
      </c>
      <c r="I1114" s="447" t="s">
        <v>2222</v>
      </c>
      <c r="J1114" s="436" t="s">
        <v>1742</v>
      </c>
      <c r="K1114" s="448">
        <v>158865.31</v>
      </c>
    </row>
    <row r="1115" customHeight="1" spans="1:11">
      <c r="A1115" s="437"/>
      <c r="B1115" s="437"/>
      <c r="C1115" s="437"/>
      <c r="D1115" s="437"/>
      <c r="E1115" s="437"/>
      <c r="F1115" s="437"/>
      <c r="G1115" s="437"/>
      <c r="H1115" s="437"/>
      <c r="I1115" s="437"/>
      <c r="J1115" s="437"/>
      <c r="K1115" s="437"/>
    </row>
    <row r="1116" customHeight="1" spans="1:11">
      <c r="A1116" s="422" t="s">
        <v>371</v>
      </c>
      <c r="B1116" s="422"/>
      <c r="C1116" s="422"/>
      <c r="D1116" s="422" t="s">
        <v>372</v>
      </c>
      <c r="E1116" s="422"/>
      <c r="F1116" s="422"/>
      <c r="G1116" s="422"/>
      <c r="H1116" s="422"/>
      <c r="I1116" s="443"/>
      <c r="J1116" s="422"/>
      <c r="K1116" s="444">
        <v>112751.78</v>
      </c>
    </row>
    <row r="1117" customHeight="1" spans="1:11">
      <c r="A1117" s="423" t="s">
        <v>373</v>
      </c>
      <c r="B1117" s="424" t="s">
        <v>1714</v>
      </c>
      <c r="C1117" s="423" t="s">
        <v>1715</v>
      </c>
      <c r="D1117" s="423" t="s">
        <v>1716</v>
      </c>
      <c r="E1117" s="423" t="s">
        <v>1717</v>
      </c>
      <c r="F1117" s="423"/>
      <c r="G1117" s="425" t="s">
        <v>1718</v>
      </c>
      <c r="H1117" s="424" t="s">
        <v>1719</v>
      </c>
      <c r="I1117" s="424" t="s">
        <v>1720</v>
      </c>
      <c r="J1117" s="424" t="s">
        <v>1721</v>
      </c>
      <c r="K1117" s="424" t="s">
        <v>1722</v>
      </c>
    </row>
    <row r="1118" customHeight="1" spans="1:11">
      <c r="A1118" s="426" t="s">
        <v>1723</v>
      </c>
      <c r="B1118" s="427" t="s">
        <v>374</v>
      </c>
      <c r="C1118" s="426" t="s">
        <v>99</v>
      </c>
      <c r="D1118" s="426" t="s">
        <v>375</v>
      </c>
      <c r="E1118" s="426" t="s">
        <v>1642</v>
      </c>
      <c r="F1118" s="426"/>
      <c r="G1118" s="428" t="s">
        <v>73</v>
      </c>
      <c r="H1118" s="429">
        <v>1</v>
      </c>
      <c r="I1118" s="445"/>
      <c r="J1118" s="445">
        <v>1544.36</v>
      </c>
      <c r="K1118" s="445">
        <v>1544.36</v>
      </c>
    </row>
    <row r="1119" customHeight="1" spans="1:11">
      <c r="A1119" s="438" t="s">
        <v>1750</v>
      </c>
      <c r="B1119" s="439" t="s">
        <v>2223</v>
      </c>
      <c r="C1119" s="438" t="s">
        <v>99</v>
      </c>
      <c r="D1119" s="438" t="s">
        <v>2224</v>
      </c>
      <c r="E1119" s="438" t="s">
        <v>1764</v>
      </c>
      <c r="F1119" s="438"/>
      <c r="G1119" s="440" t="s">
        <v>82</v>
      </c>
      <c r="H1119" s="441">
        <v>1.34</v>
      </c>
      <c r="I1119" s="441">
        <v>0</v>
      </c>
      <c r="J1119" s="449">
        <v>20.515752</v>
      </c>
      <c r="K1119" s="449">
        <v>27.49</v>
      </c>
    </row>
    <row r="1120" customHeight="1" spans="1:11">
      <c r="A1120" s="438" t="s">
        <v>1750</v>
      </c>
      <c r="B1120" s="439" t="s">
        <v>2225</v>
      </c>
      <c r="C1120" s="438" t="s">
        <v>99</v>
      </c>
      <c r="D1120" s="438" t="s">
        <v>2226</v>
      </c>
      <c r="E1120" s="438" t="s">
        <v>1631</v>
      </c>
      <c r="F1120" s="438"/>
      <c r="G1120" s="440" t="s">
        <v>105</v>
      </c>
      <c r="H1120" s="441">
        <v>1.2</v>
      </c>
      <c r="I1120" s="441">
        <v>0</v>
      </c>
      <c r="J1120" s="449">
        <v>548.53</v>
      </c>
      <c r="K1120" s="449">
        <v>658.23</v>
      </c>
    </row>
    <row r="1121" customHeight="1" spans="1:11">
      <c r="A1121" s="438" t="s">
        <v>1750</v>
      </c>
      <c r="B1121" s="439" t="s">
        <v>2227</v>
      </c>
      <c r="C1121" s="438" t="s">
        <v>99</v>
      </c>
      <c r="D1121" s="438" t="s">
        <v>2228</v>
      </c>
      <c r="E1121" s="438" t="s">
        <v>1631</v>
      </c>
      <c r="F1121" s="438"/>
      <c r="G1121" s="440" t="s">
        <v>73</v>
      </c>
      <c r="H1121" s="441">
        <v>1.1</v>
      </c>
      <c r="I1121" s="441">
        <v>0</v>
      </c>
      <c r="J1121" s="449">
        <v>752.83</v>
      </c>
      <c r="K1121" s="449">
        <v>828.11</v>
      </c>
    </row>
    <row r="1122" customHeight="1" spans="1:11">
      <c r="A1122" s="438" t="s">
        <v>1750</v>
      </c>
      <c r="B1122" s="439" t="s">
        <v>2229</v>
      </c>
      <c r="C1122" s="438" t="s">
        <v>99</v>
      </c>
      <c r="D1122" s="438" t="s">
        <v>2230</v>
      </c>
      <c r="E1122" s="438" t="s">
        <v>1764</v>
      </c>
      <c r="F1122" s="438"/>
      <c r="G1122" s="440" t="s">
        <v>82</v>
      </c>
      <c r="H1122" s="441">
        <v>1.134</v>
      </c>
      <c r="I1122" s="441">
        <v>0</v>
      </c>
      <c r="J1122" s="449">
        <v>26.928256</v>
      </c>
      <c r="K1122" s="449">
        <v>30.53</v>
      </c>
    </row>
    <row r="1123" customHeight="1" spans="1:11">
      <c r="A1123" s="434"/>
      <c r="B1123" s="434"/>
      <c r="C1123" s="434"/>
      <c r="D1123" s="434"/>
      <c r="E1123" s="434"/>
      <c r="F1123" s="434" t="s">
        <v>1735</v>
      </c>
      <c r="G1123" s="435">
        <v>30.4</v>
      </c>
      <c r="H1123" s="434" t="s">
        <v>1736</v>
      </c>
      <c r="I1123" s="435">
        <v>27.62</v>
      </c>
      <c r="J1123" s="434" t="s">
        <v>1737</v>
      </c>
      <c r="K1123" s="435">
        <v>58.02</v>
      </c>
    </row>
    <row r="1124" customHeight="1" spans="1:11">
      <c r="A1124" s="434"/>
      <c r="B1124" s="434"/>
      <c r="C1124" s="434"/>
      <c r="D1124" s="434"/>
      <c r="E1124" s="434"/>
      <c r="F1124" s="434" t="s">
        <v>1738</v>
      </c>
      <c r="G1124" s="435">
        <v>380.83</v>
      </c>
      <c r="H1124" s="434"/>
      <c r="I1124" s="434" t="s">
        <v>1739</v>
      </c>
      <c r="J1124" s="434"/>
      <c r="K1124" s="435">
        <v>1925.19</v>
      </c>
    </row>
    <row r="1125" customHeight="1" spans="1:11">
      <c r="A1125" s="436"/>
      <c r="B1125" s="436"/>
      <c r="C1125" s="436"/>
      <c r="D1125" s="436"/>
      <c r="E1125" s="436"/>
      <c r="F1125" s="436"/>
      <c r="G1125" s="436"/>
      <c r="H1125" s="436" t="s">
        <v>1740</v>
      </c>
      <c r="I1125" s="447" t="s">
        <v>2231</v>
      </c>
      <c r="J1125" s="436" t="s">
        <v>1742</v>
      </c>
      <c r="K1125" s="448">
        <v>27607.22</v>
      </c>
    </row>
    <row r="1126" customHeight="1" spans="1:11">
      <c r="A1126" s="437"/>
      <c r="B1126" s="437"/>
      <c r="C1126" s="437"/>
      <c r="D1126" s="437"/>
      <c r="E1126" s="437"/>
      <c r="F1126" s="437"/>
      <c r="G1126" s="437"/>
      <c r="H1126" s="437"/>
      <c r="I1126" s="437"/>
      <c r="J1126" s="437"/>
      <c r="K1126" s="437"/>
    </row>
    <row r="1127" customHeight="1" spans="1:11">
      <c r="A1127" s="423" t="s">
        <v>376</v>
      </c>
      <c r="B1127" s="424" t="s">
        <v>1714</v>
      </c>
      <c r="C1127" s="423" t="s">
        <v>1715</v>
      </c>
      <c r="D1127" s="423" t="s">
        <v>1716</v>
      </c>
      <c r="E1127" s="423" t="s">
        <v>1717</v>
      </c>
      <c r="F1127" s="423"/>
      <c r="G1127" s="425" t="s">
        <v>1718</v>
      </c>
      <c r="H1127" s="424" t="s">
        <v>1719</v>
      </c>
      <c r="I1127" s="424" t="s">
        <v>1720</v>
      </c>
      <c r="J1127" s="424" t="s">
        <v>1721</v>
      </c>
      <c r="K1127" s="424" t="s">
        <v>1722</v>
      </c>
    </row>
    <row r="1128" customHeight="1" spans="1:11">
      <c r="A1128" s="426" t="s">
        <v>1723</v>
      </c>
      <c r="B1128" s="427" t="s">
        <v>377</v>
      </c>
      <c r="C1128" s="426" t="s">
        <v>71</v>
      </c>
      <c r="D1128" s="426" t="s">
        <v>378</v>
      </c>
      <c r="E1128" s="426" t="s">
        <v>1676</v>
      </c>
      <c r="F1128" s="426"/>
      <c r="G1128" s="428" t="s">
        <v>105</v>
      </c>
      <c r="H1128" s="429">
        <v>1</v>
      </c>
      <c r="I1128" s="445"/>
      <c r="J1128" s="445">
        <v>938.72</v>
      </c>
      <c r="K1128" s="445">
        <v>938.72</v>
      </c>
    </row>
    <row r="1129" customHeight="1" spans="1:11">
      <c r="A1129" s="430" t="s">
        <v>1724</v>
      </c>
      <c r="B1129" s="431" t="s">
        <v>1936</v>
      </c>
      <c r="C1129" s="430" t="s">
        <v>71</v>
      </c>
      <c r="D1129" s="430" t="s">
        <v>1937</v>
      </c>
      <c r="E1129" s="430" t="s">
        <v>1708</v>
      </c>
      <c r="F1129" s="430"/>
      <c r="G1129" s="432" t="s">
        <v>82</v>
      </c>
      <c r="H1129" s="433">
        <v>2.024</v>
      </c>
      <c r="I1129" s="433">
        <v>0</v>
      </c>
      <c r="J1129" s="446">
        <v>36.96</v>
      </c>
      <c r="K1129" s="446">
        <v>74.8</v>
      </c>
    </row>
    <row r="1130" customHeight="1" spans="1:11">
      <c r="A1130" s="430" t="s">
        <v>1724</v>
      </c>
      <c r="B1130" s="431" t="s">
        <v>2159</v>
      </c>
      <c r="C1130" s="430" t="s">
        <v>71</v>
      </c>
      <c r="D1130" s="430" t="s">
        <v>2160</v>
      </c>
      <c r="E1130" s="430" t="s">
        <v>1708</v>
      </c>
      <c r="F1130" s="430"/>
      <c r="G1130" s="432" t="s">
        <v>82</v>
      </c>
      <c r="H1130" s="433">
        <v>0.327</v>
      </c>
      <c r="I1130" s="433">
        <v>0</v>
      </c>
      <c r="J1130" s="446">
        <v>39.71</v>
      </c>
      <c r="K1130" s="446">
        <v>12.98</v>
      </c>
    </row>
    <row r="1131" customHeight="1" spans="1:11">
      <c r="A1131" s="430" t="s">
        <v>1724</v>
      </c>
      <c r="B1131" s="431" t="s">
        <v>1745</v>
      </c>
      <c r="C1131" s="430" t="s">
        <v>71</v>
      </c>
      <c r="D1131" s="430" t="s">
        <v>1746</v>
      </c>
      <c r="E1131" s="430" t="s">
        <v>1708</v>
      </c>
      <c r="F1131" s="430"/>
      <c r="G1131" s="432" t="s">
        <v>82</v>
      </c>
      <c r="H1131" s="433">
        <v>1.176</v>
      </c>
      <c r="I1131" s="433">
        <v>0</v>
      </c>
      <c r="J1131" s="446">
        <v>29.15</v>
      </c>
      <c r="K1131" s="446">
        <v>34.28</v>
      </c>
    </row>
    <row r="1132" customHeight="1" spans="1:11">
      <c r="A1132" s="430" t="s">
        <v>1724</v>
      </c>
      <c r="B1132" s="431" t="s">
        <v>2232</v>
      </c>
      <c r="C1132" s="430" t="s">
        <v>71</v>
      </c>
      <c r="D1132" s="430" t="s">
        <v>2233</v>
      </c>
      <c r="E1132" s="430" t="s">
        <v>2095</v>
      </c>
      <c r="F1132" s="430"/>
      <c r="G1132" s="432" t="s">
        <v>129</v>
      </c>
      <c r="H1132" s="433">
        <v>0.0229</v>
      </c>
      <c r="I1132" s="433">
        <v>0</v>
      </c>
      <c r="J1132" s="446">
        <v>655.2</v>
      </c>
      <c r="K1132" s="446">
        <v>15</v>
      </c>
    </row>
    <row r="1133" customHeight="1" spans="1:11">
      <c r="A1133" s="438" t="s">
        <v>1750</v>
      </c>
      <c r="B1133" s="439" t="s">
        <v>2234</v>
      </c>
      <c r="C1133" s="438" t="s">
        <v>71</v>
      </c>
      <c r="D1133" s="438" t="s">
        <v>2235</v>
      </c>
      <c r="E1133" s="438" t="s">
        <v>1631</v>
      </c>
      <c r="F1133" s="438"/>
      <c r="G1133" s="440" t="s">
        <v>105</v>
      </c>
      <c r="H1133" s="441">
        <v>1</v>
      </c>
      <c r="I1133" s="441">
        <v>0</v>
      </c>
      <c r="J1133" s="449">
        <v>801.66</v>
      </c>
      <c r="K1133" s="449">
        <v>801.66</v>
      </c>
    </row>
    <row r="1134" customHeight="1" spans="1:11">
      <c r="A1134" s="434"/>
      <c r="B1134" s="434"/>
      <c r="C1134" s="434"/>
      <c r="D1134" s="434"/>
      <c r="E1134" s="434"/>
      <c r="F1134" s="434" t="s">
        <v>1735</v>
      </c>
      <c r="G1134" s="435">
        <v>47.51</v>
      </c>
      <c r="H1134" s="434" t="s">
        <v>1736</v>
      </c>
      <c r="I1134" s="435">
        <v>43.16</v>
      </c>
      <c r="J1134" s="434" t="s">
        <v>1737</v>
      </c>
      <c r="K1134" s="435">
        <v>90.67</v>
      </c>
    </row>
    <row r="1135" customHeight="1" spans="1:11">
      <c r="A1135" s="434"/>
      <c r="B1135" s="434"/>
      <c r="C1135" s="434"/>
      <c r="D1135" s="434"/>
      <c r="E1135" s="434"/>
      <c r="F1135" s="434" t="s">
        <v>1738</v>
      </c>
      <c r="G1135" s="435">
        <v>231.48</v>
      </c>
      <c r="H1135" s="434"/>
      <c r="I1135" s="434" t="s">
        <v>1739</v>
      </c>
      <c r="J1135" s="434"/>
      <c r="K1135" s="435">
        <v>1170.2</v>
      </c>
    </row>
    <row r="1136" customHeight="1" spans="1:11">
      <c r="A1136" s="436"/>
      <c r="B1136" s="436"/>
      <c r="C1136" s="436"/>
      <c r="D1136" s="436"/>
      <c r="E1136" s="436"/>
      <c r="F1136" s="436"/>
      <c r="G1136" s="436"/>
      <c r="H1136" s="436" t="s">
        <v>1740</v>
      </c>
      <c r="I1136" s="447" t="s">
        <v>2236</v>
      </c>
      <c r="J1136" s="436" t="s">
        <v>1742</v>
      </c>
      <c r="K1136" s="448">
        <v>5851</v>
      </c>
    </row>
    <row r="1137" customHeight="1" spans="1:11">
      <c r="A1137" s="437"/>
      <c r="B1137" s="437"/>
      <c r="C1137" s="437"/>
      <c r="D1137" s="437"/>
      <c r="E1137" s="437"/>
      <c r="F1137" s="437"/>
      <c r="G1137" s="437"/>
      <c r="H1137" s="437"/>
      <c r="I1137" s="437"/>
      <c r="J1137" s="437"/>
      <c r="K1137" s="437"/>
    </row>
    <row r="1138" customHeight="1" spans="1:11">
      <c r="A1138" s="423" t="s">
        <v>379</v>
      </c>
      <c r="B1138" s="424" t="s">
        <v>1714</v>
      </c>
      <c r="C1138" s="423" t="s">
        <v>1715</v>
      </c>
      <c r="D1138" s="423" t="s">
        <v>1716</v>
      </c>
      <c r="E1138" s="423" t="s">
        <v>1717</v>
      </c>
      <c r="F1138" s="423"/>
      <c r="G1138" s="425" t="s">
        <v>1718</v>
      </c>
      <c r="H1138" s="424" t="s">
        <v>1719</v>
      </c>
      <c r="I1138" s="424" t="s">
        <v>1720</v>
      </c>
      <c r="J1138" s="424" t="s">
        <v>1721</v>
      </c>
      <c r="K1138" s="424" t="s">
        <v>1722</v>
      </c>
    </row>
    <row r="1139" customHeight="1" spans="1:11">
      <c r="A1139" s="426" t="s">
        <v>1723</v>
      </c>
      <c r="B1139" s="427" t="s">
        <v>380</v>
      </c>
      <c r="C1139" s="426" t="s">
        <v>76</v>
      </c>
      <c r="D1139" s="426" t="s">
        <v>381</v>
      </c>
      <c r="E1139" s="426">
        <v>14</v>
      </c>
      <c r="F1139" s="426"/>
      <c r="G1139" s="428" t="s">
        <v>73</v>
      </c>
      <c r="H1139" s="429">
        <v>1</v>
      </c>
      <c r="I1139" s="445"/>
      <c r="J1139" s="445">
        <v>1360.88</v>
      </c>
      <c r="K1139" s="445">
        <v>1360.88</v>
      </c>
    </row>
    <row r="1140" customHeight="1" spans="1:11">
      <c r="A1140" s="438" t="s">
        <v>1750</v>
      </c>
      <c r="B1140" s="439" t="s">
        <v>1767</v>
      </c>
      <c r="C1140" s="438" t="s">
        <v>76</v>
      </c>
      <c r="D1140" s="438" t="s">
        <v>1768</v>
      </c>
      <c r="E1140" s="438" t="s">
        <v>1764</v>
      </c>
      <c r="F1140" s="438"/>
      <c r="G1140" s="440" t="s">
        <v>82</v>
      </c>
      <c r="H1140" s="441">
        <v>3</v>
      </c>
      <c r="I1140" s="441">
        <v>3</v>
      </c>
      <c r="J1140" s="449">
        <v>19.16</v>
      </c>
      <c r="K1140" s="449">
        <v>59.2</v>
      </c>
    </row>
    <row r="1141" customHeight="1" spans="1:11">
      <c r="A1141" s="438" t="s">
        <v>1750</v>
      </c>
      <c r="B1141" s="439" t="s">
        <v>2213</v>
      </c>
      <c r="C1141" s="438" t="s">
        <v>76</v>
      </c>
      <c r="D1141" s="438" t="s">
        <v>2214</v>
      </c>
      <c r="E1141" s="438" t="s">
        <v>1631</v>
      </c>
      <c r="F1141" s="438"/>
      <c r="G1141" s="440" t="s">
        <v>158</v>
      </c>
      <c r="H1141" s="441">
        <v>25</v>
      </c>
      <c r="I1141" s="441">
        <v>39</v>
      </c>
      <c r="J1141" s="449">
        <v>34.92</v>
      </c>
      <c r="K1141" s="449">
        <v>1213.47</v>
      </c>
    </row>
    <row r="1142" customHeight="1" spans="1:11">
      <c r="A1142" s="438" t="s">
        <v>1750</v>
      </c>
      <c r="B1142" s="439" t="s">
        <v>2211</v>
      </c>
      <c r="C1142" s="438" t="s">
        <v>76</v>
      </c>
      <c r="D1142" s="438" t="s">
        <v>2212</v>
      </c>
      <c r="E1142" s="438" t="s">
        <v>1764</v>
      </c>
      <c r="F1142" s="438"/>
      <c r="G1142" s="440" t="s">
        <v>82</v>
      </c>
      <c r="H1142" s="441">
        <v>3</v>
      </c>
      <c r="I1142" s="441">
        <v>3</v>
      </c>
      <c r="J1142" s="449">
        <v>28.55</v>
      </c>
      <c r="K1142" s="449">
        <v>88.21</v>
      </c>
    </row>
    <row r="1143" customHeight="1" spans="1:11">
      <c r="A1143" s="434"/>
      <c r="B1143" s="434"/>
      <c r="C1143" s="434"/>
      <c r="D1143" s="434"/>
      <c r="E1143" s="434"/>
      <c r="F1143" s="434" t="s">
        <v>1735</v>
      </c>
      <c r="G1143" s="435">
        <v>77.24</v>
      </c>
      <c r="H1143" s="434" t="s">
        <v>1736</v>
      </c>
      <c r="I1143" s="435">
        <v>70.17</v>
      </c>
      <c r="J1143" s="434" t="s">
        <v>1737</v>
      </c>
      <c r="K1143" s="435">
        <v>147.41</v>
      </c>
    </row>
    <row r="1144" customHeight="1" spans="1:11">
      <c r="A1144" s="434"/>
      <c r="B1144" s="434"/>
      <c r="C1144" s="434"/>
      <c r="D1144" s="434"/>
      <c r="E1144" s="434"/>
      <c r="F1144" s="434" t="s">
        <v>1738</v>
      </c>
      <c r="G1144" s="435">
        <v>335.59</v>
      </c>
      <c r="H1144" s="434"/>
      <c r="I1144" s="434" t="s">
        <v>1739</v>
      </c>
      <c r="J1144" s="434"/>
      <c r="K1144" s="435">
        <v>1696.47</v>
      </c>
    </row>
    <row r="1145" customHeight="1" spans="1:11">
      <c r="A1145" s="436"/>
      <c r="B1145" s="436"/>
      <c r="C1145" s="436"/>
      <c r="D1145" s="436"/>
      <c r="E1145" s="436"/>
      <c r="F1145" s="436"/>
      <c r="G1145" s="436"/>
      <c r="H1145" s="436" t="s">
        <v>1740</v>
      </c>
      <c r="I1145" s="447" t="s">
        <v>2237</v>
      </c>
      <c r="J1145" s="436" t="s">
        <v>1742</v>
      </c>
      <c r="K1145" s="448">
        <v>16031.64</v>
      </c>
    </row>
    <row r="1146" customHeight="1" spans="1:11">
      <c r="A1146" s="437"/>
      <c r="B1146" s="437"/>
      <c r="C1146" s="437"/>
      <c r="D1146" s="437"/>
      <c r="E1146" s="437"/>
      <c r="F1146" s="437"/>
      <c r="G1146" s="437"/>
      <c r="H1146" s="437"/>
      <c r="I1146" s="437"/>
      <c r="J1146" s="437"/>
      <c r="K1146" s="437"/>
    </row>
    <row r="1147" customHeight="1" spans="1:11">
      <c r="A1147" s="423" t="s">
        <v>382</v>
      </c>
      <c r="B1147" s="424" t="s">
        <v>1714</v>
      </c>
      <c r="C1147" s="423" t="s">
        <v>1715</v>
      </c>
      <c r="D1147" s="423" t="s">
        <v>1716</v>
      </c>
      <c r="E1147" s="423" t="s">
        <v>1717</v>
      </c>
      <c r="F1147" s="423"/>
      <c r="G1147" s="425" t="s">
        <v>1718</v>
      </c>
      <c r="H1147" s="424" t="s">
        <v>1719</v>
      </c>
      <c r="I1147" s="424" t="s">
        <v>1720</v>
      </c>
      <c r="J1147" s="424" t="s">
        <v>1721</v>
      </c>
      <c r="K1147" s="424" t="s">
        <v>1722</v>
      </c>
    </row>
    <row r="1148" customHeight="1" spans="1:11">
      <c r="A1148" s="426" t="s">
        <v>1723</v>
      </c>
      <c r="B1148" s="427" t="s">
        <v>383</v>
      </c>
      <c r="C1148" s="426" t="s">
        <v>65</v>
      </c>
      <c r="D1148" s="426" t="s">
        <v>384</v>
      </c>
      <c r="E1148" s="426" t="s">
        <v>62</v>
      </c>
      <c r="F1148" s="426"/>
      <c r="G1148" s="428" t="s">
        <v>67</v>
      </c>
      <c r="H1148" s="429">
        <v>1</v>
      </c>
      <c r="I1148" s="445"/>
      <c r="J1148" s="445">
        <v>743.38</v>
      </c>
      <c r="K1148" s="445">
        <v>743.38</v>
      </c>
    </row>
    <row r="1149" customHeight="1" spans="1:11">
      <c r="A1149" s="430" t="s">
        <v>1724</v>
      </c>
      <c r="B1149" s="431" t="s">
        <v>2238</v>
      </c>
      <c r="C1149" s="430" t="s">
        <v>71</v>
      </c>
      <c r="D1149" s="430" t="s">
        <v>2239</v>
      </c>
      <c r="E1149" s="430" t="s">
        <v>1708</v>
      </c>
      <c r="F1149" s="430"/>
      <c r="G1149" s="432" t="s">
        <v>82</v>
      </c>
      <c r="H1149" s="433">
        <v>1.5</v>
      </c>
      <c r="I1149" s="433">
        <v>0</v>
      </c>
      <c r="J1149" s="446">
        <v>36.71</v>
      </c>
      <c r="K1149" s="446">
        <v>55.06</v>
      </c>
    </row>
    <row r="1150" customHeight="1" spans="1:11">
      <c r="A1150" s="430" t="s">
        <v>1724</v>
      </c>
      <c r="B1150" s="431" t="s">
        <v>2240</v>
      </c>
      <c r="C1150" s="430" t="s">
        <v>71</v>
      </c>
      <c r="D1150" s="430" t="s">
        <v>2241</v>
      </c>
      <c r="E1150" s="430" t="s">
        <v>1708</v>
      </c>
      <c r="F1150" s="430"/>
      <c r="G1150" s="432" t="s">
        <v>82</v>
      </c>
      <c r="H1150" s="433">
        <v>1.5</v>
      </c>
      <c r="I1150" s="433">
        <v>0</v>
      </c>
      <c r="J1150" s="446">
        <v>30.06</v>
      </c>
      <c r="K1150" s="446">
        <v>45.09</v>
      </c>
    </row>
    <row r="1151" customHeight="1" spans="1:11">
      <c r="A1151" s="438" t="s">
        <v>1750</v>
      </c>
      <c r="B1151" s="439" t="s">
        <v>2242</v>
      </c>
      <c r="C1151" s="438" t="s">
        <v>71</v>
      </c>
      <c r="D1151" s="438" t="s">
        <v>2243</v>
      </c>
      <c r="E1151" s="438" t="s">
        <v>1631</v>
      </c>
      <c r="F1151" s="438"/>
      <c r="G1151" s="440" t="s">
        <v>73</v>
      </c>
      <c r="H1151" s="441">
        <v>1</v>
      </c>
      <c r="I1151" s="441">
        <v>0</v>
      </c>
      <c r="J1151" s="449">
        <v>643.23</v>
      </c>
      <c r="K1151" s="449">
        <v>643.23</v>
      </c>
    </row>
    <row r="1152" customHeight="1" spans="1:11">
      <c r="A1152" s="434"/>
      <c r="B1152" s="434"/>
      <c r="C1152" s="434"/>
      <c r="D1152" s="434"/>
      <c r="E1152" s="434"/>
      <c r="F1152" s="434" t="s">
        <v>1735</v>
      </c>
      <c r="G1152" s="435">
        <v>36.72</v>
      </c>
      <c r="H1152" s="434" t="s">
        <v>1736</v>
      </c>
      <c r="I1152" s="435">
        <v>33.37</v>
      </c>
      <c r="J1152" s="434" t="s">
        <v>1737</v>
      </c>
      <c r="K1152" s="435">
        <v>70.09</v>
      </c>
    </row>
    <row r="1153" customHeight="1" spans="1:11">
      <c r="A1153" s="434"/>
      <c r="B1153" s="434"/>
      <c r="C1153" s="434"/>
      <c r="D1153" s="434"/>
      <c r="E1153" s="434"/>
      <c r="F1153" s="434" t="s">
        <v>1738</v>
      </c>
      <c r="G1153" s="435">
        <v>183.31</v>
      </c>
      <c r="H1153" s="434"/>
      <c r="I1153" s="434" t="s">
        <v>1739</v>
      </c>
      <c r="J1153" s="434"/>
      <c r="K1153" s="435">
        <v>926.69</v>
      </c>
    </row>
    <row r="1154" customHeight="1" spans="1:11">
      <c r="A1154" s="436"/>
      <c r="B1154" s="436"/>
      <c r="C1154" s="436"/>
      <c r="D1154" s="436"/>
      <c r="E1154" s="436"/>
      <c r="F1154" s="436"/>
      <c r="G1154" s="436"/>
      <c r="H1154" s="436" t="s">
        <v>1740</v>
      </c>
      <c r="I1154" s="447" t="s">
        <v>2244</v>
      </c>
      <c r="J1154" s="436" t="s">
        <v>1742</v>
      </c>
      <c r="K1154" s="448">
        <v>16096.6</v>
      </c>
    </row>
    <row r="1155" customHeight="1" spans="1:11">
      <c r="A1155" s="437"/>
      <c r="B1155" s="437"/>
      <c r="C1155" s="437"/>
      <c r="D1155" s="437"/>
      <c r="E1155" s="437"/>
      <c r="F1155" s="437"/>
      <c r="G1155" s="437"/>
      <c r="H1155" s="437"/>
      <c r="I1155" s="437"/>
      <c r="J1155" s="437"/>
      <c r="K1155" s="437"/>
    </row>
    <row r="1156" customHeight="1" spans="1:11">
      <c r="A1156" s="423" t="s">
        <v>385</v>
      </c>
      <c r="B1156" s="424" t="s">
        <v>1714</v>
      </c>
      <c r="C1156" s="423" t="s">
        <v>1715</v>
      </c>
      <c r="D1156" s="423" t="s">
        <v>1716</v>
      </c>
      <c r="E1156" s="423" t="s">
        <v>1717</v>
      </c>
      <c r="F1156" s="423"/>
      <c r="G1156" s="425" t="s">
        <v>1718</v>
      </c>
      <c r="H1156" s="424" t="s">
        <v>1719</v>
      </c>
      <c r="I1156" s="424" t="s">
        <v>1720</v>
      </c>
      <c r="J1156" s="424" t="s">
        <v>1721</v>
      </c>
      <c r="K1156" s="424" t="s">
        <v>1722</v>
      </c>
    </row>
    <row r="1157" customHeight="1" spans="1:11">
      <c r="A1157" s="426" t="s">
        <v>1723</v>
      </c>
      <c r="B1157" s="427" t="s">
        <v>386</v>
      </c>
      <c r="C1157" s="426" t="s">
        <v>65</v>
      </c>
      <c r="D1157" s="426" t="s">
        <v>387</v>
      </c>
      <c r="E1157" s="426" t="s">
        <v>62</v>
      </c>
      <c r="F1157" s="426"/>
      <c r="G1157" s="428" t="s">
        <v>67</v>
      </c>
      <c r="H1157" s="429">
        <v>1</v>
      </c>
      <c r="I1157" s="445"/>
      <c r="J1157" s="445">
        <v>755.67</v>
      </c>
      <c r="K1157" s="445">
        <v>755.67</v>
      </c>
    </row>
    <row r="1158" customHeight="1" spans="1:11">
      <c r="A1158" s="430" t="s">
        <v>1724</v>
      </c>
      <c r="B1158" s="431" t="s">
        <v>2245</v>
      </c>
      <c r="C1158" s="430" t="s">
        <v>71</v>
      </c>
      <c r="D1158" s="430" t="s">
        <v>2246</v>
      </c>
      <c r="E1158" s="430" t="s">
        <v>1708</v>
      </c>
      <c r="F1158" s="430"/>
      <c r="G1158" s="432" t="s">
        <v>82</v>
      </c>
      <c r="H1158" s="433">
        <v>1.134</v>
      </c>
      <c r="I1158" s="433">
        <v>0</v>
      </c>
      <c r="J1158" s="446">
        <v>33.17</v>
      </c>
      <c r="K1158" s="446">
        <v>37.61</v>
      </c>
    </row>
    <row r="1159" customHeight="1" spans="1:11">
      <c r="A1159" s="430" t="s">
        <v>1724</v>
      </c>
      <c r="B1159" s="431" t="s">
        <v>2247</v>
      </c>
      <c r="C1159" s="430" t="s">
        <v>71</v>
      </c>
      <c r="D1159" s="430" t="s">
        <v>2248</v>
      </c>
      <c r="E1159" s="430" t="s">
        <v>1708</v>
      </c>
      <c r="F1159" s="430"/>
      <c r="G1159" s="432" t="s">
        <v>82</v>
      </c>
      <c r="H1159" s="433">
        <v>1.34</v>
      </c>
      <c r="I1159" s="433">
        <v>0</v>
      </c>
      <c r="J1159" s="446">
        <v>30.31</v>
      </c>
      <c r="K1159" s="446">
        <v>40.61</v>
      </c>
    </row>
    <row r="1160" customHeight="1" spans="1:11">
      <c r="A1160" s="438" t="s">
        <v>1750</v>
      </c>
      <c r="B1160" s="439" t="s">
        <v>2249</v>
      </c>
      <c r="C1160" s="438" t="s">
        <v>71</v>
      </c>
      <c r="D1160" s="438" t="s">
        <v>2250</v>
      </c>
      <c r="E1160" s="438" t="s">
        <v>1631</v>
      </c>
      <c r="F1160" s="438"/>
      <c r="G1160" s="440" t="s">
        <v>105</v>
      </c>
      <c r="H1160" s="441">
        <v>1</v>
      </c>
      <c r="I1160" s="441">
        <v>0</v>
      </c>
      <c r="J1160" s="449">
        <v>62.87</v>
      </c>
      <c r="K1160" s="449">
        <v>62.87</v>
      </c>
    </row>
    <row r="1161" customHeight="1" spans="1:11">
      <c r="A1161" s="438" t="s">
        <v>1750</v>
      </c>
      <c r="B1161" s="439" t="s">
        <v>2251</v>
      </c>
      <c r="C1161" s="438" t="s">
        <v>71</v>
      </c>
      <c r="D1161" s="438" t="s">
        <v>2252</v>
      </c>
      <c r="E1161" s="438" t="s">
        <v>2253</v>
      </c>
      <c r="F1161" s="438"/>
      <c r="G1161" s="440" t="s">
        <v>73</v>
      </c>
      <c r="H1161" s="441">
        <v>1</v>
      </c>
      <c r="I1161" s="441">
        <v>0</v>
      </c>
      <c r="J1161" s="449">
        <v>614.58</v>
      </c>
      <c r="K1161" s="449">
        <v>614.58</v>
      </c>
    </row>
    <row r="1162" customHeight="1" spans="1:11">
      <c r="A1162" s="434"/>
      <c r="B1162" s="434"/>
      <c r="C1162" s="434"/>
      <c r="D1162" s="434"/>
      <c r="E1162" s="434"/>
      <c r="F1162" s="434" t="s">
        <v>1735</v>
      </c>
      <c r="G1162" s="435">
        <v>28.06</v>
      </c>
      <c r="H1162" s="434" t="s">
        <v>1736</v>
      </c>
      <c r="I1162" s="435">
        <v>25.49</v>
      </c>
      <c r="J1162" s="434" t="s">
        <v>1737</v>
      </c>
      <c r="K1162" s="435">
        <v>53.55</v>
      </c>
    </row>
    <row r="1163" customHeight="1" spans="1:11">
      <c r="A1163" s="434"/>
      <c r="B1163" s="434"/>
      <c r="C1163" s="434"/>
      <c r="D1163" s="434"/>
      <c r="E1163" s="434"/>
      <c r="F1163" s="434" t="s">
        <v>1738</v>
      </c>
      <c r="G1163" s="435">
        <v>186.34</v>
      </c>
      <c r="H1163" s="434"/>
      <c r="I1163" s="434" t="s">
        <v>1739</v>
      </c>
      <c r="J1163" s="434"/>
      <c r="K1163" s="435">
        <v>942.01</v>
      </c>
    </row>
    <row r="1164" customHeight="1" spans="1:11">
      <c r="A1164" s="436"/>
      <c r="B1164" s="436"/>
      <c r="C1164" s="436"/>
      <c r="D1164" s="436"/>
      <c r="E1164" s="436"/>
      <c r="F1164" s="436"/>
      <c r="G1164" s="436"/>
      <c r="H1164" s="436" t="s">
        <v>1740</v>
      </c>
      <c r="I1164" s="447" t="s">
        <v>2254</v>
      </c>
      <c r="J1164" s="436" t="s">
        <v>1742</v>
      </c>
      <c r="K1164" s="448">
        <v>28260.3</v>
      </c>
    </row>
    <row r="1165" customHeight="1" spans="1:11">
      <c r="A1165" s="437"/>
      <c r="B1165" s="437"/>
      <c r="C1165" s="437"/>
      <c r="D1165" s="437"/>
      <c r="E1165" s="437"/>
      <c r="F1165" s="437"/>
      <c r="G1165" s="437"/>
      <c r="H1165" s="437"/>
      <c r="I1165" s="437"/>
      <c r="J1165" s="437"/>
      <c r="K1165" s="437"/>
    </row>
    <row r="1166" customHeight="1" spans="1:11">
      <c r="A1166" s="423" t="s">
        <v>388</v>
      </c>
      <c r="B1166" s="424" t="s">
        <v>1714</v>
      </c>
      <c r="C1166" s="423" t="s">
        <v>1715</v>
      </c>
      <c r="D1166" s="423" t="s">
        <v>1716</v>
      </c>
      <c r="E1166" s="423" t="s">
        <v>1717</v>
      </c>
      <c r="F1166" s="423"/>
      <c r="G1166" s="425" t="s">
        <v>1718</v>
      </c>
      <c r="H1166" s="424" t="s">
        <v>1719</v>
      </c>
      <c r="I1166" s="424" t="s">
        <v>1720</v>
      </c>
      <c r="J1166" s="424" t="s">
        <v>1721</v>
      </c>
      <c r="K1166" s="424" t="s">
        <v>1722</v>
      </c>
    </row>
    <row r="1167" customHeight="1" spans="1:11">
      <c r="A1167" s="426" t="s">
        <v>1723</v>
      </c>
      <c r="B1167" s="427" t="s">
        <v>389</v>
      </c>
      <c r="C1167" s="426" t="s">
        <v>99</v>
      </c>
      <c r="D1167" s="426" t="s">
        <v>390</v>
      </c>
      <c r="E1167" s="426" t="s">
        <v>1666</v>
      </c>
      <c r="F1167" s="426"/>
      <c r="G1167" s="428" t="s">
        <v>105</v>
      </c>
      <c r="H1167" s="429">
        <v>1</v>
      </c>
      <c r="I1167" s="445"/>
      <c r="J1167" s="445">
        <v>3383.77</v>
      </c>
      <c r="K1167" s="445">
        <v>3383.77</v>
      </c>
    </row>
    <row r="1168" customHeight="1" spans="1:11">
      <c r="A1168" s="438" t="s">
        <v>1750</v>
      </c>
      <c r="B1168" s="439" t="s">
        <v>2255</v>
      </c>
      <c r="C1168" s="438" t="s">
        <v>99</v>
      </c>
      <c r="D1168" s="438" t="s">
        <v>2256</v>
      </c>
      <c r="E1168" s="438" t="s">
        <v>1764</v>
      </c>
      <c r="F1168" s="438"/>
      <c r="G1168" s="440" t="s">
        <v>82</v>
      </c>
      <c r="H1168" s="441">
        <v>3.914</v>
      </c>
      <c r="I1168" s="441">
        <v>0</v>
      </c>
      <c r="J1168" s="449">
        <v>20.515752</v>
      </c>
      <c r="K1168" s="449">
        <v>80.29</v>
      </c>
    </row>
    <row r="1169" customHeight="1" spans="1:11">
      <c r="A1169" s="438" t="s">
        <v>1750</v>
      </c>
      <c r="B1169" s="439" t="s">
        <v>2257</v>
      </c>
      <c r="C1169" s="438" t="s">
        <v>99</v>
      </c>
      <c r="D1169" s="438" t="s">
        <v>2258</v>
      </c>
      <c r="E1169" s="438" t="s">
        <v>1631</v>
      </c>
      <c r="F1169" s="438"/>
      <c r="G1169" s="440" t="s">
        <v>105</v>
      </c>
      <c r="H1169" s="441">
        <v>1</v>
      </c>
      <c r="I1169" s="441">
        <v>0</v>
      </c>
      <c r="J1169" s="449">
        <v>3190</v>
      </c>
      <c r="K1169" s="449">
        <v>3190</v>
      </c>
    </row>
    <row r="1170" customHeight="1" spans="1:11">
      <c r="A1170" s="438" t="s">
        <v>1750</v>
      </c>
      <c r="B1170" s="439" t="s">
        <v>2259</v>
      </c>
      <c r="C1170" s="438" t="s">
        <v>99</v>
      </c>
      <c r="D1170" s="438" t="s">
        <v>2260</v>
      </c>
      <c r="E1170" s="438" t="s">
        <v>1764</v>
      </c>
      <c r="F1170" s="438"/>
      <c r="G1170" s="440" t="s">
        <v>82</v>
      </c>
      <c r="H1170" s="441">
        <v>3.914</v>
      </c>
      <c r="I1170" s="441">
        <v>0</v>
      </c>
      <c r="J1170" s="449">
        <v>28.994744</v>
      </c>
      <c r="K1170" s="449">
        <v>113.48</v>
      </c>
    </row>
    <row r="1171" customHeight="1" spans="1:11">
      <c r="A1171" s="434"/>
      <c r="B1171" s="434"/>
      <c r="C1171" s="434"/>
      <c r="D1171" s="434"/>
      <c r="E1171" s="434"/>
      <c r="F1171" s="434" t="s">
        <v>1735</v>
      </c>
      <c r="G1171" s="435">
        <v>101.54</v>
      </c>
      <c r="H1171" s="434" t="s">
        <v>1736</v>
      </c>
      <c r="I1171" s="435">
        <v>92.23</v>
      </c>
      <c r="J1171" s="434" t="s">
        <v>1737</v>
      </c>
      <c r="K1171" s="435">
        <v>193.77</v>
      </c>
    </row>
    <row r="1172" customHeight="1" spans="1:11">
      <c r="A1172" s="434"/>
      <c r="B1172" s="434"/>
      <c r="C1172" s="434"/>
      <c r="D1172" s="434"/>
      <c r="E1172" s="434"/>
      <c r="F1172" s="434" t="s">
        <v>1738</v>
      </c>
      <c r="G1172" s="435">
        <v>834.43</v>
      </c>
      <c r="H1172" s="434"/>
      <c r="I1172" s="434" t="s">
        <v>1739</v>
      </c>
      <c r="J1172" s="434"/>
      <c r="K1172" s="435">
        <v>4218.2</v>
      </c>
    </row>
    <row r="1173" customHeight="1" spans="1:11">
      <c r="A1173" s="436"/>
      <c r="B1173" s="436"/>
      <c r="C1173" s="436"/>
      <c r="D1173" s="436"/>
      <c r="E1173" s="436"/>
      <c r="F1173" s="436"/>
      <c r="G1173" s="436"/>
      <c r="H1173" s="436" t="s">
        <v>1740</v>
      </c>
      <c r="I1173" s="447" t="s">
        <v>1971</v>
      </c>
      <c r="J1173" s="436" t="s">
        <v>1742</v>
      </c>
      <c r="K1173" s="448">
        <v>8436.4</v>
      </c>
    </row>
    <row r="1174" customHeight="1" spans="1:11">
      <c r="A1174" s="437"/>
      <c r="B1174" s="437"/>
      <c r="C1174" s="437"/>
      <c r="D1174" s="437"/>
      <c r="E1174" s="437"/>
      <c r="F1174" s="437"/>
      <c r="G1174" s="437"/>
      <c r="H1174" s="437"/>
      <c r="I1174" s="437"/>
      <c r="J1174" s="437"/>
      <c r="K1174" s="437"/>
    </row>
    <row r="1175" customHeight="1" spans="1:11">
      <c r="A1175" s="423" t="s">
        <v>391</v>
      </c>
      <c r="B1175" s="424" t="s">
        <v>1714</v>
      </c>
      <c r="C1175" s="423" t="s">
        <v>1715</v>
      </c>
      <c r="D1175" s="423" t="s">
        <v>1716</v>
      </c>
      <c r="E1175" s="423" t="s">
        <v>1717</v>
      </c>
      <c r="F1175" s="423"/>
      <c r="G1175" s="425" t="s">
        <v>1718</v>
      </c>
      <c r="H1175" s="424" t="s">
        <v>1719</v>
      </c>
      <c r="I1175" s="424" t="s">
        <v>1720</v>
      </c>
      <c r="J1175" s="424" t="s">
        <v>1721</v>
      </c>
      <c r="K1175" s="424" t="s">
        <v>1722</v>
      </c>
    </row>
    <row r="1176" customHeight="1" spans="1:11">
      <c r="A1176" s="426" t="s">
        <v>1723</v>
      </c>
      <c r="B1176" s="427" t="s">
        <v>392</v>
      </c>
      <c r="C1176" s="426" t="s">
        <v>99</v>
      </c>
      <c r="D1176" s="426" t="s">
        <v>393</v>
      </c>
      <c r="E1176" s="426" t="s">
        <v>1660</v>
      </c>
      <c r="F1176" s="426"/>
      <c r="G1176" s="428" t="s">
        <v>105</v>
      </c>
      <c r="H1176" s="429">
        <v>1</v>
      </c>
      <c r="I1176" s="445"/>
      <c r="J1176" s="445">
        <v>1399.63</v>
      </c>
      <c r="K1176" s="445">
        <v>1399.63</v>
      </c>
    </row>
    <row r="1177" customHeight="1" spans="1:11">
      <c r="A1177" s="438" t="s">
        <v>1750</v>
      </c>
      <c r="B1177" s="439" t="s">
        <v>2261</v>
      </c>
      <c r="C1177" s="438" t="s">
        <v>99</v>
      </c>
      <c r="D1177" s="438" t="s">
        <v>2262</v>
      </c>
      <c r="E1177" s="438" t="s">
        <v>1631</v>
      </c>
      <c r="F1177" s="438"/>
      <c r="G1177" s="440" t="s">
        <v>105</v>
      </c>
      <c r="H1177" s="441">
        <v>3</v>
      </c>
      <c r="I1177" s="441">
        <v>0</v>
      </c>
      <c r="J1177" s="449">
        <v>53</v>
      </c>
      <c r="K1177" s="449">
        <v>159</v>
      </c>
    </row>
    <row r="1178" customHeight="1" spans="1:11">
      <c r="A1178" s="438" t="s">
        <v>1750</v>
      </c>
      <c r="B1178" s="439" t="s">
        <v>2263</v>
      </c>
      <c r="C1178" s="438" t="s">
        <v>99</v>
      </c>
      <c r="D1178" s="438" t="s">
        <v>2264</v>
      </c>
      <c r="E1178" s="438" t="s">
        <v>1764</v>
      </c>
      <c r="F1178" s="438"/>
      <c r="G1178" s="440" t="s">
        <v>82</v>
      </c>
      <c r="H1178" s="441">
        <v>12.7</v>
      </c>
      <c r="I1178" s="441">
        <v>0</v>
      </c>
      <c r="J1178" s="449">
        <v>20.515752</v>
      </c>
      <c r="K1178" s="449">
        <v>260.55</v>
      </c>
    </row>
    <row r="1179" customHeight="1" spans="1:11">
      <c r="A1179" s="438" t="s">
        <v>1750</v>
      </c>
      <c r="B1179" s="439" t="s">
        <v>2265</v>
      </c>
      <c r="C1179" s="438" t="s">
        <v>99</v>
      </c>
      <c r="D1179" s="438" t="s">
        <v>2266</v>
      </c>
      <c r="E1179" s="438" t="s">
        <v>1631</v>
      </c>
      <c r="F1179" s="438"/>
      <c r="G1179" s="440" t="s">
        <v>105</v>
      </c>
      <c r="H1179" s="441">
        <v>1</v>
      </c>
      <c r="I1179" s="441">
        <v>0</v>
      </c>
      <c r="J1179" s="449">
        <v>311.58</v>
      </c>
      <c r="K1179" s="449">
        <v>311.58</v>
      </c>
    </row>
    <row r="1180" customHeight="1" spans="1:11">
      <c r="A1180" s="438" t="s">
        <v>1750</v>
      </c>
      <c r="B1180" s="439" t="s">
        <v>2267</v>
      </c>
      <c r="C1180" s="438" t="s">
        <v>99</v>
      </c>
      <c r="D1180" s="438" t="s">
        <v>2268</v>
      </c>
      <c r="E1180" s="438" t="s">
        <v>1764</v>
      </c>
      <c r="F1180" s="438"/>
      <c r="G1180" s="440" t="s">
        <v>82</v>
      </c>
      <c r="H1180" s="441">
        <v>18</v>
      </c>
      <c r="I1180" s="441">
        <v>0</v>
      </c>
      <c r="J1180" s="449">
        <v>28.994744</v>
      </c>
      <c r="K1180" s="449">
        <v>521.9</v>
      </c>
    </row>
    <row r="1181" customHeight="1" spans="1:11">
      <c r="A1181" s="438" t="s">
        <v>1750</v>
      </c>
      <c r="B1181" s="439" t="s">
        <v>2269</v>
      </c>
      <c r="C1181" s="438" t="s">
        <v>99</v>
      </c>
      <c r="D1181" s="438" t="s">
        <v>2270</v>
      </c>
      <c r="E1181" s="438" t="s">
        <v>1631</v>
      </c>
      <c r="F1181" s="438"/>
      <c r="G1181" s="440" t="s">
        <v>105</v>
      </c>
      <c r="H1181" s="441">
        <v>1</v>
      </c>
      <c r="I1181" s="441">
        <v>0</v>
      </c>
      <c r="J1181" s="449">
        <v>146.6</v>
      </c>
      <c r="K1181" s="449">
        <v>146.6</v>
      </c>
    </row>
    <row r="1182" customHeight="1" spans="1:11">
      <c r="A1182" s="434"/>
      <c r="B1182" s="434"/>
      <c r="C1182" s="434"/>
      <c r="D1182" s="434"/>
      <c r="E1182" s="434"/>
      <c r="F1182" s="434" t="s">
        <v>1735</v>
      </c>
      <c r="G1182" s="435">
        <v>410.02</v>
      </c>
      <c r="H1182" s="434" t="s">
        <v>1736</v>
      </c>
      <c r="I1182" s="435">
        <v>372.43</v>
      </c>
      <c r="J1182" s="434" t="s">
        <v>1737</v>
      </c>
      <c r="K1182" s="435">
        <v>782.45</v>
      </c>
    </row>
    <row r="1183" customHeight="1" spans="1:11">
      <c r="A1183" s="434"/>
      <c r="B1183" s="434"/>
      <c r="C1183" s="434"/>
      <c r="D1183" s="434"/>
      <c r="E1183" s="434"/>
      <c r="F1183" s="434" t="s">
        <v>1738</v>
      </c>
      <c r="G1183" s="435">
        <v>345.14</v>
      </c>
      <c r="H1183" s="434"/>
      <c r="I1183" s="434" t="s">
        <v>1739</v>
      </c>
      <c r="J1183" s="434"/>
      <c r="K1183" s="435">
        <v>1744.77</v>
      </c>
    </row>
    <row r="1184" customHeight="1" spans="1:11">
      <c r="A1184" s="436"/>
      <c r="B1184" s="436"/>
      <c r="C1184" s="436"/>
      <c r="D1184" s="436"/>
      <c r="E1184" s="436"/>
      <c r="F1184" s="436"/>
      <c r="G1184" s="436"/>
      <c r="H1184" s="436" t="s">
        <v>1740</v>
      </c>
      <c r="I1184" s="447" t="s">
        <v>1759</v>
      </c>
      <c r="J1184" s="436" t="s">
        <v>1742</v>
      </c>
      <c r="K1184" s="448">
        <v>10468.62</v>
      </c>
    </row>
    <row r="1185" customHeight="1" spans="1:11">
      <c r="A1185" s="437"/>
      <c r="B1185" s="437"/>
      <c r="C1185" s="437"/>
      <c r="D1185" s="437"/>
      <c r="E1185" s="437"/>
      <c r="F1185" s="437"/>
      <c r="G1185" s="437"/>
      <c r="H1185" s="437"/>
      <c r="I1185" s="437"/>
      <c r="J1185" s="437"/>
      <c r="K1185" s="437"/>
    </row>
    <row r="1186" customHeight="1" spans="1:11">
      <c r="A1186" s="422" t="s">
        <v>394</v>
      </c>
      <c r="B1186" s="422"/>
      <c r="C1186" s="422"/>
      <c r="D1186" s="422" t="s">
        <v>395</v>
      </c>
      <c r="E1186" s="422"/>
      <c r="F1186" s="422"/>
      <c r="G1186" s="422"/>
      <c r="H1186" s="422"/>
      <c r="I1186" s="443"/>
      <c r="J1186" s="422"/>
      <c r="K1186" s="444">
        <v>145701.28</v>
      </c>
    </row>
    <row r="1187" customHeight="1" spans="1:11">
      <c r="A1187" s="423" t="s">
        <v>396</v>
      </c>
      <c r="B1187" s="424" t="s">
        <v>1714</v>
      </c>
      <c r="C1187" s="423" t="s">
        <v>1715</v>
      </c>
      <c r="D1187" s="423" t="s">
        <v>1716</v>
      </c>
      <c r="E1187" s="423" t="s">
        <v>1717</v>
      </c>
      <c r="F1187" s="423"/>
      <c r="G1187" s="425" t="s">
        <v>1718</v>
      </c>
      <c r="H1187" s="424" t="s">
        <v>1719</v>
      </c>
      <c r="I1187" s="424" t="s">
        <v>1720</v>
      </c>
      <c r="J1187" s="424" t="s">
        <v>1721</v>
      </c>
      <c r="K1187" s="424" t="s">
        <v>1722</v>
      </c>
    </row>
    <row r="1188" customHeight="1" spans="1:11">
      <c r="A1188" s="426" t="s">
        <v>1723</v>
      </c>
      <c r="B1188" s="427" t="s">
        <v>397</v>
      </c>
      <c r="C1188" s="426" t="s">
        <v>99</v>
      </c>
      <c r="D1188" s="426" t="s">
        <v>398</v>
      </c>
      <c r="E1188" s="426" t="s">
        <v>1625</v>
      </c>
      <c r="F1188" s="426"/>
      <c r="G1188" s="428" t="s">
        <v>73</v>
      </c>
      <c r="H1188" s="429">
        <v>1</v>
      </c>
      <c r="I1188" s="445"/>
      <c r="J1188" s="445">
        <v>985.49</v>
      </c>
      <c r="K1188" s="445">
        <v>985.49</v>
      </c>
    </row>
    <row r="1189" customHeight="1" spans="1:11">
      <c r="A1189" s="438" t="s">
        <v>1750</v>
      </c>
      <c r="B1189" s="439" t="s">
        <v>2271</v>
      </c>
      <c r="C1189" s="438" t="s">
        <v>99</v>
      </c>
      <c r="D1189" s="438" t="s">
        <v>2272</v>
      </c>
      <c r="E1189" s="438" t="s">
        <v>1631</v>
      </c>
      <c r="F1189" s="438"/>
      <c r="G1189" s="440" t="s">
        <v>73</v>
      </c>
      <c r="H1189" s="441">
        <v>1</v>
      </c>
      <c r="I1189" s="441">
        <v>0</v>
      </c>
      <c r="J1189" s="449">
        <v>122</v>
      </c>
      <c r="K1189" s="449">
        <v>122</v>
      </c>
    </row>
    <row r="1190" customHeight="1" spans="1:11">
      <c r="A1190" s="438" t="s">
        <v>1750</v>
      </c>
      <c r="B1190" s="439" t="s">
        <v>2273</v>
      </c>
      <c r="C1190" s="438" t="s">
        <v>99</v>
      </c>
      <c r="D1190" s="438" t="s">
        <v>2274</v>
      </c>
      <c r="E1190" s="438" t="s">
        <v>1631</v>
      </c>
      <c r="F1190" s="438"/>
      <c r="G1190" s="440" t="s">
        <v>73</v>
      </c>
      <c r="H1190" s="441">
        <v>1.05</v>
      </c>
      <c r="I1190" s="441">
        <v>0</v>
      </c>
      <c r="J1190" s="449">
        <v>146.18</v>
      </c>
      <c r="K1190" s="449">
        <v>153.48</v>
      </c>
    </row>
    <row r="1191" customHeight="1" spans="1:11">
      <c r="A1191" s="438" t="s">
        <v>1750</v>
      </c>
      <c r="B1191" s="439" t="s">
        <v>2275</v>
      </c>
      <c r="C1191" s="438" t="s">
        <v>99</v>
      </c>
      <c r="D1191" s="438" t="s">
        <v>2276</v>
      </c>
      <c r="E1191" s="438" t="s">
        <v>1631</v>
      </c>
      <c r="F1191" s="438"/>
      <c r="G1191" s="440" t="s">
        <v>73</v>
      </c>
      <c r="H1191" s="441">
        <v>1.1</v>
      </c>
      <c r="I1191" s="441">
        <v>0</v>
      </c>
      <c r="J1191" s="449">
        <v>645.47</v>
      </c>
      <c r="K1191" s="449">
        <v>710.01</v>
      </c>
    </row>
    <row r="1192" customHeight="1" spans="1:11">
      <c r="A1192" s="434"/>
      <c r="B1192" s="434"/>
      <c r="C1192" s="434"/>
      <c r="D1192" s="434"/>
      <c r="E1192" s="434"/>
      <c r="F1192" s="434" t="s">
        <v>1735</v>
      </c>
      <c r="G1192" s="435">
        <v>0</v>
      </c>
      <c r="H1192" s="434" t="s">
        <v>1736</v>
      </c>
      <c r="I1192" s="435">
        <v>0</v>
      </c>
      <c r="J1192" s="434" t="s">
        <v>1737</v>
      </c>
      <c r="K1192" s="435">
        <v>0</v>
      </c>
    </row>
    <row r="1193" customHeight="1" spans="1:11">
      <c r="A1193" s="434"/>
      <c r="B1193" s="434"/>
      <c r="C1193" s="434"/>
      <c r="D1193" s="434"/>
      <c r="E1193" s="434"/>
      <c r="F1193" s="434" t="s">
        <v>1738</v>
      </c>
      <c r="G1193" s="435">
        <v>243.02</v>
      </c>
      <c r="H1193" s="434"/>
      <c r="I1193" s="434" t="s">
        <v>1739</v>
      </c>
      <c r="J1193" s="434"/>
      <c r="K1193" s="435">
        <v>1228.51</v>
      </c>
    </row>
    <row r="1194" customHeight="1" spans="1:11">
      <c r="A1194" s="436"/>
      <c r="B1194" s="436"/>
      <c r="C1194" s="436"/>
      <c r="D1194" s="436"/>
      <c r="E1194" s="436"/>
      <c r="F1194" s="436"/>
      <c r="G1194" s="436"/>
      <c r="H1194" s="436" t="s">
        <v>1740</v>
      </c>
      <c r="I1194" s="447" t="s">
        <v>2277</v>
      </c>
      <c r="J1194" s="436" t="s">
        <v>1742</v>
      </c>
      <c r="K1194" s="448">
        <v>145701.28</v>
      </c>
    </row>
    <row r="1195" customHeight="1" spans="1:11">
      <c r="A1195" s="437"/>
      <c r="B1195" s="437"/>
      <c r="C1195" s="437"/>
      <c r="D1195" s="437"/>
      <c r="E1195" s="437"/>
      <c r="F1195" s="437"/>
      <c r="G1195" s="437"/>
      <c r="H1195" s="437"/>
      <c r="I1195" s="437"/>
      <c r="J1195" s="437"/>
      <c r="K1195" s="437"/>
    </row>
    <row r="1196" customHeight="1" spans="1:11">
      <c r="A1196" s="422" t="s">
        <v>399</v>
      </c>
      <c r="B1196" s="422"/>
      <c r="C1196" s="422"/>
      <c r="D1196" s="422" t="s">
        <v>400</v>
      </c>
      <c r="E1196" s="422"/>
      <c r="F1196" s="422"/>
      <c r="G1196" s="422"/>
      <c r="H1196" s="422"/>
      <c r="I1196" s="443"/>
      <c r="J1196" s="422"/>
      <c r="K1196" s="444">
        <v>9908.32</v>
      </c>
    </row>
    <row r="1197" customHeight="1" spans="1:11">
      <c r="A1197" s="423" t="s">
        <v>401</v>
      </c>
      <c r="B1197" s="424" t="s">
        <v>1714</v>
      </c>
      <c r="C1197" s="423" t="s">
        <v>1715</v>
      </c>
      <c r="D1197" s="423" t="s">
        <v>1716</v>
      </c>
      <c r="E1197" s="423" t="s">
        <v>1717</v>
      </c>
      <c r="F1197" s="423"/>
      <c r="G1197" s="425" t="s">
        <v>1718</v>
      </c>
      <c r="H1197" s="424" t="s">
        <v>1719</v>
      </c>
      <c r="I1197" s="424" t="s">
        <v>1720</v>
      </c>
      <c r="J1197" s="424" t="s">
        <v>1721</v>
      </c>
      <c r="K1197" s="424" t="s">
        <v>1722</v>
      </c>
    </row>
    <row r="1198" customHeight="1" spans="1:11">
      <c r="A1198" s="426" t="s">
        <v>1723</v>
      </c>
      <c r="B1198" s="427" t="s">
        <v>402</v>
      </c>
      <c r="C1198" s="426" t="s">
        <v>65</v>
      </c>
      <c r="D1198" s="426" t="s">
        <v>403</v>
      </c>
      <c r="E1198" s="426" t="s">
        <v>62</v>
      </c>
      <c r="F1198" s="426"/>
      <c r="G1198" s="428" t="s">
        <v>67</v>
      </c>
      <c r="H1198" s="429">
        <v>1</v>
      </c>
      <c r="I1198" s="445"/>
      <c r="J1198" s="445">
        <v>56.75</v>
      </c>
      <c r="K1198" s="445">
        <v>56.75</v>
      </c>
    </row>
    <row r="1199" customHeight="1" spans="1:11">
      <c r="A1199" s="430" t="s">
        <v>1724</v>
      </c>
      <c r="B1199" s="431" t="s">
        <v>1800</v>
      </c>
      <c r="C1199" s="430" t="s">
        <v>71</v>
      </c>
      <c r="D1199" s="430" t="s">
        <v>1801</v>
      </c>
      <c r="E1199" s="430" t="s">
        <v>1708</v>
      </c>
      <c r="F1199" s="430"/>
      <c r="G1199" s="432" t="s">
        <v>82</v>
      </c>
      <c r="H1199" s="433">
        <v>0.1</v>
      </c>
      <c r="I1199" s="433">
        <v>0</v>
      </c>
      <c r="J1199" s="446">
        <v>29.91</v>
      </c>
      <c r="K1199" s="446">
        <v>2.99</v>
      </c>
    </row>
    <row r="1200" customHeight="1" spans="1:11">
      <c r="A1200" s="430" t="s">
        <v>1724</v>
      </c>
      <c r="B1200" s="431" t="s">
        <v>2159</v>
      </c>
      <c r="C1200" s="430" t="s">
        <v>71</v>
      </c>
      <c r="D1200" s="430" t="s">
        <v>2160</v>
      </c>
      <c r="E1200" s="430" t="s">
        <v>1708</v>
      </c>
      <c r="F1200" s="430"/>
      <c r="G1200" s="432" t="s">
        <v>82</v>
      </c>
      <c r="H1200" s="433">
        <v>0.1</v>
      </c>
      <c r="I1200" s="433">
        <v>0</v>
      </c>
      <c r="J1200" s="446">
        <v>39.71</v>
      </c>
      <c r="K1200" s="446">
        <v>3.97</v>
      </c>
    </row>
    <row r="1201" customHeight="1" spans="1:11">
      <c r="A1201" s="438" t="s">
        <v>1750</v>
      </c>
      <c r="B1201" s="439" t="s">
        <v>2278</v>
      </c>
      <c r="C1201" s="438" t="s">
        <v>71</v>
      </c>
      <c r="D1201" s="438" t="s">
        <v>2279</v>
      </c>
      <c r="E1201" s="438" t="s">
        <v>1631</v>
      </c>
      <c r="F1201" s="438"/>
      <c r="G1201" s="440" t="s">
        <v>78</v>
      </c>
      <c r="H1201" s="441">
        <v>1</v>
      </c>
      <c r="I1201" s="441">
        <v>0</v>
      </c>
      <c r="J1201" s="449">
        <v>49.79</v>
      </c>
      <c r="K1201" s="449">
        <v>49.79</v>
      </c>
    </row>
    <row r="1202" customHeight="1" spans="1:11">
      <c r="A1202" s="434"/>
      <c r="B1202" s="434"/>
      <c r="C1202" s="434"/>
      <c r="D1202" s="434"/>
      <c r="E1202" s="434"/>
      <c r="F1202" s="434" t="s">
        <v>1735</v>
      </c>
      <c r="G1202" s="435">
        <v>2.62</v>
      </c>
      <c r="H1202" s="434" t="s">
        <v>1736</v>
      </c>
      <c r="I1202" s="435">
        <v>2.38</v>
      </c>
      <c r="J1202" s="434" t="s">
        <v>1737</v>
      </c>
      <c r="K1202" s="435">
        <v>5</v>
      </c>
    </row>
    <row r="1203" customHeight="1" spans="1:11">
      <c r="A1203" s="434"/>
      <c r="B1203" s="434"/>
      <c r="C1203" s="434"/>
      <c r="D1203" s="434"/>
      <c r="E1203" s="434"/>
      <c r="F1203" s="434" t="s">
        <v>1738</v>
      </c>
      <c r="G1203" s="435">
        <v>13.99</v>
      </c>
      <c r="H1203" s="434"/>
      <c r="I1203" s="434" t="s">
        <v>1739</v>
      </c>
      <c r="J1203" s="434"/>
      <c r="K1203" s="435">
        <v>70.74</v>
      </c>
    </row>
    <row r="1204" customHeight="1" spans="1:11">
      <c r="A1204" s="436"/>
      <c r="B1204" s="436"/>
      <c r="C1204" s="436"/>
      <c r="D1204" s="436"/>
      <c r="E1204" s="436"/>
      <c r="F1204" s="436"/>
      <c r="G1204" s="436"/>
      <c r="H1204" s="436" t="s">
        <v>1740</v>
      </c>
      <c r="I1204" s="447" t="s">
        <v>2280</v>
      </c>
      <c r="J1204" s="436" t="s">
        <v>1742</v>
      </c>
      <c r="K1204" s="448">
        <v>6150.13</v>
      </c>
    </row>
    <row r="1205" customHeight="1" spans="1:11">
      <c r="A1205" s="437"/>
      <c r="B1205" s="437"/>
      <c r="C1205" s="437"/>
      <c r="D1205" s="437"/>
      <c r="E1205" s="437"/>
      <c r="F1205" s="437"/>
      <c r="G1205" s="437"/>
      <c r="H1205" s="437"/>
      <c r="I1205" s="437"/>
      <c r="J1205" s="437"/>
      <c r="K1205" s="437"/>
    </row>
    <row r="1206" customHeight="1" spans="1:11">
      <c r="A1206" s="423" t="s">
        <v>404</v>
      </c>
      <c r="B1206" s="424" t="s">
        <v>1714</v>
      </c>
      <c r="C1206" s="423" t="s">
        <v>1715</v>
      </c>
      <c r="D1206" s="423" t="s">
        <v>1716</v>
      </c>
      <c r="E1206" s="423" t="s">
        <v>1717</v>
      </c>
      <c r="F1206" s="423"/>
      <c r="G1206" s="425" t="s">
        <v>1718</v>
      </c>
      <c r="H1206" s="424" t="s">
        <v>1719</v>
      </c>
      <c r="I1206" s="424" t="s">
        <v>1720</v>
      </c>
      <c r="J1206" s="424" t="s">
        <v>1721</v>
      </c>
      <c r="K1206" s="424" t="s">
        <v>1722</v>
      </c>
    </row>
    <row r="1207" customHeight="1" spans="1:11">
      <c r="A1207" s="426" t="s">
        <v>1723</v>
      </c>
      <c r="B1207" s="427" t="s">
        <v>405</v>
      </c>
      <c r="C1207" s="426" t="s">
        <v>65</v>
      </c>
      <c r="D1207" s="426" t="s">
        <v>406</v>
      </c>
      <c r="E1207" s="426" t="s">
        <v>62</v>
      </c>
      <c r="F1207" s="426"/>
      <c r="G1207" s="428" t="s">
        <v>67</v>
      </c>
      <c r="H1207" s="429">
        <v>1</v>
      </c>
      <c r="I1207" s="445"/>
      <c r="J1207" s="445">
        <v>118.23</v>
      </c>
      <c r="K1207" s="445">
        <v>118.23</v>
      </c>
    </row>
    <row r="1208" customHeight="1" spans="1:11">
      <c r="A1208" s="430" t="s">
        <v>1724</v>
      </c>
      <c r="B1208" s="431" t="s">
        <v>2159</v>
      </c>
      <c r="C1208" s="430" t="s">
        <v>71</v>
      </c>
      <c r="D1208" s="430" t="s">
        <v>2160</v>
      </c>
      <c r="E1208" s="430" t="s">
        <v>1708</v>
      </c>
      <c r="F1208" s="430"/>
      <c r="G1208" s="432" t="s">
        <v>82</v>
      </c>
      <c r="H1208" s="433">
        <v>0.5</v>
      </c>
      <c r="I1208" s="433">
        <v>0</v>
      </c>
      <c r="J1208" s="446">
        <v>39.71</v>
      </c>
      <c r="K1208" s="446">
        <v>19.85</v>
      </c>
    </row>
    <row r="1209" customHeight="1" spans="1:11">
      <c r="A1209" s="430" t="s">
        <v>1724</v>
      </c>
      <c r="B1209" s="431" t="s">
        <v>1800</v>
      </c>
      <c r="C1209" s="430" t="s">
        <v>71</v>
      </c>
      <c r="D1209" s="430" t="s">
        <v>1801</v>
      </c>
      <c r="E1209" s="430" t="s">
        <v>1708</v>
      </c>
      <c r="F1209" s="430"/>
      <c r="G1209" s="432" t="s">
        <v>82</v>
      </c>
      <c r="H1209" s="433">
        <v>0.5</v>
      </c>
      <c r="I1209" s="433">
        <v>0</v>
      </c>
      <c r="J1209" s="446">
        <v>29.91</v>
      </c>
      <c r="K1209" s="446">
        <v>14.95</v>
      </c>
    </row>
    <row r="1210" customHeight="1" spans="1:11">
      <c r="A1210" s="438" t="s">
        <v>1750</v>
      </c>
      <c r="B1210" s="439" t="s">
        <v>2281</v>
      </c>
      <c r="C1210" s="438" t="s">
        <v>76</v>
      </c>
      <c r="D1210" s="438" t="s">
        <v>2282</v>
      </c>
      <c r="E1210" s="438" t="s">
        <v>1631</v>
      </c>
      <c r="F1210" s="438"/>
      <c r="G1210" s="440" t="s">
        <v>73</v>
      </c>
      <c r="H1210" s="441">
        <v>0.15</v>
      </c>
      <c r="I1210" s="441">
        <v>0</v>
      </c>
      <c r="J1210" s="449">
        <v>556.2</v>
      </c>
      <c r="K1210" s="449">
        <v>83.43</v>
      </c>
    </row>
    <row r="1211" customHeight="1" spans="1:11">
      <c r="A1211" s="434"/>
      <c r="B1211" s="434"/>
      <c r="C1211" s="434"/>
      <c r="D1211" s="434"/>
      <c r="E1211" s="434"/>
      <c r="F1211" s="434" t="s">
        <v>1735</v>
      </c>
      <c r="G1211" s="435">
        <v>13.1</v>
      </c>
      <c r="H1211" s="434" t="s">
        <v>1736</v>
      </c>
      <c r="I1211" s="435">
        <v>11.9</v>
      </c>
      <c r="J1211" s="434" t="s">
        <v>1737</v>
      </c>
      <c r="K1211" s="435">
        <v>25</v>
      </c>
    </row>
    <row r="1212" customHeight="1" spans="1:11">
      <c r="A1212" s="434"/>
      <c r="B1212" s="434"/>
      <c r="C1212" s="434"/>
      <c r="D1212" s="434"/>
      <c r="E1212" s="434"/>
      <c r="F1212" s="434" t="s">
        <v>1738</v>
      </c>
      <c r="G1212" s="435">
        <v>29.15</v>
      </c>
      <c r="H1212" s="434"/>
      <c r="I1212" s="434" t="s">
        <v>1739</v>
      </c>
      <c r="J1212" s="434"/>
      <c r="K1212" s="435">
        <v>147.38</v>
      </c>
    </row>
    <row r="1213" customHeight="1" spans="1:11">
      <c r="A1213" s="436"/>
      <c r="B1213" s="436"/>
      <c r="C1213" s="436"/>
      <c r="D1213" s="436"/>
      <c r="E1213" s="436"/>
      <c r="F1213" s="436"/>
      <c r="G1213" s="436"/>
      <c r="H1213" s="436" t="s">
        <v>1740</v>
      </c>
      <c r="I1213" s="447" t="s">
        <v>2283</v>
      </c>
      <c r="J1213" s="436" t="s">
        <v>1742</v>
      </c>
      <c r="K1213" s="448">
        <v>3758.19</v>
      </c>
    </row>
    <row r="1214" customHeight="1" spans="1:11">
      <c r="A1214" s="437"/>
      <c r="B1214" s="437"/>
      <c r="C1214" s="437"/>
      <c r="D1214" s="437"/>
      <c r="E1214" s="437"/>
      <c r="F1214" s="437"/>
      <c r="G1214" s="437"/>
      <c r="H1214" s="437"/>
      <c r="I1214" s="437"/>
      <c r="J1214" s="437"/>
      <c r="K1214" s="437"/>
    </row>
    <row r="1215" customHeight="1" spans="1:11">
      <c r="A1215" s="422" t="s">
        <v>407</v>
      </c>
      <c r="B1215" s="422"/>
      <c r="C1215" s="422"/>
      <c r="D1215" s="422" t="s">
        <v>29</v>
      </c>
      <c r="E1215" s="422"/>
      <c r="F1215" s="422"/>
      <c r="G1215" s="422"/>
      <c r="H1215" s="422"/>
      <c r="I1215" s="443"/>
      <c r="J1215" s="422"/>
      <c r="K1215" s="444">
        <v>113067.58</v>
      </c>
    </row>
    <row r="1216" customHeight="1" spans="1:11">
      <c r="A1216" s="422" t="s">
        <v>408</v>
      </c>
      <c r="B1216" s="422"/>
      <c r="C1216" s="422"/>
      <c r="D1216" s="422" t="s">
        <v>409</v>
      </c>
      <c r="E1216" s="422"/>
      <c r="F1216" s="422"/>
      <c r="G1216" s="422"/>
      <c r="H1216" s="422"/>
      <c r="I1216" s="443"/>
      <c r="J1216" s="422"/>
      <c r="K1216" s="444">
        <v>33073.33</v>
      </c>
    </row>
    <row r="1217" customHeight="1" spans="1:11">
      <c r="A1217" s="422" t="s">
        <v>410</v>
      </c>
      <c r="B1217" s="422"/>
      <c r="C1217" s="422"/>
      <c r="D1217" s="422" t="s">
        <v>411</v>
      </c>
      <c r="E1217" s="422"/>
      <c r="F1217" s="422"/>
      <c r="G1217" s="422"/>
      <c r="H1217" s="422"/>
      <c r="I1217" s="443"/>
      <c r="J1217" s="422"/>
      <c r="K1217" s="444">
        <v>27129.63</v>
      </c>
    </row>
    <row r="1218" customHeight="1" spans="1:11">
      <c r="A1218" s="423" t="s">
        <v>412</v>
      </c>
      <c r="B1218" s="424" t="s">
        <v>1714</v>
      </c>
      <c r="C1218" s="423" t="s">
        <v>1715</v>
      </c>
      <c r="D1218" s="423" t="s">
        <v>1716</v>
      </c>
      <c r="E1218" s="423" t="s">
        <v>1717</v>
      </c>
      <c r="F1218" s="423"/>
      <c r="G1218" s="425" t="s">
        <v>1718</v>
      </c>
      <c r="H1218" s="424" t="s">
        <v>1719</v>
      </c>
      <c r="I1218" s="424" t="s">
        <v>1720</v>
      </c>
      <c r="J1218" s="424" t="s">
        <v>1721</v>
      </c>
      <c r="K1218" s="424" t="s">
        <v>1722</v>
      </c>
    </row>
    <row r="1219" customHeight="1" spans="1:11">
      <c r="A1219" s="426" t="s">
        <v>1723</v>
      </c>
      <c r="B1219" s="427" t="s">
        <v>413</v>
      </c>
      <c r="C1219" s="426" t="s">
        <v>71</v>
      </c>
      <c r="D1219" s="426" t="s">
        <v>414</v>
      </c>
      <c r="E1219" s="426" t="s">
        <v>1659</v>
      </c>
      <c r="F1219" s="426"/>
      <c r="G1219" s="428" t="s">
        <v>78</v>
      </c>
      <c r="H1219" s="429">
        <v>1</v>
      </c>
      <c r="I1219" s="445"/>
      <c r="J1219" s="445">
        <v>25.5</v>
      </c>
      <c r="K1219" s="445">
        <v>25.5</v>
      </c>
    </row>
    <row r="1220" customHeight="1" spans="1:11">
      <c r="A1220" s="430" t="s">
        <v>1724</v>
      </c>
      <c r="B1220" s="431" t="s">
        <v>1854</v>
      </c>
      <c r="C1220" s="430" t="s">
        <v>71</v>
      </c>
      <c r="D1220" s="430" t="s">
        <v>1855</v>
      </c>
      <c r="E1220" s="430" t="s">
        <v>1708</v>
      </c>
      <c r="F1220" s="430"/>
      <c r="G1220" s="432" t="s">
        <v>82</v>
      </c>
      <c r="H1220" s="433">
        <v>0.3279</v>
      </c>
      <c r="I1220" s="433">
        <v>0</v>
      </c>
      <c r="J1220" s="446">
        <v>35.55</v>
      </c>
      <c r="K1220" s="446">
        <v>11.65</v>
      </c>
    </row>
    <row r="1221" customHeight="1" spans="1:11">
      <c r="A1221" s="430" t="s">
        <v>1724</v>
      </c>
      <c r="B1221" s="431" t="s">
        <v>1859</v>
      </c>
      <c r="C1221" s="430" t="s">
        <v>71</v>
      </c>
      <c r="D1221" s="430" t="s">
        <v>1860</v>
      </c>
      <c r="E1221" s="430" t="s">
        <v>1708</v>
      </c>
      <c r="F1221" s="430"/>
      <c r="G1221" s="432" t="s">
        <v>82</v>
      </c>
      <c r="H1221" s="433">
        <v>0.3279</v>
      </c>
      <c r="I1221" s="433">
        <v>0</v>
      </c>
      <c r="J1221" s="446">
        <v>29.54</v>
      </c>
      <c r="K1221" s="446">
        <v>9.68</v>
      </c>
    </row>
    <row r="1222" customHeight="1" spans="1:11">
      <c r="A1222" s="438" t="s">
        <v>1750</v>
      </c>
      <c r="B1222" s="439" t="s">
        <v>2284</v>
      </c>
      <c r="C1222" s="438" t="s">
        <v>71</v>
      </c>
      <c r="D1222" s="438" t="s">
        <v>2285</v>
      </c>
      <c r="E1222" s="438" t="s">
        <v>1631</v>
      </c>
      <c r="F1222" s="438"/>
      <c r="G1222" s="440" t="s">
        <v>105</v>
      </c>
      <c r="H1222" s="441">
        <v>0.0765</v>
      </c>
      <c r="I1222" s="441">
        <v>0</v>
      </c>
      <c r="J1222" s="449">
        <v>2.08</v>
      </c>
      <c r="K1222" s="449">
        <v>0.15</v>
      </c>
    </row>
    <row r="1223" customHeight="1" spans="1:11">
      <c r="A1223" s="438" t="s">
        <v>1750</v>
      </c>
      <c r="B1223" s="439" t="s">
        <v>2286</v>
      </c>
      <c r="C1223" s="438" t="s">
        <v>71</v>
      </c>
      <c r="D1223" s="438" t="s">
        <v>2287</v>
      </c>
      <c r="E1223" s="438" t="s">
        <v>1631</v>
      </c>
      <c r="F1223" s="438"/>
      <c r="G1223" s="440" t="s">
        <v>78</v>
      </c>
      <c r="H1223" s="441">
        <v>1.0493</v>
      </c>
      <c r="I1223" s="441">
        <v>0</v>
      </c>
      <c r="J1223" s="449">
        <v>3.84</v>
      </c>
      <c r="K1223" s="449">
        <v>4.02</v>
      </c>
    </row>
    <row r="1224" customHeight="1" spans="1:11">
      <c r="A1224" s="434"/>
      <c r="B1224" s="434"/>
      <c r="C1224" s="434"/>
      <c r="D1224" s="434"/>
      <c r="E1224" s="434"/>
      <c r="F1224" s="434" t="s">
        <v>1735</v>
      </c>
      <c r="G1224" s="435">
        <v>7.95</v>
      </c>
      <c r="H1224" s="434" t="s">
        <v>1736</v>
      </c>
      <c r="I1224" s="435">
        <v>7.24</v>
      </c>
      <c r="J1224" s="434" t="s">
        <v>1737</v>
      </c>
      <c r="K1224" s="435">
        <v>15.19</v>
      </c>
    </row>
    <row r="1225" customHeight="1" spans="1:11">
      <c r="A1225" s="434"/>
      <c r="B1225" s="434"/>
      <c r="C1225" s="434"/>
      <c r="D1225" s="434"/>
      <c r="E1225" s="434"/>
      <c r="F1225" s="434" t="s">
        <v>1738</v>
      </c>
      <c r="G1225" s="435">
        <v>6.28</v>
      </c>
      <c r="H1225" s="434"/>
      <c r="I1225" s="434" t="s">
        <v>1739</v>
      </c>
      <c r="J1225" s="434"/>
      <c r="K1225" s="435">
        <v>31.78</v>
      </c>
    </row>
    <row r="1226" customHeight="1" spans="1:11">
      <c r="A1226" s="436"/>
      <c r="B1226" s="436"/>
      <c r="C1226" s="436"/>
      <c r="D1226" s="436"/>
      <c r="E1226" s="436"/>
      <c r="F1226" s="436"/>
      <c r="G1226" s="436"/>
      <c r="H1226" s="436" t="s">
        <v>1740</v>
      </c>
      <c r="I1226" s="447" t="s">
        <v>1964</v>
      </c>
      <c r="J1226" s="436" t="s">
        <v>1742</v>
      </c>
      <c r="K1226" s="448">
        <v>317.8</v>
      </c>
    </row>
    <row r="1227" customHeight="1" spans="1:11">
      <c r="A1227" s="437"/>
      <c r="B1227" s="437"/>
      <c r="C1227" s="437"/>
      <c r="D1227" s="437"/>
      <c r="E1227" s="437"/>
      <c r="F1227" s="437"/>
      <c r="G1227" s="437"/>
      <c r="H1227" s="437"/>
      <c r="I1227" s="437"/>
      <c r="J1227" s="437"/>
      <c r="K1227" s="437"/>
    </row>
    <row r="1228" customHeight="1" spans="1:11">
      <c r="A1228" s="423" t="s">
        <v>415</v>
      </c>
      <c r="B1228" s="424" t="s">
        <v>1714</v>
      </c>
      <c r="C1228" s="423" t="s">
        <v>1715</v>
      </c>
      <c r="D1228" s="423" t="s">
        <v>1716</v>
      </c>
      <c r="E1228" s="423" t="s">
        <v>1717</v>
      </c>
      <c r="F1228" s="423"/>
      <c r="G1228" s="425" t="s">
        <v>1718</v>
      </c>
      <c r="H1228" s="424" t="s">
        <v>1719</v>
      </c>
      <c r="I1228" s="424" t="s">
        <v>1720</v>
      </c>
      <c r="J1228" s="424" t="s">
        <v>1721</v>
      </c>
      <c r="K1228" s="424" t="s">
        <v>1722</v>
      </c>
    </row>
    <row r="1229" customHeight="1" spans="1:11">
      <c r="A1229" s="426" t="s">
        <v>1723</v>
      </c>
      <c r="B1229" s="427" t="s">
        <v>416</v>
      </c>
      <c r="C1229" s="426" t="s">
        <v>71</v>
      </c>
      <c r="D1229" s="426" t="s">
        <v>417</v>
      </c>
      <c r="E1229" s="426" t="s">
        <v>1659</v>
      </c>
      <c r="F1229" s="426"/>
      <c r="G1229" s="428" t="s">
        <v>78</v>
      </c>
      <c r="H1229" s="429">
        <v>1</v>
      </c>
      <c r="I1229" s="445"/>
      <c r="J1229" s="445">
        <v>29.44</v>
      </c>
      <c r="K1229" s="445">
        <v>29.44</v>
      </c>
    </row>
    <row r="1230" customHeight="1" spans="1:11">
      <c r="A1230" s="430" t="s">
        <v>1724</v>
      </c>
      <c r="B1230" s="431" t="s">
        <v>1854</v>
      </c>
      <c r="C1230" s="430" t="s">
        <v>71</v>
      </c>
      <c r="D1230" s="430" t="s">
        <v>1855</v>
      </c>
      <c r="E1230" s="430" t="s">
        <v>1708</v>
      </c>
      <c r="F1230" s="430"/>
      <c r="G1230" s="432" t="s">
        <v>82</v>
      </c>
      <c r="H1230" s="433">
        <v>0.38</v>
      </c>
      <c r="I1230" s="433">
        <v>0</v>
      </c>
      <c r="J1230" s="446">
        <v>35.55</v>
      </c>
      <c r="K1230" s="446">
        <v>13.5</v>
      </c>
    </row>
    <row r="1231" customHeight="1" spans="1:11">
      <c r="A1231" s="430" t="s">
        <v>1724</v>
      </c>
      <c r="B1231" s="431" t="s">
        <v>1859</v>
      </c>
      <c r="C1231" s="430" t="s">
        <v>71</v>
      </c>
      <c r="D1231" s="430" t="s">
        <v>1860</v>
      </c>
      <c r="E1231" s="430" t="s">
        <v>1708</v>
      </c>
      <c r="F1231" s="430"/>
      <c r="G1231" s="432" t="s">
        <v>82</v>
      </c>
      <c r="H1231" s="433">
        <v>0.38</v>
      </c>
      <c r="I1231" s="433">
        <v>0</v>
      </c>
      <c r="J1231" s="446">
        <v>29.54</v>
      </c>
      <c r="K1231" s="446">
        <v>11.22</v>
      </c>
    </row>
    <row r="1232" customHeight="1" spans="1:11">
      <c r="A1232" s="438" t="s">
        <v>1750</v>
      </c>
      <c r="B1232" s="439" t="s">
        <v>1871</v>
      </c>
      <c r="C1232" s="438" t="s">
        <v>71</v>
      </c>
      <c r="D1232" s="438" t="s">
        <v>1872</v>
      </c>
      <c r="E1232" s="438" t="s">
        <v>1631</v>
      </c>
      <c r="F1232" s="438"/>
      <c r="G1232" s="440" t="s">
        <v>78</v>
      </c>
      <c r="H1232" s="441">
        <v>1.0493</v>
      </c>
      <c r="I1232" s="441">
        <v>0</v>
      </c>
      <c r="J1232" s="449">
        <v>4.33</v>
      </c>
      <c r="K1232" s="449">
        <v>4.54</v>
      </c>
    </row>
    <row r="1233" customHeight="1" spans="1:11">
      <c r="A1233" s="438" t="s">
        <v>1750</v>
      </c>
      <c r="B1233" s="439" t="s">
        <v>2284</v>
      </c>
      <c r="C1233" s="438" t="s">
        <v>71</v>
      </c>
      <c r="D1233" s="438" t="s">
        <v>2285</v>
      </c>
      <c r="E1233" s="438" t="s">
        <v>1631</v>
      </c>
      <c r="F1233" s="438"/>
      <c r="G1233" s="440" t="s">
        <v>105</v>
      </c>
      <c r="H1233" s="441">
        <v>0.0886</v>
      </c>
      <c r="I1233" s="441">
        <v>0</v>
      </c>
      <c r="J1233" s="449">
        <v>2.08</v>
      </c>
      <c r="K1233" s="449">
        <v>0.18</v>
      </c>
    </row>
    <row r="1234" customHeight="1" spans="1:11">
      <c r="A1234" s="434"/>
      <c r="B1234" s="434"/>
      <c r="C1234" s="434"/>
      <c r="D1234" s="434"/>
      <c r="E1234" s="434"/>
      <c r="F1234" s="434" t="s">
        <v>1735</v>
      </c>
      <c r="G1234" s="435">
        <v>9.22</v>
      </c>
      <c r="H1234" s="434" t="s">
        <v>1736</v>
      </c>
      <c r="I1234" s="435">
        <v>8.38</v>
      </c>
      <c r="J1234" s="434" t="s">
        <v>1737</v>
      </c>
      <c r="K1234" s="435">
        <v>17.6</v>
      </c>
    </row>
    <row r="1235" customHeight="1" spans="1:11">
      <c r="A1235" s="434"/>
      <c r="B1235" s="434"/>
      <c r="C1235" s="434"/>
      <c r="D1235" s="434"/>
      <c r="E1235" s="434"/>
      <c r="F1235" s="434" t="s">
        <v>1738</v>
      </c>
      <c r="G1235" s="435">
        <v>7.25</v>
      </c>
      <c r="H1235" s="434"/>
      <c r="I1235" s="434" t="s">
        <v>1739</v>
      </c>
      <c r="J1235" s="434"/>
      <c r="K1235" s="435">
        <v>36.69</v>
      </c>
    </row>
    <row r="1236" customHeight="1" spans="1:11">
      <c r="A1236" s="436"/>
      <c r="B1236" s="436"/>
      <c r="C1236" s="436"/>
      <c r="D1236" s="436"/>
      <c r="E1236" s="436"/>
      <c r="F1236" s="436"/>
      <c r="G1236" s="436"/>
      <c r="H1236" s="436" t="s">
        <v>1740</v>
      </c>
      <c r="I1236" s="447" t="s">
        <v>2288</v>
      </c>
      <c r="J1236" s="436" t="s">
        <v>1742</v>
      </c>
      <c r="K1236" s="448">
        <v>6273.99</v>
      </c>
    </row>
    <row r="1237" customHeight="1" spans="1:11">
      <c r="A1237" s="437"/>
      <c r="B1237" s="437"/>
      <c r="C1237" s="437"/>
      <c r="D1237" s="437"/>
      <c r="E1237" s="437"/>
      <c r="F1237" s="437"/>
      <c r="G1237" s="437"/>
      <c r="H1237" s="437"/>
      <c r="I1237" s="437"/>
      <c r="J1237" s="437"/>
      <c r="K1237" s="437"/>
    </row>
    <row r="1238" customHeight="1" spans="1:11">
      <c r="A1238" s="423" t="s">
        <v>418</v>
      </c>
      <c r="B1238" s="424" t="s">
        <v>1714</v>
      </c>
      <c r="C1238" s="423" t="s">
        <v>1715</v>
      </c>
      <c r="D1238" s="423" t="s">
        <v>1716</v>
      </c>
      <c r="E1238" s="423" t="s">
        <v>1717</v>
      </c>
      <c r="F1238" s="423"/>
      <c r="G1238" s="425" t="s">
        <v>1718</v>
      </c>
      <c r="H1238" s="424" t="s">
        <v>1719</v>
      </c>
      <c r="I1238" s="424" t="s">
        <v>1720</v>
      </c>
      <c r="J1238" s="424" t="s">
        <v>1721</v>
      </c>
      <c r="K1238" s="424" t="s">
        <v>1722</v>
      </c>
    </row>
    <row r="1239" customHeight="1" spans="1:11">
      <c r="A1239" s="426" t="s">
        <v>1723</v>
      </c>
      <c r="B1239" s="427" t="s">
        <v>419</v>
      </c>
      <c r="C1239" s="426" t="s">
        <v>71</v>
      </c>
      <c r="D1239" s="426" t="s">
        <v>420</v>
      </c>
      <c r="E1239" s="426" t="s">
        <v>1659</v>
      </c>
      <c r="F1239" s="426"/>
      <c r="G1239" s="428" t="s">
        <v>78</v>
      </c>
      <c r="H1239" s="429">
        <v>1</v>
      </c>
      <c r="I1239" s="445"/>
      <c r="J1239" s="445">
        <v>39.49</v>
      </c>
      <c r="K1239" s="445">
        <v>39.49</v>
      </c>
    </row>
    <row r="1240" customHeight="1" spans="1:11">
      <c r="A1240" s="430" t="s">
        <v>1724</v>
      </c>
      <c r="B1240" s="431" t="s">
        <v>1859</v>
      </c>
      <c r="C1240" s="430" t="s">
        <v>71</v>
      </c>
      <c r="D1240" s="430" t="s">
        <v>1860</v>
      </c>
      <c r="E1240" s="430" t="s">
        <v>1708</v>
      </c>
      <c r="F1240" s="430"/>
      <c r="G1240" s="432" t="s">
        <v>82</v>
      </c>
      <c r="H1240" s="433">
        <v>0.453</v>
      </c>
      <c r="I1240" s="433">
        <v>0</v>
      </c>
      <c r="J1240" s="446">
        <v>29.54</v>
      </c>
      <c r="K1240" s="446">
        <v>13.38</v>
      </c>
    </row>
    <row r="1241" customHeight="1" spans="1:11">
      <c r="A1241" s="430" t="s">
        <v>1724</v>
      </c>
      <c r="B1241" s="431" t="s">
        <v>1854</v>
      </c>
      <c r="C1241" s="430" t="s">
        <v>71</v>
      </c>
      <c r="D1241" s="430" t="s">
        <v>1855</v>
      </c>
      <c r="E1241" s="430" t="s">
        <v>1708</v>
      </c>
      <c r="F1241" s="430"/>
      <c r="G1241" s="432" t="s">
        <v>82</v>
      </c>
      <c r="H1241" s="433">
        <v>0.453</v>
      </c>
      <c r="I1241" s="433">
        <v>0</v>
      </c>
      <c r="J1241" s="446">
        <v>35.55</v>
      </c>
      <c r="K1241" s="446">
        <v>16.1</v>
      </c>
    </row>
    <row r="1242" customHeight="1" spans="1:11">
      <c r="A1242" s="438" t="s">
        <v>1750</v>
      </c>
      <c r="B1242" s="439" t="s">
        <v>2289</v>
      </c>
      <c r="C1242" s="438" t="s">
        <v>71</v>
      </c>
      <c r="D1242" s="438" t="s">
        <v>2290</v>
      </c>
      <c r="E1242" s="438" t="s">
        <v>1631</v>
      </c>
      <c r="F1242" s="438"/>
      <c r="G1242" s="440" t="s">
        <v>78</v>
      </c>
      <c r="H1242" s="441">
        <v>1.0493</v>
      </c>
      <c r="I1242" s="441">
        <v>0</v>
      </c>
      <c r="J1242" s="449">
        <v>9.34</v>
      </c>
      <c r="K1242" s="449">
        <v>9.8</v>
      </c>
    </row>
    <row r="1243" customHeight="1" spans="1:11">
      <c r="A1243" s="438" t="s">
        <v>1750</v>
      </c>
      <c r="B1243" s="439" t="s">
        <v>2284</v>
      </c>
      <c r="C1243" s="438" t="s">
        <v>71</v>
      </c>
      <c r="D1243" s="438" t="s">
        <v>2285</v>
      </c>
      <c r="E1243" s="438" t="s">
        <v>1631</v>
      </c>
      <c r="F1243" s="438"/>
      <c r="G1243" s="440" t="s">
        <v>105</v>
      </c>
      <c r="H1243" s="441">
        <v>0.1056</v>
      </c>
      <c r="I1243" s="441">
        <v>0</v>
      </c>
      <c r="J1243" s="449">
        <v>2.08</v>
      </c>
      <c r="K1243" s="449">
        <v>0.21</v>
      </c>
    </row>
    <row r="1244" customHeight="1" spans="1:11">
      <c r="A1244" s="434"/>
      <c r="B1244" s="434"/>
      <c r="C1244" s="434"/>
      <c r="D1244" s="434"/>
      <c r="E1244" s="434"/>
      <c r="F1244" s="434" t="s">
        <v>1735</v>
      </c>
      <c r="G1244" s="435">
        <v>10.99</v>
      </c>
      <c r="H1244" s="434" t="s">
        <v>1736</v>
      </c>
      <c r="I1244" s="435">
        <v>9.99</v>
      </c>
      <c r="J1244" s="434" t="s">
        <v>1737</v>
      </c>
      <c r="K1244" s="435">
        <v>20.98</v>
      </c>
    </row>
    <row r="1245" customHeight="1" spans="1:11">
      <c r="A1245" s="434"/>
      <c r="B1245" s="434"/>
      <c r="C1245" s="434"/>
      <c r="D1245" s="434"/>
      <c r="E1245" s="434"/>
      <c r="F1245" s="434" t="s">
        <v>1738</v>
      </c>
      <c r="G1245" s="435">
        <v>9.73</v>
      </c>
      <c r="H1245" s="434"/>
      <c r="I1245" s="434" t="s">
        <v>1739</v>
      </c>
      <c r="J1245" s="434"/>
      <c r="K1245" s="435">
        <v>49.22</v>
      </c>
    </row>
    <row r="1246" customHeight="1" spans="1:11">
      <c r="A1246" s="436"/>
      <c r="B1246" s="436"/>
      <c r="C1246" s="436"/>
      <c r="D1246" s="436"/>
      <c r="E1246" s="436"/>
      <c r="F1246" s="436"/>
      <c r="G1246" s="436"/>
      <c r="H1246" s="436" t="s">
        <v>1740</v>
      </c>
      <c r="I1246" s="447" t="s">
        <v>2291</v>
      </c>
      <c r="J1246" s="436" t="s">
        <v>1742</v>
      </c>
      <c r="K1246" s="448">
        <v>10729.96</v>
      </c>
    </row>
    <row r="1247" customHeight="1" spans="1:11">
      <c r="A1247" s="437"/>
      <c r="B1247" s="437"/>
      <c r="C1247" s="437"/>
      <c r="D1247" s="437"/>
      <c r="E1247" s="437"/>
      <c r="F1247" s="437"/>
      <c r="G1247" s="437"/>
      <c r="H1247" s="437"/>
      <c r="I1247" s="437"/>
      <c r="J1247" s="437"/>
      <c r="K1247" s="437"/>
    </row>
    <row r="1248" customHeight="1" spans="1:11">
      <c r="A1248" s="423" t="s">
        <v>421</v>
      </c>
      <c r="B1248" s="424" t="s">
        <v>1714</v>
      </c>
      <c r="C1248" s="423" t="s">
        <v>1715</v>
      </c>
      <c r="D1248" s="423" t="s">
        <v>1716</v>
      </c>
      <c r="E1248" s="423" t="s">
        <v>1717</v>
      </c>
      <c r="F1248" s="423"/>
      <c r="G1248" s="425" t="s">
        <v>1718</v>
      </c>
      <c r="H1248" s="424" t="s">
        <v>1719</v>
      </c>
      <c r="I1248" s="424" t="s">
        <v>1720</v>
      </c>
      <c r="J1248" s="424" t="s">
        <v>1721</v>
      </c>
      <c r="K1248" s="424" t="s">
        <v>1722</v>
      </c>
    </row>
    <row r="1249" customHeight="1" spans="1:11">
      <c r="A1249" s="426" t="s">
        <v>1723</v>
      </c>
      <c r="B1249" s="427" t="s">
        <v>422</v>
      </c>
      <c r="C1249" s="426" t="s">
        <v>71</v>
      </c>
      <c r="D1249" s="426" t="s">
        <v>423</v>
      </c>
      <c r="E1249" s="426" t="s">
        <v>1659</v>
      </c>
      <c r="F1249" s="426"/>
      <c r="G1249" s="428" t="s">
        <v>78</v>
      </c>
      <c r="H1249" s="429">
        <v>1</v>
      </c>
      <c r="I1249" s="445"/>
      <c r="J1249" s="445">
        <v>30.01</v>
      </c>
      <c r="K1249" s="445">
        <v>30.01</v>
      </c>
    </row>
    <row r="1250" customHeight="1" spans="1:11">
      <c r="A1250" s="430" t="s">
        <v>1724</v>
      </c>
      <c r="B1250" s="431" t="s">
        <v>1854</v>
      </c>
      <c r="C1250" s="430" t="s">
        <v>71</v>
      </c>
      <c r="D1250" s="430" t="s">
        <v>1855</v>
      </c>
      <c r="E1250" s="430" t="s">
        <v>1708</v>
      </c>
      <c r="F1250" s="430"/>
      <c r="G1250" s="432" t="s">
        <v>82</v>
      </c>
      <c r="H1250" s="433">
        <v>0.224</v>
      </c>
      <c r="I1250" s="433">
        <v>0</v>
      </c>
      <c r="J1250" s="446">
        <v>35.55</v>
      </c>
      <c r="K1250" s="446">
        <v>7.96</v>
      </c>
    </row>
    <row r="1251" customHeight="1" spans="1:11">
      <c r="A1251" s="430" t="s">
        <v>1724</v>
      </c>
      <c r="B1251" s="431" t="s">
        <v>1859</v>
      </c>
      <c r="C1251" s="430" t="s">
        <v>71</v>
      </c>
      <c r="D1251" s="430" t="s">
        <v>1860</v>
      </c>
      <c r="E1251" s="430" t="s">
        <v>1708</v>
      </c>
      <c r="F1251" s="430"/>
      <c r="G1251" s="432" t="s">
        <v>82</v>
      </c>
      <c r="H1251" s="433">
        <v>0.224</v>
      </c>
      <c r="I1251" s="433">
        <v>0</v>
      </c>
      <c r="J1251" s="446">
        <v>29.54</v>
      </c>
      <c r="K1251" s="446">
        <v>6.61</v>
      </c>
    </row>
    <row r="1252" customHeight="1" spans="1:11">
      <c r="A1252" s="438" t="s">
        <v>1750</v>
      </c>
      <c r="B1252" s="439" t="s">
        <v>2284</v>
      </c>
      <c r="C1252" s="438" t="s">
        <v>71</v>
      </c>
      <c r="D1252" s="438" t="s">
        <v>2285</v>
      </c>
      <c r="E1252" s="438" t="s">
        <v>1631</v>
      </c>
      <c r="F1252" s="438"/>
      <c r="G1252" s="440" t="s">
        <v>105</v>
      </c>
      <c r="H1252" s="441">
        <v>0.0261</v>
      </c>
      <c r="I1252" s="441">
        <v>0</v>
      </c>
      <c r="J1252" s="449">
        <v>2.08</v>
      </c>
      <c r="K1252" s="449">
        <v>0.05</v>
      </c>
    </row>
    <row r="1253" customHeight="1" spans="1:11">
      <c r="A1253" s="438" t="s">
        <v>1750</v>
      </c>
      <c r="B1253" s="439" t="s">
        <v>2292</v>
      </c>
      <c r="C1253" s="438" t="s">
        <v>71</v>
      </c>
      <c r="D1253" s="438" t="s">
        <v>2293</v>
      </c>
      <c r="E1253" s="438" t="s">
        <v>1631</v>
      </c>
      <c r="F1253" s="438"/>
      <c r="G1253" s="440" t="s">
        <v>78</v>
      </c>
      <c r="H1253" s="441">
        <v>1.0493</v>
      </c>
      <c r="I1253" s="441">
        <v>0</v>
      </c>
      <c r="J1253" s="449">
        <v>14.67</v>
      </c>
      <c r="K1253" s="449">
        <v>15.39</v>
      </c>
    </row>
    <row r="1254" customHeight="1" spans="1:11">
      <c r="A1254" s="434"/>
      <c r="B1254" s="434"/>
      <c r="C1254" s="434"/>
      <c r="D1254" s="434"/>
      <c r="E1254" s="434"/>
      <c r="F1254" s="434" t="s">
        <v>1735</v>
      </c>
      <c r="G1254" s="435">
        <v>5.43</v>
      </c>
      <c r="H1254" s="434" t="s">
        <v>1736</v>
      </c>
      <c r="I1254" s="435">
        <v>4.94</v>
      </c>
      <c r="J1254" s="434" t="s">
        <v>1737</v>
      </c>
      <c r="K1254" s="435">
        <v>10.37</v>
      </c>
    </row>
    <row r="1255" customHeight="1" spans="1:11">
      <c r="A1255" s="434"/>
      <c r="B1255" s="434"/>
      <c r="C1255" s="434"/>
      <c r="D1255" s="434"/>
      <c r="E1255" s="434"/>
      <c r="F1255" s="434" t="s">
        <v>1738</v>
      </c>
      <c r="G1255" s="435">
        <v>7.4</v>
      </c>
      <c r="H1255" s="434"/>
      <c r="I1255" s="434" t="s">
        <v>1739</v>
      </c>
      <c r="J1255" s="434"/>
      <c r="K1255" s="435">
        <v>37.41</v>
      </c>
    </row>
    <row r="1256" customHeight="1" spans="1:11">
      <c r="A1256" s="436"/>
      <c r="B1256" s="436"/>
      <c r="C1256" s="436"/>
      <c r="D1256" s="436"/>
      <c r="E1256" s="436"/>
      <c r="F1256" s="436"/>
      <c r="G1256" s="436"/>
      <c r="H1256" s="436" t="s">
        <v>1740</v>
      </c>
      <c r="I1256" s="447" t="s">
        <v>1964</v>
      </c>
      <c r="J1256" s="436" t="s">
        <v>1742</v>
      </c>
      <c r="K1256" s="448">
        <v>374.1</v>
      </c>
    </row>
    <row r="1257" customHeight="1" spans="1:11">
      <c r="A1257" s="437"/>
      <c r="B1257" s="437"/>
      <c r="C1257" s="437"/>
      <c r="D1257" s="437"/>
      <c r="E1257" s="437"/>
      <c r="F1257" s="437"/>
      <c r="G1257" s="437"/>
      <c r="H1257" s="437"/>
      <c r="I1257" s="437"/>
      <c r="J1257" s="437"/>
      <c r="K1257" s="437"/>
    </row>
    <row r="1258" customHeight="1" spans="1:11">
      <c r="A1258" s="423" t="s">
        <v>424</v>
      </c>
      <c r="B1258" s="424" t="s">
        <v>1714</v>
      </c>
      <c r="C1258" s="423" t="s">
        <v>1715</v>
      </c>
      <c r="D1258" s="423" t="s">
        <v>1716</v>
      </c>
      <c r="E1258" s="423" t="s">
        <v>1717</v>
      </c>
      <c r="F1258" s="423"/>
      <c r="G1258" s="425" t="s">
        <v>1718</v>
      </c>
      <c r="H1258" s="424" t="s">
        <v>1719</v>
      </c>
      <c r="I1258" s="424" t="s">
        <v>1720</v>
      </c>
      <c r="J1258" s="424" t="s">
        <v>1721</v>
      </c>
      <c r="K1258" s="424" t="s">
        <v>1722</v>
      </c>
    </row>
    <row r="1259" customHeight="1" spans="1:11">
      <c r="A1259" s="426" t="s">
        <v>1723</v>
      </c>
      <c r="B1259" s="427" t="s">
        <v>425</v>
      </c>
      <c r="C1259" s="426" t="s">
        <v>71</v>
      </c>
      <c r="D1259" s="426" t="s">
        <v>426</v>
      </c>
      <c r="E1259" s="426" t="s">
        <v>1659</v>
      </c>
      <c r="F1259" s="426"/>
      <c r="G1259" s="428" t="s">
        <v>105</v>
      </c>
      <c r="H1259" s="429">
        <v>1</v>
      </c>
      <c r="I1259" s="445"/>
      <c r="J1259" s="445">
        <v>20.69</v>
      </c>
      <c r="K1259" s="445">
        <v>20.69</v>
      </c>
    </row>
    <row r="1260" customHeight="1" spans="1:11">
      <c r="A1260" s="430" t="s">
        <v>1724</v>
      </c>
      <c r="B1260" s="431" t="s">
        <v>1859</v>
      </c>
      <c r="C1260" s="430" t="s">
        <v>71</v>
      </c>
      <c r="D1260" s="430" t="s">
        <v>1860</v>
      </c>
      <c r="E1260" s="430" t="s">
        <v>1708</v>
      </c>
      <c r="F1260" s="430"/>
      <c r="G1260" s="432" t="s">
        <v>82</v>
      </c>
      <c r="H1260" s="433">
        <v>0.1013</v>
      </c>
      <c r="I1260" s="433">
        <v>0</v>
      </c>
      <c r="J1260" s="446">
        <v>29.54</v>
      </c>
      <c r="K1260" s="446">
        <v>2.99</v>
      </c>
    </row>
    <row r="1261" customHeight="1" spans="1:11">
      <c r="A1261" s="430" t="s">
        <v>1724</v>
      </c>
      <c r="B1261" s="431" t="s">
        <v>1854</v>
      </c>
      <c r="C1261" s="430" t="s">
        <v>71</v>
      </c>
      <c r="D1261" s="430" t="s">
        <v>1855</v>
      </c>
      <c r="E1261" s="430" t="s">
        <v>1708</v>
      </c>
      <c r="F1261" s="430"/>
      <c r="G1261" s="432" t="s">
        <v>82</v>
      </c>
      <c r="H1261" s="433">
        <v>0.1013</v>
      </c>
      <c r="I1261" s="433">
        <v>0</v>
      </c>
      <c r="J1261" s="446">
        <v>35.55</v>
      </c>
      <c r="K1261" s="446">
        <v>3.6</v>
      </c>
    </row>
    <row r="1262" customHeight="1" spans="1:11">
      <c r="A1262" s="438" t="s">
        <v>1750</v>
      </c>
      <c r="B1262" s="439" t="s">
        <v>2294</v>
      </c>
      <c r="C1262" s="438" t="s">
        <v>71</v>
      </c>
      <c r="D1262" s="438" t="s">
        <v>2295</v>
      </c>
      <c r="E1262" s="438" t="s">
        <v>1631</v>
      </c>
      <c r="F1262" s="438"/>
      <c r="G1262" s="440" t="s">
        <v>105</v>
      </c>
      <c r="H1262" s="441">
        <v>0.008</v>
      </c>
      <c r="I1262" s="441">
        <v>0</v>
      </c>
      <c r="J1262" s="449">
        <v>82.38</v>
      </c>
      <c r="K1262" s="449">
        <v>0.65</v>
      </c>
    </row>
    <row r="1263" customHeight="1" spans="1:11">
      <c r="A1263" s="438" t="s">
        <v>1750</v>
      </c>
      <c r="B1263" s="439" t="s">
        <v>2296</v>
      </c>
      <c r="C1263" s="438" t="s">
        <v>71</v>
      </c>
      <c r="D1263" s="438" t="s">
        <v>2297</v>
      </c>
      <c r="E1263" s="438" t="s">
        <v>1631</v>
      </c>
      <c r="F1263" s="438"/>
      <c r="G1263" s="440" t="s">
        <v>105</v>
      </c>
      <c r="H1263" s="441">
        <v>0.0071</v>
      </c>
      <c r="I1263" s="441">
        <v>0</v>
      </c>
      <c r="J1263" s="449">
        <v>72.71</v>
      </c>
      <c r="K1263" s="449">
        <v>0.51</v>
      </c>
    </row>
    <row r="1264" customHeight="1" spans="1:11">
      <c r="A1264" s="438" t="s">
        <v>1750</v>
      </c>
      <c r="B1264" s="439" t="s">
        <v>2284</v>
      </c>
      <c r="C1264" s="438" t="s">
        <v>71</v>
      </c>
      <c r="D1264" s="438" t="s">
        <v>2285</v>
      </c>
      <c r="E1264" s="438" t="s">
        <v>1631</v>
      </c>
      <c r="F1264" s="438"/>
      <c r="G1264" s="440" t="s">
        <v>105</v>
      </c>
      <c r="H1264" s="441">
        <v>0.0338</v>
      </c>
      <c r="I1264" s="441">
        <v>0</v>
      </c>
      <c r="J1264" s="449">
        <v>2.08</v>
      </c>
      <c r="K1264" s="449">
        <v>0.07</v>
      </c>
    </row>
    <row r="1265" customHeight="1" spans="1:11">
      <c r="A1265" s="438" t="s">
        <v>1750</v>
      </c>
      <c r="B1265" s="439" t="s">
        <v>2298</v>
      </c>
      <c r="C1265" s="438" t="s">
        <v>71</v>
      </c>
      <c r="D1265" s="438" t="s">
        <v>2299</v>
      </c>
      <c r="E1265" s="438" t="s">
        <v>1631</v>
      </c>
      <c r="F1265" s="438"/>
      <c r="G1265" s="440" t="s">
        <v>105</v>
      </c>
      <c r="H1265" s="441">
        <v>1</v>
      </c>
      <c r="I1265" s="441">
        <v>0</v>
      </c>
      <c r="J1265" s="449">
        <v>12.87</v>
      </c>
      <c r="K1265" s="449">
        <v>12.87</v>
      </c>
    </row>
    <row r="1266" customHeight="1" spans="1:11">
      <c r="A1266" s="434"/>
      <c r="B1266" s="434"/>
      <c r="C1266" s="434"/>
      <c r="D1266" s="434"/>
      <c r="E1266" s="434"/>
      <c r="F1266" s="434" t="s">
        <v>1735</v>
      </c>
      <c r="G1266" s="435">
        <v>2.45</v>
      </c>
      <c r="H1266" s="434" t="s">
        <v>1736</v>
      </c>
      <c r="I1266" s="435">
        <v>2.24</v>
      </c>
      <c r="J1266" s="434" t="s">
        <v>1737</v>
      </c>
      <c r="K1266" s="435">
        <v>4.69</v>
      </c>
    </row>
    <row r="1267" customHeight="1" spans="1:11">
      <c r="A1267" s="434"/>
      <c r="B1267" s="434"/>
      <c r="C1267" s="434"/>
      <c r="D1267" s="434"/>
      <c r="E1267" s="434"/>
      <c r="F1267" s="434" t="s">
        <v>1738</v>
      </c>
      <c r="G1267" s="435">
        <v>5.1</v>
      </c>
      <c r="H1267" s="434"/>
      <c r="I1267" s="434" t="s">
        <v>1739</v>
      </c>
      <c r="J1267" s="434"/>
      <c r="K1267" s="435">
        <v>25.79</v>
      </c>
    </row>
    <row r="1268" customHeight="1" spans="1:11">
      <c r="A1268" s="436"/>
      <c r="B1268" s="436"/>
      <c r="C1268" s="436"/>
      <c r="D1268" s="436"/>
      <c r="E1268" s="436"/>
      <c r="F1268" s="436"/>
      <c r="G1268" s="436"/>
      <c r="H1268" s="436" t="s">
        <v>1740</v>
      </c>
      <c r="I1268" s="447" t="s">
        <v>1964</v>
      </c>
      <c r="J1268" s="436" t="s">
        <v>1742</v>
      </c>
      <c r="K1268" s="448">
        <v>257.9</v>
      </c>
    </row>
    <row r="1269" customHeight="1" spans="1:11">
      <c r="A1269" s="437"/>
      <c r="B1269" s="437"/>
      <c r="C1269" s="437"/>
      <c r="D1269" s="437"/>
      <c r="E1269" s="437"/>
      <c r="F1269" s="437"/>
      <c r="G1269" s="437"/>
      <c r="H1269" s="437"/>
      <c r="I1269" s="437"/>
      <c r="J1269" s="437"/>
      <c r="K1269" s="437"/>
    </row>
    <row r="1270" customHeight="1" spans="1:11">
      <c r="A1270" s="423" t="s">
        <v>427</v>
      </c>
      <c r="B1270" s="424" t="s">
        <v>1714</v>
      </c>
      <c r="C1270" s="423" t="s">
        <v>1715</v>
      </c>
      <c r="D1270" s="423" t="s">
        <v>1716</v>
      </c>
      <c r="E1270" s="423" t="s">
        <v>1717</v>
      </c>
      <c r="F1270" s="423"/>
      <c r="G1270" s="425" t="s">
        <v>1718</v>
      </c>
      <c r="H1270" s="424" t="s">
        <v>1719</v>
      </c>
      <c r="I1270" s="424" t="s">
        <v>1720</v>
      </c>
      <c r="J1270" s="424" t="s">
        <v>1721</v>
      </c>
      <c r="K1270" s="424" t="s">
        <v>1722</v>
      </c>
    </row>
    <row r="1271" customHeight="1" spans="1:11">
      <c r="A1271" s="426" t="s">
        <v>1723</v>
      </c>
      <c r="B1271" s="427" t="s">
        <v>428</v>
      </c>
      <c r="C1271" s="426" t="s">
        <v>71</v>
      </c>
      <c r="D1271" s="426" t="s">
        <v>429</v>
      </c>
      <c r="E1271" s="426" t="s">
        <v>1659</v>
      </c>
      <c r="F1271" s="426"/>
      <c r="G1271" s="428" t="s">
        <v>105</v>
      </c>
      <c r="H1271" s="429">
        <v>1</v>
      </c>
      <c r="I1271" s="445"/>
      <c r="J1271" s="445">
        <v>32.35</v>
      </c>
      <c r="K1271" s="445">
        <v>32.35</v>
      </c>
    </row>
    <row r="1272" customHeight="1" spans="1:11">
      <c r="A1272" s="430" t="s">
        <v>1724</v>
      </c>
      <c r="B1272" s="431" t="s">
        <v>1859</v>
      </c>
      <c r="C1272" s="430" t="s">
        <v>71</v>
      </c>
      <c r="D1272" s="430" t="s">
        <v>1860</v>
      </c>
      <c r="E1272" s="430" t="s">
        <v>1708</v>
      </c>
      <c r="F1272" s="430"/>
      <c r="G1272" s="432" t="s">
        <v>82</v>
      </c>
      <c r="H1272" s="433">
        <v>0.1208</v>
      </c>
      <c r="I1272" s="433">
        <v>0</v>
      </c>
      <c r="J1272" s="446">
        <v>29.54</v>
      </c>
      <c r="K1272" s="446">
        <v>3.56</v>
      </c>
    </row>
    <row r="1273" customHeight="1" spans="1:11">
      <c r="A1273" s="430" t="s">
        <v>1724</v>
      </c>
      <c r="B1273" s="431" t="s">
        <v>1854</v>
      </c>
      <c r="C1273" s="430" t="s">
        <v>71</v>
      </c>
      <c r="D1273" s="430" t="s">
        <v>1855</v>
      </c>
      <c r="E1273" s="430" t="s">
        <v>1708</v>
      </c>
      <c r="F1273" s="430"/>
      <c r="G1273" s="432" t="s">
        <v>82</v>
      </c>
      <c r="H1273" s="433">
        <v>0.1208</v>
      </c>
      <c r="I1273" s="433">
        <v>0</v>
      </c>
      <c r="J1273" s="446">
        <v>35.55</v>
      </c>
      <c r="K1273" s="446">
        <v>4.29</v>
      </c>
    </row>
    <row r="1274" customHeight="1" spans="1:11">
      <c r="A1274" s="438" t="s">
        <v>1750</v>
      </c>
      <c r="B1274" s="439" t="s">
        <v>2300</v>
      </c>
      <c r="C1274" s="438" t="s">
        <v>71</v>
      </c>
      <c r="D1274" s="438" t="s">
        <v>2301</v>
      </c>
      <c r="E1274" s="438" t="s">
        <v>1631</v>
      </c>
      <c r="F1274" s="438"/>
      <c r="G1274" s="440" t="s">
        <v>105</v>
      </c>
      <c r="H1274" s="441">
        <v>1</v>
      </c>
      <c r="I1274" s="441">
        <v>0</v>
      </c>
      <c r="J1274" s="449">
        <v>22.84</v>
      </c>
      <c r="K1274" s="449">
        <v>22.84</v>
      </c>
    </row>
    <row r="1275" customHeight="1" spans="1:11">
      <c r="A1275" s="438" t="s">
        <v>1750</v>
      </c>
      <c r="B1275" s="439" t="s">
        <v>2284</v>
      </c>
      <c r="C1275" s="438" t="s">
        <v>71</v>
      </c>
      <c r="D1275" s="438" t="s">
        <v>2285</v>
      </c>
      <c r="E1275" s="438" t="s">
        <v>1631</v>
      </c>
      <c r="F1275" s="438"/>
      <c r="G1275" s="440" t="s">
        <v>105</v>
      </c>
      <c r="H1275" s="441">
        <v>0.0403</v>
      </c>
      <c r="I1275" s="441">
        <v>0</v>
      </c>
      <c r="J1275" s="449">
        <v>2.08</v>
      </c>
      <c r="K1275" s="449">
        <v>0.08</v>
      </c>
    </row>
    <row r="1276" customHeight="1" spans="1:11">
      <c r="A1276" s="438" t="s">
        <v>1750</v>
      </c>
      <c r="B1276" s="439" t="s">
        <v>2296</v>
      </c>
      <c r="C1276" s="438" t="s">
        <v>71</v>
      </c>
      <c r="D1276" s="438" t="s">
        <v>2297</v>
      </c>
      <c r="E1276" s="438" t="s">
        <v>1631</v>
      </c>
      <c r="F1276" s="438"/>
      <c r="G1276" s="440" t="s">
        <v>105</v>
      </c>
      <c r="H1276" s="441">
        <v>0.0094</v>
      </c>
      <c r="I1276" s="441">
        <v>0</v>
      </c>
      <c r="J1276" s="449">
        <v>72.71</v>
      </c>
      <c r="K1276" s="449">
        <v>0.68</v>
      </c>
    </row>
    <row r="1277" customHeight="1" spans="1:11">
      <c r="A1277" s="438" t="s">
        <v>1750</v>
      </c>
      <c r="B1277" s="439" t="s">
        <v>2294</v>
      </c>
      <c r="C1277" s="438" t="s">
        <v>71</v>
      </c>
      <c r="D1277" s="438" t="s">
        <v>2295</v>
      </c>
      <c r="E1277" s="438" t="s">
        <v>1631</v>
      </c>
      <c r="F1277" s="438"/>
      <c r="G1277" s="440" t="s">
        <v>105</v>
      </c>
      <c r="H1277" s="441">
        <v>0.011</v>
      </c>
      <c r="I1277" s="441">
        <v>0</v>
      </c>
      <c r="J1277" s="449">
        <v>82.38</v>
      </c>
      <c r="K1277" s="449">
        <v>0.9</v>
      </c>
    </row>
    <row r="1278" customHeight="1" spans="1:11">
      <c r="A1278" s="434"/>
      <c r="B1278" s="434"/>
      <c r="C1278" s="434"/>
      <c r="D1278" s="434"/>
      <c r="E1278" s="434"/>
      <c r="F1278" s="434" t="s">
        <v>1735</v>
      </c>
      <c r="G1278" s="435">
        <v>2.92</v>
      </c>
      <c r="H1278" s="434" t="s">
        <v>1736</v>
      </c>
      <c r="I1278" s="435">
        <v>2.67</v>
      </c>
      <c r="J1278" s="434" t="s">
        <v>1737</v>
      </c>
      <c r="K1278" s="435">
        <v>5.59</v>
      </c>
    </row>
    <row r="1279" customHeight="1" spans="1:11">
      <c r="A1279" s="434"/>
      <c r="B1279" s="434"/>
      <c r="C1279" s="434"/>
      <c r="D1279" s="434"/>
      <c r="E1279" s="434"/>
      <c r="F1279" s="434" t="s">
        <v>1738</v>
      </c>
      <c r="G1279" s="435">
        <v>7.97</v>
      </c>
      <c r="H1279" s="434"/>
      <c r="I1279" s="434" t="s">
        <v>1739</v>
      </c>
      <c r="J1279" s="434"/>
      <c r="K1279" s="435">
        <v>40.32</v>
      </c>
    </row>
    <row r="1280" customHeight="1" spans="1:11">
      <c r="A1280" s="436"/>
      <c r="B1280" s="436"/>
      <c r="C1280" s="436"/>
      <c r="D1280" s="436"/>
      <c r="E1280" s="436"/>
      <c r="F1280" s="436"/>
      <c r="G1280" s="436"/>
      <c r="H1280" s="436" t="s">
        <v>1740</v>
      </c>
      <c r="I1280" s="447" t="s">
        <v>1741</v>
      </c>
      <c r="J1280" s="436" t="s">
        <v>1742</v>
      </c>
      <c r="K1280" s="448">
        <v>40.32</v>
      </c>
    </row>
    <row r="1281" customHeight="1" spans="1:11">
      <c r="A1281" s="437"/>
      <c r="B1281" s="437"/>
      <c r="C1281" s="437"/>
      <c r="D1281" s="437"/>
      <c r="E1281" s="437"/>
      <c r="F1281" s="437"/>
      <c r="G1281" s="437"/>
      <c r="H1281" s="437"/>
      <c r="I1281" s="437"/>
      <c r="J1281" s="437"/>
      <c r="K1281" s="437"/>
    </row>
    <row r="1282" customHeight="1" spans="1:11">
      <c r="A1282" s="423" t="s">
        <v>430</v>
      </c>
      <c r="B1282" s="424" t="s">
        <v>1714</v>
      </c>
      <c r="C1282" s="423" t="s">
        <v>1715</v>
      </c>
      <c r="D1282" s="423" t="s">
        <v>1716</v>
      </c>
      <c r="E1282" s="423" t="s">
        <v>1717</v>
      </c>
      <c r="F1282" s="423"/>
      <c r="G1282" s="425" t="s">
        <v>1718</v>
      </c>
      <c r="H1282" s="424" t="s">
        <v>1719</v>
      </c>
      <c r="I1282" s="424" t="s">
        <v>1720</v>
      </c>
      <c r="J1282" s="424" t="s">
        <v>1721</v>
      </c>
      <c r="K1282" s="424" t="s">
        <v>1722</v>
      </c>
    </row>
    <row r="1283" customHeight="1" spans="1:11">
      <c r="A1283" s="426" t="s">
        <v>1723</v>
      </c>
      <c r="B1283" s="427" t="s">
        <v>431</v>
      </c>
      <c r="C1283" s="426" t="s">
        <v>71</v>
      </c>
      <c r="D1283" s="426" t="s">
        <v>432</v>
      </c>
      <c r="E1283" s="426" t="s">
        <v>1659</v>
      </c>
      <c r="F1283" s="426"/>
      <c r="G1283" s="428" t="s">
        <v>105</v>
      </c>
      <c r="H1283" s="429">
        <v>1</v>
      </c>
      <c r="I1283" s="445"/>
      <c r="J1283" s="445">
        <v>39.94</v>
      </c>
      <c r="K1283" s="445">
        <v>39.94</v>
      </c>
    </row>
    <row r="1284" customHeight="1" spans="1:11">
      <c r="A1284" s="430" t="s">
        <v>1724</v>
      </c>
      <c r="B1284" s="431" t="s">
        <v>1854</v>
      </c>
      <c r="C1284" s="430" t="s">
        <v>71</v>
      </c>
      <c r="D1284" s="430" t="s">
        <v>1855</v>
      </c>
      <c r="E1284" s="430" t="s">
        <v>1708</v>
      </c>
      <c r="F1284" s="430"/>
      <c r="G1284" s="432" t="s">
        <v>82</v>
      </c>
      <c r="H1284" s="433">
        <v>0.128</v>
      </c>
      <c r="I1284" s="433">
        <v>0</v>
      </c>
      <c r="J1284" s="446">
        <v>35.55</v>
      </c>
      <c r="K1284" s="446">
        <v>4.55</v>
      </c>
    </row>
    <row r="1285" customHeight="1" spans="1:11">
      <c r="A1285" s="430" t="s">
        <v>1724</v>
      </c>
      <c r="B1285" s="431" t="s">
        <v>1859</v>
      </c>
      <c r="C1285" s="430" t="s">
        <v>71</v>
      </c>
      <c r="D1285" s="430" t="s">
        <v>1860</v>
      </c>
      <c r="E1285" s="430" t="s">
        <v>1708</v>
      </c>
      <c r="F1285" s="430"/>
      <c r="G1285" s="432" t="s">
        <v>82</v>
      </c>
      <c r="H1285" s="433">
        <v>0.128</v>
      </c>
      <c r="I1285" s="433">
        <v>0</v>
      </c>
      <c r="J1285" s="446">
        <v>29.54</v>
      </c>
      <c r="K1285" s="446">
        <v>3.78</v>
      </c>
    </row>
    <row r="1286" customHeight="1" spans="1:11">
      <c r="A1286" s="438" t="s">
        <v>1750</v>
      </c>
      <c r="B1286" s="439" t="s">
        <v>2302</v>
      </c>
      <c r="C1286" s="438" t="s">
        <v>71</v>
      </c>
      <c r="D1286" s="438" t="s">
        <v>2303</v>
      </c>
      <c r="E1286" s="438" t="s">
        <v>1631</v>
      </c>
      <c r="F1286" s="438"/>
      <c r="G1286" s="440" t="s">
        <v>105</v>
      </c>
      <c r="H1286" s="441">
        <v>1</v>
      </c>
      <c r="I1286" s="441">
        <v>0</v>
      </c>
      <c r="J1286" s="449">
        <v>29.53</v>
      </c>
      <c r="K1286" s="449">
        <v>29.53</v>
      </c>
    </row>
    <row r="1287" customHeight="1" spans="1:11">
      <c r="A1287" s="438" t="s">
        <v>1750</v>
      </c>
      <c r="B1287" s="439" t="s">
        <v>2294</v>
      </c>
      <c r="C1287" s="438" t="s">
        <v>71</v>
      </c>
      <c r="D1287" s="438" t="s">
        <v>2295</v>
      </c>
      <c r="E1287" s="438" t="s">
        <v>1631</v>
      </c>
      <c r="F1287" s="438"/>
      <c r="G1287" s="440" t="s">
        <v>105</v>
      </c>
      <c r="H1287" s="441">
        <v>0.014</v>
      </c>
      <c r="I1287" s="441">
        <v>0</v>
      </c>
      <c r="J1287" s="449">
        <v>82.38</v>
      </c>
      <c r="K1287" s="449">
        <v>1.15</v>
      </c>
    </row>
    <row r="1288" customHeight="1" spans="1:11">
      <c r="A1288" s="438" t="s">
        <v>1750</v>
      </c>
      <c r="B1288" s="439" t="s">
        <v>2296</v>
      </c>
      <c r="C1288" s="438" t="s">
        <v>71</v>
      </c>
      <c r="D1288" s="438" t="s">
        <v>2297</v>
      </c>
      <c r="E1288" s="438" t="s">
        <v>1631</v>
      </c>
      <c r="F1288" s="438"/>
      <c r="G1288" s="440" t="s">
        <v>105</v>
      </c>
      <c r="H1288" s="441">
        <v>0.0118</v>
      </c>
      <c r="I1288" s="441">
        <v>0</v>
      </c>
      <c r="J1288" s="449">
        <v>72.71</v>
      </c>
      <c r="K1288" s="449">
        <v>0.85</v>
      </c>
    </row>
    <row r="1289" customHeight="1" spans="1:11">
      <c r="A1289" s="438" t="s">
        <v>1750</v>
      </c>
      <c r="B1289" s="439" t="s">
        <v>2284</v>
      </c>
      <c r="C1289" s="438" t="s">
        <v>71</v>
      </c>
      <c r="D1289" s="438" t="s">
        <v>2285</v>
      </c>
      <c r="E1289" s="438" t="s">
        <v>1631</v>
      </c>
      <c r="F1289" s="438"/>
      <c r="G1289" s="440" t="s">
        <v>105</v>
      </c>
      <c r="H1289" s="441">
        <v>0.0427</v>
      </c>
      <c r="I1289" s="441">
        <v>0</v>
      </c>
      <c r="J1289" s="449">
        <v>2.08</v>
      </c>
      <c r="K1289" s="449">
        <v>0.08</v>
      </c>
    </row>
    <row r="1290" customHeight="1" spans="1:11">
      <c r="A1290" s="434"/>
      <c r="B1290" s="434"/>
      <c r="C1290" s="434"/>
      <c r="D1290" s="434"/>
      <c r="E1290" s="434"/>
      <c r="F1290" s="434" t="s">
        <v>1735</v>
      </c>
      <c r="G1290" s="435">
        <v>3.1</v>
      </c>
      <c r="H1290" s="434" t="s">
        <v>1736</v>
      </c>
      <c r="I1290" s="435">
        <v>2.83</v>
      </c>
      <c r="J1290" s="434" t="s">
        <v>1737</v>
      </c>
      <c r="K1290" s="435">
        <v>5.93</v>
      </c>
    </row>
    <row r="1291" customHeight="1" spans="1:11">
      <c r="A1291" s="434"/>
      <c r="B1291" s="434"/>
      <c r="C1291" s="434"/>
      <c r="D1291" s="434"/>
      <c r="E1291" s="434"/>
      <c r="F1291" s="434" t="s">
        <v>1738</v>
      </c>
      <c r="G1291" s="435">
        <v>9.84</v>
      </c>
      <c r="H1291" s="434"/>
      <c r="I1291" s="434" t="s">
        <v>1739</v>
      </c>
      <c r="J1291" s="434"/>
      <c r="K1291" s="435">
        <v>49.78</v>
      </c>
    </row>
    <row r="1292" customHeight="1" spans="1:11">
      <c r="A1292" s="436"/>
      <c r="B1292" s="436"/>
      <c r="C1292" s="436"/>
      <c r="D1292" s="436"/>
      <c r="E1292" s="436"/>
      <c r="F1292" s="436"/>
      <c r="G1292" s="436"/>
      <c r="H1292" s="436" t="s">
        <v>1740</v>
      </c>
      <c r="I1292" s="447" t="s">
        <v>1741</v>
      </c>
      <c r="J1292" s="436" t="s">
        <v>1742</v>
      </c>
      <c r="K1292" s="448">
        <v>49.78</v>
      </c>
    </row>
    <row r="1293" customHeight="1" spans="1:11">
      <c r="A1293" s="437"/>
      <c r="B1293" s="437"/>
      <c r="C1293" s="437"/>
      <c r="D1293" s="437"/>
      <c r="E1293" s="437"/>
      <c r="F1293" s="437"/>
      <c r="G1293" s="437"/>
      <c r="H1293" s="437"/>
      <c r="I1293" s="437"/>
      <c r="J1293" s="437"/>
      <c r="K1293" s="437"/>
    </row>
    <row r="1294" customHeight="1" spans="1:11">
      <c r="A1294" s="423" t="s">
        <v>433</v>
      </c>
      <c r="B1294" s="424" t="s">
        <v>1714</v>
      </c>
      <c r="C1294" s="423" t="s">
        <v>1715</v>
      </c>
      <c r="D1294" s="423" t="s">
        <v>1716</v>
      </c>
      <c r="E1294" s="423" t="s">
        <v>1717</v>
      </c>
      <c r="F1294" s="423"/>
      <c r="G1294" s="425" t="s">
        <v>1718</v>
      </c>
      <c r="H1294" s="424" t="s">
        <v>1719</v>
      </c>
      <c r="I1294" s="424" t="s">
        <v>1720</v>
      </c>
      <c r="J1294" s="424" t="s">
        <v>1721</v>
      </c>
      <c r="K1294" s="424" t="s">
        <v>1722</v>
      </c>
    </row>
    <row r="1295" customHeight="1" spans="1:11">
      <c r="A1295" s="426" t="s">
        <v>1723</v>
      </c>
      <c r="B1295" s="427" t="s">
        <v>434</v>
      </c>
      <c r="C1295" s="426" t="s">
        <v>71</v>
      </c>
      <c r="D1295" s="426" t="s">
        <v>435</v>
      </c>
      <c r="E1295" s="426" t="s">
        <v>1659</v>
      </c>
      <c r="F1295" s="426"/>
      <c r="G1295" s="428" t="s">
        <v>105</v>
      </c>
      <c r="H1295" s="429">
        <v>1</v>
      </c>
      <c r="I1295" s="445"/>
      <c r="J1295" s="445">
        <v>10.04</v>
      </c>
      <c r="K1295" s="445">
        <v>10.04</v>
      </c>
    </row>
    <row r="1296" customHeight="1" spans="1:11">
      <c r="A1296" s="430" t="s">
        <v>1724</v>
      </c>
      <c r="B1296" s="431" t="s">
        <v>1854</v>
      </c>
      <c r="C1296" s="430" t="s">
        <v>71</v>
      </c>
      <c r="D1296" s="430" t="s">
        <v>1855</v>
      </c>
      <c r="E1296" s="430" t="s">
        <v>1708</v>
      </c>
      <c r="F1296" s="430"/>
      <c r="G1296" s="432" t="s">
        <v>82</v>
      </c>
      <c r="H1296" s="433">
        <v>0.1311</v>
      </c>
      <c r="I1296" s="433">
        <v>0</v>
      </c>
      <c r="J1296" s="446">
        <v>35.55</v>
      </c>
      <c r="K1296" s="446">
        <v>4.66</v>
      </c>
    </row>
    <row r="1297" customHeight="1" spans="1:11">
      <c r="A1297" s="430" t="s">
        <v>1724</v>
      </c>
      <c r="B1297" s="431" t="s">
        <v>1859</v>
      </c>
      <c r="C1297" s="430" t="s">
        <v>71</v>
      </c>
      <c r="D1297" s="430" t="s">
        <v>1860</v>
      </c>
      <c r="E1297" s="430" t="s">
        <v>1708</v>
      </c>
      <c r="F1297" s="430"/>
      <c r="G1297" s="432" t="s">
        <v>82</v>
      </c>
      <c r="H1297" s="433">
        <v>0.1311</v>
      </c>
      <c r="I1297" s="433">
        <v>0</v>
      </c>
      <c r="J1297" s="446">
        <v>29.54</v>
      </c>
      <c r="K1297" s="446">
        <v>3.87</v>
      </c>
    </row>
    <row r="1298" customHeight="1" spans="1:11">
      <c r="A1298" s="438" t="s">
        <v>1750</v>
      </c>
      <c r="B1298" s="439" t="s">
        <v>2304</v>
      </c>
      <c r="C1298" s="438" t="s">
        <v>71</v>
      </c>
      <c r="D1298" s="438" t="s">
        <v>2305</v>
      </c>
      <c r="E1298" s="438" t="s">
        <v>1631</v>
      </c>
      <c r="F1298" s="438"/>
      <c r="G1298" s="440" t="s">
        <v>105</v>
      </c>
      <c r="H1298" s="441">
        <v>1</v>
      </c>
      <c r="I1298" s="441">
        <v>0</v>
      </c>
      <c r="J1298" s="449">
        <v>0.62</v>
      </c>
      <c r="K1298" s="449">
        <v>0.62</v>
      </c>
    </row>
    <row r="1299" customHeight="1" spans="1:11">
      <c r="A1299" s="438" t="s">
        <v>1750</v>
      </c>
      <c r="B1299" s="439" t="s">
        <v>2294</v>
      </c>
      <c r="C1299" s="438" t="s">
        <v>71</v>
      </c>
      <c r="D1299" s="438" t="s">
        <v>2295</v>
      </c>
      <c r="E1299" s="438" t="s">
        <v>1631</v>
      </c>
      <c r="F1299" s="438"/>
      <c r="G1299" s="440" t="s">
        <v>105</v>
      </c>
      <c r="H1299" s="441">
        <v>0.006</v>
      </c>
      <c r="I1299" s="441">
        <v>0</v>
      </c>
      <c r="J1299" s="449">
        <v>82.38</v>
      </c>
      <c r="K1299" s="449">
        <v>0.49</v>
      </c>
    </row>
    <row r="1300" customHeight="1" spans="1:11">
      <c r="A1300" s="438" t="s">
        <v>1750</v>
      </c>
      <c r="B1300" s="439" t="s">
        <v>2284</v>
      </c>
      <c r="C1300" s="438" t="s">
        <v>71</v>
      </c>
      <c r="D1300" s="438" t="s">
        <v>2285</v>
      </c>
      <c r="E1300" s="438" t="s">
        <v>1631</v>
      </c>
      <c r="F1300" s="438"/>
      <c r="G1300" s="440" t="s">
        <v>105</v>
      </c>
      <c r="H1300" s="441">
        <v>0.0291</v>
      </c>
      <c r="I1300" s="441">
        <v>0</v>
      </c>
      <c r="J1300" s="449">
        <v>2.08</v>
      </c>
      <c r="K1300" s="449">
        <v>0.06</v>
      </c>
    </row>
    <row r="1301" customHeight="1" spans="1:11">
      <c r="A1301" s="438" t="s">
        <v>1750</v>
      </c>
      <c r="B1301" s="439" t="s">
        <v>2296</v>
      </c>
      <c r="C1301" s="438" t="s">
        <v>71</v>
      </c>
      <c r="D1301" s="438" t="s">
        <v>2297</v>
      </c>
      <c r="E1301" s="438" t="s">
        <v>1631</v>
      </c>
      <c r="F1301" s="438"/>
      <c r="G1301" s="440" t="s">
        <v>105</v>
      </c>
      <c r="H1301" s="441">
        <v>0.0047</v>
      </c>
      <c r="I1301" s="441">
        <v>0</v>
      </c>
      <c r="J1301" s="449">
        <v>72.71</v>
      </c>
      <c r="K1301" s="449">
        <v>0.34</v>
      </c>
    </row>
    <row r="1302" customHeight="1" spans="1:11">
      <c r="A1302" s="434"/>
      <c r="B1302" s="434"/>
      <c r="C1302" s="434"/>
      <c r="D1302" s="434"/>
      <c r="E1302" s="434"/>
      <c r="F1302" s="434" t="s">
        <v>1735</v>
      </c>
      <c r="G1302" s="435">
        <v>3.18</v>
      </c>
      <c r="H1302" s="434" t="s">
        <v>1736</v>
      </c>
      <c r="I1302" s="435">
        <v>2.89</v>
      </c>
      <c r="J1302" s="434" t="s">
        <v>1737</v>
      </c>
      <c r="K1302" s="435">
        <v>6.07</v>
      </c>
    </row>
    <row r="1303" customHeight="1" spans="1:11">
      <c r="A1303" s="434"/>
      <c r="B1303" s="434"/>
      <c r="C1303" s="434"/>
      <c r="D1303" s="434"/>
      <c r="E1303" s="434"/>
      <c r="F1303" s="434" t="s">
        <v>1738</v>
      </c>
      <c r="G1303" s="435">
        <v>2.47</v>
      </c>
      <c r="H1303" s="434"/>
      <c r="I1303" s="434" t="s">
        <v>1739</v>
      </c>
      <c r="J1303" s="434"/>
      <c r="K1303" s="435">
        <v>12.51</v>
      </c>
    </row>
    <row r="1304" customHeight="1" spans="1:11">
      <c r="A1304" s="436"/>
      <c r="B1304" s="436"/>
      <c r="C1304" s="436"/>
      <c r="D1304" s="436"/>
      <c r="E1304" s="436"/>
      <c r="F1304" s="436"/>
      <c r="G1304" s="436"/>
      <c r="H1304" s="436" t="s">
        <v>1740</v>
      </c>
      <c r="I1304" s="447" t="s">
        <v>2306</v>
      </c>
      <c r="J1304" s="436" t="s">
        <v>1742</v>
      </c>
      <c r="K1304" s="448">
        <v>112.59</v>
      </c>
    </row>
    <row r="1305" customHeight="1" spans="1:11">
      <c r="A1305" s="437"/>
      <c r="B1305" s="437"/>
      <c r="C1305" s="437"/>
      <c r="D1305" s="437"/>
      <c r="E1305" s="437"/>
      <c r="F1305" s="437"/>
      <c r="G1305" s="437"/>
      <c r="H1305" s="437"/>
      <c r="I1305" s="437"/>
      <c r="J1305" s="437"/>
      <c r="K1305" s="437"/>
    </row>
    <row r="1306" customHeight="1" spans="1:11">
      <c r="A1306" s="423" t="s">
        <v>436</v>
      </c>
      <c r="B1306" s="424" t="s">
        <v>1714</v>
      </c>
      <c r="C1306" s="423" t="s">
        <v>1715</v>
      </c>
      <c r="D1306" s="423" t="s">
        <v>1716</v>
      </c>
      <c r="E1306" s="423" t="s">
        <v>1717</v>
      </c>
      <c r="F1306" s="423"/>
      <c r="G1306" s="425" t="s">
        <v>1718</v>
      </c>
      <c r="H1306" s="424" t="s">
        <v>1719</v>
      </c>
      <c r="I1306" s="424" t="s">
        <v>1720</v>
      </c>
      <c r="J1306" s="424" t="s">
        <v>1721</v>
      </c>
      <c r="K1306" s="424" t="s">
        <v>1722</v>
      </c>
    </row>
    <row r="1307" customHeight="1" spans="1:11">
      <c r="A1307" s="426" t="s">
        <v>1723</v>
      </c>
      <c r="B1307" s="427" t="s">
        <v>437</v>
      </c>
      <c r="C1307" s="426" t="s">
        <v>71</v>
      </c>
      <c r="D1307" s="426" t="s">
        <v>438</v>
      </c>
      <c r="E1307" s="426" t="s">
        <v>1659</v>
      </c>
      <c r="F1307" s="426"/>
      <c r="G1307" s="428" t="s">
        <v>105</v>
      </c>
      <c r="H1307" s="429">
        <v>1</v>
      </c>
      <c r="I1307" s="445"/>
      <c r="J1307" s="445">
        <v>11.88</v>
      </c>
      <c r="K1307" s="445">
        <v>11.88</v>
      </c>
    </row>
    <row r="1308" customHeight="1" spans="1:11">
      <c r="A1308" s="430" t="s">
        <v>1724</v>
      </c>
      <c r="B1308" s="431" t="s">
        <v>1859</v>
      </c>
      <c r="C1308" s="430" t="s">
        <v>71</v>
      </c>
      <c r="D1308" s="430" t="s">
        <v>1860</v>
      </c>
      <c r="E1308" s="430" t="s">
        <v>1708</v>
      </c>
      <c r="F1308" s="430"/>
      <c r="G1308" s="432" t="s">
        <v>82</v>
      </c>
      <c r="H1308" s="433">
        <v>0.152</v>
      </c>
      <c r="I1308" s="433">
        <v>0</v>
      </c>
      <c r="J1308" s="446">
        <v>29.54</v>
      </c>
      <c r="K1308" s="446">
        <v>4.49</v>
      </c>
    </row>
    <row r="1309" customHeight="1" spans="1:11">
      <c r="A1309" s="430" t="s">
        <v>1724</v>
      </c>
      <c r="B1309" s="431" t="s">
        <v>1854</v>
      </c>
      <c r="C1309" s="430" t="s">
        <v>71</v>
      </c>
      <c r="D1309" s="430" t="s">
        <v>1855</v>
      </c>
      <c r="E1309" s="430" t="s">
        <v>1708</v>
      </c>
      <c r="F1309" s="430"/>
      <c r="G1309" s="432" t="s">
        <v>82</v>
      </c>
      <c r="H1309" s="433">
        <v>0.152</v>
      </c>
      <c r="I1309" s="433">
        <v>0</v>
      </c>
      <c r="J1309" s="446">
        <v>35.55</v>
      </c>
      <c r="K1309" s="446">
        <v>5.4</v>
      </c>
    </row>
    <row r="1310" customHeight="1" spans="1:11">
      <c r="A1310" s="438" t="s">
        <v>1750</v>
      </c>
      <c r="B1310" s="439" t="s">
        <v>2284</v>
      </c>
      <c r="C1310" s="438" t="s">
        <v>71</v>
      </c>
      <c r="D1310" s="438" t="s">
        <v>2285</v>
      </c>
      <c r="E1310" s="438" t="s">
        <v>1631</v>
      </c>
      <c r="F1310" s="438"/>
      <c r="G1310" s="440" t="s">
        <v>105</v>
      </c>
      <c r="H1310" s="441">
        <v>0.0338</v>
      </c>
      <c r="I1310" s="441">
        <v>0</v>
      </c>
      <c r="J1310" s="449">
        <v>2.08</v>
      </c>
      <c r="K1310" s="449">
        <v>0.07</v>
      </c>
    </row>
    <row r="1311" customHeight="1" spans="1:11">
      <c r="A1311" s="438" t="s">
        <v>1750</v>
      </c>
      <c r="B1311" s="439" t="s">
        <v>2296</v>
      </c>
      <c r="C1311" s="438" t="s">
        <v>71</v>
      </c>
      <c r="D1311" s="438" t="s">
        <v>2297</v>
      </c>
      <c r="E1311" s="438" t="s">
        <v>1631</v>
      </c>
      <c r="F1311" s="438"/>
      <c r="G1311" s="440" t="s">
        <v>105</v>
      </c>
      <c r="H1311" s="441">
        <v>0.0071</v>
      </c>
      <c r="I1311" s="441">
        <v>0</v>
      </c>
      <c r="J1311" s="449">
        <v>72.71</v>
      </c>
      <c r="K1311" s="449">
        <v>0.51</v>
      </c>
    </row>
    <row r="1312" customHeight="1" spans="1:11">
      <c r="A1312" s="438" t="s">
        <v>1750</v>
      </c>
      <c r="B1312" s="439" t="s">
        <v>2294</v>
      </c>
      <c r="C1312" s="438" t="s">
        <v>71</v>
      </c>
      <c r="D1312" s="438" t="s">
        <v>2295</v>
      </c>
      <c r="E1312" s="438" t="s">
        <v>1631</v>
      </c>
      <c r="F1312" s="438"/>
      <c r="G1312" s="440" t="s">
        <v>105</v>
      </c>
      <c r="H1312" s="441">
        <v>0.008</v>
      </c>
      <c r="I1312" s="441">
        <v>0</v>
      </c>
      <c r="J1312" s="449">
        <v>82.38</v>
      </c>
      <c r="K1312" s="449">
        <v>0.65</v>
      </c>
    </row>
    <row r="1313" customHeight="1" spans="1:11">
      <c r="A1313" s="438" t="s">
        <v>1750</v>
      </c>
      <c r="B1313" s="439" t="s">
        <v>1881</v>
      </c>
      <c r="C1313" s="438" t="s">
        <v>71</v>
      </c>
      <c r="D1313" s="438" t="s">
        <v>1882</v>
      </c>
      <c r="E1313" s="438" t="s">
        <v>1631</v>
      </c>
      <c r="F1313" s="438"/>
      <c r="G1313" s="440" t="s">
        <v>105</v>
      </c>
      <c r="H1313" s="441">
        <v>1</v>
      </c>
      <c r="I1313" s="441">
        <v>0</v>
      </c>
      <c r="J1313" s="449">
        <v>0.76</v>
      </c>
      <c r="K1313" s="449">
        <v>0.76</v>
      </c>
    </row>
    <row r="1314" customHeight="1" spans="1:11">
      <c r="A1314" s="434"/>
      <c r="B1314" s="434"/>
      <c r="C1314" s="434"/>
      <c r="D1314" s="434"/>
      <c r="E1314" s="434"/>
      <c r="F1314" s="434" t="s">
        <v>1735</v>
      </c>
      <c r="G1314" s="435">
        <v>3.68</v>
      </c>
      <c r="H1314" s="434" t="s">
        <v>1736</v>
      </c>
      <c r="I1314" s="435">
        <v>3.35</v>
      </c>
      <c r="J1314" s="434" t="s">
        <v>1737</v>
      </c>
      <c r="K1314" s="435">
        <v>7.03</v>
      </c>
    </row>
    <row r="1315" customHeight="1" spans="1:11">
      <c r="A1315" s="434"/>
      <c r="B1315" s="434"/>
      <c r="C1315" s="434"/>
      <c r="D1315" s="434"/>
      <c r="E1315" s="434"/>
      <c r="F1315" s="434" t="s">
        <v>1738</v>
      </c>
      <c r="G1315" s="435">
        <v>2.92</v>
      </c>
      <c r="H1315" s="434"/>
      <c r="I1315" s="434" t="s">
        <v>1739</v>
      </c>
      <c r="J1315" s="434"/>
      <c r="K1315" s="435">
        <v>14.8</v>
      </c>
    </row>
    <row r="1316" customHeight="1" spans="1:11">
      <c r="A1316" s="436"/>
      <c r="B1316" s="436"/>
      <c r="C1316" s="436"/>
      <c r="D1316" s="436"/>
      <c r="E1316" s="436"/>
      <c r="F1316" s="436"/>
      <c r="G1316" s="436"/>
      <c r="H1316" s="436" t="s">
        <v>1740</v>
      </c>
      <c r="I1316" s="447" t="s">
        <v>2307</v>
      </c>
      <c r="J1316" s="436" t="s">
        <v>1742</v>
      </c>
      <c r="K1316" s="448">
        <v>547.6</v>
      </c>
    </row>
    <row r="1317" customHeight="1" spans="1:11">
      <c r="A1317" s="437"/>
      <c r="B1317" s="437"/>
      <c r="C1317" s="437"/>
      <c r="D1317" s="437"/>
      <c r="E1317" s="437"/>
      <c r="F1317" s="437"/>
      <c r="G1317" s="437"/>
      <c r="H1317" s="437"/>
      <c r="I1317" s="437"/>
      <c r="J1317" s="437"/>
      <c r="K1317" s="437"/>
    </row>
    <row r="1318" customHeight="1" spans="1:11">
      <c r="A1318" s="423" t="s">
        <v>439</v>
      </c>
      <c r="B1318" s="424" t="s">
        <v>1714</v>
      </c>
      <c r="C1318" s="423" t="s">
        <v>1715</v>
      </c>
      <c r="D1318" s="423" t="s">
        <v>1716</v>
      </c>
      <c r="E1318" s="423" t="s">
        <v>1717</v>
      </c>
      <c r="F1318" s="423"/>
      <c r="G1318" s="425" t="s">
        <v>1718</v>
      </c>
      <c r="H1318" s="424" t="s">
        <v>1719</v>
      </c>
      <c r="I1318" s="424" t="s">
        <v>1720</v>
      </c>
      <c r="J1318" s="424" t="s">
        <v>1721</v>
      </c>
      <c r="K1318" s="424" t="s">
        <v>1722</v>
      </c>
    </row>
    <row r="1319" customHeight="1" spans="1:11">
      <c r="A1319" s="426" t="s">
        <v>1723</v>
      </c>
      <c r="B1319" s="427" t="s">
        <v>440</v>
      </c>
      <c r="C1319" s="426" t="s">
        <v>71</v>
      </c>
      <c r="D1319" s="426" t="s">
        <v>441</v>
      </c>
      <c r="E1319" s="426" t="s">
        <v>1659</v>
      </c>
      <c r="F1319" s="426"/>
      <c r="G1319" s="428" t="s">
        <v>105</v>
      </c>
      <c r="H1319" s="429">
        <v>1</v>
      </c>
      <c r="I1319" s="445"/>
      <c r="J1319" s="445">
        <v>9.71</v>
      </c>
      <c r="K1319" s="445">
        <v>9.71</v>
      </c>
    </row>
    <row r="1320" customHeight="1" spans="1:11">
      <c r="A1320" s="430" t="s">
        <v>1724</v>
      </c>
      <c r="B1320" s="431" t="s">
        <v>1859</v>
      </c>
      <c r="C1320" s="430" t="s">
        <v>71</v>
      </c>
      <c r="D1320" s="430" t="s">
        <v>1860</v>
      </c>
      <c r="E1320" s="430" t="s">
        <v>1708</v>
      </c>
      <c r="F1320" s="430"/>
      <c r="G1320" s="432" t="s">
        <v>82</v>
      </c>
      <c r="H1320" s="433">
        <v>0.0859</v>
      </c>
      <c r="I1320" s="433">
        <v>0</v>
      </c>
      <c r="J1320" s="446">
        <v>29.54</v>
      </c>
      <c r="K1320" s="446">
        <v>2.53</v>
      </c>
    </row>
    <row r="1321" customHeight="1" spans="1:11">
      <c r="A1321" s="430" t="s">
        <v>1724</v>
      </c>
      <c r="B1321" s="431" t="s">
        <v>1854</v>
      </c>
      <c r="C1321" s="430" t="s">
        <v>71</v>
      </c>
      <c r="D1321" s="430" t="s">
        <v>1855</v>
      </c>
      <c r="E1321" s="430" t="s">
        <v>1708</v>
      </c>
      <c r="F1321" s="430"/>
      <c r="G1321" s="432" t="s">
        <v>82</v>
      </c>
      <c r="H1321" s="433">
        <v>0.0859</v>
      </c>
      <c r="I1321" s="433">
        <v>0</v>
      </c>
      <c r="J1321" s="446">
        <v>35.55</v>
      </c>
      <c r="K1321" s="446">
        <v>3.05</v>
      </c>
    </row>
    <row r="1322" customHeight="1" spans="1:11">
      <c r="A1322" s="438" t="s">
        <v>1750</v>
      </c>
      <c r="B1322" s="439" t="s">
        <v>2284</v>
      </c>
      <c r="C1322" s="438" t="s">
        <v>71</v>
      </c>
      <c r="D1322" s="438" t="s">
        <v>2285</v>
      </c>
      <c r="E1322" s="438" t="s">
        <v>1631</v>
      </c>
      <c r="F1322" s="438"/>
      <c r="G1322" s="440" t="s">
        <v>105</v>
      </c>
      <c r="H1322" s="441">
        <v>0.0131</v>
      </c>
      <c r="I1322" s="441">
        <v>0</v>
      </c>
      <c r="J1322" s="449">
        <v>2.08</v>
      </c>
      <c r="K1322" s="449">
        <v>0.02</v>
      </c>
    </row>
    <row r="1323" customHeight="1" spans="1:11">
      <c r="A1323" s="438" t="s">
        <v>1750</v>
      </c>
      <c r="B1323" s="439" t="s">
        <v>2308</v>
      </c>
      <c r="C1323" s="438" t="s">
        <v>71</v>
      </c>
      <c r="D1323" s="438" t="s">
        <v>2309</v>
      </c>
      <c r="E1323" s="438" t="s">
        <v>1631</v>
      </c>
      <c r="F1323" s="438"/>
      <c r="G1323" s="440" t="s">
        <v>105</v>
      </c>
      <c r="H1323" s="441">
        <v>1</v>
      </c>
      <c r="I1323" s="441">
        <v>0</v>
      </c>
      <c r="J1323" s="449">
        <v>2.53</v>
      </c>
      <c r="K1323" s="449">
        <v>2.53</v>
      </c>
    </row>
    <row r="1324" customHeight="1" spans="1:11">
      <c r="A1324" s="438" t="s">
        <v>1750</v>
      </c>
      <c r="B1324" s="439" t="s">
        <v>2294</v>
      </c>
      <c r="C1324" s="438" t="s">
        <v>71</v>
      </c>
      <c r="D1324" s="438" t="s">
        <v>2295</v>
      </c>
      <c r="E1324" s="438" t="s">
        <v>1631</v>
      </c>
      <c r="F1324" s="438"/>
      <c r="G1324" s="440" t="s">
        <v>105</v>
      </c>
      <c r="H1324" s="441">
        <v>0.011</v>
      </c>
      <c r="I1324" s="441">
        <v>0</v>
      </c>
      <c r="J1324" s="449">
        <v>82.38</v>
      </c>
      <c r="K1324" s="449">
        <v>0.9</v>
      </c>
    </row>
    <row r="1325" customHeight="1" spans="1:11">
      <c r="A1325" s="438" t="s">
        <v>1750</v>
      </c>
      <c r="B1325" s="439" t="s">
        <v>2296</v>
      </c>
      <c r="C1325" s="438" t="s">
        <v>71</v>
      </c>
      <c r="D1325" s="438" t="s">
        <v>2297</v>
      </c>
      <c r="E1325" s="438" t="s">
        <v>1631</v>
      </c>
      <c r="F1325" s="438"/>
      <c r="G1325" s="440" t="s">
        <v>105</v>
      </c>
      <c r="H1325" s="441">
        <v>0.0094</v>
      </c>
      <c r="I1325" s="441">
        <v>0</v>
      </c>
      <c r="J1325" s="449">
        <v>72.71</v>
      </c>
      <c r="K1325" s="449">
        <v>0.68</v>
      </c>
    </row>
    <row r="1326" customHeight="1" spans="1:11">
      <c r="A1326" s="434"/>
      <c r="B1326" s="434"/>
      <c r="C1326" s="434"/>
      <c r="D1326" s="434"/>
      <c r="E1326" s="434"/>
      <c r="F1326" s="434" t="s">
        <v>1735</v>
      </c>
      <c r="G1326" s="435">
        <v>2.08</v>
      </c>
      <c r="H1326" s="434" t="s">
        <v>1736</v>
      </c>
      <c r="I1326" s="435">
        <v>1.89</v>
      </c>
      <c r="J1326" s="434" t="s">
        <v>1737</v>
      </c>
      <c r="K1326" s="435">
        <v>3.97</v>
      </c>
    </row>
    <row r="1327" customHeight="1" spans="1:11">
      <c r="A1327" s="434"/>
      <c r="B1327" s="434"/>
      <c r="C1327" s="434"/>
      <c r="D1327" s="434"/>
      <c r="E1327" s="434"/>
      <c r="F1327" s="434" t="s">
        <v>1738</v>
      </c>
      <c r="G1327" s="435">
        <v>2.39</v>
      </c>
      <c r="H1327" s="434"/>
      <c r="I1327" s="434" t="s">
        <v>1739</v>
      </c>
      <c r="J1327" s="434"/>
      <c r="K1327" s="435">
        <v>12.1</v>
      </c>
    </row>
    <row r="1328" customHeight="1" spans="1:11">
      <c r="A1328" s="436"/>
      <c r="B1328" s="436"/>
      <c r="C1328" s="436"/>
      <c r="D1328" s="436"/>
      <c r="E1328" s="436"/>
      <c r="F1328" s="436"/>
      <c r="G1328" s="436"/>
      <c r="H1328" s="436" t="s">
        <v>1740</v>
      </c>
      <c r="I1328" s="447" t="s">
        <v>2310</v>
      </c>
      <c r="J1328" s="436" t="s">
        <v>1742</v>
      </c>
      <c r="K1328" s="448">
        <v>133.1</v>
      </c>
    </row>
    <row r="1329" customHeight="1" spans="1:11">
      <c r="A1329" s="437"/>
      <c r="B1329" s="437"/>
      <c r="C1329" s="437"/>
      <c r="D1329" s="437"/>
      <c r="E1329" s="437"/>
      <c r="F1329" s="437"/>
      <c r="G1329" s="437"/>
      <c r="H1329" s="437"/>
      <c r="I1329" s="437"/>
      <c r="J1329" s="437"/>
      <c r="K1329" s="437"/>
    </row>
    <row r="1330" customHeight="1" spans="1:11">
      <c r="A1330" s="423" t="s">
        <v>442</v>
      </c>
      <c r="B1330" s="424" t="s">
        <v>1714</v>
      </c>
      <c r="C1330" s="423" t="s">
        <v>1715</v>
      </c>
      <c r="D1330" s="423" t="s">
        <v>1716</v>
      </c>
      <c r="E1330" s="423" t="s">
        <v>1717</v>
      </c>
      <c r="F1330" s="423"/>
      <c r="G1330" s="425" t="s">
        <v>1718</v>
      </c>
      <c r="H1330" s="424" t="s">
        <v>1719</v>
      </c>
      <c r="I1330" s="424" t="s">
        <v>1720</v>
      </c>
      <c r="J1330" s="424" t="s">
        <v>1721</v>
      </c>
      <c r="K1330" s="424" t="s">
        <v>1722</v>
      </c>
    </row>
    <row r="1331" customHeight="1" spans="1:11">
      <c r="A1331" s="426" t="s">
        <v>1723</v>
      </c>
      <c r="B1331" s="427" t="s">
        <v>443</v>
      </c>
      <c r="C1331" s="426" t="s">
        <v>71</v>
      </c>
      <c r="D1331" s="426" t="s">
        <v>444</v>
      </c>
      <c r="E1331" s="426" t="s">
        <v>1659</v>
      </c>
      <c r="F1331" s="426"/>
      <c r="G1331" s="428" t="s">
        <v>105</v>
      </c>
      <c r="H1331" s="429">
        <v>1</v>
      </c>
      <c r="I1331" s="445"/>
      <c r="J1331" s="445">
        <v>14.99</v>
      </c>
      <c r="K1331" s="445">
        <v>14.99</v>
      </c>
    </row>
    <row r="1332" customHeight="1" spans="1:11">
      <c r="A1332" s="430" t="s">
        <v>1724</v>
      </c>
      <c r="B1332" s="431" t="s">
        <v>1859</v>
      </c>
      <c r="C1332" s="430" t="s">
        <v>71</v>
      </c>
      <c r="D1332" s="430" t="s">
        <v>1860</v>
      </c>
      <c r="E1332" s="430" t="s">
        <v>1708</v>
      </c>
      <c r="F1332" s="430"/>
      <c r="G1332" s="432" t="s">
        <v>82</v>
      </c>
      <c r="H1332" s="433">
        <v>0.1047</v>
      </c>
      <c r="I1332" s="433">
        <v>0</v>
      </c>
      <c r="J1332" s="446">
        <v>29.54</v>
      </c>
      <c r="K1332" s="446">
        <v>3.09</v>
      </c>
    </row>
    <row r="1333" customHeight="1" spans="1:11">
      <c r="A1333" s="430" t="s">
        <v>1724</v>
      </c>
      <c r="B1333" s="431" t="s">
        <v>1854</v>
      </c>
      <c r="C1333" s="430" t="s">
        <v>71</v>
      </c>
      <c r="D1333" s="430" t="s">
        <v>1855</v>
      </c>
      <c r="E1333" s="430" t="s">
        <v>1708</v>
      </c>
      <c r="F1333" s="430"/>
      <c r="G1333" s="432" t="s">
        <v>82</v>
      </c>
      <c r="H1333" s="433">
        <v>0.1047</v>
      </c>
      <c r="I1333" s="433">
        <v>0</v>
      </c>
      <c r="J1333" s="446">
        <v>35.55</v>
      </c>
      <c r="K1333" s="446">
        <v>3.72</v>
      </c>
    </row>
    <row r="1334" customHeight="1" spans="1:11">
      <c r="A1334" s="438" t="s">
        <v>1750</v>
      </c>
      <c r="B1334" s="439" t="s">
        <v>2311</v>
      </c>
      <c r="C1334" s="438" t="s">
        <v>71</v>
      </c>
      <c r="D1334" s="438" t="s">
        <v>2312</v>
      </c>
      <c r="E1334" s="438" t="s">
        <v>1631</v>
      </c>
      <c r="F1334" s="438"/>
      <c r="G1334" s="440" t="s">
        <v>105</v>
      </c>
      <c r="H1334" s="441">
        <v>1</v>
      </c>
      <c r="I1334" s="441">
        <v>0</v>
      </c>
      <c r="J1334" s="449">
        <v>6.15</v>
      </c>
      <c r="K1334" s="449">
        <v>6.15</v>
      </c>
    </row>
    <row r="1335" customHeight="1" spans="1:11">
      <c r="A1335" s="438" t="s">
        <v>1750</v>
      </c>
      <c r="B1335" s="439" t="s">
        <v>2284</v>
      </c>
      <c r="C1335" s="438" t="s">
        <v>71</v>
      </c>
      <c r="D1335" s="438" t="s">
        <v>2285</v>
      </c>
      <c r="E1335" s="438" t="s">
        <v>1631</v>
      </c>
      <c r="F1335" s="438"/>
      <c r="G1335" s="440" t="s">
        <v>105</v>
      </c>
      <c r="H1335" s="441">
        <v>0.0157</v>
      </c>
      <c r="I1335" s="441">
        <v>0</v>
      </c>
      <c r="J1335" s="449">
        <v>2.08</v>
      </c>
      <c r="K1335" s="449">
        <v>0.03</v>
      </c>
    </row>
    <row r="1336" customHeight="1" spans="1:11">
      <c r="A1336" s="438" t="s">
        <v>1750</v>
      </c>
      <c r="B1336" s="439" t="s">
        <v>2296</v>
      </c>
      <c r="C1336" s="438" t="s">
        <v>71</v>
      </c>
      <c r="D1336" s="438" t="s">
        <v>2297</v>
      </c>
      <c r="E1336" s="438" t="s">
        <v>1631</v>
      </c>
      <c r="F1336" s="438"/>
      <c r="G1336" s="440" t="s">
        <v>105</v>
      </c>
      <c r="H1336" s="441">
        <v>0.0118</v>
      </c>
      <c r="I1336" s="441">
        <v>0</v>
      </c>
      <c r="J1336" s="449">
        <v>72.71</v>
      </c>
      <c r="K1336" s="449">
        <v>0.85</v>
      </c>
    </row>
    <row r="1337" customHeight="1" spans="1:11">
      <c r="A1337" s="438" t="s">
        <v>1750</v>
      </c>
      <c r="B1337" s="439" t="s">
        <v>2294</v>
      </c>
      <c r="C1337" s="438" t="s">
        <v>71</v>
      </c>
      <c r="D1337" s="438" t="s">
        <v>2295</v>
      </c>
      <c r="E1337" s="438" t="s">
        <v>1631</v>
      </c>
      <c r="F1337" s="438"/>
      <c r="G1337" s="440" t="s">
        <v>105</v>
      </c>
      <c r="H1337" s="441">
        <v>0.014</v>
      </c>
      <c r="I1337" s="441">
        <v>0</v>
      </c>
      <c r="J1337" s="449">
        <v>82.38</v>
      </c>
      <c r="K1337" s="449">
        <v>1.15</v>
      </c>
    </row>
    <row r="1338" customHeight="1" spans="1:11">
      <c r="A1338" s="434"/>
      <c r="B1338" s="434"/>
      <c r="C1338" s="434"/>
      <c r="D1338" s="434"/>
      <c r="E1338" s="434"/>
      <c r="F1338" s="434" t="s">
        <v>1735</v>
      </c>
      <c r="G1338" s="435">
        <v>2.54</v>
      </c>
      <c r="H1338" s="434" t="s">
        <v>1736</v>
      </c>
      <c r="I1338" s="435">
        <v>2.31</v>
      </c>
      <c r="J1338" s="434" t="s">
        <v>1737</v>
      </c>
      <c r="K1338" s="435">
        <v>4.85</v>
      </c>
    </row>
    <row r="1339" customHeight="1" spans="1:11">
      <c r="A1339" s="434"/>
      <c r="B1339" s="434"/>
      <c r="C1339" s="434"/>
      <c r="D1339" s="434"/>
      <c r="E1339" s="434"/>
      <c r="F1339" s="434" t="s">
        <v>1738</v>
      </c>
      <c r="G1339" s="435">
        <v>3.69</v>
      </c>
      <c r="H1339" s="434"/>
      <c r="I1339" s="434" t="s">
        <v>1739</v>
      </c>
      <c r="J1339" s="434"/>
      <c r="K1339" s="435">
        <v>18.68</v>
      </c>
    </row>
    <row r="1340" customHeight="1" spans="1:11">
      <c r="A1340" s="436"/>
      <c r="B1340" s="436"/>
      <c r="C1340" s="436"/>
      <c r="D1340" s="436"/>
      <c r="E1340" s="436"/>
      <c r="F1340" s="436"/>
      <c r="G1340" s="436"/>
      <c r="H1340" s="436" t="s">
        <v>1740</v>
      </c>
      <c r="I1340" s="447" t="s">
        <v>1971</v>
      </c>
      <c r="J1340" s="436" t="s">
        <v>1742</v>
      </c>
      <c r="K1340" s="448">
        <v>37.36</v>
      </c>
    </row>
    <row r="1341" customHeight="1" spans="1:11">
      <c r="A1341" s="437"/>
      <c r="B1341" s="437"/>
      <c r="C1341" s="437"/>
      <c r="D1341" s="437"/>
      <c r="E1341" s="437"/>
      <c r="F1341" s="437"/>
      <c r="G1341" s="437"/>
      <c r="H1341" s="437"/>
      <c r="I1341" s="437"/>
      <c r="J1341" s="437"/>
      <c r="K1341" s="437"/>
    </row>
    <row r="1342" customHeight="1" spans="1:11">
      <c r="A1342" s="423" t="s">
        <v>445</v>
      </c>
      <c r="B1342" s="424" t="s">
        <v>1714</v>
      </c>
      <c r="C1342" s="423" t="s">
        <v>1715</v>
      </c>
      <c r="D1342" s="423" t="s">
        <v>1716</v>
      </c>
      <c r="E1342" s="423" t="s">
        <v>1717</v>
      </c>
      <c r="F1342" s="423"/>
      <c r="G1342" s="425" t="s">
        <v>1718</v>
      </c>
      <c r="H1342" s="424" t="s">
        <v>1719</v>
      </c>
      <c r="I1342" s="424" t="s">
        <v>1720</v>
      </c>
      <c r="J1342" s="424" t="s">
        <v>1721</v>
      </c>
      <c r="K1342" s="424" t="s">
        <v>1722</v>
      </c>
    </row>
    <row r="1343" customHeight="1" spans="1:11">
      <c r="A1343" s="426" t="s">
        <v>1723</v>
      </c>
      <c r="B1343" s="427" t="s">
        <v>446</v>
      </c>
      <c r="C1343" s="426" t="s">
        <v>71</v>
      </c>
      <c r="D1343" s="426" t="s">
        <v>447</v>
      </c>
      <c r="E1343" s="426" t="s">
        <v>1659</v>
      </c>
      <c r="F1343" s="426"/>
      <c r="G1343" s="428" t="s">
        <v>105</v>
      </c>
      <c r="H1343" s="429">
        <v>1</v>
      </c>
      <c r="I1343" s="445"/>
      <c r="J1343" s="445">
        <v>20.78</v>
      </c>
      <c r="K1343" s="445">
        <v>20.78</v>
      </c>
    </row>
    <row r="1344" customHeight="1" spans="1:11">
      <c r="A1344" s="430" t="s">
        <v>1724</v>
      </c>
      <c r="B1344" s="431" t="s">
        <v>1854</v>
      </c>
      <c r="C1344" s="430" t="s">
        <v>71</v>
      </c>
      <c r="D1344" s="430" t="s">
        <v>1855</v>
      </c>
      <c r="E1344" s="430" t="s">
        <v>1708</v>
      </c>
      <c r="F1344" s="430"/>
      <c r="G1344" s="432" t="s">
        <v>82</v>
      </c>
      <c r="H1344" s="433">
        <v>0.192</v>
      </c>
      <c r="I1344" s="433">
        <v>0</v>
      </c>
      <c r="J1344" s="446">
        <v>35.55</v>
      </c>
      <c r="K1344" s="446">
        <v>6.82</v>
      </c>
    </row>
    <row r="1345" customHeight="1" spans="1:11">
      <c r="A1345" s="430" t="s">
        <v>1724</v>
      </c>
      <c r="B1345" s="431" t="s">
        <v>1859</v>
      </c>
      <c r="C1345" s="430" t="s">
        <v>71</v>
      </c>
      <c r="D1345" s="430" t="s">
        <v>1860</v>
      </c>
      <c r="E1345" s="430" t="s">
        <v>1708</v>
      </c>
      <c r="F1345" s="430"/>
      <c r="G1345" s="432" t="s">
        <v>82</v>
      </c>
      <c r="H1345" s="433">
        <v>0.192</v>
      </c>
      <c r="I1345" s="433">
        <v>0</v>
      </c>
      <c r="J1345" s="446">
        <v>29.54</v>
      </c>
      <c r="K1345" s="446">
        <v>5.67</v>
      </c>
    </row>
    <row r="1346" customHeight="1" spans="1:11">
      <c r="A1346" s="438" t="s">
        <v>1750</v>
      </c>
      <c r="B1346" s="439" t="s">
        <v>2296</v>
      </c>
      <c r="C1346" s="438" t="s">
        <v>71</v>
      </c>
      <c r="D1346" s="438" t="s">
        <v>2297</v>
      </c>
      <c r="E1346" s="438" t="s">
        <v>1631</v>
      </c>
      <c r="F1346" s="438"/>
      <c r="G1346" s="440" t="s">
        <v>105</v>
      </c>
      <c r="H1346" s="441">
        <v>0.0118</v>
      </c>
      <c r="I1346" s="441">
        <v>0</v>
      </c>
      <c r="J1346" s="449">
        <v>72.71</v>
      </c>
      <c r="K1346" s="449">
        <v>0.85</v>
      </c>
    </row>
    <row r="1347" customHeight="1" spans="1:11">
      <c r="A1347" s="438" t="s">
        <v>1750</v>
      </c>
      <c r="B1347" s="439" t="s">
        <v>2294</v>
      </c>
      <c r="C1347" s="438" t="s">
        <v>71</v>
      </c>
      <c r="D1347" s="438" t="s">
        <v>2295</v>
      </c>
      <c r="E1347" s="438" t="s">
        <v>1631</v>
      </c>
      <c r="F1347" s="438"/>
      <c r="G1347" s="440" t="s">
        <v>105</v>
      </c>
      <c r="H1347" s="441">
        <v>0.014</v>
      </c>
      <c r="I1347" s="441">
        <v>0</v>
      </c>
      <c r="J1347" s="449">
        <v>82.38</v>
      </c>
      <c r="K1347" s="449">
        <v>1.15</v>
      </c>
    </row>
    <row r="1348" customHeight="1" spans="1:11">
      <c r="A1348" s="438" t="s">
        <v>1750</v>
      </c>
      <c r="B1348" s="439" t="s">
        <v>2313</v>
      </c>
      <c r="C1348" s="438" t="s">
        <v>71</v>
      </c>
      <c r="D1348" s="438" t="s">
        <v>2314</v>
      </c>
      <c r="E1348" s="438" t="s">
        <v>1631</v>
      </c>
      <c r="F1348" s="438"/>
      <c r="G1348" s="440" t="s">
        <v>105</v>
      </c>
      <c r="H1348" s="441">
        <v>1</v>
      </c>
      <c r="I1348" s="441">
        <v>0</v>
      </c>
      <c r="J1348" s="449">
        <v>6.21</v>
      </c>
      <c r="K1348" s="449">
        <v>6.21</v>
      </c>
    </row>
    <row r="1349" customHeight="1" spans="1:11">
      <c r="A1349" s="438" t="s">
        <v>1750</v>
      </c>
      <c r="B1349" s="439" t="s">
        <v>2284</v>
      </c>
      <c r="C1349" s="438" t="s">
        <v>71</v>
      </c>
      <c r="D1349" s="438" t="s">
        <v>2285</v>
      </c>
      <c r="E1349" s="438" t="s">
        <v>1631</v>
      </c>
      <c r="F1349" s="438"/>
      <c r="G1349" s="440" t="s">
        <v>105</v>
      </c>
      <c r="H1349" s="441">
        <v>0.0427</v>
      </c>
      <c r="I1349" s="441">
        <v>0</v>
      </c>
      <c r="J1349" s="449">
        <v>2.08</v>
      </c>
      <c r="K1349" s="449">
        <v>0.08</v>
      </c>
    </row>
    <row r="1350" customHeight="1" spans="1:11">
      <c r="A1350" s="434"/>
      <c r="B1350" s="434"/>
      <c r="C1350" s="434"/>
      <c r="D1350" s="434"/>
      <c r="E1350" s="434"/>
      <c r="F1350" s="434" t="s">
        <v>1735</v>
      </c>
      <c r="G1350" s="435">
        <v>4.65</v>
      </c>
      <c r="H1350" s="434" t="s">
        <v>1736</v>
      </c>
      <c r="I1350" s="435">
        <v>4.24</v>
      </c>
      <c r="J1350" s="434" t="s">
        <v>1737</v>
      </c>
      <c r="K1350" s="435">
        <v>8.89</v>
      </c>
    </row>
    <row r="1351" customHeight="1" spans="1:11">
      <c r="A1351" s="434"/>
      <c r="B1351" s="434"/>
      <c r="C1351" s="434"/>
      <c r="D1351" s="434"/>
      <c r="E1351" s="434"/>
      <c r="F1351" s="434" t="s">
        <v>1738</v>
      </c>
      <c r="G1351" s="435">
        <v>5.12</v>
      </c>
      <c r="H1351" s="434"/>
      <c r="I1351" s="434" t="s">
        <v>1739</v>
      </c>
      <c r="J1351" s="434"/>
      <c r="K1351" s="435">
        <v>25.9</v>
      </c>
    </row>
    <row r="1352" customHeight="1" spans="1:11">
      <c r="A1352" s="436"/>
      <c r="B1352" s="436"/>
      <c r="C1352" s="436"/>
      <c r="D1352" s="436"/>
      <c r="E1352" s="436"/>
      <c r="F1352" s="436"/>
      <c r="G1352" s="436"/>
      <c r="H1352" s="436" t="s">
        <v>1740</v>
      </c>
      <c r="I1352" s="447" t="s">
        <v>1741</v>
      </c>
      <c r="J1352" s="436" t="s">
        <v>1742</v>
      </c>
      <c r="K1352" s="448">
        <v>25.9</v>
      </c>
    </row>
    <row r="1353" customHeight="1" spans="1:11">
      <c r="A1353" s="437"/>
      <c r="B1353" s="437"/>
      <c r="C1353" s="437"/>
      <c r="D1353" s="437"/>
      <c r="E1353" s="437"/>
      <c r="F1353" s="437"/>
      <c r="G1353" s="437"/>
      <c r="H1353" s="437"/>
      <c r="I1353" s="437"/>
      <c r="J1353" s="437"/>
      <c r="K1353" s="437"/>
    </row>
    <row r="1354" customHeight="1" spans="1:11">
      <c r="A1354" s="423" t="s">
        <v>448</v>
      </c>
      <c r="B1354" s="424" t="s">
        <v>1714</v>
      </c>
      <c r="C1354" s="423" t="s">
        <v>1715</v>
      </c>
      <c r="D1354" s="423" t="s">
        <v>1716</v>
      </c>
      <c r="E1354" s="423" t="s">
        <v>1717</v>
      </c>
      <c r="F1354" s="423"/>
      <c r="G1354" s="425" t="s">
        <v>1718</v>
      </c>
      <c r="H1354" s="424" t="s">
        <v>1719</v>
      </c>
      <c r="I1354" s="424" t="s">
        <v>1720</v>
      </c>
      <c r="J1354" s="424" t="s">
        <v>1721</v>
      </c>
      <c r="K1354" s="424" t="s">
        <v>1722</v>
      </c>
    </row>
    <row r="1355" customHeight="1" spans="1:11">
      <c r="A1355" s="426" t="s">
        <v>1723</v>
      </c>
      <c r="B1355" s="427" t="s">
        <v>449</v>
      </c>
      <c r="C1355" s="426" t="s">
        <v>71</v>
      </c>
      <c r="D1355" s="426" t="s">
        <v>450</v>
      </c>
      <c r="E1355" s="426" t="s">
        <v>1659</v>
      </c>
      <c r="F1355" s="426"/>
      <c r="G1355" s="428" t="s">
        <v>105</v>
      </c>
      <c r="H1355" s="429">
        <v>1</v>
      </c>
      <c r="I1355" s="445"/>
      <c r="J1355" s="445">
        <v>15.16</v>
      </c>
      <c r="K1355" s="445">
        <v>15.16</v>
      </c>
    </row>
    <row r="1356" customHeight="1" spans="1:11">
      <c r="A1356" s="430" t="s">
        <v>1724</v>
      </c>
      <c r="B1356" s="431" t="s">
        <v>1859</v>
      </c>
      <c r="C1356" s="430" t="s">
        <v>71</v>
      </c>
      <c r="D1356" s="430" t="s">
        <v>1860</v>
      </c>
      <c r="E1356" s="430" t="s">
        <v>1708</v>
      </c>
      <c r="F1356" s="430"/>
      <c r="G1356" s="432" t="s">
        <v>82</v>
      </c>
      <c r="H1356" s="433">
        <v>0.1312</v>
      </c>
      <c r="I1356" s="433">
        <v>0</v>
      </c>
      <c r="J1356" s="446">
        <v>29.54</v>
      </c>
      <c r="K1356" s="446">
        <v>3.87</v>
      </c>
    </row>
    <row r="1357" customHeight="1" spans="1:11">
      <c r="A1357" s="430" t="s">
        <v>1724</v>
      </c>
      <c r="B1357" s="431" t="s">
        <v>1854</v>
      </c>
      <c r="C1357" s="430" t="s">
        <v>71</v>
      </c>
      <c r="D1357" s="430" t="s">
        <v>1855</v>
      </c>
      <c r="E1357" s="430" t="s">
        <v>1708</v>
      </c>
      <c r="F1357" s="430"/>
      <c r="G1357" s="432" t="s">
        <v>82</v>
      </c>
      <c r="H1357" s="433">
        <v>0.1312</v>
      </c>
      <c r="I1357" s="433">
        <v>0</v>
      </c>
      <c r="J1357" s="446">
        <v>35.55</v>
      </c>
      <c r="K1357" s="446">
        <v>4.66</v>
      </c>
    </row>
    <row r="1358" customHeight="1" spans="1:11">
      <c r="A1358" s="438" t="s">
        <v>1750</v>
      </c>
      <c r="B1358" s="439" t="s">
        <v>2296</v>
      </c>
      <c r="C1358" s="438" t="s">
        <v>71</v>
      </c>
      <c r="D1358" s="438" t="s">
        <v>2297</v>
      </c>
      <c r="E1358" s="438" t="s">
        <v>1631</v>
      </c>
      <c r="F1358" s="438"/>
      <c r="G1358" s="440" t="s">
        <v>105</v>
      </c>
      <c r="H1358" s="441">
        <v>0.0059</v>
      </c>
      <c r="I1358" s="441">
        <v>0</v>
      </c>
      <c r="J1358" s="449">
        <v>72.71</v>
      </c>
      <c r="K1358" s="449">
        <v>0.42</v>
      </c>
    </row>
    <row r="1359" customHeight="1" spans="1:11">
      <c r="A1359" s="438" t="s">
        <v>1750</v>
      </c>
      <c r="B1359" s="439" t="s">
        <v>2294</v>
      </c>
      <c r="C1359" s="438" t="s">
        <v>71</v>
      </c>
      <c r="D1359" s="438" t="s">
        <v>2295</v>
      </c>
      <c r="E1359" s="438" t="s">
        <v>1631</v>
      </c>
      <c r="F1359" s="438"/>
      <c r="G1359" s="440" t="s">
        <v>105</v>
      </c>
      <c r="H1359" s="441">
        <v>0.007</v>
      </c>
      <c r="I1359" s="441">
        <v>0</v>
      </c>
      <c r="J1359" s="449">
        <v>82.38</v>
      </c>
      <c r="K1359" s="449">
        <v>0.57</v>
      </c>
    </row>
    <row r="1360" customHeight="1" spans="1:11">
      <c r="A1360" s="438" t="s">
        <v>1750</v>
      </c>
      <c r="B1360" s="439" t="s">
        <v>2315</v>
      </c>
      <c r="C1360" s="438" t="s">
        <v>71</v>
      </c>
      <c r="D1360" s="438" t="s">
        <v>2316</v>
      </c>
      <c r="E1360" s="438" t="s">
        <v>1631</v>
      </c>
      <c r="F1360" s="438"/>
      <c r="G1360" s="440" t="s">
        <v>105</v>
      </c>
      <c r="H1360" s="441">
        <v>1</v>
      </c>
      <c r="I1360" s="441">
        <v>0</v>
      </c>
      <c r="J1360" s="449">
        <v>5.58</v>
      </c>
      <c r="K1360" s="449">
        <v>5.58</v>
      </c>
    </row>
    <row r="1361" customHeight="1" spans="1:11">
      <c r="A1361" s="438" t="s">
        <v>1750</v>
      </c>
      <c r="B1361" s="439" t="s">
        <v>2284</v>
      </c>
      <c r="C1361" s="438" t="s">
        <v>71</v>
      </c>
      <c r="D1361" s="438" t="s">
        <v>2285</v>
      </c>
      <c r="E1361" s="438" t="s">
        <v>1631</v>
      </c>
      <c r="F1361" s="438"/>
      <c r="G1361" s="440" t="s">
        <v>105</v>
      </c>
      <c r="H1361" s="441">
        <v>0.0315</v>
      </c>
      <c r="I1361" s="441">
        <v>0</v>
      </c>
      <c r="J1361" s="449">
        <v>2.08</v>
      </c>
      <c r="K1361" s="449">
        <v>0.06</v>
      </c>
    </row>
    <row r="1362" customHeight="1" spans="1:11">
      <c r="A1362" s="434"/>
      <c r="B1362" s="434"/>
      <c r="C1362" s="434"/>
      <c r="D1362" s="434"/>
      <c r="E1362" s="434"/>
      <c r="F1362" s="434" t="s">
        <v>1735</v>
      </c>
      <c r="G1362" s="435">
        <v>3.18</v>
      </c>
      <c r="H1362" s="434" t="s">
        <v>1736</v>
      </c>
      <c r="I1362" s="435">
        <v>2.89</v>
      </c>
      <c r="J1362" s="434" t="s">
        <v>1737</v>
      </c>
      <c r="K1362" s="435">
        <v>6.07</v>
      </c>
    </row>
    <row r="1363" customHeight="1" spans="1:11">
      <c r="A1363" s="434"/>
      <c r="B1363" s="434"/>
      <c r="C1363" s="434"/>
      <c r="D1363" s="434"/>
      <c r="E1363" s="434"/>
      <c r="F1363" s="434" t="s">
        <v>1738</v>
      </c>
      <c r="G1363" s="435">
        <v>3.73</v>
      </c>
      <c r="H1363" s="434"/>
      <c r="I1363" s="434" t="s">
        <v>1739</v>
      </c>
      <c r="J1363" s="434"/>
      <c r="K1363" s="435">
        <v>18.89</v>
      </c>
    </row>
    <row r="1364" customHeight="1" spans="1:11">
      <c r="A1364" s="436"/>
      <c r="B1364" s="436"/>
      <c r="C1364" s="436"/>
      <c r="D1364" s="436"/>
      <c r="E1364" s="436"/>
      <c r="F1364" s="436"/>
      <c r="G1364" s="436"/>
      <c r="H1364" s="436" t="s">
        <v>1740</v>
      </c>
      <c r="I1364" s="447" t="s">
        <v>2020</v>
      </c>
      <c r="J1364" s="436" t="s">
        <v>1742</v>
      </c>
      <c r="K1364" s="448">
        <v>226.68</v>
      </c>
    </row>
    <row r="1365" customHeight="1" spans="1:11">
      <c r="A1365" s="437"/>
      <c r="B1365" s="437"/>
      <c r="C1365" s="437"/>
      <c r="D1365" s="437"/>
      <c r="E1365" s="437"/>
      <c r="F1365" s="437"/>
      <c r="G1365" s="437"/>
      <c r="H1365" s="437"/>
      <c r="I1365" s="437"/>
      <c r="J1365" s="437"/>
      <c r="K1365" s="437"/>
    </row>
    <row r="1366" customHeight="1" spans="1:11">
      <c r="A1366" s="423" t="s">
        <v>451</v>
      </c>
      <c r="B1366" s="424" t="s">
        <v>1714</v>
      </c>
      <c r="C1366" s="423" t="s">
        <v>1715</v>
      </c>
      <c r="D1366" s="423" t="s">
        <v>1716</v>
      </c>
      <c r="E1366" s="423" t="s">
        <v>1717</v>
      </c>
      <c r="F1366" s="423"/>
      <c r="G1366" s="425" t="s">
        <v>1718</v>
      </c>
      <c r="H1366" s="424" t="s">
        <v>1719</v>
      </c>
      <c r="I1366" s="424" t="s">
        <v>1720</v>
      </c>
      <c r="J1366" s="424" t="s">
        <v>1721</v>
      </c>
      <c r="K1366" s="424" t="s">
        <v>1722</v>
      </c>
    </row>
    <row r="1367" customHeight="1" spans="1:11">
      <c r="A1367" s="426" t="s">
        <v>1723</v>
      </c>
      <c r="B1367" s="427" t="s">
        <v>452</v>
      </c>
      <c r="C1367" s="426" t="s">
        <v>71</v>
      </c>
      <c r="D1367" s="426" t="s">
        <v>453</v>
      </c>
      <c r="E1367" s="426" t="s">
        <v>1705</v>
      </c>
      <c r="F1367" s="426"/>
      <c r="G1367" s="428" t="s">
        <v>105</v>
      </c>
      <c r="H1367" s="429">
        <v>1</v>
      </c>
      <c r="I1367" s="445"/>
      <c r="J1367" s="445">
        <v>31.73</v>
      </c>
      <c r="K1367" s="445">
        <v>31.73</v>
      </c>
    </row>
    <row r="1368" customHeight="1" spans="1:11">
      <c r="A1368" s="430" t="s">
        <v>1724</v>
      </c>
      <c r="B1368" s="431" t="s">
        <v>1859</v>
      </c>
      <c r="C1368" s="430" t="s">
        <v>71</v>
      </c>
      <c r="D1368" s="430" t="s">
        <v>1860</v>
      </c>
      <c r="E1368" s="430" t="s">
        <v>1708</v>
      </c>
      <c r="F1368" s="430"/>
      <c r="G1368" s="432" t="s">
        <v>82</v>
      </c>
      <c r="H1368" s="433">
        <v>0.2179</v>
      </c>
      <c r="I1368" s="433">
        <v>0</v>
      </c>
      <c r="J1368" s="446">
        <v>29.54</v>
      </c>
      <c r="K1368" s="446">
        <v>6.43</v>
      </c>
    </row>
    <row r="1369" customHeight="1" spans="1:11">
      <c r="A1369" s="430" t="s">
        <v>1724</v>
      </c>
      <c r="B1369" s="431" t="s">
        <v>1854</v>
      </c>
      <c r="C1369" s="430" t="s">
        <v>71</v>
      </c>
      <c r="D1369" s="430" t="s">
        <v>1855</v>
      </c>
      <c r="E1369" s="430" t="s">
        <v>1708</v>
      </c>
      <c r="F1369" s="430"/>
      <c r="G1369" s="432" t="s">
        <v>82</v>
      </c>
      <c r="H1369" s="433">
        <v>0.3268</v>
      </c>
      <c r="I1369" s="433">
        <v>0</v>
      </c>
      <c r="J1369" s="446">
        <v>35.55</v>
      </c>
      <c r="K1369" s="446">
        <v>11.61</v>
      </c>
    </row>
    <row r="1370" customHeight="1" spans="1:11">
      <c r="A1370" s="438" t="s">
        <v>1750</v>
      </c>
      <c r="B1370" s="439" t="s">
        <v>2317</v>
      </c>
      <c r="C1370" s="438" t="s">
        <v>71</v>
      </c>
      <c r="D1370" s="438" t="s">
        <v>2318</v>
      </c>
      <c r="E1370" s="438" t="s">
        <v>1631</v>
      </c>
      <c r="F1370" s="438"/>
      <c r="G1370" s="440" t="s">
        <v>105</v>
      </c>
      <c r="H1370" s="441">
        <v>1</v>
      </c>
      <c r="I1370" s="441">
        <v>0</v>
      </c>
      <c r="J1370" s="449">
        <v>13.67</v>
      </c>
      <c r="K1370" s="449">
        <v>13.67</v>
      </c>
    </row>
    <row r="1371" customHeight="1" spans="1:11">
      <c r="A1371" s="438" t="s">
        <v>1750</v>
      </c>
      <c r="B1371" s="439" t="s">
        <v>2319</v>
      </c>
      <c r="C1371" s="438" t="s">
        <v>71</v>
      </c>
      <c r="D1371" s="438" t="s">
        <v>2320</v>
      </c>
      <c r="E1371" s="438" t="s">
        <v>1631</v>
      </c>
      <c r="F1371" s="438"/>
      <c r="G1371" s="440" t="s">
        <v>105</v>
      </c>
      <c r="H1371" s="441">
        <v>0.0021</v>
      </c>
      <c r="I1371" s="441">
        <v>0</v>
      </c>
      <c r="J1371" s="449">
        <v>13.46</v>
      </c>
      <c r="K1371" s="449">
        <v>0.02</v>
      </c>
    </row>
    <row r="1372" customHeight="1" spans="1:11">
      <c r="A1372" s="434"/>
      <c r="B1372" s="434"/>
      <c r="C1372" s="434"/>
      <c r="D1372" s="434"/>
      <c r="E1372" s="434"/>
      <c r="F1372" s="434" t="s">
        <v>1735</v>
      </c>
      <c r="G1372" s="435">
        <v>6.78</v>
      </c>
      <c r="H1372" s="434" t="s">
        <v>1736</v>
      </c>
      <c r="I1372" s="435">
        <v>6.16</v>
      </c>
      <c r="J1372" s="434" t="s">
        <v>1737</v>
      </c>
      <c r="K1372" s="435">
        <v>12.94</v>
      </c>
    </row>
    <row r="1373" customHeight="1" spans="1:11">
      <c r="A1373" s="434"/>
      <c r="B1373" s="434"/>
      <c r="C1373" s="434"/>
      <c r="D1373" s="434"/>
      <c r="E1373" s="434"/>
      <c r="F1373" s="434" t="s">
        <v>1738</v>
      </c>
      <c r="G1373" s="435">
        <v>7.82</v>
      </c>
      <c r="H1373" s="434"/>
      <c r="I1373" s="434" t="s">
        <v>1739</v>
      </c>
      <c r="J1373" s="434"/>
      <c r="K1373" s="435">
        <v>39.55</v>
      </c>
    </row>
    <row r="1374" customHeight="1" spans="1:11">
      <c r="A1374" s="436"/>
      <c r="B1374" s="436"/>
      <c r="C1374" s="436"/>
      <c r="D1374" s="436"/>
      <c r="E1374" s="436"/>
      <c r="F1374" s="436"/>
      <c r="G1374" s="436"/>
      <c r="H1374" s="436" t="s">
        <v>1740</v>
      </c>
      <c r="I1374" s="447" t="s">
        <v>2321</v>
      </c>
      <c r="J1374" s="436" t="s">
        <v>1742</v>
      </c>
      <c r="K1374" s="448">
        <v>791</v>
      </c>
    </row>
    <row r="1375" customHeight="1" spans="1:11">
      <c r="A1375" s="437"/>
      <c r="B1375" s="437"/>
      <c r="C1375" s="437"/>
      <c r="D1375" s="437"/>
      <c r="E1375" s="437"/>
      <c r="F1375" s="437"/>
      <c r="G1375" s="437"/>
      <c r="H1375" s="437"/>
      <c r="I1375" s="437"/>
      <c r="J1375" s="437"/>
      <c r="K1375" s="437"/>
    </row>
    <row r="1376" customHeight="1" spans="1:11">
      <c r="A1376" s="423" t="s">
        <v>454</v>
      </c>
      <c r="B1376" s="424" t="s">
        <v>1714</v>
      </c>
      <c r="C1376" s="423" t="s">
        <v>1715</v>
      </c>
      <c r="D1376" s="423" t="s">
        <v>1716</v>
      </c>
      <c r="E1376" s="423" t="s">
        <v>1717</v>
      </c>
      <c r="F1376" s="423"/>
      <c r="G1376" s="425" t="s">
        <v>1718</v>
      </c>
      <c r="H1376" s="424" t="s">
        <v>1719</v>
      </c>
      <c r="I1376" s="424" t="s">
        <v>1720</v>
      </c>
      <c r="J1376" s="424" t="s">
        <v>1721</v>
      </c>
      <c r="K1376" s="424" t="s">
        <v>1722</v>
      </c>
    </row>
    <row r="1377" customHeight="1" spans="1:11">
      <c r="A1377" s="426" t="s">
        <v>1723</v>
      </c>
      <c r="B1377" s="427" t="s">
        <v>455</v>
      </c>
      <c r="C1377" s="426" t="s">
        <v>71</v>
      </c>
      <c r="D1377" s="426" t="s">
        <v>456</v>
      </c>
      <c r="E1377" s="426" t="s">
        <v>1659</v>
      </c>
      <c r="F1377" s="426"/>
      <c r="G1377" s="428" t="s">
        <v>105</v>
      </c>
      <c r="H1377" s="429">
        <v>1</v>
      </c>
      <c r="I1377" s="445"/>
      <c r="J1377" s="445">
        <v>18.67</v>
      </c>
      <c r="K1377" s="445">
        <v>18.67</v>
      </c>
    </row>
    <row r="1378" customHeight="1" spans="1:11">
      <c r="A1378" s="430" t="s">
        <v>1724</v>
      </c>
      <c r="B1378" s="431" t="s">
        <v>1859</v>
      </c>
      <c r="C1378" s="430" t="s">
        <v>71</v>
      </c>
      <c r="D1378" s="430" t="s">
        <v>1860</v>
      </c>
      <c r="E1378" s="430" t="s">
        <v>1708</v>
      </c>
      <c r="F1378" s="430"/>
      <c r="G1378" s="432" t="s">
        <v>82</v>
      </c>
      <c r="H1378" s="433">
        <v>0.1416</v>
      </c>
      <c r="I1378" s="433">
        <v>0</v>
      </c>
      <c r="J1378" s="446">
        <v>29.54</v>
      </c>
      <c r="K1378" s="446">
        <v>4.18</v>
      </c>
    </row>
    <row r="1379" customHeight="1" spans="1:11">
      <c r="A1379" s="430" t="s">
        <v>1724</v>
      </c>
      <c r="B1379" s="431" t="s">
        <v>1854</v>
      </c>
      <c r="C1379" s="430" t="s">
        <v>71</v>
      </c>
      <c r="D1379" s="430" t="s">
        <v>1855</v>
      </c>
      <c r="E1379" s="430" t="s">
        <v>1708</v>
      </c>
      <c r="F1379" s="430"/>
      <c r="G1379" s="432" t="s">
        <v>82</v>
      </c>
      <c r="H1379" s="433">
        <v>0.1416</v>
      </c>
      <c r="I1379" s="433">
        <v>0</v>
      </c>
      <c r="J1379" s="446">
        <v>35.55</v>
      </c>
      <c r="K1379" s="446">
        <v>5.03</v>
      </c>
    </row>
    <row r="1380" customHeight="1" spans="1:11">
      <c r="A1380" s="438" t="s">
        <v>1750</v>
      </c>
      <c r="B1380" s="439" t="s">
        <v>2284</v>
      </c>
      <c r="C1380" s="438" t="s">
        <v>71</v>
      </c>
      <c r="D1380" s="438" t="s">
        <v>2285</v>
      </c>
      <c r="E1380" s="438" t="s">
        <v>1631</v>
      </c>
      <c r="F1380" s="438"/>
      <c r="G1380" s="440" t="s">
        <v>105</v>
      </c>
      <c r="H1380" s="441">
        <v>0.0338</v>
      </c>
      <c r="I1380" s="441">
        <v>0</v>
      </c>
      <c r="J1380" s="449">
        <v>2.08</v>
      </c>
      <c r="K1380" s="449">
        <v>0.07</v>
      </c>
    </row>
    <row r="1381" customHeight="1" spans="1:11">
      <c r="A1381" s="438" t="s">
        <v>1750</v>
      </c>
      <c r="B1381" s="439" t="s">
        <v>1863</v>
      </c>
      <c r="C1381" s="438" t="s">
        <v>71</v>
      </c>
      <c r="D1381" s="438" t="s">
        <v>1864</v>
      </c>
      <c r="E1381" s="438" t="s">
        <v>1631</v>
      </c>
      <c r="F1381" s="438"/>
      <c r="G1381" s="440" t="s">
        <v>105</v>
      </c>
      <c r="H1381" s="441">
        <v>1</v>
      </c>
      <c r="I1381" s="441">
        <v>0</v>
      </c>
      <c r="J1381" s="449">
        <v>8.4</v>
      </c>
      <c r="K1381" s="449">
        <v>8.4</v>
      </c>
    </row>
    <row r="1382" customHeight="1" spans="1:11">
      <c r="A1382" s="438" t="s">
        <v>1750</v>
      </c>
      <c r="B1382" s="439" t="s">
        <v>2296</v>
      </c>
      <c r="C1382" s="438" t="s">
        <v>71</v>
      </c>
      <c r="D1382" s="438" t="s">
        <v>2297</v>
      </c>
      <c r="E1382" s="438" t="s">
        <v>1631</v>
      </c>
      <c r="F1382" s="438"/>
      <c r="G1382" s="440" t="s">
        <v>105</v>
      </c>
      <c r="H1382" s="441">
        <v>0.0059</v>
      </c>
      <c r="I1382" s="441">
        <v>0</v>
      </c>
      <c r="J1382" s="449">
        <v>72.71</v>
      </c>
      <c r="K1382" s="449">
        <v>0.42</v>
      </c>
    </row>
    <row r="1383" customHeight="1" spans="1:11">
      <c r="A1383" s="438" t="s">
        <v>1750</v>
      </c>
      <c r="B1383" s="439" t="s">
        <v>2294</v>
      </c>
      <c r="C1383" s="438" t="s">
        <v>71</v>
      </c>
      <c r="D1383" s="438" t="s">
        <v>2295</v>
      </c>
      <c r="E1383" s="438" t="s">
        <v>1631</v>
      </c>
      <c r="F1383" s="438"/>
      <c r="G1383" s="440" t="s">
        <v>105</v>
      </c>
      <c r="H1383" s="441">
        <v>0.007</v>
      </c>
      <c r="I1383" s="441">
        <v>0</v>
      </c>
      <c r="J1383" s="449">
        <v>82.38</v>
      </c>
      <c r="K1383" s="449">
        <v>0.57</v>
      </c>
    </row>
    <row r="1384" customHeight="1" spans="1:11">
      <c r="A1384" s="434"/>
      <c r="B1384" s="434"/>
      <c r="C1384" s="434"/>
      <c r="D1384" s="434"/>
      <c r="E1384" s="434"/>
      <c r="F1384" s="434" t="s">
        <v>1735</v>
      </c>
      <c r="G1384" s="435">
        <v>3.43</v>
      </c>
      <c r="H1384" s="434" t="s">
        <v>1736</v>
      </c>
      <c r="I1384" s="435">
        <v>3.12</v>
      </c>
      <c r="J1384" s="434" t="s">
        <v>1737</v>
      </c>
      <c r="K1384" s="435">
        <v>6.55</v>
      </c>
    </row>
    <row r="1385" customHeight="1" spans="1:11">
      <c r="A1385" s="434"/>
      <c r="B1385" s="434"/>
      <c r="C1385" s="434"/>
      <c r="D1385" s="434"/>
      <c r="E1385" s="434"/>
      <c r="F1385" s="434" t="s">
        <v>1738</v>
      </c>
      <c r="G1385" s="435">
        <v>4.6</v>
      </c>
      <c r="H1385" s="434"/>
      <c r="I1385" s="434" t="s">
        <v>1739</v>
      </c>
      <c r="J1385" s="434"/>
      <c r="K1385" s="435">
        <v>23.27</v>
      </c>
    </row>
    <row r="1386" customHeight="1" spans="1:11">
      <c r="A1386" s="436"/>
      <c r="B1386" s="436"/>
      <c r="C1386" s="436"/>
      <c r="D1386" s="436"/>
      <c r="E1386" s="436"/>
      <c r="F1386" s="436"/>
      <c r="G1386" s="436"/>
      <c r="H1386" s="436" t="s">
        <v>1740</v>
      </c>
      <c r="I1386" s="447" t="s">
        <v>1741</v>
      </c>
      <c r="J1386" s="436" t="s">
        <v>1742</v>
      </c>
      <c r="K1386" s="448">
        <v>23.27</v>
      </c>
    </row>
    <row r="1387" customHeight="1" spans="1:11">
      <c r="A1387" s="437"/>
      <c r="B1387" s="437"/>
      <c r="C1387" s="437"/>
      <c r="D1387" s="437"/>
      <c r="E1387" s="437"/>
      <c r="F1387" s="437"/>
      <c r="G1387" s="437"/>
      <c r="H1387" s="437"/>
      <c r="I1387" s="437"/>
      <c r="J1387" s="437"/>
      <c r="K1387" s="437"/>
    </row>
    <row r="1388" customHeight="1" spans="1:11">
      <c r="A1388" s="423" t="s">
        <v>457</v>
      </c>
      <c r="B1388" s="424" t="s">
        <v>1714</v>
      </c>
      <c r="C1388" s="423" t="s">
        <v>1715</v>
      </c>
      <c r="D1388" s="423" t="s">
        <v>1716</v>
      </c>
      <c r="E1388" s="423" t="s">
        <v>1717</v>
      </c>
      <c r="F1388" s="423"/>
      <c r="G1388" s="425" t="s">
        <v>1718</v>
      </c>
      <c r="H1388" s="424" t="s">
        <v>1719</v>
      </c>
      <c r="I1388" s="424" t="s">
        <v>1720</v>
      </c>
      <c r="J1388" s="424" t="s">
        <v>1721</v>
      </c>
      <c r="K1388" s="424" t="s">
        <v>1722</v>
      </c>
    </row>
    <row r="1389" customHeight="1" spans="1:11">
      <c r="A1389" s="426" t="s">
        <v>1723</v>
      </c>
      <c r="B1389" s="427" t="s">
        <v>458</v>
      </c>
      <c r="C1389" s="426" t="s">
        <v>71</v>
      </c>
      <c r="D1389" s="426" t="s">
        <v>459</v>
      </c>
      <c r="E1389" s="426" t="s">
        <v>1659</v>
      </c>
      <c r="F1389" s="426"/>
      <c r="G1389" s="428" t="s">
        <v>105</v>
      </c>
      <c r="H1389" s="429">
        <v>1</v>
      </c>
      <c r="I1389" s="445"/>
      <c r="J1389" s="445">
        <v>22.06</v>
      </c>
      <c r="K1389" s="445">
        <v>22.06</v>
      </c>
    </row>
    <row r="1390" customHeight="1" spans="1:11">
      <c r="A1390" s="430" t="s">
        <v>1724</v>
      </c>
      <c r="B1390" s="431" t="s">
        <v>1854</v>
      </c>
      <c r="C1390" s="430" t="s">
        <v>71</v>
      </c>
      <c r="D1390" s="430" t="s">
        <v>1855</v>
      </c>
      <c r="E1390" s="430" t="s">
        <v>1708</v>
      </c>
      <c r="F1390" s="430"/>
      <c r="G1390" s="432" t="s">
        <v>82</v>
      </c>
      <c r="H1390" s="433">
        <v>0.1987</v>
      </c>
      <c r="I1390" s="433">
        <v>0</v>
      </c>
      <c r="J1390" s="446">
        <v>35.55</v>
      </c>
      <c r="K1390" s="446">
        <v>7.06</v>
      </c>
    </row>
    <row r="1391" customHeight="1" spans="1:11">
      <c r="A1391" s="430" t="s">
        <v>1724</v>
      </c>
      <c r="B1391" s="431" t="s">
        <v>1859</v>
      </c>
      <c r="C1391" s="430" t="s">
        <v>71</v>
      </c>
      <c r="D1391" s="430" t="s">
        <v>1860</v>
      </c>
      <c r="E1391" s="430" t="s">
        <v>1708</v>
      </c>
      <c r="F1391" s="430"/>
      <c r="G1391" s="432" t="s">
        <v>82</v>
      </c>
      <c r="H1391" s="433">
        <v>0.1987</v>
      </c>
      <c r="I1391" s="433">
        <v>0</v>
      </c>
      <c r="J1391" s="446">
        <v>29.54</v>
      </c>
      <c r="K1391" s="446">
        <v>5.86</v>
      </c>
    </row>
    <row r="1392" customHeight="1" spans="1:11">
      <c r="A1392" s="438" t="s">
        <v>1750</v>
      </c>
      <c r="B1392" s="439" t="s">
        <v>2294</v>
      </c>
      <c r="C1392" s="438" t="s">
        <v>71</v>
      </c>
      <c r="D1392" s="438" t="s">
        <v>2295</v>
      </c>
      <c r="E1392" s="438" t="s">
        <v>1631</v>
      </c>
      <c r="F1392" s="438"/>
      <c r="G1392" s="440" t="s">
        <v>105</v>
      </c>
      <c r="H1392" s="441">
        <v>0.0143</v>
      </c>
      <c r="I1392" s="441">
        <v>0</v>
      </c>
      <c r="J1392" s="449">
        <v>82.38</v>
      </c>
      <c r="K1392" s="449">
        <v>1.17</v>
      </c>
    </row>
    <row r="1393" customHeight="1" spans="1:11">
      <c r="A1393" s="438" t="s">
        <v>1750</v>
      </c>
      <c r="B1393" s="439" t="s">
        <v>2322</v>
      </c>
      <c r="C1393" s="438" t="s">
        <v>71</v>
      </c>
      <c r="D1393" s="438" t="s">
        <v>2323</v>
      </c>
      <c r="E1393" s="438" t="s">
        <v>1631</v>
      </c>
      <c r="F1393" s="438"/>
      <c r="G1393" s="440" t="s">
        <v>105</v>
      </c>
      <c r="H1393" s="441">
        <v>1</v>
      </c>
      <c r="I1393" s="441">
        <v>0</v>
      </c>
      <c r="J1393" s="449">
        <v>6.97</v>
      </c>
      <c r="K1393" s="449">
        <v>6.97</v>
      </c>
    </row>
    <row r="1394" customHeight="1" spans="1:11">
      <c r="A1394" s="438" t="s">
        <v>1750</v>
      </c>
      <c r="B1394" s="439" t="s">
        <v>2296</v>
      </c>
      <c r="C1394" s="438" t="s">
        <v>71</v>
      </c>
      <c r="D1394" s="438" t="s">
        <v>2297</v>
      </c>
      <c r="E1394" s="438" t="s">
        <v>1631</v>
      </c>
      <c r="F1394" s="438"/>
      <c r="G1394" s="440" t="s">
        <v>105</v>
      </c>
      <c r="H1394" s="441">
        <v>0.0124</v>
      </c>
      <c r="I1394" s="441">
        <v>0</v>
      </c>
      <c r="J1394" s="449">
        <v>72.71</v>
      </c>
      <c r="K1394" s="449">
        <v>0.9</v>
      </c>
    </row>
    <row r="1395" customHeight="1" spans="1:11">
      <c r="A1395" s="438" t="s">
        <v>1750</v>
      </c>
      <c r="B1395" s="439" t="s">
        <v>2284</v>
      </c>
      <c r="C1395" s="438" t="s">
        <v>71</v>
      </c>
      <c r="D1395" s="438" t="s">
        <v>2285</v>
      </c>
      <c r="E1395" s="438" t="s">
        <v>1631</v>
      </c>
      <c r="F1395" s="438"/>
      <c r="G1395" s="440" t="s">
        <v>105</v>
      </c>
      <c r="H1395" s="441">
        <v>0.0511</v>
      </c>
      <c r="I1395" s="441">
        <v>0</v>
      </c>
      <c r="J1395" s="449">
        <v>2.08</v>
      </c>
      <c r="K1395" s="449">
        <v>0.1</v>
      </c>
    </row>
    <row r="1396" customHeight="1" spans="1:11">
      <c r="A1396" s="434"/>
      <c r="B1396" s="434"/>
      <c r="C1396" s="434"/>
      <c r="D1396" s="434"/>
      <c r="E1396" s="434"/>
      <c r="F1396" s="434" t="s">
        <v>1735</v>
      </c>
      <c r="G1396" s="435">
        <v>4.82</v>
      </c>
      <c r="H1396" s="434" t="s">
        <v>1736</v>
      </c>
      <c r="I1396" s="435">
        <v>4.38</v>
      </c>
      <c r="J1396" s="434" t="s">
        <v>1737</v>
      </c>
      <c r="K1396" s="435">
        <v>9.2</v>
      </c>
    </row>
    <row r="1397" customHeight="1" spans="1:11">
      <c r="A1397" s="434"/>
      <c r="B1397" s="434"/>
      <c r="C1397" s="434"/>
      <c r="D1397" s="434"/>
      <c r="E1397" s="434"/>
      <c r="F1397" s="434" t="s">
        <v>1738</v>
      </c>
      <c r="G1397" s="435">
        <v>5.43</v>
      </c>
      <c r="H1397" s="434"/>
      <c r="I1397" s="434" t="s">
        <v>1739</v>
      </c>
      <c r="J1397" s="434"/>
      <c r="K1397" s="435">
        <v>27.49</v>
      </c>
    </row>
    <row r="1398" customHeight="1" spans="1:11">
      <c r="A1398" s="436"/>
      <c r="B1398" s="436"/>
      <c r="C1398" s="436"/>
      <c r="D1398" s="436"/>
      <c r="E1398" s="436"/>
      <c r="F1398" s="436"/>
      <c r="G1398" s="436"/>
      <c r="H1398" s="436" t="s">
        <v>1740</v>
      </c>
      <c r="I1398" s="447" t="s">
        <v>2324</v>
      </c>
      <c r="J1398" s="436" t="s">
        <v>1742</v>
      </c>
      <c r="K1398" s="448">
        <v>109.96</v>
      </c>
    </row>
    <row r="1399" customHeight="1" spans="1:11">
      <c r="A1399" s="437"/>
      <c r="B1399" s="437"/>
      <c r="C1399" s="437"/>
      <c r="D1399" s="437"/>
      <c r="E1399" s="437"/>
      <c r="F1399" s="437"/>
      <c r="G1399" s="437"/>
      <c r="H1399" s="437"/>
      <c r="I1399" s="437"/>
      <c r="J1399" s="437"/>
      <c r="K1399" s="437"/>
    </row>
    <row r="1400" customHeight="1" spans="1:11">
      <c r="A1400" s="423" t="s">
        <v>460</v>
      </c>
      <c r="B1400" s="424" t="s">
        <v>1714</v>
      </c>
      <c r="C1400" s="423" t="s">
        <v>1715</v>
      </c>
      <c r="D1400" s="423" t="s">
        <v>1716</v>
      </c>
      <c r="E1400" s="423" t="s">
        <v>1717</v>
      </c>
      <c r="F1400" s="423"/>
      <c r="G1400" s="425" t="s">
        <v>1718</v>
      </c>
      <c r="H1400" s="424" t="s">
        <v>1719</v>
      </c>
      <c r="I1400" s="424" t="s">
        <v>1720</v>
      </c>
      <c r="J1400" s="424" t="s">
        <v>1721</v>
      </c>
      <c r="K1400" s="424" t="s">
        <v>1722</v>
      </c>
    </row>
    <row r="1401" customHeight="1" spans="1:11">
      <c r="A1401" s="426" t="s">
        <v>1723</v>
      </c>
      <c r="B1401" s="427" t="s">
        <v>461</v>
      </c>
      <c r="C1401" s="426" t="s">
        <v>71</v>
      </c>
      <c r="D1401" s="426" t="s">
        <v>462</v>
      </c>
      <c r="E1401" s="426" t="s">
        <v>1659</v>
      </c>
      <c r="F1401" s="426"/>
      <c r="G1401" s="428" t="s">
        <v>105</v>
      </c>
      <c r="H1401" s="429">
        <v>1</v>
      </c>
      <c r="I1401" s="445"/>
      <c r="J1401" s="445">
        <v>27.21</v>
      </c>
      <c r="K1401" s="445">
        <v>27.21</v>
      </c>
    </row>
    <row r="1402" customHeight="1" spans="1:11">
      <c r="A1402" s="430" t="s">
        <v>1724</v>
      </c>
      <c r="B1402" s="431" t="s">
        <v>1859</v>
      </c>
      <c r="C1402" s="430" t="s">
        <v>71</v>
      </c>
      <c r="D1402" s="430" t="s">
        <v>1860</v>
      </c>
      <c r="E1402" s="430" t="s">
        <v>1708</v>
      </c>
      <c r="F1402" s="430"/>
      <c r="G1402" s="432" t="s">
        <v>82</v>
      </c>
      <c r="H1402" s="433">
        <v>0.2361</v>
      </c>
      <c r="I1402" s="433">
        <v>0</v>
      </c>
      <c r="J1402" s="446">
        <v>29.54</v>
      </c>
      <c r="K1402" s="446">
        <v>6.97</v>
      </c>
    </row>
    <row r="1403" customHeight="1" spans="1:11">
      <c r="A1403" s="430" t="s">
        <v>1724</v>
      </c>
      <c r="B1403" s="431" t="s">
        <v>1854</v>
      </c>
      <c r="C1403" s="430" t="s">
        <v>71</v>
      </c>
      <c r="D1403" s="430" t="s">
        <v>1855</v>
      </c>
      <c r="E1403" s="430" t="s">
        <v>1708</v>
      </c>
      <c r="F1403" s="430"/>
      <c r="G1403" s="432" t="s">
        <v>82</v>
      </c>
      <c r="H1403" s="433">
        <v>0.2361</v>
      </c>
      <c r="I1403" s="433">
        <v>0</v>
      </c>
      <c r="J1403" s="446">
        <v>35.55</v>
      </c>
      <c r="K1403" s="446">
        <v>8.39</v>
      </c>
    </row>
    <row r="1404" customHeight="1" spans="1:11">
      <c r="A1404" s="438" t="s">
        <v>1750</v>
      </c>
      <c r="B1404" s="439" t="s">
        <v>2296</v>
      </c>
      <c r="C1404" s="438" t="s">
        <v>71</v>
      </c>
      <c r="D1404" s="438" t="s">
        <v>2297</v>
      </c>
      <c r="E1404" s="438" t="s">
        <v>1631</v>
      </c>
      <c r="F1404" s="438"/>
      <c r="G1404" s="440" t="s">
        <v>105</v>
      </c>
      <c r="H1404" s="441">
        <v>0.0159</v>
      </c>
      <c r="I1404" s="441">
        <v>0</v>
      </c>
      <c r="J1404" s="449">
        <v>72.71</v>
      </c>
      <c r="K1404" s="449">
        <v>1.15</v>
      </c>
    </row>
    <row r="1405" customHeight="1" spans="1:11">
      <c r="A1405" s="438" t="s">
        <v>1750</v>
      </c>
      <c r="B1405" s="439" t="s">
        <v>2325</v>
      </c>
      <c r="C1405" s="438" t="s">
        <v>71</v>
      </c>
      <c r="D1405" s="438" t="s">
        <v>2326</v>
      </c>
      <c r="E1405" s="438" t="s">
        <v>1631</v>
      </c>
      <c r="F1405" s="438"/>
      <c r="G1405" s="440" t="s">
        <v>105</v>
      </c>
      <c r="H1405" s="441">
        <v>1</v>
      </c>
      <c r="I1405" s="441">
        <v>0</v>
      </c>
      <c r="J1405" s="449">
        <v>9.04</v>
      </c>
      <c r="K1405" s="449">
        <v>9.04</v>
      </c>
    </row>
    <row r="1406" customHeight="1" spans="1:11">
      <c r="A1406" s="438" t="s">
        <v>1750</v>
      </c>
      <c r="B1406" s="439" t="s">
        <v>2294</v>
      </c>
      <c r="C1406" s="438" t="s">
        <v>71</v>
      </c>
      <c r="D1406" s="438" t="s">
        <v>2295</v>
      </c>
      <c r="E1406" s="438" t="s">
        <v>1631</v>
      </c>
      <c r="F1406" s="438"/>
      <c r="G1406" s="440" t="s">
        <v>105</v>
      </c>
      <c r="H1406" s="441">
        <v>0.0188</v>
      </c>
      <c r="I1406" s="441">
        <v>0</v>
      </c>
      <c r="J1406" s="449">
        <v>82.38</v>
      </c>
      <c r="K1406" s="449">
        <v>1.54</v>
      </c>
    </row>
    <row r="1407" customHeight="1" spans="1:11">
      <c r="A1407" s="438" t="s">
        <v>1750</v>
      </c>
      <c r="B1407" s="439" t="s">
        <v>2284</v>
      </c>
      <c r="C1407" s="438" t="s">
        <v>71</v>
      </c>
      <c r="D1407" s="438" t="s">
        <v>2285</v>
      </c>
      <c r="E1407" s="438" t="s">
        <v>1631</v>
      </c>
      <c r="F1407" s="438"/>
      <c r="G1407" s="440" t="s">
        <v>105</v>
      </c>
      <c r="H1407" s="441">
        <v>0.0607</v>
      </c>
      <c r="I1407" s="441">
        <v>0</v>
      </c>
      <c r="J1407" s="449">
        <v>2.08</v>
      </c>
      <c r="K1407" s="449">
        <v>0.12</v>
      </c>
    </row>
    <row r="1408" customHeight="1" spans="1:11">
      <c r="A1408" s="434"/>
      <c r="B1408" s="434"/>
      <c r="C1408" s="434"/>
      <c r="D1408" s="434"/>
      <c r="E1408" s="434"/>
      <c r="F1408" s="434" t="s">
        <v>1735</v>
      </c>
      <c r="G1408" s="435">
        <v>5.73</v>
      </c>
      <c r="H1408" s="434" t="s">
        <v>1736</v>
      </c>
      <c r="I1408" s="435">
        <v>5.21</v>
      </c>
      <c r="J1408" s="434" t="s">
        <v>1737</v>
      </c>
      <c r="K1408" s="435">
        <v>10.94</v>
      </c>
    </row>
    <row r="1409" customHeight="1" spans="1:11">
      <c r="A1409" s="434"/>
      <c r="B1409" s="434"/>
      <c r="C1409" s="434"/>
      <c r="D1409" s="434"/>
      <c r="E1409" s="434"/>
      <c r="F1409" s="434" t="s">
        <v>1738</v>
      </c>
      <c r="G1409" s="435">
        <v>6.7</v>
      </c>
      <c r="H1409" s="434"/>
      <c r="I1409" s="434" t="s">
        <v>1739</v>
      </c>
      <c r="J1409" s="434"/>
      <c r="K1409" s="435">
        <v>33.91</v>
      </c>
    </row>
    <row r="1410" customHeight="1" spans="1:11">
      <c r="A1410" s="436"/>
      <c r="B1410" s="436"/>
      <c r="C1410" s="436"/>
      <c r="D1410" s="436"/>
      <c r="E1410" s="436"/>
      <c r="F1410" s="436"/>
      <c r="G1410" s="436"/>
      <c r="H1410" s="436" t="s">
        <v>1740</v>
      </c>
      <c r="I1410" s="447" t="s">
        <v>1971</v>
      </c>
      <c r="J1410" s="436" t="s">
        <v>1742</v>
      </c>
      <c r="K1410" s="448">
        <v>67.82</v>
      </c>
    </row>
    <row r="1411" customHeight="1" spans="1:11">
      <c r="A1411" s="437"/>
      <c r="B1411" s="437"/>
      <c r="C1411" s="437"/>
      <c r="D1411" s="437"/>
      <c r="E1411" s="437"/>
      <c r="F1411" s="437"/>
      <c r="G1411" s="437"/>
      <c r="H1411" s="437"/>
      <c r="I1411" s="437"/>
      <c r="J1411" s="437"/>
      <c r="K1411" s="437"/>
    </row>
    <row r="1412" customHeight="1" spans="1:11">
      <c r="A1412" s="423" t="s">
        <v>463</v>
      </c>
      <c r="B1412" s="424" t="s">
        <v>1714</v>
      </c>
      <c r="C1412" s="423" t="s">
        <v>1715</v>
      </c>
      <c r="D1412" s="423" t="s">
        <v>1716</v>
      </c>
      <c r="E1412" s="423" t="s">
        <v>1717</v>
      </c>
      <c r="F1412" s="423"/>
      <c r="G1412" s="425" t="s">
        <v>1718</v>
      </c>
      <c r="H1412" s="424" t="s">
        <v>1719</v>
      </c>
      <c r="I1412" s="424" t="s">
        <v>1720</v>
      </c>
      <c r="J1412" s="424" t="s">
        <v>1721</v>
      </c>
      <c r="K1412" s="424" t="s">
        <v>1722</v>
      </c>
    </row>
    <row r="1413" customHeight="1" spans="1:11">
      <c r="A1413" s="426" t="s">
        <v>1723</v>
      </c>
      <c r="B1413" s="427" t="s">
        <v>464</v>
      </c>
      <c r="C1413" s="426" t="s">
        <v>71</v>
      </c>
      <c r="D1413" s="426" t="s">
        <v>465</v>
      </c>
      <c r="E1413" s="426" t="s">
        <v>1659</v>
      </c>
      <c r="F1413" s="426"/>
      <c r="G1413" s="428" t="s">
        <v>105</v>
      </c>
      <c r="H1413" s="429">
        <v>1</v>
      </c>
      <c r="I1413" s="445"/>
      <c r="J1413" s="445">
        <v>21.75</v>
      </c>
      <c r="K1413" s="445">
        <v>21.75</v>
      </c>
    </row>
    <row r="1414" customHeight="1" spans="1:11">
      <c r="A1414" s="430" t="s">
        <v>1724</v>
      </c>
      <c r="B1414" s="431" t="s">
        <v>1854</v>
      </c>
      <c r="C1414" s="430" t="s">
        <v>71</v>
      </c>
      <c r="D1414" s="430" t="s">
        <v>1855</v>
      </c>
      <c r="E1414" s="430" t="s">
        <v>1708</v>
      </c>
      <c r="F1414" s="430"/>
      <c r="G1414" s="432" t="s">
        <v>82</v>
      </c>
      <c r="H1414" s="433">
        <v>0.14</v>
      </c>
      <c r="I1414" s="433">
        <v>0</v>
      </c>
      <c r="J1414" s="446">
        <v>35.55</v>
      </c>
      <c r="K1414" s="446">
        <v>4.97</v>
      </c>
    </row>
    <row r="1415" customHeight="1" spans="1:11">
      <c r="A1415" s="430" t="s">
        <v>1724</v>
      </c>
      <c r="B1415" s="431" t="s">
        <v>1859</v>
      </c>
      <c r="C1415" s="430" t="s">
        <v>71</v>
      </c>
      <c r="D1415" s="430" t="s">
        <v>1860</v>
      </c>
      <c r="E1415" s="430" t="s">
        <v>1708</v>
      </c>
      <c r="F1415" s="430"/>
      <c r="G1415" s="432" t="s">
        <v>82</v>
      </c>
      <c r="H1415" s="433">
        <v>0.14</v>
      </c>
      <c r="I1415" s="433">
        <v>0</v>
      </c>
      <c r="J1415" s="446">
        <v>29.54</v>
      </c>
      <c r="K1415" s="446">
        <v>4.13</v>
      </c>
    </row>
    <row r="1416" customHeight="1" spans="1:11">
      <c r="A1416" s="438" t="s">
        <v>1750</v>
      </c>
      <c r="B1416" s="439" t="s">
        <v>2327</v>
      </c>
      <c r="C1416" s="438" t="s">
        <v>71</v>
      </c>
      <c r="D1416" s="438" t="s">
        <v>2328</v>
      </c>
      <c r="E1416" s="438" t="s">
        <v>1631</v>
      </c>
      <c r="F1416" s="438"/>
      <c r="G1416" s="440" t="s">
        <v>105</v>
      </c>
      <c r="H1416" s="441">
        <v>1</v>
      </c>
      <c r="I1416" s="441">
        <v>0</v>
      </c>
      <c r="J1416" s="449">
        <v>9.62</v>
      </c>
      <c r="K1416" s="449">
        <v>9.62</v>
      </c>
    </row>
    <row r="1417" customHeight="1" spans="1:11">
      <c r="A1417" s="438" t="s">
        <v>1750</v>
      </c>
      <c r="B1417" s="439" t="s">
        <v>2284</v>
      </c>
      <c r="C1417" s="438" t="s">
        <v>71</v>
      </c>
      <c r="D1417" s="438" t="s">
        <v>2285</v>
      </c>
      <c r="E1417" s="438" t="s">
        <v>1631</v>
      </c>
      <c r="F1417" s="438"/>
      <c r="G1417" s="440" t="s">
        <v>105</v>
      </c>
      <c r="H1417" s="441">
        <v>0.0236</v>
      </c>
      <c r="I1417" s="441">
        <v>0</v>
      </c>
      <c r="J1417" s="449">
        <v>2.08</v>
      </c>
      <c r="K1417" s="449">
        <v>0.04</v>
      </c>
    </row>
    <row r="1418" customHeight="1" spans="1:11">
      <c r="A1418" s="438" t="s">
        <v>1750</v>
      </c>
      <c r="B1418" s="439" t="s">
        <v>2296</v>
      </c>
      <c r="C1418" s="438" t="s">
        <v>71</v>
      </c>
      <c r="D1418" s="438" t="s">
        <v>2297</v>
      </c>
      <c r="E1418" s="438" t="s">
        <v>1631</v>
      </c>
      <c r="F1418" s="438"/>
      <c r="G1418" s="440" t="s">
        <v>105</v>
      </c>
      <c r="H1418" s="441">
        <v>0.0176</v>
      </c>
      <c r="I1418" s="441">
        <v>0</v>
      </c>
      <c r="J1418" s="449">
        <v>72.71</v>
      </c>
      <c r="K1418" s="449">
        <v>1.27</v>
      </c>
    </row>
    <row r="1419" customHeight="1" spans="1:11">
      <c r="A1419" s="438" t="s">
        <v>1750</v>
      </c>
      <c r="B1419" s="439" t="s">
        <v>2294</v>
      </c>
      <c r="C1419" s="438" t="s">
        <v>71</v>
      </c>
      <c r="D1419" s="438" t="s">
        <v>2295</v>
      </c>
      <c r="E1419" s="438" t="s">
        <v>1631</v>
      </c>
      <c r="F1419" s="438"/>
      <c r="G1419" s="440" t="s">
        <v>105</v>
      </c>
      <c r="H1419" s="441">
        <v>0.021</v>
      </c>
      <c r="I1419" s="441">
        <v>0</v>
      </c>
      <c r="J1419" s="449">
        <v>82.38</v>
      </c>
      <c r="K1419" s="449">
        <v>1.72</v>
      </c>
    </row>
    <row r="1420" customHeight="1" spans="1:11">
      <c r="A1420" s="434"/>
      <c r="B1420" s="434"/>
      <c r="C1420" s="434"/>
      <c r="D1420" s="434"/>
      <c r="E1420" s="434"/>
      <c r="F1420" s="434" t="s">
        <v>1735</v>
      </c>
      <c r="G1420" s="435">
        <v>3.39</v>
      </c>
      <c r="H1420" s="434" t="s">
        <v>1736</v>
      </c>
      <c r="I1420" s="435">
        <v>3.09</v>
      </c>
      <c r="J1420" s="434" t="s">
        <v>1737</v>
      </c>
      <c r="K1420" s="435">
        <v>6.48</v>
      </c>
    </row>
    <row r="1421" customHeight="1" spans="1:11">
      <c r="A1421" s="434"/>
      <c r="B1421" s="434"/>
      <c r="C1421" s="434"/>
      <c r="D1421" s="434"/>
      <c r="E1421" s="434"/>
      <c r="F1421" s="434" t="s">
        <v>1738</v>
      </c>
      <c r="G1421" s="435">
        <v>5.36</v>
      </c>
      <c r="H1421" s="434"/>
      <c r="I1421" s="434" t="s">
        <v>1739</v>
      </c>
      <c r="J1421" s="434"/>
      <c r="K1421" s="435">
        <v>27.11</v>
      </c>
    </row>
    <row r="1422" customHeight="1" spans="1:11">
      <c r="A1422" s="436"/>
      <c r="B1422" s="436"/>
      <c r="C1422" s="436"/>
      <c r="D1422" s="436"/>
      <c r="E1422" s="436"/>
      <c r="F1422" s="436"/>
      <c r="G1422" s="436"/>
      <c r="H1422" s="436" t="s">
        <v>1740</v>
      </c>
      <c r="I1422" s="447" t="s">
        <v>1971</v>
      </c>
      <c r="J1422" s="436" t="s">
        <v>1742</v>
      </c>
      <c r="K1422" s="448">
        <v>54.22</v>
      </c>
    </row>
    <row r="1423" customHeight="1" spans="1:11">
      <c r="A1423" s="437"/>
      <c r="B1423" s="437"/>
      <c r="C1423" s="437"/>
      <c r="D1423" s="437"/>
      <c r="E1423" s="437"/>
      <c r="F1423" s="437"/>
      <c r="G1423" s="437"/>
      <c r="H1423" s="437"/>
      <c r="I1423" s="437"/>
      <c r="J1423" s="437"/>
      <c r="K1423" s="437"/>
    </row>
    <row r="1424" customHeight="1" spans="1:11">
      <c r="A1424" s="423" t="s">
        <v>466</v>
      </c>
      <c r="B1424" s="424" t="s">
        <v>1714</v>
      </c>
      <c r="C1424" s="423" t="s">
        <v>1715</v>
      </c>
      <c r="D1424" s="423" t="s">
        <v>1716</v>
      </c>
      <c r="E1424" s="423" t="s">
        <v>1717</v>
      </c>
      <c r="F1424" s="423"/>
      <c r="G1424" s="425" t="s">
        <v>1718</v>
      </c>
      <c r="H1424" s="424" t="s">
        <v>1719</v>
      </c>
      <c r="I1424" s="424" t="s">
        <v>1720</v>
      </c>
      <c r="J1424" s="424" t="s">
        <v>1721</v>
      </c>
      <c r="K1424" s="424" t="s">
        <v>1722</v>
      </c>
    </row>
    <row r="1425" customHeight="1" spans="1:11">
      <c r="A1425" s="426" t="s">
        <v>1723</v>
      </c>
      <c r="B1425" s="427" t="s">
        <v>467</v>
      </c>
      <c r="C1425" s="426" t="s">
        <v>71</v>
      </c>
      <c r="D1425" s="426" t="s">
        <v>468</v>
      </c>
      <c r="E1425" s="426" t="s">
        <v>1659</v>
      </c>
      <c r="F1425" s="426"/>
      <c r="G1425" s="428" t="s">
        <v>105</v>
      </c>
      <c r="H1425" s="429">
        <v>1</v>
      </c>
      <c r="I1425" s="445"/>
      <c r="J1425" s="445">
        <v>9.14</v>
      </c>
      <c r="K1425" s="445">
        <v>9.14</v>
      </c>
    </row>
    <row r="1426" customHeight="1" spans="1:11">
      <c r="A1426" s="430" t="s">
        <v>1724</v>
      </c>
      <c r="B1426" s="431" t="s">
        <v>1854</v>
      </c>
      <c r="C1426" s="430" t="s">
        <v>71</v>
      </c>
      <c r="D1426" s="430" t="s">
        <v>1855</v>
      </c>
      <c r="E1426" s="430" t="s">
        <v>1708</v>
      </c>
      <c r="F1426" s="430"/>
      <c r="G1426" s="432" t="s">
        <v>82</v>
      </c>
      <c r="H1426" s="433">
        <v>0.0941</v>
      </c>
      <c r="I1426" s="433">
        <v>0</v>
      </c>
      <c r="J1426" s="446">
        <v>35.55</v>
      </c>
      <c r="K1426" s="446">
        <v>3.34</v>
      </c>
    </row>
    <row r="1427" customHeight="1" spans="1:11">
      <c r="A1427" s="430" t="s">
        <v>1724</v>
      </c>
      <c r="B1427" s="431" t="s">
        <v>1859</v>
      </c>
      <c r="C1427" s="430" t="s">
        <v>71</v>
      </c>
      <c r="D1427" s="430" t="s">
        <v>1860</v>
      </c>
      <c r="E1427" s="430" t="s">
        <v>1708</v>
      </c>
      <c r="F1427" s="430"/>
      <c r="G1427" s="432" t="s">
        <v>82</v>
      </c>
      <c r="H1427" s="433">
        <v>0.0941</v>
      </c>
      <c r="I1427" s="433">
        <v>0</v>
      </c>
      <c r="J1427" s="446">
        <v>29.54</v>
      </c>
      <c r="K1427" s="446">
        <v>2.77</v>
      </c>
    </row>
    <row r="1428" customHeight="1" spans="1:11">
      <c r="A1428" s="438" t="s">
        <v>1750</v>
      </c>
      <c r="B1428" s="439" t="s">
        <v>2296</v>
      </c>
      <c r="C1428" s="438" t="s">
        <v>71</v>
      </c>
      <c r="D1428" s="438" t="s">
        <v>2297</v>
      </c>
      <c r="E1428" s="438" t="s">
        <v>1631</v>
      </c>
      <c r="F1428" s="438"/>
      <c r="G1428" s="440" t="s">
        <v>105</v>
      </c>
      <c r="H1428" s="441">
        <v>0.0106</v>
      </c>
      <c r="I1428" s="441">
        <v>0</v>
      </c>
      <c r="J1428" s="449">
        <v>72.71</v>
      </c>
      <c r="K1428" s="449">
        <v>0.77</v>
      </c>
    </row>
    <row r="1429" customHeight="1" spans="1:11">
      <c r="A1429" s="438" t="s">
        <v>1750</v>
      </c>
      <c r="B1429" s="439" t="s">
        <v>2294</v>
      </c>
      <c r="C1429" s="438" t="s">
        <v>71</v>
      </c>
      <c r="D1429" s="438" t="s">
        <v>2295</v>
      </c>
      <c r="E1429" s="438" t="s">
        <v>1631</v>
      </c>
      <c r="F1429" s="438"/>
      <c r="G1429" s="440" t="s">
        <v>105</v>
      </c>
      <c r="H1429" s="441">
        <v>0.012</v>
      </c>
      <c r="I1429" s="441">
        <v>0</v>
      </c>
      <c r="J1429" s="449">
        <v>82.38</v>
      </c>
      <c r="K1429" s="449">
        <v>0.98</v>
      </c>
    </row>
    <row r="1430" customHeight="1" spans="1:11">
      <c r="A1430" s="438" t="s">
        <v>1750</v>
      </c>
      <c r="B1430" s="439" t="s">
        <v>2329</v>
      </c>
      <c r="C1430" s="438" t="s">
        <v>71</v>
      </c>
      <c r="D1430" s="438" t="s">
        <v>2330</v>
      </c>
      <c r="E1430" s="438" t="s">
        <v>1631</v>
      </c>
      <c r="F1430" s="438"/>
      <c r="G1430" s="440" t="s">
        <v>105</v>
      </c>
      <c r="H1430" s="441">
        <v>1</v>
      </c>
      <c r="I1430" s="441">
        <v>0</v>
      </c>
      <c r="J1430" s="449">
        <v>1.25</v>
      </c>
      <c r="K1430" s="449">
        <v>1.25</v>
      </c>
    </row>
    <row r="1431" customHeight="1" spans="1:11">
      <c r="A1431" s="438" t="s">
        <v>1750</v>
      </c>
      <c r="B1431" s="439" t="s">
        <v>2284</v>
      </c>
      <c r="C1431" s="438" t="s">
        <v>71</v>
      </c>
      <c r="D1431" s="438" t="s">
        <v>2285</v>
      </c>
      <c r="E1431" s="438" t="s">
        <v>1631</v>
      </c>
      <c r="F1431" s="438"/>
      <c r="G1431" s="440" t="s">
        <v>105</v>
      </c>
      <c r="H1431" s="441">
        <v>0.0162</v>
      </c>
      <c r="I1431" s="441">
        <v>0</v>
      </c>
      <c r="J1431" s="449">
        <v>2.08</v>
      </c>
      <c r="K1431" s="449">
        <v>0.03</v>
      </c>
    </row>
    <row r="1432" customHeight="1" spans="1:11">
      <c r="A1432" s="434"/>
      <c r="B1432" s="434"/>
      <c r="C1432" s="434"/>
      <c r="D1432" s="434"/>
      <c r="E1432" s="434"/>
      <c r="F1432" s="434" t="s">
        <v>1735</v>
      </c>
      <c r="G1432" s="435">
        <v>2.27</v>
      </c>
      <c r="H1432" s="434" t="s">
        <v>1736</v>
      </c>
      <c r="I1432" s="435">
        <v>2.08</v>
      </c>
      <c r="J1432" s="434" t="s">
        <v>1737</v>
      </c>
      <c r="K1432" s="435">
        <v>4.35</v>
      </c>
    </row>
    <row r="1433" customHeight="1" spans="1:11">
      <c r="A1433" s="434"/>
      <c r="B1433" s="434"/>
      <c r="C1433" s="434"/>
      <c r="D1433" s="434"/>
      <c r="E1433" s="434"/>
      <c r="F1433" s="434" t="s">
        <v>1738</v>
      </c>
      <c r="G1433" s="435">
        <v>2.25</v>
      </c>
      <c r="H1433" s="434"/>
      <c r="I1433" s="434" t="s">
        <v>1739</v>
      </c>
      <c r="J1433" s="434"/>
      <c r="K1433" s="435">
        <v>11.39</v>
      </c>
    </row>
    <row r="1434" customHeight="1" spans="1:11">
      <c r="A1434" s="436"/>
      <c r="B1434" s="436"/>
      <c r="C1434" s="436"/>
      <c r="D1434" s="436"/>
      <c r="E1434" s="436"/>
      <c r="F1434" s="436"/>
      <c r="G1434" s="436"/>
      <c r="H1434" s="436" t="s">
        <v>1740</v>
      </c>
      <c r="I1434" s="447" t="s">
        <v>2331</v>
      </c>
      <c r="J1434" s="436" t="s">
        <v>1742</v>
      </c>
      <c r="K1434" s="448">
        <v>170.85</v>
      </c>
    </row>
    <row r="1435" customHeight="1" spans="1:11">
      <c r="A1435" s="437"/>
      <c r="B1435" s="437"/>
      <c r="C1435" s="437"/>
      <c r="D1435" s="437"/>
      <c r="E1435" s="437"/>
      <c r="F1435" s="437"/>
      <c r="G1435" s="437"/>
      <c r="H1435" s="437"/>
      <c r="I1435" s="437"/>
      <c r="J1435" s="437"/>
      <c r="K1435" s="437"/>
    </row>
    <row r="1436" customHeight="1" spans="1:11">
      <c r="A1436" s="423" t="s">
        <v>469</v>
      </c>
      <c r="B1436" s="424" t="s">
        <v>1714</v>
      </c>
      <c r="C1436" s="423" t="s">
        <v>1715</v>
      </c>
      <c r="D1436" s="423" t="s">
        <v>1716</v>
      </c>
      <c r="E1436" s="423" t="s">
        <v>1717</v>
      </c>
      <c r="F1436" s="423"/>
      <c r="G1436" s="425" t="s">
        <v>1718</v>
      </c>
      <c r="H1436" s="424" t="s">
        <v>1719</v>
      </c>
      <c r="I1436" s="424" t="s">
        <v>1720</v>
      </c>
      <c r="J1436" s="424" t="s">
        <v>1721</v>
      </c>
      <c r="K1436" s="424" t="s">
        <v>1722</v>
      </c>
    </row>
    <row r="1437" customHeight="1" spans="1:11">
      <c r="A1437" s="426" t="s">
        <v>1723</v>
      </c>
      <c r="B1437" s="427" t="s">
        <v>470</v>
      </c>
      <c r="C1437" s="426" t="s">
        <v>71</v>
      </c>
      <c r="D1437" s="426" t="s">
        <v>471</v>
      </c>
      <c r="E1437" s="426" t="s">
        <v>1659</v>
      </c>
      <c r="F1437" s="426"/>
      <c r="G1437" s="428" t="s">
        <v>105</v>
      </c>
      <c r="H1437" s="429">
        <v>1</v>
      </c>
      <c r="I1437" s="445"/>
      <c r="J1437" s="445">
        <v>13.83</v>
      </c>
      <c r="K1437" s="445">
        <v>13.83</v>
      </c>
    </row>
    <row r="1438" customHeight="1" spans="1:11">
      <c r="A1438" s="430" t="s">
        <v>1724</v>
      </c>
      <c r="B1438" s="431" t="s">
        <v>1854</v>
      </c>
      <c r="C1438" s="430" t="s">
        <v>71</v>
      </c>
      <c r="D1438" s="430" t="s">
        <v>1855</v>
      </c>
      <c r="E1438" s="430" t="s">
        <v>1708</v>
      </c>
      <c r="F1438" s="430"/>
      <c r="G1438" s="432" t="s">
        <v>82</v>
      </c>
      <c r="H1438" s="433">
        <v>0.1153</v>
      </c>
      <c r="I1438" s="433">
        <v>0</v>
      </c>
      <c r="J1438" s="446">
        <v>35.55</v>
      </c>
      <c r="K1438" s="446">
        <v>4.09</v>
      </c>
    </row>
    <row r="1439" customHeight="1" spans="1:11">
      <c r="A1439" s="430" t="s">
        <v>1724</v>
      </c>
      <c r="B1439" s="431" t="s">
        <v>1859</v>
      </c>
      <c r="C1439" s="430" t="s">
        <v>71</v>
      </c>
      <c r="D1439" s="430" t="s">
        <v>1860</v>
      </c>
      <c r="E1439" s="430" t="s">
        <v>1708</v>
      </c>
      <c r="F1439" s="430"/>
      <c r="G1439" s="432" t="s">
        <v>82</v>
      </c>
      <c r="H1439" s="433">
        <v>0.1153</v>
      </c>
      <c r="I1439" s="433">
        <v>0</v>
      </c>
      <c r="J1439" s="446">
        <v>29.54</v>
      </c>
      <c r="K1439" s="446">
        <v>3.4</v>
      </c>
    </row>
    <row r="1440" customHeight="1" spans="1:11">
      <c r="A1440" s="438" t="s">
        <v>1750</v>
      </c>
      <c r="B1440" s="439" t="s">
        <v>2332</v>
      </c>
      <c r="C1440" s="438" t="s">
        <v>71</v>
      </c>
      <c r="D1440" s="438" t="s">
        <v>2333</v>
      </c>
      <c r="E1440" s="438" t="s">
        <v>1631</v>
      </c>
      <c r="F1440" s="438"/>
      <c r="G1440" s="440" t="s">
        <v>105</v>
      </c>
      <c r="H1440" s="441">
        <v>1</v>
      </c>
      <c r="I1440" s="441">
        <v>0</v>
      </c>
      <c r="J1440" s="449">
        <v>3.93</v>
      </c>
      <c r="K1440" s="449">
        <v>3.93</v>
      </c>
    </row>
    <row r="1441" customHeight="1" spans="1:11">
      <c r="A1441" s="438" t="s">
        <v>1750</v>
      </c>
      <c r="B1441" s="439" t="s">
        <v>2284</v>
      </c>
      <c r="C1441" s="438" t="s">
        <v>71</v>
      </c>
      <c r="D1441" s="438" t="s">
        <v>2285</v>
      </c>
      <c r="E1441" s="438" t="s">
        <v>1631</v>
      </c>
      <c r="F1441" s="438"/>
      <c r="G1441" s="440" t="s">
        <v>105</v>
      </c>
      <c r="H1441" s="441">
        <v>0.0197</v>
      </c>
      <c r="I1441" s="441">
        <v>0</v>
      </c>
      <c r="J1441" s="449">
        <v>2.08</v>
      </c>
      <c r="K1441" s="449">
        <v>0.04</v>
      </c>
    </row>
    <row r="1442" customHeight="1" spans="1:11">
      <c r="A1442" s="438" t="s">
        <v>1750</v>
      </c>
      <c r="B1442" s="439" t="s">
        <v>2294</v>
      </c>
      <c r="C1442" s="438" t="s">
        <v>71</v>
      </c>
      <c r="D1442" s="438" t="s">
        <v>2295</v>
      </c>
      <c r="E1442" s="438" t="s">
        <v>1631</v>
      </c>
      <c r="F1442" s="438"/>
      <c r="G1442" s="440" t="s">
        <v>105</v>
      </c>
      <c r="H1442" s="441">
        <v>0.0165</v>
      </c>
      <c r="I1442" s="441">
        <v>0</v>
      </c>
      <c r="J1442" s="449">
        <v>82.38</v>
      </c>
      <c r="K1442" s="449">
        <v>1.35</v>
      </c>
    </row>
    <row r="1443" customHeight="1" spans="1:11">
      <c r="A1443" s="438" t="s">
        <v>1750</v>
      </c>
      <c r="B1443" s="439" t="s">
        <v>2296</v>
      </c>
      <c r="C1443" s="438" t="s">
        <v>71</v>
      </c>
      <c r="D1443" s="438" t="s">
        <v>2297</v>
      </c>
      <c r="E1443" s="438" t="s">
        <v>1631</v>
      </c>
      <c r="F1443" s="438"/>
      <c r="G1443" s="440" t="s">
        <v>105</v>
      </c>
      <c r="H1443" s="441">
        <v>0.0141</v>
      </c>
      <c r="I1443" s="441">
        <v>0</v>
      </c>
      <c r="J1443" s="449">
        <v>72.71</v>
      </c>
      <c r="K1443" s="449">
        <v>1.02</v>
      </c>
    </row>
    <row r="1444" customHeight="1" spans="1:11">
      <c r="A1444" s="434"/>
      <c r="B1444" s="434"/>
      <c r="C1444" s="434"/>
      <c r="D1444" s="434"/>
      <c r="E1444" s="434"/>
      <c r="F1444" s="434" t="s">
        <v>1735</v>
      </c>
      <c r="G1444" s="435">
        <v>2.79</v>
      </c>
      <c r="H1444" s="434" t="s">
        <v>1736</v>
      </c>
      <c r="I1444" s="435">
        <v>2.54</v>
      </c>
      <c r="J1444" s="434" t="s">
        <v>1737</v>
      </c>
      <c r="K1444" s="435">
        <v>5.33</v>
      </c>
    </row>
    <row r="1445" customHeight="1" spans="1:11">
      <c r="A1445" s="434"/>
      <c r="B1445" s="434"/>
      <c r="C1445" s="434"/>
      <c r="D1445" s="434"/>
      <c r="E1445" s="434"/>
      <c r="F1445" s="434" t="s">
        <v>1738</v>
      </c>
      <c r="G1445" s="435">
        <v>3.41</v>
      </c>
      <c r="H1445" s="434"/>
      <c r="I1445" s="434" t="s">
        <v>1739</v>
      </c>
      <c r="J1445" s="434"/>
      <c r="K1445" s="435">
        <v>17.24</v>
      </c>
    </row>
    <row r="1446" customHeight="1" spans="1:11">
      <c r="A1446" s="436"/>
      <c r="B1446" s="436"/>
      <c r="C1446" s="436"/>
      <c r="D1446" s="436"/>
      <c r="E1446" s="436"/>
      <c r="F1446" s="436"/>
      <c r="G1446" s="436"/>
      <c r="H1446" s="436" t="s">
        <v>1740</v>
      </c>
      <c r="I1446" s="447" t="s">
        <v>1759</v>
      </c>
      <c r="J1446" s="436" t="s">
        <v>1742</v>
      </c>
      <c r="K1446" s="448">
        <v>103.44</v>
      </c>
    </row>
    <row r="1447" customHeight="1" spans="1:11">
      <c r="A1447" s="437"/>
      <c r="B1447" s="437"/>
      <c r="C1447" s="437"/>
      <c r="D1447" s="437"/>
      <c r="E1447" s="437"/>
      <c r="F1447" s="437"/>
      <c r="G1447" s="437"/>
      <c r="H1447" s="437"/>
      <c r="I1447" s="437"/>
      <c r="J1447" s="437"/>
      <c r="K1447" s="437"/>
    </row>
    <row r="1448" customHeight="1" spans="1:11">
      <c r="A1448" s="423" t="s">
        <v>472</v>
      </c>
      <c r="B1448" s="424" t="s">
        <v>1714</v>
      </c>
      <c r="C1448" s="423" t="s">
        <v>1715</v>
      </c>
      <c r="D1448" s="423" t="s">
        <v>1716</v>
      </c>
      <c r="E1448" s="423" t="s">
        <v>1717</v>
      </c>
      <c r="F1448" s="423"/>
      <c r="G1448" s="425" t="s">
        <v>1718</v>
      </c>
      <c r="H1448" s="424" t="s">
        <v>1719</v>
      </c>
      <c r="I1448" s="424" t="s">
        <v>1720</v>
      </c>
      <c r="J1448" s="424" t="s">
        <v>1721</v>
      </c>
      <c r="K1448" s="424" t="s">
        <v>1722</v>
      </c>
    </row>
    <row r="1449" customHeight="1" spans="1:11">
      <c r="A1449" s="426" t="s">
        <v>1723</v>
      </c>
      <c r="B1449" s="427" t="s">
        <v>473</v>
      </c>
      <c r="C1449" s="426" t="s">
        <v>71</v>
      </c>
      <c r="D1449" s="426" t="s">
        <v>474</v>
      </c>
      <c r="E1449" s="426" t="s">
        <v>1659</v>
      </c>
      <c r="F1449" s="426"/>
      <c r="G1449" s="428" t="s">
        <v>105</v>
      </c>
      <c r="H1449" s="429">
        <v>1</v>
      </c>
      <c r="I1449" s="445"/>
      <c r="J1449" s="445">
        <v>16.55</v>
      </c>
      <c r="K1449" s="445">
        <v>16.55</v>
      </c>
    </row>
    <row r="1450" customHeight="1" spans="1:11">
      <c r="A1450" s="430" t="s">
        <v>1724</v>
      </c>
      <c r="B1450" s="431" t="s">
        <v>1854</v>
      </c>
      <c r="C1450" s="430" t="s">
        <v>71</v>
      </c>
      <c r="D1450" s="430" t="s">
        <v>1855</v>
      </c>
      <c r="E1450" s="430" t="s">
        <v>1708</v>
      </c>
      <c r="F1450" s="430"/>
      <c r="G1450" s="432" t="s">
        <v>82</v>
      </c>
      <c r="H1450" s="433">
        <v>0.1688</v>
      </c>
      <c r="I1450" s="433">
        <v>0</v>
      </c>
      <c r="J1450" s="446">
        <v>35.55</v>
      </c>
      <c r="K1450" s="446">
        <v>6</v>
      </c>
    </row>
    <row r="1451" customHeight="1" spans="1:11">
      <c r="A1451" s="430" t="s">
        <v>1724</v>
      </c>
      <c r="B1451" s="431" t="s">
        <v>1859</v>
      </c>
      <c r="C1451" s="430" t="s">
        <v>71</v>
      </c>
      <c r="D1451" s="430" t="s">
        <v>1860</v>
      </c>
      <c r="E1451" s="430" t="s">
        <v>1708</v>
      </c>
      <c r="F1451" s="430"/>
      <c r="G1451" s="432" t="s">
        <v>82</v>
      </c>
      <c r="H1451" s="433">
        <v>0.1688</v>
      </c>
      <c r="I1451" s="433">
        <v>0</v>
      </c>
      <c r="J1451" s="446">
        <v>29.54</v>
      </c>
      <c r="K1451" s="446">
        <v>4.98</v>
      </c>
    </row>
    <row r="1452" customHeight="1" spans="1:11">
      <c r="A1452" s="438" t="s">
        <v>1750</v>
      </c>
      <c r="B1452" s="439" t="s">
        <v>2334</v>
      </c>
      <c r="C1452" s="438" t="s">
        <v>71</v>
      </c>
      <c r="D1452" s="438" t="s">
        <v>2335</v>
      </c>
      <c r="E1452" s="438" t="s">
        <v>1631</v>
      </c>
      <c r="F1452" s="438"/>
      <c r="G1452" s="440" t="s">
        <v>105</v>
      </c>
      <c r="H1452" s="441">
        <v>1</v>
      </c>
      <c r="I1452" s="441">
        <v>0</v>
      </c>
      <c r="J1452" s="449">
        <v>4</v>
      </c>
      <c r="K1452" s="449">
        <v>4</v>
      </c>
    </row>
    <row r="1453" customHeight="1" spans="1:11">
      <c r="A1453" s="438" t="s">
        <v>1750</v>
      </c>
      <c r="B1453" s="439" t="s">
        <v>2296</v>
      </c>
      <c r="C1453" s="438" t="s">
        <v>71</v>
      </c>
      <c r="D1453" s="438" t="s">
        <v>2297</v>
      </c>
      <c r="E1453" s="438" t="s">
        <v>1631</v>
      </c>
      <c r="F1453" s="438"/>
      <c r="G1453" s="440" t="s">
        <v>105</v>
      </c>
      <c r="H1453" s="441">
        <v>0.0088</v>
      </c>
      <c r="I1453" s="441">
        <v>0</v>
      </c>
      <c r="J1453" s="449">
        <v>72.71</v>
      </c>
      <c r="K1453" s="449">
        <v>0.63</v>
      </c>
    </row>
    <row r="1454" customHeight="1" spans="1:11">
      <c r="A1454" s="438" t="s">
        <v>1750</v>
      </c>
      <c r="B1454" s="439" t="s">
        <v>2284</v>
      </c>
      <c r="C1454" s="438" t="s">
        <v>71</v>
      </c>
      <c r="D1454" s="438" t="s">
        <v>2285</v>
      </c>
      <c r="E1454" s="438" t="s">
        <v>1631</v>
      </c>
      <c r="F1454" s="438"/>
      <c r="G1454" s="440" t="s">
        <v>105</v>
      </c>
      <c r="H1454" s="441">
        <v>0.0432</v>
      </c>
      <c r="I1454" s="441">
        <v>0</v>
      </c>
      <c r="J1454" s="449">
        <v>2.08</v>
      </c>
      <c r="K1454" s="449">
        <v>0.08</v>
      </c>
    </row>
    <row r="1455" customHeight="1" spans="1:11">
      <c r="A1455" s="438" t="s">
        <v>1750</v>
      </c>
      <c r="B1455" s="439" t="s">
        <v>2294</v>
      </c>
      <c r="C1455" s="438" t="s">
        <v>71</v>
      </c>
      <c r="D1455" s="438" t="s">
        <v>2295</v>
      </c>
      <c r="E1455" s="438" t="s">
        <v>1631</v>
      </c>
      <c r="F1455" s="438"/>
      <c r="G1455" s="440" t="s">
        <v>105</v>
      </c>
      <c r="H1455" s="441">
        <v>0.0105</v>
      </c>
      <c r="I1455" s="441">
        <v>0</v>
      </c>
      <c r="J1455" s="449">
        <v>82.38</v>
      </c>
      <c r="K1455" s="449">
        <v>0.86</v>
      </c>
    </row>
    <row r="1456" customHeight="1" spans="1:11">
      <c r="A1456" s="434"/>
      <c r="B1456" s="434"/>
      <c r="C1456" s="434"/>
      <c r="D1456" s="434"/>
      <c r="E1456" s="434"/>
      <c r="F1456" s="434" t="s">
        <v>1735</v>
      </c>
      <c r="G1456" s="435">
        <v>4.09</v>
      </c>
      <c r="H1456" s="434" t="s">
        <v>1736</v>
      </c>
      <c r="I1456" s="435">
        <v>3.72</v>
      </c>
      <c r="J1456" s="434" t="s">
        <v>1737</v>
      </c>
      <c r="K1456" s="435">
        <v>7.81</v>
      </c>
    </row>
    <row r="1457" customHeight="1" spans="1:11">
      <c r="A1457" s="434"/>
      <c r="B1457" s="434"/>
      <c r="C1457" s="434"/>
      <c r="D1457" s="434"/>
      <c r="E1457" s="434"/>
      <c r="F1457" s="434" t="s">
        <v>1738</v>
      </c>
      <c r="G1457" s="435">
        <v>4.08</v>
      </c>
      <c r="H1457" s="434"/>
      <c r="I1457" s="434" t="s">
        <v>1739</v>
      </c>
      <c r="J1457" s="434"/>
      <c r="K1457" s="435">
        <v>20.63</v>
      </c>
    </row>
    <row r="1458" customHeight="1" spans="1:11">
      <c r="A1458" s="436"/>
      <c r="B1458" s="436"/>
      <c r="C1458" s="436"/>
      <c r="D1458" s="436"/>
      <c r="E1458" s="436"/>
      <c r="F1458" s="436"/>
      <c r="G1458" s="436"/>
      <c r="H1458" s="436" t="s">
        <v>1740</v>
      </c>
      <c r="I1458" s="447" t="s">
        <v>2336</v>
      </c>
      <c r="J1458" s="436" t="s">
        <v>1742</v>
      </c>
      <c r="K1458" s="448">
        <v>165.04</v>
      </c>
    </row>
    <row r="1459" customHeight="1" spans="1:11">
      <c r="A1459" s="437"/>
      <c r="B1459" s="437"/>
      <c r="C1459" s="437"/>
      <c r="D1459" s="437"/>
      <c r="E1459" s="437"/>
      <c r="F1459" s="437"/>
      <c r="G1459" s="437"/>
      <c r="H1459" s="437"/>
      <c r="I1459" s="437"/>
      <c r="J1459" s="437"/>
      <c r="K1459" s="437"/>
    </row>
    <row r="1460" customHeight="1" spans="1:11">
      <c r="A1460" s="423" t="s">
        <v>475</v>
      </c>
      <c r="B1460" s="424" t="s">
        <v>1714</v>
      </c>
      <c r="C1460" s="423" t="s">
        <v>1715</v>
      </c>
      <c r="D1460" s="423" t="s">
        <v>1716</v>
      </c>
      <c r="E1460" s="423" t="s">
        <v>1717</v>
      </c>
      <c r="F1460" s="423"/>
      <c r="G1460" s="425" t="s">
        <v>1718</v>
      </c>
      <c r="H1460" s="424" t="s">
        <v>1719</v>
      </c>
      <c r="I1460" s="424" t="s">
        <v>1720</v>
      </c>
      <c r="J1460" s="424" t="s">
        <v>1721</v>
      </c>
      <c r="K1460" s="424" t="s">
        <v>1722</v>
      </c>
    </row>
    <row r="1461" customHeight="1" spans="1:11">
      <c r="A1461" s="426" t="s">
        <v>1723</v>
      </c>
      <c r="B1461" s="427" t="s">
        <v>476</v>
      </c>
      <c r="C1461" s="426" t="s">
        <v>71</v>
      </c>
      <c r="D1461" s="426" t="s">
        <v>477</v>
      </c>
      <c r="E1461" s="426" t="s">
        <v>1659</v>
      </c>
      <c r="F1461" s="426"/>
      <c r="G1461" s="428" t="s">
        <v>105</v>
      </c>
      <c r="H1461" s="429">
        <v>1</v>
      </c>
      <c r="I1461" s="445"/>
      <c r="J1461" s="445">
        <v>23.39</v>
      </c>
      <c r="K1461" s="445">
        <v>23.39</v>
      </c>
    </row>
    <row r="1462" customHeight="1" spans="1:11">
      <c r="A1462" s="430" t="s">
        <v>1724</v>
      </c>
      <c r="B1462" s="431" t="s">
        <v>1854</v>
      </c>
      <c r="C1462" s="430" t="s">
        <v>71</v>
      </c>
      <c r="D1462" s="430" t="s">
        <v>1855</v>
      </c>
      <c r="E1462" s="430" t="s">
        <v>1708</v>
      </c>
      <c r="F1462" s="430"/>
      <c r="G1462" s="432" t="s">
        <v>82</v>
      </c>
      <c r="H1462" s="433">
        <v>0.1748</v>
      </c>
      <c r="I1462" s="433">
        <v>0</v>
      </c>
      <c r="J1462" s="446">
        <v>35.55</v>
      </c>
      <c r="K1462" s="446">
        <v>6.21</v>
      </c>
    </row>
    <row r="1463" customHeight="1" spans="1:11">
      <c r="A1463" s="430" t="s">
        <v>1724</v>
      </c>
      <c r="B1463" s="431" t="s">
        <v>1859</v>
      </c>
      <c r="C1463" s="430" t="s">
        <v>71</v>
      </c>
      <c r="D1463" s="430" t="s">
        <v>1860</v>
      </c>
      <c r="E1463" s="430" t="s">
        <v>1708</v>
      </c>
      <c r="F1463" s="430"/>
      <c r="G1463" s="432" t="s">
        <v>82</v>
      </c>
      <c r="H1463" s="433">
        <v>0.1748</v>
      </c>
      <c r="I1463" s="433">
        <v>0</v>
      </c>
      <c r="J1463" s="446">
        <v>29.54</v>
      </c>
      <c r="K1463" s="446">
        <v>5.16</v>
      </c>
    </row>
    <row r="1464" customHeight="1" spans="1:11">
      <c r="A1464" s="438" t="s">
        <v>1750</v>
      </c>
      <c r="B1464" s="439" t="s">
        <v>2294</v>
      </c>
      <c r="C1464" s="438" t="s">
        <v>71</v>
      </c>
      <c r="D1464" s="438" t="s">
        <v>2295</v>
      </c>
      <c r="E1464" s="438" t="s">
        <v>1631</v>
      </c>
      <c r="F1464" s="438"/>
      <c r="G1464" s="440" t="s">
        <v>105</v>
      </c>
      <c r="H1464" s="441">
        <v>0.0105</v>
      </c>
      <c r="I1464" s="441">
        <v>0</v>
      </c>
      <c r="J1464" s="449">
        <v>82.38</v>
      </c>
      <c r="K1464" s="449">
        <v>0.86</v>
      </c>
    </row>
    <row r="1465" customHeight="1" spans="1:11">
      <c r="A1465" s="438" t="s">
        <v>1750</v>
      </c>
      <c r="B1465" s="439" t="s">
        <v>2337</v>
      </c>
      <c r="C1465" s="438" t="s">
        <v>71</v>
      </c>
      <c r="D1465" s="438" t="s">
        <v>2338</v>
      </c>
      <c r="E1465" s="438" t="s">
        <v>1631</v>
      </c>
      <c r="F1465" s="438"/>
      <c r="G1465" s="440" t="s">
        <v>105</v>
      </c>
      <c r="H1465" s="441">
        <v>1</v>
      </c>
      <c r="I1465" s="441">
        <v>0</v>
      </c>
      <c r="J1465" s="449">
        <v>10.43</v>
      </c>
      <c r="K1465" s="449">
        <v>10.43</v>
      </c>
    </row>
    <row r="1466" customHeight="1" spans="1:11">
      <c r="A1466" s="438" t="s">
        <v>1750</v>
      </c>
      <c r="B1466" s="439" t="s">
        <v>2296</v>
      </c>
      <c r="C1466" s="438" t="s">
        <v>71</v>
      </c>
      <c r="D1466" s="438" t="s">
        <v>2297</v>
      </c>
      <c r="E1466" s="438" t="s">
        <v>1631</v>
      </c>
      <c r="F1466" s="438"/>
      <c r="G1466" s="440" t="s">
        <v>105</v>
      </c>
      <c r="H1466" s="441">
        <v>0.0088</v>
      </c>
      <c r="I1466" s="441">
        <v>0</v>
      </c>
      <c r="J1466" s="449">
        <v>72.71</v>
      </c>
      <c r="K1466" s="449">
        <v>0.63</v>
      </c>
    </row>
    <row r="1467" customHeight="1" spans="1:11">
      <c r="A1467" s="438" t="s">
        <v>1750</v>
      </c>
      <c r="B1467" s="439" t="s">
        <v>2284</v>
      </c>
      <c r="C1467" s="438" t="s">
        <v>71</v>
      </c>
      <c r="D1467" s="438" t="s">
        <v>2285</v>
      </c>
      <c r="E1467" s="438" t="s">
        <v>1631</v>
      </c>
      <c r="F1467" s="438"/>
      <c r="G1467" s="440" t="s">
        <v>105</v>
      </c>
      <c r="H1467" s="441">
        <v>0.0484</v>
      </c>
      <c r="I1467" s="441">
        <v>0</v>
      </c>
      <c r="J1467" s="449">
        <v>2.08</v>
      </c>
      <c r="K1467" s="449">
        <v>0.1</v>
      </c>
    </row>
    <row r="1468" customHeight="1" spans="1:11">
      <c r="A1468" s="434"/>
      <c r="B1468" s="434"/>
      <c r="C1468" s="434"/>
      <c r="D1468" s="434"/>
      <c r="E1468" s="434"/>
      <c r="F1468" s="434" t="s">
        <v>1735</v>
      </c>
      <c r="G1468" s="435">
        <v>4.23</v>
      </c>
      <c r="H1468" s="434" t="s">
        <v>1736</v>
      </c>
      <c r="I1468" s="435">
        <v>3.86</v>
      </c>
      <c r="J1468" s="434" t="s">
        <v>1737</v>
      </c>
      <c r="K1468" s="435">
        <v>8.09</v>
      </c>
    </row>
    <row r="1469" customHeight="1" spans="1:11">
      <c r="A1469" s="434"/>
      <c r="B1469" s="434"/>
      <c r="C1469" s="434"/>
      <c r="D1469" s="434"/>
      <c r="E1469" s="434"/>
      <c r="F1469" s="434" t="s">
        <v>1738</v>
      </c>
      <c r="G1469" s="435">
        <v>5.76</v>
      </c>
      <c r="H1469" s="434"/>
      <c r="I1469" s="434" t="s">
        <v>1739</v>
      </c>
      <c r="J1469" s="434"/>
      <c r="K1469" s="435">
        <v>29.15</v>
      </c>
    </row>
    <row r="1470" customHeight="1" spans="1:11">
      <c r="A1470" s="436"/>
      <c r="B1470" s="436"/>
      <c r="C1470" s="436"/>
      <c r="D1470" s="436"/>
      <c r="E1470" s="436"/>
      <c r="F1470" s="436"/>
      <c r="G1470" s="436"/>
      <c r="H1470" s="436" t="s">
        <v>1740</v>
      </c>
      <c r="I1470" s="447" t="s">
        <v>2339</v>
      </c>
      <c r="J1470" s="436" t="s">
        <v>1742</v>
      </c>
      <c r="K1470" s="448">
        <v>87.45</v>
      </c>
    </row>
    <row r="1471" customHeight="1" spans="1:11">
      <c r="A1471" s="437"/>
      <c r="B1471" s="437"/>
      <c r="C1471" s="437"/>
      <c r="D1471" s="437"/>
      <c r="E1471" s="437"/>
      <c r="F1471" s="437"/>
      <c r="G1471" s="437"/>
      <c r="H1471" s="437"/>
      <c r="I1471" s="437"/>
      <c r="J1471" s="437"/>
      <c r="K1471" s="437"/>
    </row>
    <row r="1472" customHeight="1" spans="1:11">
      <c r="A1472" s="423" t="s">
        <v>478</v>
      </c>
      <c r="B1472" s="424" t="s">
        <v>1714</v>
      </c>
      <c r="C1472" s="423" t="s">
        <v>1715</v>
      </c>
      <c r="D1472" s="423" t="s">
        <v>1716</v>
      </c>
      <c r="E1472" s="423" t="s">
        <v>1717</v>
      </c>
      <c r="F1472" s="423"/>
      <c r="G1472" s="425" t="s">
        <v>1718</v>
      </c>
      <c r="H1472" s="424" t="s">
        <v>1719</v>
      </c>
      <c r="I1472" s="424" t="s">
        <v>1720</v>
      </c>
      <c r="J1472" s="424" t="s">
        <v>1721</v>
      </c>
      <c r="K1472" s="424" t="s">
        <v>1722</v>
      </c>
    </row>
    <row r="1473" customHeight="1" spans="1:11">
      <c r="A1473" s="426" t="s">
        <v>1723</v>
      </c>
      <c r="B1473" s="427" t="s">
        <v>479</v>
      </c>
      <c r="C1473" s="426" t="s">
        <v>71</v>
      </c>
      <c r="D1473" s="426" t="s">
        <v>480</v>
      </c>
      <c r="E1473" s="426" t="s">
        <v>1659</v>
      </c>
      <c r="F1473" s="426"/>
      <c r="G1473" s="428" t="s">
        <v>105</v>
      </c>
      <c r="H1473" s="429">
        <v>1</v>
      </c>
      <c r="I1473" s="445"/>
      <c r="J1473" s="445">
        <v>7.8</v>
      </c>
      <c r="K1473" s="445">
        <v>7.8</v>
      </c>
    </row>
    <row r="1474" customHeight="1" spans="1:11">
      <c r="A1474" s="430" t="s">
        <v>1724</v>
      </c>
      <c r="B1474" s="431" t="s">
        <v>1859</v>
      </c>
      <c r="C1474" s="430" t="s">
        <v>71</v>
      </c>
      <c r="D1474" s="430" t="s">
        <v>1860</v>
      </c>
      <c r="E1474" s="430" t="s">
        <v>1708</v>
      </c>
      <c r="F1474" s="430"/>
      <c r="G1474" s="432" t="s">
        <v>82</v>
      </c>
      <c r="H1474" s="433">
        <v>0.0944</v>
      </c>
      <c r="I1474" s="433">
        <v>0</v>
      </c>
      <c r="J1474" s="446">
        <v>29.54</v>
      </c>
      <c r="K1474" s="446">
        <v>2.78</v>
      </c>
    </row>
    <row r="1475" customHeight="1" spans="1:11">
      <c r="A1475" s="430" t="s">
        <v>1724</v>
      </c>
      <c r="B1475" s="431" t="s">
        <v>1854</v>
      </c>
      <c r="C1475" s="430" t="s">
        <v>71</v>
      </c>
      <c r="D1475" s="430" t="s">
        <v>1855</v>
      </c>
      <c r="E1475" s="430" t="s">
        <v>1708</v>
      </c>
      <c r="F1475" s="430"/>
      <c r="G1475" s="432" t="s">
        <v>82</v>
      </c>
      <c r="H1475" s="433">
        <v>0.0944</v>
      </c>
      <c r="I1475" s="433">
        <v>0</v>
      </c>
      <c r="J1475" s="446">
        <v>35.55</v>
      </c>
      <c r="K1475" s="446">
        <v>3.35</v>
      </c>
    </row>
    <row r="1476" customHeight="1" spans="1:11">
      <c r="A1476" s="438" t="s">
        <v>1750</v>
      </c>
      <c r="B1476" s="439" t="s">
        <v>2296</v>
      </c>
      <c r="C1476" s="438" t="s">
        <v>71</v>
      </c>
      <c r="D1476" s="438" t="s">
        <v>2297</v>
      </c>
      <c r="E1476" s="438" t="s">
        <v>1631</v>
      </c>
      <c r="F1476" s="438"/>
      <c r="G1476" s="440" t="s">
        <v>105</v>
      </c>
      <c r="H1476" s="441">
        <v>0.0059</v>
      </c>
      <c r="I1476" s="441">
        <v>0</v>
      </c>
      <c r="J1476" s="449">
        <v>72.71</v>
      </c>
      <c r="K1476" s="449">
        <v>0.42</v>
      </c>
    </row>
    <row r="1477" customHeight="1" spans="1:11">
      <c r="A1477" s="438" t="s">
        <v>1750</v>
      </c>
      <c r="B1477" s="439" t="s">
        <v>2284</v>
      </c>
      <c r="C1477" s="438" t="s">
        <v>71</v>
      </c>
      <c r="D1477" s="438" t="s">
        <v>2285</v>
      </c>
      <c r="E1477" s="438" t="s">
        <v>1631</v>
      </c>
      <c r="F1477" s="438"/>
      <c r="G1477" s="440" t="s">
        <v>105</v>
      </c>
      <c r="H1477" s="441">
        <v>0.0315</v>
      </c>
      <c r="I1477" s="441">
        <v>0</v>
      </c>
      <c r="J1477" s="449">
        <v>2.08</v>
      </c>
      <c r="K1477" s="449">
        <v>0.06</v>
      </c>
    </row>
    <row r="1478" customHeight="1" spans="1:11">
      <c r="A1478" s="438" t="s">
        <v>1750</v>
      </c>
      <c r="B1478" s="439" t="s">
        <v>2340</v>
      </c>
      <c r="C1478" s="438" t="s">
        <v>71</v>
      </c>
      <c r="D1478" s="438" t="s">
        <v>2341</v>
      </c>
      <c r="E1478" s="438" t="s">
        <v>1631</v>
      </c>
      <c r="F1478" s="438"/>
      <c r="G1478" s="440" t="s">
        <v>105</v>
      </c>
      <c r="H1478" s="441">
        <v>1</v>
      </c>
      <c r="I1478" s="441">
        <v>0</v>
      </c>
      <c r="J1478" s="449">
        <v>0.62</v>
      </c>
      <c r="K1478" s="449">
        <v>0.62</v>
      </c>
    </row>
    <row r="1479" customHeight="1" spans="1:11">
      <c r="A1479" s="438" t="s">
        <v>1750</v>
      </c>
      <c r="B1479" s="439" t="s">
        <v>2294</v>
      </c>
      <c r="C1479" s="438" t="s">
        <v>71</v>
      </c>
      <c r="D1479" s="438" t="s">
        <v>2295</v>
      </c>
      <c r="E1479" s="438" t="s">
        <v>1631</v>
      </c>
      <c r="F1479" s="438"/>
      <c r="G1479" s="440" t="s">
        <v>105</v>
      </c>
      <c r="H1479" s="441">
        <v>0.007</v>
      </c>
      <c r="I1479" s="441">
        <v>0</v>
      </c>
      <c r="J1479" s="449">
        <v>82.38</v>
      </c>
      <c r="K1479" s="449">
        <v>0.57</v>
      </c>
    </row>
    <row r="1480" customHeight="1" spans="1:11">
      <c r="A1480" s="434"/>
      <c r="B1480" s="434"/>
      <c r="C1480" s="434"/>
      <c r="D1480" s="434"/>
      <c r="E1480" s="434"/>
      <c r="F1480" s="434" t="s">
        <v>1735</v>
      </c>
      <c r="G1480" s="435">
        <v>2.28</v>
      </c>
      <c r="H1480" s="434" t="s">
        <v>1736</v>
      </c>
      <c r="I1480" s="435">
        <v>2.09</v>
      </c>
      <c r="J1480" s="434" t="s">
        <v>1737</v>
      </c>
      <c r="K1480" s="435">
        <v>4.37</v>
      </c>
    </row>
    <row r="1481" customHeight="1" spans="1:11">
      <c r="A1481" s="434"/>
      <c r="B1481" s="434"/>
      <c r="C1481" s="434"/>
      <c r="D1481" s="434"/>
      <c r="E1481" s="434"/>
      <c r="F1481" s="434" t="s">
        <v>1738</v>
      </c>
      <c r="G1481" s="435">
        <v>1.92</v>
      </c>
      <c r="H1481" s="434"/>
      <c r="I1481" s="434" t="s">
        <v>1739</v>
      </c>
      <c r="J1481" s="434"/>
      <c r="K1481" s="435">
        <v>9.72</v>
      </c>
    </row>
    <row r="1482" customHeight="1" spans="1:11">
      <c r="A1482" s="436"/>
      <c r="B1482" s="436"/>
      <c r="C1482" s="436"/>
      <c r="D1482" s="436"/>
      <c r="E1482" s="436"/>
      <c r="F1482" s="436"/>
      <c r="G1482" s="436"/>
      <c r="H1482" s="436" t="s">
        <v>1740</v>
      </c>
      <c r="I1482" s="447" t="s">
        <v>1971</v>
      </c>
      <c r="J1482" s="436" t="s">
        <v>1742</v>
      </c>
      <c r="K1482" s="448">
        <v>19.44</v>
      </c>
    </row>
    <row r="1483" customHeight="1" spans="1:11">
      <c r="A1483" s="437"/>
      <c r="B1483" s="437"/>
      <c r="C1483" s="437"/>
      <c r="D1483" s="437"/>
      <c r="E1483" s="437"/>
      <c r="F1483" s="437"/>
      <c r="G1483" s="437"/>
      <c r="H1483" s="437"/>
      <c r="I1483" s="437"/>
      <c r="J1483" s="437"/>
      <c r="K1483" s="437"/>
    </row>
    <row r="1484" customHeight="1" spans="1:11">
      <c r="A1484" s="423" t="s">
        <v>481</v>
      </c>
      <c r="B1484" s="424" t="s">
        <v>1714</v>
      </c>
      <c r="C1484" s="423" t="s">
        <v>1715</v>
      </c>
      <c r="D1484" s="423" t="s">
        <v>1716</v>
      </c>
      <c r="E1484" s="423" t="s">
        <v>1717</v>
      </c>
      <c r="F1484" s="423"/>
      <c r="G1484" s="425" t="s">
        <v>1718</v>
      </c>
      <c r="H1484" s="424" t="s">
        <v>1719</v>
      </c>
      <c r="I1484" s="424" t="s">
        <v>1720</v>
      </c>
      <c r="J1484" s="424" t="s">
        <v>1721</v>
      </c>
      <c r="K1484" s="424" t="s">
        <v>1722</v>
      </c>
    </row>
    <row r="1485" customHeight="1" spans="1:11">
      <c r="A1485" s="426" t="s">
        <v>1723</v>
      </c>
      <c r="B1485" s="427" t="s">
        <v>482</v>
      </c>
      <c r="C1485" s="426" t="s">
        <v>71</v>
      </c>
      <c r="D1485" s="426" t="s">
        <v>483</v>
      </c>
      <c r="E1485" s="426" t="s">
        <v>1659</v>
      </c>
      <c r="F1485" s="426"/>
      <c r="G1485" s="428" t="s">
        <v>105</v>
      </c>
      <c r="H1485" s="429">
        <v>1</v>
      </c>
      <c r="I1485" s="445"/>
      <c r="J1485" s="445">
        <v>9.65</v>
      </c>
      <c r="K1485" s="445">
        <v>9.65</v>
      </c>
    </row>
    <row r="1486" customHeight="1" spans="1:11">
      <c r="A1486" s="430" t="s">
        <v>1724</v>
      </c>
      <c r="B1486" s="431" t="s">
        <v>1854</v>
      </c>
      <c r="C1486" s="430" t="s">
        <v>71</v>
      </c>
      <c r="D1486" s="430" t="s">
        <v>1855</v>
      </c>
      <c r="E1486" s="430" t="s">
        <v>1708</v>
      </c>
      <c r="F1486" s="430"/>
      <c r="G1486" s="432" t="s">
        <v>82</v>
      </c>
      <c r="H1486" s="433">
        <v>0.1111</v>
      </c>
      <c r="I1486" s="433">
        <v>0</v>
      </c>
      <c r="J1486" s="446">
        <v>35.55</v>
      </c>
      <c r="K1486" s="446">
        <v>3.94</v>
      </c>
    </row>
    <row r="1487" customHeight="1" spans="1:11">
      <c r="A1487" s="430" t="s">
        <v>1724</v>
      </c>
      <c r="B1487" s="431" t="s">
        <v>1859</v>
      </c>
      <c r="C1487" s="430" t="s">
        <v>71</v>
      </c>
      <c r="D1487" s="430" t="s">
        <v>1860</v>
      </c>
      <c r="E1487" s="430" t="s">
        <v>1708</v>
      </c>
      <c r="F1487" s="430"/>
      <c r="G1487" s="432" t="s">
        <v>82</v>
      </c>
      <c r="H1487" s="433">
        <v>0.1111</v>
      </c>
      <c r="I1487" s="433">
        <v>0</v>
      </c>
      <c r="J1487" s="446">
        <v>29.54</v>
      </c>
      <c r="K1487" s="446">
        <v>3.28</v>
      </c>
    </row>
    <row r="1488" customHeight="1" spans="1:11">
      <c r="A1488" s="438" t="s">
        <v>1750</v>
      </c>
      <c r="B1488" s="439" t="s">
        <v>2296</v>
      </c>
      <c r="C1488" s="438" t="s">
        <v>71</v>
      </c>
      <c r="D1488" s="438" t="s">
        <v>2297</v>
      </c>
      <c r="E1488" s="438" t="s">
        <v>1631</v>
      </c>
      <c r="F1488" s="438"/>
      <c r="G1488" s="440" t="s">
        <v>105</v>
      </c>
      <c r="H1488" s="441">
        <v>0.0082</v>
      </c>
      <c r="I1488" s="441">
        <v>0</v>
      </c>
      <c r="J1488" s="449">
        <v>72.71</v>
      </c>
      <c r="K1488" s="449">
        <v>0.59</v>
      </c>
    </row>
    <row r="1489" customHeight="1" spans="1:11">
      <c r="A1489" s="438" t="s">
        <v>1750</v>
      </c>
      <c r="B1489" s="439" t="s">
        <v>2342</v>
      </c>
      <c r="C1489" s="438" t="s">
        <v>71</v>
      </c>
      <c r="D1489" s="438" t="s">
        <v>2343</v>
      </c>
      <c r="E1489" s="438" t="s">
        <v>1631</v>
      </c>
      <c r="F1489" s="438"/>
      <c r="G1489" s="440" t="s">
        <v>105</v>
      </c>
      <c r="H1489" s="441">
        <v>1</v>
      </c>
      <c r="I1489" s="441">
        <v>0</v>
      </c>
      <c r="J1489" s="449">
        <v>0.99</v>
      </c>
      <c r="K1489" s="449">
        <v>0.99</v>
      </c>
    </row>
    <row r="1490" customHeight="1" spans="1:11">
      <c r="A1490" s="438" t="s">
        <v>1750</v>
      </c>
      <c r="B1490" s="439" t="s">
        <v>2294</v>
      </c>
      <c r="C1490" s="438" t="s">
        <v>71</v>
      </c>
      <c r="D1490" s="438" t="s">
        <v>2295</v>
      </c>
      <c r="E1490" s="438" t="s">
        <v>1631</v>
      </c>
      <c r="F1490" s="438"/>
      <c r="G1490" s="440" t="s">
        <v>105</v>
      </c>
      <c r="H1490" s="441">
        <v>0.0095</v>
      </c>
      <c r="I1490" s="441">
        <v>0</v>
      </c>
      <c r="J1490" s="449">
        <v>82.38</v>
      </c>
      <c r="K1490" s="449">
        <v>0.78</v>
      </c>
    </row>
    <row r="1491" customHeight="1" spans="1:11">
      <c r="A1491" s="438" t="s">
        <v>1750</v>
      </c>
      <c r="B1491" s="439" t="s">
        <v>2284</v>
      </c>
      <c r="C1491" s="438" t="s">
        <v>71</v>
      </c>
      <c r="D1491" s="438" t="s">
        <v>2285</v>
      </c>
      <c r="E1491" s="438" t="s">
        <v>1631</v>
      </c>
      <c r="F1491" s="438"/>
      <c r="G1491" s="440" t="s">
        <v>105</v>
      </c>
      <c r="H1491" s="441">
        <v>0.0371</v>
      </c>
      <c r="I1491" s="441">
        <v>0</v>
      </c>
      <c r="J1491" s="449">
        <v>2.08</v>
      </c>
      <c r="K1491" s="449">
        <v>0.07</v>
      </c>
    </row>
    <row r="1492" customHeight="1" spans="1:11">
      <c r="A1492" s="434"/>
      <c r="B1492" s="434"/>
      <c r="C1492" s="434"/>
      <c r="D1492" s="434"/>
      <c r="E1492" s="434"/>
      <c r="F1492" s="434" t="s">
        <v>1735</v>
      </c>
      <c r="G1492" s="435">
        <v>2.69</v>
      </c>
      <c r="H1492" s="434" t="s">
        <v>1736</v>
      </c>
      <c r="I1492" s="435">
        <v>2.45</v>
      </c>
      <c r="J1492" s="434" t="s">
        <v>1737</v>
      </c>
      <c r="K1492" s="435">
        <v>5.14</v>
      </c>
    </row>
    <row r="1493" customHeight="1" spans="1:11">
      <c r="A1493" s="434"/>
      <c r="B1493" s="434"/>
      <c r="C1493" s="434"/>
      <c r="D1493" s="434"/>
      <c r="E1493" s="434"/>
      <c r="F1493" s="434" t="s">
        <v>1738</v>
      </c>
      <c r="G1493" s="435">
        <v>2.37</v>
      </c>
      <c r="H1493" s="434"/>
      <c r="I1493" s="434" t="s">
        <v>1739</v>
      </c>
      <c r="J1493" s="434"/>
      <c r="K1493" s="435">
        <v>12.02</v>
      </c>
    </row>
    <row r="1494" customHeight="1" spans="1:11">
      <c r="A1494" s="436"/>
      <c r="B1494" s="436"/>
      <c r="C1494" s="436"/>
      <c r="D1494" s="436"/>
      <c r="E1494" s="436"/>
      <c r="F1494" s="436"/>
      <c r="G1494" s="436"/>
      <c r="H1494" s="436" t="s">
        <v>1740</v>
      </c>
      <c r="I1494" s="447" t="s">
        <v>2339</v>
      </c>
      <c r="J1494" s="436" t="s">
        <v>1742</v>
      </c>
      <c r="K1494" s="448">
        <v>36.06</v>
      </c>
    </row>
    <row r="1495" customHeight="1" spans="1:11">
      <c r="A1495" s="437"/>
      <c r="B1495" s="437"/>
      <c r="C1495" s="437"/>
      <c r="D1495" s="437"/>
      <c r="E1495" s="437"/>
      <c r="F1495" s="437"/>
      <c r="G1495" s="437"/>
      <c r="H1495" s="437"/>
      <c r="I1495" s="437"/>
      <c r="J1495" s="437"/>
      <c r="K1495" s="437"/>
    </row>
    <row r="1496" customHeight="1" spans="1:11">
      <c r="A1496" s="423" t="s">
        <v>484</v>
      </c>
      <c r="B1496" s="424" t="s">
        <v>1714</v>
      </c>
      <c r="C1496" s="423" t="s">
        <v>1715</v>
      </c>
      <c r="D1496" s="423" t="s">
        <v>1716</v>
      </c>
      <c r="E1496" s="423" t="s">
        <v>1717</v>
      </c>
      <c r="F1496" s="423"/>
      <c r="G1496" s="425" t="s">
        <v>1718</v>
      </c>
      <c r="H1496" s="424" t="s">
        <v>1719</v>
      </c>
      <c r="I1496" s="424" t="s">
        <v>1720</v>
      </c>
      <c r="J1496" s="424" t="s">
        <v>1721</v>
      </c>
      <c r="K1496" s="424" t="s">
        <v>1722</v>
      </c>
    </row>
    <row r="1497" customHeight="1" spans="1:11">
      <c r="A1497" s="426" t="s">
        <v>1723</v>
      </c>
      <c r="B1497" s="427" t="s">
        <v>485</v>
      </c>
      <c r="C1497" s="426" t="s">
        <v>71</v>
      </c>
      <c r="D1497" s="426" t="s">
        <v>486</v>
      </c>
      <c r="E1497" s="426" t="s">
        <v>1710</v>
      </c>
      <c r="F1497" s="426"/>
      <c r="G1497" s="428" t="s">
        <v>105</v>
      </c>
      <c r="H1497" s="429">
        <v>1</v>
      </c>
      <c r="I1497" s="445"/>
      <c r="J1497" s="445">
        <v>22.11</v>
      </c>
      <c r="K1497" s="445">
        <v>22.11</v>
      </c>
    </row>
    <row r="1498" customHeight="1" spans="1:11">
      <c r="A1498" s="430" t="s">
        <v>1724</v>
      </c>
      <c r="B1498" s="431" t="s">
        <v>1854</v>
      </c>
      <c r="C1498" s="430" t="s">
        <v>71</v>
      </c>
      <c r="D1498" s="430" t="s">
        <v>1855</v>
      </c>
      <c r="E1498" s="430" t="s">
        <v>1708</v>
      </c>
      <c r="F1498" s="430"/>
      <c r="G1498" s="432" t="s">
        <v>82</v>
      </c>
      <c r="H1498" s="433">
        <v>0.1338</v>
      </c>
      <c r="I1498" s="433">
        <v>0</v>
      </c>
      <c r="J1498" s="446">
        <v>35.55</v>
      </c>
      <c r="K1498" s="446">
        <v>4.75</v>
      </c>
    </row>
    <row r="1499" customHeight="1" spans="1:11">
      <c r="A1499" s="430" t="s">
        <v>1724</v>
      </c>
      <c r="B1499" s="431" t="s">
        <v>1859</v>
      </c>
      <c r="C1499" s="430" t="s">
        <v>71</v>
      </c>
      <c r="D1499" s="430" t="s">
        <v>1860</v>
      </c>
      <c r="E1499" s="430" t="s">
        <v>1708</v>
      </c>
      <c r="F1499" s="430"/>
      <c r="G1499" s="432" t="s">
        <v>82</v>
      </c>
      <c r="H1499" s="433">
        <v>0.1338</v>
      </c>
      <c r="I1499" s="433">
        <v>0</v>
      </c>
      <c r="J1499" s="446">
        <v>29.54</v>
      </c>
      <c r="K1499" s="446">
        <v>3.95</v>
      </c>
    </row>
    <row r="1500" customHeight="1" spans="1:11">
      <c r="A1500" s="438" t="s">
        <v>1750</v>
      </c>
      <c r="B1500" s="439" t="s">
        <v>2344</v>
      </c>
      <c r="C1500" s="438" t="s">
        <v>71</v>
      </c>
      <c r="D1500" s="438" t="s">
        <v>2345</v>
      </c>
      <c r="E1500" s="438" t="s">
        <v>1631</v>
      </c>
      <c r="F1500" s="438"/>
      <c r="G1500" s="440" t="s">
        <v>105</v>
      </c>
      <c r="H1500" s="441">
        <v>1</v>
      </c>
      <c r="I1500" s="441">
        <v>0</v>
      </c>
      <c r="J1500" s="449">
        <v>12.84</v>
      </c>
      <c r="K1500" s="449">
        <v>12.84</v>
      </c>
    </row>
    <row r="1501" customHeight="1" spans="1:11">
      <c r="A1501" s="438" t="s">
        <v>1750</v>
      </c>
      <c r="B1501" s="439" t="s">
        <v>2296</v>
      </c>
      <c r="C1501" s="438" t="s">
        <v>71</v>
      </c>
      <c r="D1501" s="438" t="s">
        <v>2297</v>
      </c>
      <c r="E1501" s="438" t="s">
        <v>1631</v>
      </c>
      <c r="F1501" s="438"/>
      <c r="G1501" s="440" t="s">
        <v>105</v>
      </c>
      <c r="H1501" s="441">
        <v>0.0035</v>
      </c>
      <c r="I1501" s="441">
        <v>0</v>
      </c>
      <c r="J1501" s="449">
        <v>72.71</v>
      </c>
      <c r="K1501" s="449">
        <v>0.25</v>
      </c>
    </row>
    <row r="1502" customHeight="1" spans="1:11">
      <c r="A1502" s="438" t="s">
        <v>1750</v>
      </c>
      <c r="B1502" s="439" t="s">
        <v>2294</v>
      </c>
      <c r="C1502" s="438" t="s">
        <v>71</v>
      </c>
      <c r="D1502" s="438" t="s">
        <v>2295</v>
      </c>
      <c r="E1502" s="438" t="s">
        <v>1631</v>
      </c>
      <c r="F1502" s="438"/>
      <c r="G1502" s="440" t="s">
        <v>105</v>
      </c>
      <c r="H1502" s="441">
        <v>0.004</v>
      </c>
      <c r="I1502" s="441">
        <v>0</v>
      </c>
      <c r="J1502" s="449">
        <v>82.38</v>
      </c>
      <c r="K1502" s="449">
        <v>0.32</v>
      </c>
    </row>
    <row r="1503" customHeight="1" spans="1:11">
      <c r="A1503" s="434"/>
      <c r="B1503" s="434"/>
      <c r="C1503" s="434"/>
      <c r="D1503" s="434"/>
      <c r="E1503" s="434"/>
      <c r="F1503" s="434" t="s">
        <v>1735</v>
      </c>
      <c r="G1503" s="435">
        <v>3.24</v>
      </c>
      <c r="H1503" s="434" t="s">
        <v>1736</v>
      </c>
      <c r="I1503" s="435">
        <v>2.95</v>
      </c>
      <c r="J1503" s="434" t="s">
        <v>1737</v>
      </c>
      <c r="K1503" s="435">
        <v>6.19</v>
      </c>
    </row>
    <row r="1504" customHeight="1" spans="1:11">
      <c r="A1504" s="434"/>
      <c r="B1504" s="434"/>
      <c r="C1504" s="434"/>
      <c r="D1504" s="434"/>
      <c r="E1504" s="434"/>
      <c r="F1504" s="434" t="s">
        <v>1738</v>
      </c>
      <c r="G1504" s="435">
        <v>5.45</v>
      </c>
      <c r="H1504" s="434"/>
      <c r="I1504" s="434" t="s">
        <v>1739</v>
      </c>
      <c r="J1504" s="434"/>
      <c r="K1504" s="435">
        <v>27.56</v>
      </c>
    </row>
    <row r="1505" customHeight="1" spans="1:11">
      <c r="A1505" s="436"/>
      <c r="B1505" s="436"/>
      <c r="C1505" s="436"/>
      <c r="D1505" s="436"/>
      <c r="E1505" s="436"/>
      <c r="F1505" s="436"/>
      <c r="G1505" s="436"/>
      <c r="H1505" s="436" t="s">
        <v>1740</v>
      </c>
      <c r="I1505" s="447" t="s">
        <v>2339</v>
      </c>
      <c r="J1505" s="436" t="s">
        <v>1742</v>
      </c>
      <c r="K1505" s="448">
        <v>82.68</v>
      </c>
    </row>
    <row r="1506" customHeight="1" spans="1:11">
      <c r="A1506" s="437"/>
      <c r="B1506" s="437"/>
      <c r="C1506" s="437"/>
      <c r="D1506" s="437"/>
      <c r="E1506" s="437"/>
      <c r="F1506" s="437"/>
      <c r="G1506" s="437"/>
      <c r="H1506" s="437"/>
      <c r="I1506" s="437"/>
      <c r="J1506" s="437"/>
      <c r="K1506" s="437"/>
    </row>
    <row r="1507" customHeight="1" spans="1:11">
      <c r="A1507" s="423" t="s">
        <v>487</v>
      </c>
      <c r="B1507" s="424" t="s">
        <v>1714</v>
      </c>
      <c r="C1507" s="423" t="s">
        <v>1715</v>
      </c>
      <c r="D1507" s="423" t="s">
        <v>1716</v>
      </c>
      <c r="E1507" s="423" t="s">
        <v>1717</v>
      </c>
      <c r="F1507" s="423"/>
      <c r="G1507" s="425" t="s">
        <v>1718</v>
      </c>
      <c r="H1507" s="424" t="s">
        <v>1719</v>
      </c>
      <c r="I1507" s="424" t="s">
        <v>1720</v>
      </c>
      <c r="J1507" s="424" t="s">
        <v>1721</v>
      </c>
      <c r="K1507" s="424" t="s">
        <v>1722</v>
      </c>
    </row>
    <row r="1508" customHeight="1" spans="1:11">
      <c r="A1508" s="426" t="s">
        <v>1723</v>
      </c>
      <c r="B1508" s="427" t="s">
        <v>488</v>
      </c>
      <c r="C1508" s="426" t="s">
        <v>71</v>
      </c>
      <c r="D1508" s="426" t="s">
        <v>489</v>
      </c>
      <c r="E1508" s="426" t="s">
        <v>1710</v>
      </c>
      <c r="F1508" s="426"/>
      <c r="G1508" s="428" t="s">
        <v>105</v>
      </c>
      <c r="H1508" s="429">
        <v>1</v>
      </c>
      <c r="I1508" s="445"/>
      <c r="J1508" s="445">
        <v>29.05</v>
      </c>
      <c r="K1508" s="445">
        <v>29.05</v>
      </c>
    </row>
    <row r="1509" customHeight="1" spans="1:11">
      <c r="A1509" s="430" t="s">
        <v>1724</v>
      </c>
      <c r="B1509" s="431" t="s">
        <v>1854</v>
      </c>
      <c r="C1509" s="430" t="s">
        <v>71</v>
      </c>
      <c r="D1509" s="430" t="s">
        <v>1855</v>
      </c>
      <c r="E1509" s="430" t="s">
        <v>1708</v>
      </c>
      <c r="F1509" s="430"/>
      <c r="G1509" s="432" t="s">
        <v>82</v>
      </c>
      <c r="H1509" s="433">
        <v>0.1375</v>
      </c>
      <c r="I1509" s="433">
        <v>0</v>
      </c>
      <c r="J1509" s="446">
        <v>35.55</v>
      </c>
      <c r="K1509" s="446">
        <v>4.88</v>
      </c>
    </row>
    <row r="1510" customHeight="1" spans="1:11">
      <c r="A1510" s="430" t="s">
        <v>1724</v>
      </c>
      <c r="B1510" s="431" t="s">
        <v>1859</v>
      </c>
      <c r="C1510" s="430" t="s">
        <v>71</v>
      </c>
      <c r="D1510" s="430" t="s">
        <v>1860</v>
      </c>
      <c r="E1510" s="430" t="s">
        <v>1708</v>
      </c>
      <c r="F1510" s="430"/>
      <c r="G1510" s="432" t="s">
        <v>82</v>
      </c>
      <c r="H1510" s="433">
        <v>0.1375</v>
      </c>
      <c r="I1510" s="433">
        <v>0</v>
      </c>
      <c r="J1510" s="446">
        <v>29.54</v>
      </c>
      <c r="K1510" s="446">
        <v>4.06</v>
      </c>
    </row>
    <row r="1511" customHeight="1" spans="1:11">
      <c r="A1511" s="438" t="s">
        <v>1750</v>
      </c>
      <c r="B1511" s="439" t="s">
        <v>2296</v>
      </c>
      <c r="C1511" s="438" t="s">
        <v>71</v>
      </c>
      <c r="D1511" s="438" t="s">
        <v>2297</v>
      </c>
      <c r="E1511" s="438" t="s">
        <v>1631</v>
      </c>
      <c r="F1511" s="438"/>
      <c r="G1511" s="440" t="s">
        <v>105</v>
      </c>
      <c r="H1511" s="441">
        <v>0.0047</v>
      </c>
      <c r="I1511" s="441">
        <v>0</v>
      </c>
      <c r="J1511" s="449">
        <v>72.71</v>
      </c>
      <c r="K1511" s="449">
        <v>0.34</v>
      </c>
    </row>
    <row r="1512" customHeight="1" spans="1:11">
      <c r="A1512" s="438" t="s">
        <v>1750</v>
      </c>
      <c r="B1512" s="439" t="s">
        <v>2294</v>
      </c>
      <c r="C1512" s="438" t="s">
        <v>71</v>
      </c>
      <c r="D1512" s="438" t="s">
        <v>2295</v>
      </c>
      <c r="E1512" s="438" t="s">
        <v>1631</v>
      </c>
      <c r="F1512" s="438"/>
      <c r="G1512" s="440" t="s">
        <v>105</v>
      </c>
      <c r="H1512" s="441">
        <v>0.0055</v>
      </c>
      <c r="I1512" s="441">
        <v>0</v>
      </c>
      <c r="J1512" s="449">
        <v>82.38</v>
      </c>
      <c r="K1512" s="449">
        <v>0.45</v>
      </c>
    </row>
    <row r="1513" customHeight="1" spans="1:11">
      <c r="A1513" s="438" t="s">
        <v>1750</v>
      </c>
      <c r="B1513" s="439" t="s">
        <v>2346</v>
      </c>
      <c r="C1513" s="438" t="s">
        <v>71</v>
      </c>
      <c r="D1513" s="438" t="s">
        <v>2347</v>
      </c>
      <c r="E1513" s="438" t="s">
        <v>1631</v>
      </c>
      <c r="F1513" s="438"/>
      <c r="G1513" s="440" t="s">
        <v>105</v>
      </c>
      <c r="H1513" s="441">
        <v>1</v>
      </c>
      <c r="I1513" s="441">
        <v>0</v>
      </c>
      <c r="J1513" s="449">
        <v>19.32</v>
      </c>
      <c r="K1513" s="449">
        <v>19.32</v>
      </c>
    </row>
    <row r="1514" customHeight="1" spans="1:11">
      <c r="A1514" s="434"/>
      <c r="B1514" s="434"/>
      <c r="C1514" s="434"/>
      <c r="D1514" s="434"/>
      <c r="E1514" s="434"/>
      <c r="F1514" s="434" t="s">
        <v>1735</v>
      </c>
      <c r="G1514" s="435">
        <v>3.33</v>
      </c>
      <c r="H1514" s="434" t="s">
        <v>1736</v>
      </c>
      <c r="I1514" s="435">
        <v>3.03</v>
      </c>
      <c r="J1514" s="434" t="s">
        <v>1737</v>
      </c>
      <c r="K1514" s="435">
        <v>6.36</v>
      </c>
    </row>
    <row r="1515" customHeight="1" spans="1:11">
      <c r="A1515" s="434"/>
      <c r="B1515" s="434"/>
      <c r="C1515" s="434"/>
      <c r="D1515" s="434"/>
      <c r="E1515" s="434"/>
      <c r="F1515" s="434" t="s">
        <v>1738</v>
      </c>
      <c r="G1515" s="435">
        <v>7.16</v>
      </c>
      <c r="H1515" s="434"/>
      <c r="I1515" s="434" t="s">
        <v>1739</v>
      </c>
      <c r="J1515" s="434"/>
      <c r="K1515" s="435">
        <v>36.21</v>
      </c>
    </row>
    <row r="1516" customHeight="1" spans="1:11">
      <c r="A1516" s="436"/>
      <c r="B1516" s="436"/>
      <c r="C1516" s="436"/>
      <c r="D1516" s="436"/>
      <c r="E1516" s="436"/>
      <c r="F1516" s="436"/>
      <c r="G1516" s="436"/>
      <c r="H1516" s="436" t="s">
        <v>1740</v>
      </c>
      <c r="I1516" s="447" t="s">
        <v>2339</v>
      </c>
      <c r="J1516" s="436" t="s">
        <v>1742</v>
      </c>
      <c r="K1516" s="448">
        <v>108.63</v>
      </c>
    </row>
    <row r="1517" customHeight="1" spans="1:11">
      <c r="A1517" s="437"/>
      <c r="B1517" s="437"/>
      <c r="C1517" s="437"/>
      <c r="D1517" s="437"/>
      <c r="E1517" s="437"/>
      <c r="F1517" s="437"/>
      <c r="G1517" s="437"/>
      <c r="H1517" s="437"/>
      <c r="I1517" s="437"/>
      <c r="J1517" s="437"/>
      <c r="K1517" s="437"/>
    </row>
    <row r="1518" customHeight="1" spans="1:11">
      <c r="A1518" s="423" t="s">
        <v>490</v>
      </c>
      <c r="B1518" s="424" t="s">
        <v>1714</v>
      </c>
      <c r="C1518" s="423" t="s">
        <v>1715</v>
      </c>
      <c r="D1518" s="423" t="s">
        <v>1716</v>
      </c>
      <c r="E1518" s="423" t="s">
        <v>1717</v>
      </c>
      <c r="F1518" s="423"/>
      <c r="G1518" s="425" t="s">
        <v>1718</v>
      </c>
      <c r="H1518" s="424" t="s">
        <v>1719</v>
      </c>
      <c r="I1518" s="424" t="s">
        <v>1720</v>
      </c>
      <c r="J1518" s="424" t="s">
        <v>1721</v>
      </c>
      <c r="K1518" s="424" t="s">
        <v>1722</v>
      </c>
    </row>
    <row r="1519" customHeight="1" spans="1:11">
      <c r="A1519" s="426" t="s">
        <v>1723</v>
      </c>
      <c r="B1519" s="427" t="s">
        <v>491</v>
      </c>
      <c r="C1519" s="426" t="s">
        <v>71</v>
      </c>
      <c r="D1519" s="426" t="s">
        <v>492</v>
      </c>
      <c r="E1519" s="426" t="s">
        <v>1710</v>
      </c>
      <c r="F1519" s="426"/>
      <c r="G1519" s="428" t="s">
        <v>105</v>
      </c>
      <c r="H1519" s="429">
        <v>1</v>
      </c>
      <c r="I1519" s="445"/>
      <c r="J1519" s="445">
        <v>39.15</v>
      </c>
      <c r="K1519" s="445">
        <v>39.15</v>
      </c>
    </row>
    <row r="1520" customHeight="1" spans="1:11">
      <c r="A1520" s="430" t="s">
        <v>1724</v>
      </c>
      <c r="B1520" s="431" t="s">
        <v>1859</v>
      </c>
      <c r="C1520" s="430" t="s">
        <v>71</v>
      </c>
      <c r="D1520" s="430" t="s">
        <v>1860</v>
      </c>
      <c r="E1520" s="430" t="s">
        <v>1708</v>
      </c>
      <c r="F1520" s="430"/>
      <c r="G1520" s="432" t="s">
        <v>82</v>
      </c>
      <c r="H1520" s="433">
        <v>0.1418</v>
      </c>
      <c r="I1520" s="433">
        <v>0</v>
      </c>
      <c r="J1520" s="446">
        <v>29.54</v>
      </c>
      <c r="K1520" s="446">
        <v>4.18</v>
      </c>
    </row>
    <row r="1521" customHeight="1" spans="1:11">
      <c r="A1521" s="430" t="s">
        <v>1724</v>
      </c>
      <c r="B1521" s="431" t="s">
        <v>1854</v>
      </c>
      <c r="C1521" s="430" t="s">
        <v>71</v>
      </c>
      <c r="D1521" s="430" t="s">
        <v>1855</v>
      </c>
      <c r="E1521" s="430" t="s">
        <v>1708</v>
      </c>
      <c r="F1521" s="430"/>
      <c r="G1521" s="432" t="s">
        <v>82</v>
      </c>
      <c r="H1521" s="433">
        <v>0.1418</v>
      </c>
      <c r="I1521" s="433">
        <v>0</v>
      </c>
      <c r="J1521" s="446">
        <v>35.55</v>
      </c>
      <c r="K1521" s="446">
        <v>5.04</v>
      </c>
    </row>
    <row r="1522" customHeight="1" spans="1:11">
      <c r="A1522" s="438" t="s">
        <v>1750</v>
      </c>
      <c r="B1522" s="439" t="s">
        <v>2348</v>
      </c>
      <c r="C1522" s="438" t="s">
        <v>71</v>
      </c>
      <c r="D1522" s="438" t="s">
        <v>2349</v>
      </c>
      <c r="E1522" s="438" t="s">
        <v>1631</v>
      </c>
      <c r="F1522" s="438"/>
      <c r="G1522" s="440" t="s">
        <v>105</v>
      </c>
      <c r="H1522" s="441">
        <v>1</v>
      </c>
      <c r="I1522" s="441">
        <v>0</v>
      </c>
      <c r="J1522" s="449">
        <v>28.93</v>
      </c>
      <c r="K1522" s="449">
        <v>28.93</v>
      </c>
    </row>
    <row r="1523" customHeight="1" spans="1:11">
      <c r="A1523" s="438" t="s">
        <v>1750</v>
      </c>
      <c r="B1523" s="439" t="s">
        <v>2294</v>
      </c>
      <c r="C1523" s="438" t="s">
        <v>71</v>
      </c>
      <c r="D1523" s="438" t="s">
        <v>2295</v>
      </c>
      <c r="E1523" s="438" t="s">
        <v>1631</v>
      </c>
      <c r="F1523" s="438"/>
      <c r="G1523" s="440" t="s">
        <v>105</v>
      </c>
      <c r="H1523" s="441">
        <v>0.007</v>
      </c>
      <c r="I1523" s="441">
        <v>0</v>
      </c>
      <c r="J1523" s="449">
        <v>82.38</v>
      </c>
      <c r="K1523" s="449">
        <v>0.57</v>
      </c>
    </row>
    <row r="1524" customHeight="1" spans="1:11">
      <c r="A1524" s="438" t="s">
        <v>1750</v>
      </c>
      <c r="B1524" s="439" t="s">
        <v>2284</v>
      </c>
      <c r="C1524" s="438" t="s">
        <v>71</v>
      </c>
      <c r="D1524" s="438" t="s">
        <v>2285</v>
      </c>
      <c r="E1524" s="438" t="s">
        <v>1631</v>
      </c>
      <c r="F1524" s="438"/>
      <c r="G1524" s="440" t="s">
        <v>105</v>
      </c>
      <c r="H1524" s="441">
        <v>0.0056</v>
      </c>
      <c r="I1524" s="441">
        <v>0</v>
      </c>
      <c r="J1524" s="449">
        <v>2.08</v>
      </c>
      <c r="K1524" s="449">
        <v>0.01</v>
      </c>
    </row>
    <row r="1525" customHeight="1" spans="1:11">
      <c r="A1525" s="438" t="s">
        <v>1750</v>
      </c>
      <c r="B1525" s="439" t="s">
        <v>2296</v>
      </c>
      <c r="C1525" s="438" t="s">
        <v>71</v>
      </c>
      <c r="D1525" s="438" t="s">
        <v>2297</v>
      </c>
      <c r="E1525" s="438" t="s">
        <v>1631</v>
      </c>
      <c r="F1525" s="438"/>
      <c r="G1525" s="440" t="s">
        <v>105</v>
      </c>
      <c r="H1525" s="441">
        <v>0.0059</v>
      </c>
      <c r="I1525" s="441">
        <v>0</v>
      </c>
      <c r="J1525" s="449">
        <v>72.71</v>
      </c>
      <c r="K1525" s="449">
        <v>0.42</v>
      </c>
    </row>
    <row r="1526" customHeight="1" spans="1:11">
      <c r="A1526" s="434"/>
      <c r="B1526" s="434"/>
      <c r="C1526" s="434"/>
      <c r="D1526" s="434"/>
      <c r="E1526" s="434"/>
      <c r="F1526" s="434" t="s">
        <v>1735</v>
      </c>
      <c r="G1526" s="435">
        <v>3.44</v>
      </c>
      <c r="H1526" s="434" t="s">
        <v>1736</v>
      </c>
      <c r="I1526" s="435">
        <v>3.13</v>
      </c>
      <c r="J1526" s="434" t="s">
        <v>1737</v>
      </c>
      <c r="K1526" s="435">
        <v>6.57</v>
      </c>
    </row>
    <row r="1527" customHeight="1" spans="1:11">
      <c r="A1527" s="434"/>
      <c r="B1527" s="434"/>
      <c r="C1527" s="434"/>
      <c r="D1527" s="434"/>
      <c r="E1527" s="434"/>
      <c r="F1527" s="434" t="s">
        <v>1738</v>
      </c>
      <c r="G1527" s="435">
        <v>9.65</v>
      </c>
      <c r="H1527" s="434"/>
      <c r="I1527" s="434" t="s">
        <v>1739</v>
      </c>
      <c r="J1527" s="434"/>
      <c r="K1527" s="435">
        <v>48.8</v>
      </c>
    </row>
    <row r="1528" customHeight="1" spans="1:11">
      <c r="A1528" s="436"/>
      <c r="B1528" s="436"/>
      <c r="C1528" s="436"/>
      <c r="D1528" s="436"/>
      <c r="E1528" s="436"/>
      <c r="F1528" s="436"/>
      <c r="G1528" s="436"/>
      <c r="H1528" s="436" t="s">
        <v>1740</v>
      </c>
      <c r="I1528" s="447" t="s">
        <v>1971</v>
      </c>
      <c r="J1528" s="436" t="s">
        <v>1742</v>
      </c>
      <c r="K1528" s="448">
        <v>97.6</v>
      </c>
    </row>
    <row r="1529" customHeight="1" spans="1:11">
      <c r="A1529" s="437"/>
      <c r="B1529" s="437"/>
      <c r="C1529" s="437"/>
      <c r="D1529" s="437"/>
      <c r="E1529" s="437"/>
      <c r="F1529" s="437"/>
      <c r="G1529" s="437"/>
      <c r="H1529" s="437"/>
      <c r="I1529" s="437"/>
      <c r="J1529" s="437"/>
      <c r="K1529" s="437"/>
    </row>
    <row r="1530" customHeight="1" spans="1:11">
      <c r="A1530" s="423" t="s">
        <v>493</v>
      </c>
      <c r="B1530" s="424" t="s">
        <v>1714</v>
      </c>
      <c r="C1530" s="423" t="s">
        <v>1715</v>
      </c>
      <c r="D1530" s="423" t="s">
        <v>1716</v>
      </c>
      <c r="E1530" s="423" t="s">
        <v>1717</v>
      </c>
      <c r="F1530" s="423"/>
      <c r="G1530" s="425" t="s">
        <v>1718</v>
      </c>
      <c r="H1530" s="424" t="s">
        <v>1719</v>
      </c>
      <c r="I1530" s="424" t="s">
        <v>1720</v>
      </c>
      <c r="J1530" s="424" t="s">
        <v>1721</v>
      </c>
      <c r="K1530" s="424" t="s">
        <v>1722</v>
      </c>
    </row>
    <row r="1531" customHeight="1" spans="1:11">
      <c r="A1531" s="426" t="s">
        <v>1723</v>
      </c>
      <c r="B1531" s="427" t="s">
        <v>494</v>
      </c>
      <c r="C1531" s="426" t="s">
        <v>71</v>
      </c>
      <c r="D1531" s="426" t="s">
        <v>495</v>
      </c>
      <c r="E1531" s="426" t="s">
        <v>1691</v>
      </c>
      <c r="F1531" s="426"/>
      <c r="G1531" s="428" t="s">
        <v>105</v>
      </c>
      <c r="H1531" s="429">
        <v>1</v>
      </c>
      <c r="I1531" s="445"/>
      <c r="J1531" s="445">
        <v>78.48</v>
      </c>
      <c r="K1531" s="445">
        <v>78.48</v>
      </c>
    </row>
    <row r="1532" customHeight="1" spans="1:11">
      <c r="A1532" s="430" t="s">
        <v>1724</v>
      </c>
      <c r="B1532" s="431" t="s">
        <v>1854</v>
      </c>
      <c r="C1532" s="430" t="s">
        <v>71</v>
      </c>
      <c r="D1532" s="430" t="s">
        <v>1855</v>
      </c>
      <c r="E1532" s="430" t="s">
        <v>1708</v>
      </c>
      <c r="F1532" s="430"/>
      <c r="G1532" s="432" t="s">
        <v>82</v>
      </c>
      <c r="H1532" s="433">
        <v>0.2212</v>
      </c>
      <c r="I1532" s="433">
        <v>0</v>
      </c>
      <c r="J1532" s="446">
        <v>35.55</v>
      </c>
      <c r="K1532" s="446">
        <v>7.86</v>
      </c>
    </row>
    <row r="1533" customHeight="1" spans="1:11">
      <c r="A1533" s="430" t="s">
        <v>1724</v>
      </c>
      <c r="B1533" s="431" t="s">
        <v>1859</v>
      </c>
      <c r="C1533" s="430" t="s">
        <v>71</v>
      </c>
      <c r="D1533" s="430" t="s">
        <v>1860</v>
      </c>
      <c r="E1533" s="430" t="s">
        <v>1708</v>
      </c>
      <c r="F1533" s="430"/>
      <c r="G1533" s="432" t="s">
        <v>82</v>
      </c>
      <c r="H1533" s="433">
        <v>0.2212</v>
      </c>
      <c r="I1533" s="433">
        <v>0</v>
      </c>
      <c r="J1533" s="446">
        <v>29.54</v>
      </c>
      <c r="K1533" s="446">
        <v>6.53</v>
      </c>
    </row>
    <row r="1534" customHeight="1" spans="1:11">
      <c r="A1534" s="438" t="s">
        <v>1750</v>
      </c>
      <c r="B1534" s="439" t="s">
        <v>2319</v>
      </c>
      <c r="C1534" s="438" t="s">
        <v>71</v>
      </c>
      <c r="D1534" s="438" t="s">
        <v>2320</v>
      </c>
      <c r="E1534" s="438" t="s">
        <v>1631</v>
      </c>
      <c r="F1534" s="438"/>
      <c r="G1534" s="440" t="s">
        <v>105</v>
      </c>
      <c r="H1534" s="441">
        <v>0.0106</v>
      </c>
      <c r="I1534" s="441">
        <v>0</v>
      </c>
      <c r="J1534" s="449">
        <v>13.46</v>
      </c>
      <c r="K1534" s="449">
        <v>0.14</v>
      </c>
    </row>
    <row r="1535" customHeight="1" spans="1:11">
      <c r="A1535" s="438" t="s">
        <v>1750</v>
      </c>
      <c r="B1535" s="439" t="s">
        <v>2350</v>
      </c>
      <c r="C1535" s="438" t="s">
        <v>71</v>
      </c>
      <c r="D1535" s="438" t="s">
        <v>2351</v>
      </c>
      <c r="E1535" s="438" t="s">
        <v>1631</v>
      </c>
      <c r="F1535" s="438"/>
      <c r="G1535" s="440" t="s">
        <v>105</v>
      </c>
      <c r="H1535" s="441">
        <v>1</v>
      </c>
      <c r="I1535" s="441">
        <v>0</v>
      </c>
      <c r="J1535" s="449">
        <v>63.95</v>
      </c>
      <c r="K1535" s="449">
        <v>63.95</v>
      </c>
    </row>
    <row r="1536" customHeight="1" spans="1:11">
      <c r="A1536" s="434"/>
      <c r="B1536" s="434"/>
      <c r="C1536" s="434"/>
      <c r="D1536" s="434"/>
      <c r="E1536" s="434"/>
      <c r="F1536" s="434" t="s">
        <v>1735</v>
      </c>
      <c r="G1536" s="435">
        <v>5.37</v>
      </c>
      <c r="H1536" s="434" t="s">
        <v>1736</v>
      </c>
      <c r="I1536" s="435">
        <v>4.88</v>
      </c>
      <c r="J1536" s="434" t="s">
        <v>1737</v>
      </c>
      <c r="K1536" s="435">
        <v>10.25</v>
      </c>
    </row>
    <row r="1537" customHeight="1" spans="1:11">
      <c r="A1537" s="434"/>
      <c r="B1537" s="434"/>
      <c r="C1537" s="434"/>
      <c r="D1537" s="434"/>
      <c r="E1537" s="434"/>
      <c r="F1537" s="434" t="s">
        <v>1738</v>
      </c>
      <c r="G1537" s="435">
        <v>19.35</v>
      </c>
      <c r="H1537" s="434"/>
      <c r="I1537" s="434" t="s">
        <v>1739</v>
      </c>
      <c r="J1537" s="434"/>
      <c r="K1537" s="435">
        <v>97.83</v>
      </c>
    </row>
    <row r="1538" customHeight="1" spans="1:11">
      <c r="A1538" s="436"/>
      <c r="B1538" s="436"/>
      <c r="C1538" s="436"/>
      <c r="D1538" s="436"/>
      <c r="E1538" s="436"/>
      <c r="F1538" s="436"/>
      <c r="G1538" s="436"/>
      <c r="H1538" s="436" t="s">
        <v>1740</v>
      </c>
      <c r="I1538" s="447" t="s">
        <v>2352</v>
      </c>
      <c r="J1538" s="436" t="s">
        <v>1742</v>
      </c>
      <c r="K1538" s="448">
        <v>1858.77</v>
      </c>
    </row>
    <row r="1539" customHeight="1" spans="1:11">
      <c r="A1539" s="437"/>
      <c r="B1539" s="437"/>
      <c r="C1539" s="437"/>
      <c r="D1539" s="437"/>
      <c r="E1539" s="437"/>
      <c r="F1539" s="437"/>
      <c r="G1539" s="437"/>
      <c r="H1539" s="437"/>
      <c r="I1539" s="437"/>
      <c r="J1539" s="437"/>
      <c r="K1539" s="437"/>
    </row>
    <row r="1540" customHeight="1" spans="1:11">
      <c r="A1540" s="423" t="s">
        <v>496</v>
      </c>
      <c r="B1540" s="424" t="s">
        <v>1714</v>
      </c>
      <c r="C1540" s="423" t="s">
        <v>1715</v>
      </c>
      <c r="D1540" s="423" t="s">
        <v>1716</v>
      </c>
      <c r="E1540" s="423" t="s">
        <v>1717</v>
      </c>
      <c r="F1540" s="423"/>
      <c r="G1540" s="425" t="s">
        <v>1718</v>
      </c>
      <c r="H1540" s="424" t="s">
        <v>1719</v>
      </c>
      <c r="I1540" s="424" t="s">
        <v>1720</v>
      </c>
      <c r="J1540" s="424" t="s">
        <v>1721</v>
      </c>
      <c r="K1540" s="424" t="s">
        <v>1722</v>
      </c>
    </row>
    <row r="1541" customHeight="1" spans="1:11">
      <c r="A1541" s="426" t="s">
        <v>1723</v>
      </c>
      <c r="B1541" s="427" t="s">
        <v>497</v>
      </c>
      <c r="C1541" s="426" t="s">
        <v>71</v>
      </c>
      <c r="D1541" s="426" t="s">
        <v>498</v>
      </c>
      <c r="E1541" s="426" t="s">
        <v>1691</v>
      </c>
      <c r="F1541" s="426"/>
      <c r="G1541" s="428" t="s">
        <v>105</v>
      </c>
      <c r="H1541" s="429">
        <v>1</v>
      </c>
      <c r="I1541" s="445"/>
      <c r="J1541" s="445">
        <v>95.33</v>
      </c>
      <c r="K1541" s="445">
        <v>95.33</v>
      </c>
    </row>
    <row r="1542" customHeight="1" spans="1:11">
      <c r="A1542" s="430" t="s">
        <v>1724</v>
      </c>
      <c r="B1542" s="431" t="s">
        <v>1854</v>
      </c>
      <c r="C1542" s="430" t="s">
        <v>71</v>
      </c>
      <c r="D1542" s="430" t="s">
        <v>1855</v>
      </c>
      <c r="E1542" s="430" t="s">
        <v>1708</v>
      </c>
      <c r="F1542" s="430"/>
      <c r="G1542" s="432" t="s">
        <v>82</v>
      </c>
      <c r="H1542" s="433">
        <v>0.2595</v>
      </c>
      <c r="I1542" s="433">
        <v>0</v>
      </c>
      <c r="J1542" s="446">
        <v>35.55</v>
      </c>
      <c r="K1542" s="446">
        <v>9.22</v>
      </c>
    </row>
    <row r="1543" customHeight="1" spans="1:11">
      <c r="A1543" s="430" t="s">
        <v>1724</v>
      </c>
      <c r="B1543" s="431" t="s">
        <v>1859</v>
      </c>
      <c r="C1543" s="430" t="s">
        <v>71</v>
      </c>
      <c r="D1543" s="430" t="s">
        <v>1860</v>
      </c>
      <c r="E1543" s="430" t="s">
        <v>1708</v>
      </c>
      <c r="F1543" s="430"/>
      <c r="G1543" s="432" t="s">
        <v>82</v>
      </c>
      <c r="H1543" s="433">
        <v>0.2595</v>
      </c>
      <c r="I1543" s="433">
        <v>0</v>
      </c>
      <c r="J1543" s="446">
        <v>29.54</v>
      </c>
      <c r="K1543" s="446">
        <v>7.66</v>
      </c>
    </row>
    <row r="1544" customHeight="1" spans="1:11">
      <c r="A1544" s="438" t="s">
        <v>1750</v>
      </c>
      <c r="B1544" s="439" t="s">
        <v>2353</v>
      </c>
      <c r="C1544" s="438" t="s">
        <v>71</v>
      </c>
      <c r="D1544" s="438" t="s">
        <v>2354</v>
      </c>
      <c r="E1544" s="438" t="s">
        <v>1631</v>
      </c>
      <c r="F1544" s="438"/>
      <c r="G1544" s="440" t="s">
        <v>105</v>
      </c>
      <c r="H1544" s="441">
        <v>1</v>
      </c>
      <c r="I1544" s="441">
        <v>0</v>
      </c>
      <c r="J1544" s="449">
        <v>78.28</v>
      </c>
      <c r="K1544" s="449">
        <v>78.28</v>
      </c>
    </row>
    <row r="1545" customHeight="1" spans="1:11">
      <c r="A1545" s="438" t="s">
        <v>1750</v>
      </c>
      <c r="B1545" s="439" t="s">
        <v>2319</v>
      </c>
      <c r="C1545" s="438" t="s">
        <v>71</v>
      </c>
      <c r="D1545" s="438" t="s">
        <v>2320</v>
      </c>
      <c r="E1545" s="438" t="s">
        <v>1631</v>
      </c>
      <c r="F1545" s="438"/>
      <c r="G1545" s="440" t="s">
        <v>105</v>
      </c>
      <c r="H1545" s="441">
        <v>0.0132</v>
      </c>
      <c r="I1545" s="441">
        <v>0</v>
      </c>
      <c r="J1545" s="449">
        <v>13.46</v>
      </c>
      <c r="K1545" s="449">
        <v>0.17</v>
      </c>
    </row>
    <row r="1546" customHeight="1" spans="1:11">
      <c r="A1546" s="434"/>
      <c r="B1546" s="434"/>
      <c r="C1546" s="434"/>
      <c r="D1546" s="434"/>
      <c r="E1546" s="434"/>
      <c r="F1546" s="434" t="s">
        <v>1735</v>
      </c>
      <c r="G1546" s="435">
        <v>6.29</v>
      </c>
      <c r="H1546" s="434" t="s">
        <v>1736</v>
      </c>
      <c r="I1546" s="435">
        <v>5.73</v>
      </c>
      <c r="J1546" s="434" t="s">
        <v>1737</v>
      </c>
      <c r="K1546" s="435">
        <v>12.02</v>
      </c>
    </row>
    <row r="1547" customHeight="1" spans="1:11">
      <c r="A1547" s="434"/>
      <c r="B1547" s="434"/>
      <c r="C1547" s="434"/>
      <c r="D1547" s="434"/>
      <c r="E1547" s="434"/>
      <c r="F1547" s="434" t="s">
        <v>1738</v>
      </c>
      <c r="G1547" s="435">
        <v>23.5</v>
      </c>
      <c r="H1547" s="434"/>
      <c r="I1547" s="434" t="s">
        <v>1739</v>
      </c>
      <c r="J1547" s="434"/>
      <c r="K1547" s="435">
        <v>118.83</v>
      </c>
    </row>
    <row r="1548" customHeight="1" spans="1:11">
      <c r="A1548" s="436"/>
      <c r="B1548" s="436"/>
      <c r="C1548" s="436"/>
      <c r="D1548" s="436"/>
      <c r="E1548" s="436"/>
      <c r="F1548" s="436"/>
      <c r="G1548" s="436"/>
      <c r="H1548" s="436" t="s">
        <v>1740</v>
      </c>
      <c r="I1548" s="447" t="s">
        <v>2324</v>
      </c>
      <c r="J1548" s="436" t="s">
        <v>1742</v>
      </c>
      <c r="K1548" s="448">
        <v>475.32</v>
      </c>
    </row>
    <row r="1549" customHeight="1" spans="1:11">
      <c r="A1549" s="437"/>
      <c r="B1549" s="437"/>
      <c r="C1549" s="437"/>
      <c r="D1549" s="437"/>
      <c r="E1549" s="437"/>
      <c r="F1549" s="437"/>
      <c r="G1549" s="437"/>
      <c r="H1549" s="437"/>
      <c r="I1549" s="437"/>
      <c r="J1549" s="437"/>
      <c r="K1549" s="437"/>
    </row>
    <row r="1550" customHeight="1" spans="1:11">
      <c r="A1550" s="423" t="s">
        <v>499</v>
      </c>
      <c r="B1550" s="424" t="s">
        <v>1714</v>
      </c>
      <c r="C1550" s="423" t="s">
        <v>1715</v>
      </c>
      <c r="D1550" s="423" t="s">
        <v>1716</v>
      </c>
      <c r="E1550" s="423" t="s">
        <v>1717</v>
      </c>
      <c r="F1550" s="423"/>
      <c r="G1550" s="425" t="s">
        <v>1718</v>
      </c>
      <c r="H1550" s="424" t="s">
        <v>1719</v>
      </c>
      <c r="I1550" s="424" t="s">
        <v>1720</v>
      </c>
      <c r="J1550" s="424" t="s">
        <v>1721</v>
      </c>
      <c r="K1550" s="424" t="s">
        <v>1722</v>
      </c>
    </row>
    <row r="1551" customHeight="1" spans="1:11">
      <c r="A1551" s="426" t="s">
        <v>1723</v>
      </c>
      <c r="B1551" s="427" t="s">
        <v>500</v>
      </c>
      <c r="C1551" s="426" t="s">
        <v>71</v>
      </c>
      <c r="D1551" s="426" t="s">
        <v>501</v>
      </c>
      <c r="E1551" s="426" t="s">
        <v>1691</v>
      </c>
      <c r="F1551" s="426"/>
      <c r="G1551" s="428" t="s">
        <v>105</v>
      </c>
      <c r="H1551" s="429">
        <v>1</v>
      </c>
      <c r="I1551" s="445"/>
      <c r="J1551" s="445">
        <v>129.43</v>
      </c>
      <c r="K1551" s="445">
        <v>129.43</v>
      </c>
    </row>
    <row r="1552" customHeight="1" spans="1:11">
      <c r="A1552" s="430" t="s">
        <v>1724</v>
      </c>
      <c r="B1552" s="431" t="s">
        <v>1854</v>
      </c>
      <c r="C1552" s="430" t="s">
        <v>71</v>
      </c>
      <c r="D1552" s="430" t="s">
        <v>1855</v>
      </c>
      <c r="E1552" s="430" t="s">
        <v>1708</v>
      </c>
      <c r="F1552" s="430"/>
      <c r="G1552" s="432" t="s">
        <v>82</v>
      </c>
      <c r="H1552" s="433">
        <v>0.3131</v>
      </c>
      <c r="I1552" s="433">
        <v>0</v>
      </c>
      <c r="J1552" s="446">
        <v>35.55</v>
      </c>
      <c r="K1552" s="446">
        <v>11.13</v>
      </c>
    </row>
    <row r="1553" customHeight="1" spans="1:11">
      <c r="A1553" s="430" t="s">
        <v>1724</v>
      </c>
      <c r="B1553" s="431" t="s">
        <v>1859</v>
      </c>
      <c r="C1553" s="430" t="s">
        <v>71</v>
      </c>
      <c r="D1553" s="430" t="s">
        <v>1860</v>
      </c>
      <c r="E1553" s="430" t="s">
        <v>1708</v>
      </c>
      <c r="F1553" s="430"/>
      <c r="G1553" s="432" t="s">
        <v>82</v>
      </c>
      <c r="H1553" s="433">
        <v>0.3131</v>
      </c>
      <c r="I1553" s="433">
        <v>0</v>
      </c>
      <c r="J1553" s="446">
        <v>29.54</v>
      </c>
      <c r="K1553" s="446">
        <v>9.24</v>
      </c>
    </row>
    <row r="1554" customHeight="1" spans="1:11">
      <c r="A1554" s="438" t="s">
        <v>1750</v>
      </c>
      <c r="B1554" s="439" t="s">
        <v>2319</v>
      </c>
      <c r="C1554" s="438" t="s">
        <v>71</v>
      </c>
      <c r="D1554" s="438" t="s">
        <v>2320</v>
      </c>
      <c r="E1554" s="438" t="s">
        <v>1631</v>
      </c>
      <c r="F1554" s="438"/>
      <c r="G1554" s="440" t="s">
        <v>105</v>
      </c>
      <c r="H1554" s="441">
        <v>0.0168</v>
      </c>
      <c r="I1554" s="441">
        <v>0</v>
      </c>
      <c r="J1554" s="449">
        <v>13.46</v>
      </c>
      <c r="K1554" s="449">
        <v>0.22</v>
      </c>
    </row>
    <row r="1555" customHeight="1" spans="1:11">
      <c r="A1555" s="438" t="s">
        <v>1750</v>
      </c>
      <c r="B1555" s="439" t="s">
        <v>2355</v>
      </c>
      <c r="C1555" s="438" t="s">
        <v>71</v>
      </c>
      <c r="D1555" s="438" t="s">
        <v>2356</v>
      </c>
      <c r="E1555" s="438" t="s">
        <v>1631</v>
      </c>
      <c r="F1555" s="438"/>
      <c r="G1555" s="440" t="s">
        <v>105</v>
      </c>
      <c r="H1555" s="441">
        <v>1</v>
      </c>
      <c r="I1555" s="441">
        <v>0</v>
      </c>
      <c r="J1555" s="449">
        <v>108.84</v>
      </c>
      <c r="K1555" s="449">
        <v>108.84</v>
      </c>
    </row>
    <row r="1556" customHeight="1" spans="1:11">
      <c r="A1556" s="434"/>
      <c r="B1556" s="434"/>
      <c r="C1556" s="434"/>
      <c r="D1556" s="434"/>
      <c r="E1556" s="434"/>
      <c r="F1556" s="434" t="s">
        <v>1735</v>
      </c>
      <c r="G1556" s="435">
        <v>7.59</v>
      </c>
      <c r="H1556" s="434" t="s">
        <v>1736</v>
      </c>
      <c r="I1556" s="435">
        <v>6.91</v>
      </c>
      <c r="J1556" s="434" t="s">
        <v>1737</v>
      </c>
      <c r="K1556" s="435">
        <v>14.5</v>
      </c>
    </row>
    <row r="1557" customHeight="1" spans="1:11">
      <c r="A1557" s="434"/>
      <c r="B1557" s="434"/>
      <c r="C1557" s="434"/>
      <c r="D1557" s="434"/>
      <c r="E1557" s="434"/>
      <c r="F1557" s="434" t="s">
        <v>1738</v>
      </c>
      <c r="G1557" s="435">
        <v>31.91</v>
      </c>
      <c r="H1557" s="434"/>
      <c r="I1557" s="434" t="s">
        <v>1739</v>
      </c>
      <c r="J1557" s="434"/>
      <c r="K1557" s="435">
        <v>161.34</v>
      </c>
    </row>
    <row r="1558" customHeight="1" spans="1:11">
      <c r="A1558" s="436"/>
      <c r="B1558" s="436"/>
      <c r="C1558" s="436"/>
      <c r="D1558" s="436"/>
      <c r="E1558" s="436"/>
      <c r="F1558" s="436"/>
      <c r="G1558" s="436"/>
      <c r="H1558" s="436" t="s">
        <v>1740</v>
      </c>
      <c r="I1558" s="447" t="s">
        <v>1971</v>
      </c>
      <c r="J1558" s="436" t="s">
        <v>1742</v>
      </c>
      <c r="K1558" s="448">
        <v>322.68</v>
      </c>
    </row>
    <row r="1559" customHeight="1" spans="1:11">
      <c r="A1559" s="437"/>
      <c r="B1559" s="437"/>
      <c r="C1559" s="437"/>
      <c r="D1559" s="437"/>
      <c r="E1559" s="437"/>
      <c r="F1559" s="437"/>
      <c r="G1559" s="437"/>
      <c r="H1559" s="437"/>
      <c r="I1559" s="437"/>
      <c r="J1559" s="437"/>
      <c r="K1559" s="437"/>
    </row>
    <row r="1560" customHeight="1" spans="1:11">
      <c r="A1560" s="423" t="s">
        <v>502</v>
      </c>
      <c r="B1560" s="424" t="s">
        <v>1714</v>
      </c>
      <c r="C1560" s="423" t="s">
        <v>1715</v>
      </c>
      <c r="D1560" s="423" t="s">
        <v>1716</v>
      </c>
      <c r="E1560" s="423" t="s">
        <v>1717</v>
      </c>
      <c r="F1560" s="423"/>
      <c r="G1560" s="425" t="s">
        <v>1718</v>
      </c>
      <c r="H1560" s="424" t="s">
        <v>1719</v>
      </c>
      <c r="I1560" s="424" t="s">
        <v>1720</v>
      </c>
      <c r="J1560" s="424" t="s">
        <v>1721</v>
      </c>
      <c r="K1560" s="424" t="s">
        <v>1722</v>
      </c>
    </row>
    <row r="1561" customHeight="1" spans="1:11">
      <c r="A1561" s="426" t="s">
        <v>1723</v>
      </c>
      <c r="B1561" s="427" t="s">
        <v>503</v>
      </c>
      <c r="C1561" s="426" t="s">
        <v>71</v>
      </c>
      <c r="D1561" s="426" t="s">
        <v>504</v>
      </c>
      <c r="E1561" s="426" t="s">
        <v>1688</v>
      </c>
      <c r="F1561" s="426"/>
      <c r="G1561" s="428" t="s">
        <v>105</v>
      </c>
      <c r="H1561" s="429">
        <v>1</v>
      </c>
      <c r="I1561" s="445"/>
      <c r="J1561" s="445">
        <v>1166.89</v>
      </c>
      <c r="K1561" s="445">
        <v>1166.89</v>
      </c>
    </row>
    <row r="1562" customHeight="1" spans="1:11">
      <c r="A1562" s="430" t="s">
        <v>1724</v>
      </c>
      <c r="B1562" s="431" t="s">
        <v>1859</v>
      </c>
      <c r="C1562" s="430" t="s">
        <v>71</v>
      </c>
      <c r="D1562" s="430" t="s">
        <v>1860</v>
      </c>
      <c r="E1562" s="430" t="s">
        <v>1708</v>
      </c>
      <c r="F1562" s="430"/>
      <c r="G1562" s="432" t="s">
        <v>82</v>
      </c>
      <c r="H1562" s="433">
        <v>0.2686</v>
      </c>
      <c r="I1562" s="433">
        <v>0</v>
      </c>
      <c r="J1562" s="446">
        <v>29.54</v>
      </c>
      <c r="K1562" s="446">
        <v>7.93</v>
      </c>
    </row>
    <row r="1563" customHeight="1" spans="1:11">
      <c r="A1563" s="430" t="s">
        <v>1724</v>
      </c>
      <c r="B1563" s="431" t="s">
        <v>1854</v>
      </c>
      <c r="C1563" s="430" t="s">
        <v>71</v>
      </c>
      <c r="D1563" s="430" t="s">
        <v>1855</v>
      </c>
      <c r="E1563" s="430" t="s">
        <v>1708</v>
      </c>
      <c r="F1563" s="430"/>
      <c r="G1563" s="432" t="s">
        <v>82</v>
      </c>
      <c r="H1563" s="433">
        <v>0.2686</v>
      </c>
      <c r="I1563" s="433">
        <v>0</v>
      </c>
      <c r="J1563" s="446">
        <v>35.55</v>
      </c>
      <c r="K1563" s="446">
        <v>9.54</v>
      </c>
    </row>
    <row r="1564" customHeight="1" spans="1:11">
      <c r="A1564" s="438" t="s">
        <v>1750</v>
      </c>
      <c r="B1564" s="439" t="s">
        <v>2357</v>
      </c>
      <c r="C1564" s="438" t="s">
        <v>71</v>
      </c>
      <c r="D1564" s="438" t="s">
        <v>2358</v>
      </c>
      <c r="E1564" s="438" t="s">
        <v>1631</v>
      </c>
      <c r="F1564" s="438"/>
      <c r="G1564" s="440" t="s">
        <v>105</v>
      </c>
      <c r="H1564" s="441">
        <v>1</v>
      </c>
      <c r="I1564" s="441">
        <v>0</v>
      </c>
      <c r="J1564" s="449">
        <v>1149.42</v>
      </c>
      <c r="K1564" s="449">
        <v>1149.42</v>
      </c>
    </row>
    <row r="1565" customHeight="1" spans="1:11">
      <c r="A1565" s="434"/>
      <c r="B1565" s="434"/>
      <c r="C1565" s="434"/>
      <c r="D1565" s="434"/>
      <c r="E1565" s="434"/>
      <c r="F1565" s="434" t="s">
        <v>1735</v>
      </c>
      <c r="G1565" s="435">
        <v>6.51</v>
      </c>
      <c r="H1565" s="434" t="s">
        <v>1736</v>
      </c>
      <c r="I1565" s="435">
        <v>5.93</v>
      </c>
      <c r="J1565" s="434" t="s">
        <v>1737</v>
      </c>
      <c r="K1565" s="435">
        <v>12.44</v>
      </c>
    </row>
    <row r="1566" customHeight="1" spans="1:11">
      <c r="A1566" s="434"/>
      <c r="B1566" s="434"/>
      <c r="C1566" s="434"/>
      <c r="D1566" s="434"/>
      <c r="E1566" s="434"/>
      <c r="F1566" s="434" t="s">
        <v>1738</v>
      </c>
      <c r="G1566" s="435">
        <v>287.75</v>
      </c>
      <c r="H1566" s="434"/>
      <c r="I1566" s="434" t="s">
        <v>1739</v>
      </c>
      <c r="J1566" s="434"/>
      <c r="K1566" s="435">
        <v>1454.64</v>
      </c>
    </row>
    <row r="1567" customHeight="1" spans="1:11">
      <c r="A1567" s="436"/>
      <c r="B1567" s="436"/>
      <c r="C1567" s="436"/>
      <c r="D1567" s="436"/>
      <c r="E1567" s="436"/>
      <c r="F1567" s="436"/>
      <c r="G1567" s="436"/>
      <c r="H1567" s="436" t="s">
        <v>1740</v>
      </c>
      <c r="I1567" s="447" t="s">
        <v>1971</v>
      </c>
      <c r="J1567" s="436" t="s">
        <v>1742</v>
      </c>
      <c r="K1567" s="448">
        <v>2909.28</v>
      </c>
    </row>
    <row r="1568" customHeight="1" spans="1:11">
      <c r="A1568" s="437"/>
      <c r="B1568" s="437"/>
      <c r="C1568" s="437"/>
      <c r="D1568" s="437"/>
      <c r="E1568" s="437"/>
      <c r="F1568" s="437"/>
      <c r="G1568" s="437"/>
      <c r="H1568" s="437"/>
      <c r="I1568" s="437"/>
      <c r="J1568" s="437"/>
      <c r="K1568" s="437"/>
    </row>
    <row r="1569" customHeight="1" spans="1:11">
      <c r="A1569" s="423" t="s">
        <v>505</v>
      </c>
      <c r="B1569" s="424" t="s">
        <v>1714</v>
      </c>
      <c r="C1569" s="423" t="s">
        <v>1715</v>
      </c>
      <c r="D1569" s="423" t="s">
        <v>1716</v>
      </c>
      <c r="E1569" s="423" t="s">
        <v>1717</v>
      </c>
      <c r="F1569" s="423"/>
      <c r="G1569" s="425" t="s">
        <v>1718</v>
      </c>
      <c r="H1569" s="424" t="s">
        <v>1719</v>
      </c>
      <c r="I1569" s="424" t="s">
        <v>1720</v>
      </c>
      <c r="J1569" s="424" t="s">
        <v>1721</v>
      </c>
      <c r="K1569" s="424" t="s">
        <v>1722</v>
      </c>
    </row>
    <row r="1570" customHeight="1" spans="1:11">
      <c r="A1570" s="426" t="s">
        <v>1723</v>
      </c>
      <c r="B1570" s="427" t="s">
        <v>506</v>
      </c>
      <c r="C1570" s="426" t="s">
        <v>65</v>
      </c>
      <c r="D1570" s="426" t="s">
        <v>507</v>
      </c>
      <c r="E1570" s="426" t="s">
        <v>62</v>
      </c>
      <c r="F1570" s="426"/>
      <c r="G1570" s="428" t="s">
        <v>67</v>
      </c>
      <c r="H1570" s="429">
        <v>1</v>
      </c>
      <c r="I1570" s="445"/>
      <c r="J1570" s="445">
        <v>52.05</v>
      </c>
      <c r="K1570" s="445">
        <v>52.05</v>
      </c>
    </row>
    <row r="1571" customHeight="1" spans="1:11">
      <c r="A1571" s="430" t="s">
        <v>1724</v>
      </c>
      <c r="B1571" s="431" t="s">
        <v>1854</v>
      </c>
      <c r="C1571" s="430" t="s">
        <v>71</v>
      </c>
      <c r="D1571" s="430" t="s">
        <v>1855</v>
      </c>
      <c r="E1571" s="430" t="s">
        <v>1708</v>
      </c>
      <c r="F1571" s="430"/>
      <c r="G1571" s="432" t="s">
        <v>82</v>
      </c>
      <c r="H1571" s="433">
        <v>0.12</v>
      </c>
      <c r="I1571" s="433">
        <v>0</v>
      </c>
      <c r="J1571" s="446">
        <v>35.55</v>
      </c>
      <c r="K1571" s="446">
        <v>4.26</v>
      </c>
    </row>
    <row r="1572" customHeight="1" spans="1:11">
      <c r="A1572" s="430" t="s">
        <v>1724</v>
      </c>
      <c r="B1572" s="431" t="s">
        <v>1745</v>
      </c>
      <c r="C1572" s="430" t="s">
        <v>71</v>
      </c>
      <c r="D1572" s="430" t="s">
        <v>1746</v>
      </c>
      <c r="E1572" s="430" t="s">
        <v>1708</v>
      </c>
      <c r="F1572" s="430"/>
      <c r="G1572" s="432" t="s">
        <v>82</v>
      </c>
      <c r="H1572" s="433">
        <v>0.04</v>
      </c>
      <c r="I1572" s="433">
        <v>0</v>
      </c>
      <c r="J1572" s="446">
        <v>29.15</v>
      </c>
      <c r="K1572" s="446">
        <v>1.16</v>
      </c>
    </row>
    <row r="1573" customHeight="1" spans="1:11">
      <c r="A1573" s="438" t="s">
        <v>1750</v>
      </c>
      <c r="B1573" s="439" t="s">
        <v>2359</v>
      </c>
      <c r="C1573" s="438" t="s">
        <v>71</v>
      </c>
      <c r="D1573" s="438" t="s">
        <v>2360</v>
      </c>
      <c r="E1573" s="438" t="s">
        <v>1631</v>
      </c>
      <c r="F1573" s="438"/>
      <c r="G1573" s="440" t="s">
        <v>105</v>
      </c>
      <c r="H1573" s="441">
        <v>1</v>
      </c>
      <c r="I1573" s="441">
        <v>0</v>
      </c>
      <c r="J1573" s="449">
        <v>46.52</v>
      </c>
      <c r="K1573" s="449">
        <v>46.52</v>
      </c>
    </row>
    <row r="1574" customHeight="1" spans="1:11">
      <c r="A1574" s="438" t="s">
        <v>1750</v>
      </c>
      <c r="B1574" s="439" t="s">
        <v>2361</v>
      </c>
      <c r="C1574" s="438" t="s">
        <v>71</v>
      </c>
      <c r="D1574" s="438" t="s">
        <v>2362</v>
      </c>
      <c r="E1574" s="438" t="s">
        <v>1631</v>
      </c>
      <c r="F1574" s="438"/>
      <c r="G1574" s="440" t="s">
        <v>105</v>
      </c>
      <c r="H1574" s="441">
        <v>0.0304</v>
      </c>
      <c r="I1574" s="441">
        <v>0</v>
      </c>
      <c r="J1574" s="449">
        <v>3.65</v>
      </c>
      <c r="K1574" s="449">
        <v>0.11</v>
      </c>
    </row>
    <row r="1575" customHeight="1" spans="1:11">
      <c r="A1575" s="434"/>
      <c r="B1575" s="434"/>
      <c r="C1575" s="434"/>
      <c r="D1575" s="434"/>
      <c r="E1575" s="434"/>
      <c r="F1575" s="434" t="s">
        <v>1735</v>
      </c>
      <c r="G1575" s="435">
        <v>2.04</v>
      </c>
      <c r="H1575" s="434" t="s">
        <v>1736</v>
      </c>
      <c r="I1575" s="435">
        <v>1.86</v>
      </c>
      <c r="J1575" s="434" t="s">
        <v>1737</v>
      </c>
      <c r="K1575" s="435">
        <v>3.9</v>
      </c>
    </row>
    <row r="1576" customHeight="1" spans="1:11">
      <c r="A1576" s="434"/>
      <c r="B1576" s="434"/>
      <c r="C1576" s="434"/>
      <c r="D1576" s="434"/>
      <c r="E1576" s="434"/>
      <c r="F1576" s="434" t="s">
        <v>1738</v>
      </c>
      <c r="G1576" s="435">
        <v>12.83</v>
      </c>
      <c r="H1576" s="434"/>
      <c r="I1576" s="434" t="s">
        <v>1739</v>
      </c>
      <c r="J1576" s="434"/>
      <c r="K1576" s="435">
        <v>64.88</v>
      </c>
    </row>
    <row r="1577" customHeight="1" spans="1:11">
      <c r="A1577" s="436"/>
      <c r="B1577" s="436"/>
      <c r="C1577" s="436"/>
      <c r="D1577" s="436"/>
      <c r="E1577" s="436"/>
      <c r="F1577" s="436"/>
      <c r="G1577" s="436"/>
      <c r="H1577" s="436" t="s">
        <v>1740</v>
      </c>
      <c r="I1577" s="447" t="s">
        <v>2336</v>
      </c>
      <c r="J1577" s="436" t="s">
        <v>1742</v>
      </c>
      <c r="K1577" s="448">
        <v>519.04</v>
      </c>
    </row>
    <row r="1578" customHeight="1" spans="1:11">
      <c r="A1578" s="437"/>
      <c r="B1578" s="437"/>
      <c r="C1578" s="437"/>
      <c r="D1578" s="437"/>
      <c r="E1578" s="437"/>
      <c r="F1578" s="437"/>
      <c r="G1578" s="437"/>
      <c r="H1578" s="437"/>
      <c r="I1578" s="437"/>
      <c r="J1578" s="437"/>
      <c r="K1578" s="437"/>
    </row>
    <row r="1579" customHeight="1" spans="1:11">
      <c r="A1579" s="422" t="s">
        <v>508</v>
      </c>
      <c r="B1579" s="422"/>
      <c r="C1579" s="422"/>
      <c r="D1579" s="422" t="s">
        <v>509</v>
      </c>
      <c r="E1579" s="422"/>
      <c r="F1579" s="422"/>
      <c r="G1579" s="422"/>
      <c r="H1579" s="422"/>
      <c r="I1579" s="443"/>
      <c r="J1579" s="422"/>
      <c r="K1579" s="444">
        <v>5943.7</v>
      </c>
    </row>
    <row r="1580" customHeight="1" spans="1:11">
      <c r="A1580" s="423" t="s">
        <v>510</v>
      </c>
      <c r="B1580" s="424" t="s">
        <v>1714</v>
      </c>
      <c r="C1580" s="423" t="s">
        <v>1715</v>
      </c>
      <c r="D1580" s="423" t="s">
        <v>1716</v>
      </c>
      <c r="E1580" s="423" t="s">
        <v>1717</v>
      </c>
      <c r="F1580" s="423"/>
      <c r="G1580" s="425" t="s">
        <v>1718</v>
      </c>
      <c r="H1580" s="424" t="s">
        <v>1719</v>
      </c>
      <c r="I1580" s="424" t="s">
        <v>1720</v>
      </c>
      <c r="J1580" s="424" t="s">
        <v>1721</v>
      </c>
      <c r="K1580" s="424" t="s">
        <v>1722</v>
      </c>
    </row>
    <row r="1581" customHeight="1" spans="1:11">
      <c r="A1581" s="426" t="s">
        <v>1723</v>
      </c>
      <c r="B1581" s="427" t="s">
        <v>511</v>
      </c>
      <c r="C1581" s="426" t="s">
        <v>512</v>
      </c>
      <c r="D1581" s="426" t="s">
        <v>513</v>
      </c>
      <c r="E1581" s="426" t="s">
        <v>1696</v>
      </c>
      <c r="F1581" s="426"/>
      <c r="G1581" s="428" t="s">
        <v>73</v>
      </c>
      <c r="H1581" s="429">
        <v>1</v>
      </c>
      <c r="I1581" s="445"/>
      <c r="J1581" s="445">
        <v>364.89</v>
      </c>
      <c r="K1581" s="445">
        <v>364.89</v>
      </c>
    </row>
    <row r="1582" customHeight="1" spans="1:11">
      <c r="A1582" s="430" t="s">
        <v>1724</v>
      </c>
      <c r="B1582" s="431" t="s">
        <v>2363</v>
      </c>
      <c r="C1582" s="430" t="s">
        <v>512</v>
      </c>
      <c r="D1582" s="430" t="s">
        <v>2364</v>
      </c>
      <c r="E1582" s="430" t="s">
        <v>1653</v>
      </c>
      <c r="F1582" s="430"/>
      <c r="G1582" s="432" t="s">
        <v>129</v>
      </c>
      <c r="H1582" s="433">
        <v>0.08</v>
      </c>
      <c r="I1582" s="433">
        <v>0</v>
      </c>
      <c r="J1582" s="446">
        <v>652.13</v>
      </c>
      <c r="K1582" s="446">
        <v>52.17</v>
      </c>
    </row>
    <row r="1583" customHeight="1" spans="1:11">
      <c r="A1583" s="438" t="s">
        <v>1750</v>
      </c>
      <c r="B1583" s="439" t="s">
        <v>2365</v>
      </c>
      <c r="C1583" s="438" t="s">
        <v>512</v>
      </c>
      <c r="D1583" s="438" t="s">
        <v>2366</v>
      </c>
      <c r="E1583" s="438" t="s">
        <v>1764</v>
      </c>
      <c r="F1583" s="438"/>
      <c r="G1583" s="440" t="s">
        <v>2367</v>
      </c>
      <c r="H1583" s="441">
        <v>2.3</v>
      </c>
      <c r="I1583" s="441">
        <v>0</v>
      </c>
      <c r="J1583" s="449">
        <v>33.83</v>
      </c>
      <c r="K1583" s="449">
        <v>77.8</v>
      </c>
    </row>
    <row r="1584" customHeight="1" spans="1:11">
      <c r="A1584" s="438" t="s">
        <v>1750</v>
      </c>
      <c r="B1584" s="439" t="s">
        <v>2368</v>
      </c>
      <c r="C1584" s="438" t="s">
        <v>512</v>
      </c>
      <c r="D1584" s="438" t="s">
        <v>2369</v>
      </c>
      <c r="E1584" s="438" t="s">
        <v>1631</v>
      </c>
      <c r="F1584" s="438"/>
      <c r="G1584" s="440" t="s">
        <v>67</v>
      </c>
      <c r="H1584" s="441">
        <v>160</v>
      </c>
      <c r="I1584" s="441">
        <v>0</v>
      </c>
      <c r="J1584" s="449">
        <v>1.1</v>
      </c>
      <c r="K1584" s="449">
        <v>176</v>
      </c>
    </row>
    <row r="1585" customHeight="1" spans="1:11">
      <c r="A1585" s="438" t="s">
        <v>1750</v>
      </c>
      <c r="B1585" s="439" t="s">
        <v>2370</v>
      </c>
      <c r="C1585" s="438" t="s">
        <v>512</v>
      </c>
      <c r="D1585" s="438" t="s">
        <v>2371</v>
      </c>
      <c r="E1585" s="438" t="s">
        <v>2372</v>
      </c>
      <c r="F1585" s="438"/>
      <c r="G1585" s="440" t="s">
        <v>1617</v>
      </c>
      <c r="H1585" s="441">
        <v>132.74</v>
      </c>
      <c r="I1585" s="441">
        <v>3</v>
      </c>
      <c r="J1585" s="449">
        <v>1</v>
      </c>
      <c r="K1585" s="449">
        <v>3.98</v>
      </c>
    </row>
    <row r="1586" customHeight="1" spans="1:11">
      <c r="A1586" s="438" t="s">
        <v>1750</v>
      </c>
      <c r="B1586" s="439" t="s">
        <v>2373</v>
      </c>
      <c r="C1586" s="438" t="s">
        <v>512</v>
      </c>
      <c r="D1586" s="438" t="s">
        <v>2374</v>
      </c>
      <c r="E1586" s="438" t="s">
        <v>1764</v>
      </c>
      <c r="F1586" s="438"/>
      <c r="G1586" s="440" t="s">
        <v>2367</v>
      </c>
      <c r="H1586" s="441">
        <v>2.3</v>
      </c>
      <c r="I1586" s="441">
        <v>0</v>
      </c>
      <c r="J1586" s="449">
        <v>23.89</v>
      </c>
      <c r="K1586" s="449">
        <v>54.94</v>
      </c>
    </row>
    <row r="1587" customHeight="1" spans="1:11">
      <c r="A1587" s="434"/>
      <c r="B1587" s="434"/>
      <c r="C1587" s="434"/>
      <c r="D1587" s="434"/>
      <c r="E1587" s="434"/>
      <c r="F1587" s="434" t="s">
        <v>1735</v>
      </c>
      <c r="G1587" s="435">
        <v>80.57</v>
      </c>
      <c r="H1587" s="434" t="s">
        <v>1736</v>
      </c>
      <c r="I1587" s="435">
        <v>73.19</v>
      </c>
      <c r="J1587" s="434" t="s">
        <v>1737</v>
      </c>
      <c r="K1587" s="435">
        <v>153.76</v>
      </c>
    </row>
    <row r="1588" customHeight="1" spans="1:11">
      <c r="A1588" s="434"/>
      <c r="B1588" s="434"/>
      <c r="C1588" s="434"/>
      <c r="D1588" s="434"/>
      <c r="E1588" s="434"/>
      <c r="F1588" s="434" t="s">
        <v>1738</v>
      </c>
      <c r="G1588" s="435">
        <v>89.98</v>
      </c>
      <c r="H1588" s="434"/>
      <c r="I1588" s="434" t="s">
        <v>1739</v>
      </c>
      <c r="J1588" s="434"/>
      <c r="K1588" s="435">
        <v>454.87</v>
      </c>
    </row>
    <row r="1589" customHeight="1" spans="1:11">
      <c r="A1589" s="436"/>
      <c r="B1589" s="436"/>
      <c r="C1589" s="436"/>
      <c r="D1589" s="436"/>
      <c r="E1589" s="436"/>
      <c r="F1589" s="436"/>
      <c r="G1589" s="436"/>
      <c r="H1589" s="436" t="s">
        <v>1740</v>
      </c>
      <c r="I1589" s="447" t="s">
        <v>2375</v>
      </c>
      <c r="J1589" s="436" t="s">
        <v>1742</v>
      </c>
      <c r="K1589" s="448">
        <v>1637.53</v>
      </c>
    </row>
    <row r="1590" customHeight="1" spans="1:11">
      <c r="A1590" s="437"/>
      <c r="B1590" s="437"/>
      <c r="C1590" s="437"/>
      <c r="D1590" s="437"/>
      <c r="E1590" s="437"/>
      <c r="F1590" s="437"/>
      <c r="G1590" s="437"/>
      <c r="H1590" s="437"/>
      <c r="I1590" s="437"/>
      <c r="J1590" s="437"/>
      <c r="K1590" s="437"/>
    </row>
    <row r="1591" customHeight="1" spans="1:11">
      <c r="A1591" s="423" t="s">
        <v>514</v>
      </c>
      <c r="B1591" s="424" t="s">
        <v>1714</v>
      </c>
      <c r="C1591" s="423" t="s">
        <v>1715</v>
      </c>
      <c r="D1591" s="423" t="s">
        <v>1716</v>
      </c>
      <c r="E1591" s="423" t="s">
        <v>1717</v>
      </c>
      <c r="F1591" s="423"/>
      <c r="G1591" s="425" t="s">
        <v>1718</v>
      </c>
      <c r="H1591" s="424" t="s">
        <v>1719</v>
      </c>
      <c r="I1591" s="424" t="s">
        <v>1720</v>
      </c>
      <c r="J1591" s="424" t="s">
        <v>1721</v>
      </c>
      <c r="K1591" s="424" t="s">
        <v>1722</v>
      </c>
    </row>
    <row r="1592" customHeight="1" spans="1:11">
      <c r="A1592" s="426" t="s">
        <v>1723</v>
      </c>
      <c r="B1592" s="427" t="s">
        <v>515</v>
      </c>
      <c r="C1592" s="426" t="s">
        <v>76</v>
      </c>
      <c r="D1592" s="426" t="s">
        <v>516</v>
      </c>
      <c r="E1592" s="426">
        <v>6</v>
      </c>
      <c r="F1592" s="426"/>
      <c r="G1592" s="428" t="s">
        <v>105</v>
      </c>
      <c r="H1592" s="429">
        <v>1</v>
      </c>
      <c r="I1592" s="445"/>
      <c r="J1592" s="445">
        <v>348.35</v>
      </c>
      <c r="K1592" s="445">
        <v>348.35</v>
      </c>
    </row>
    <row r="1593" customHeight="1" spans="1:11">
      <c r="A1593" s="430" t="s">
        <v>1724</v>
      </c>
      <c r="B1593" s="431" t="s">
        <v>2376</v>
      </c>
      <c r="C1593" s="430" t="s">
        <v>76</v>
      </c>
      <c r="D1593" s="430" t="s">
        <v>2377</v>
      </c>
      <c r="E1593" s="430">
        <v>7</v>
      </c>
      <c r="F1593" s="430"/>
      <c r="G1593" s="432" t="s">
        <v>129</v>
      </c>
      <c r="H1593" s="433">
        <v>0.004</v>
      </c>
      <c r="I1593" s="433">
        <v>0</v>
      </c>
      <c r="J1593" s="446">
        <v>446.79</v>
      </c>
      <c r="K1593" s="446">
        <v>1.78</v>
      </c>
    </row>
    <row r="1594" customHeight="1" spans="1:11">
      <c r="A1594" s="438" t="s">
        <v>1750</v>
      </c>
      <c r="B1594" s="439" t="s">
        <v>2378</v>
      </c>
      <c r="C1594" s="438" t="s">
        <v>76</v>
      </c>
      <c r="D1594" s="438" t="s">
        <v>2379</v>
      </c>
      <c r="E1594" s="438" t="s">
        <v>1631</v>
      </c>
      <c r="F1594" s="438"/>
      <c r="G1594" s="440" t="s">
        <v>105</v>
      </c>
      <c r="H1594" s="441">
        <v>1</v>
      </c>
      <c r="I1594" s="441">
        <v>0</v>
      </c>
      <c r="J1594" s="449">
        <v>276</v>
      </c>
      <c r="K1594" s="449">
        <v>276</v>
      </c>
    </row>
    <row r="1595" customHeight="1" spans="1:11">
      <c r="A1595" s="438" t="s">
        <v>1750</v>
      </c>
      <c r="B1595" s="439" t="s">
        <v>2149</v>
      </c>
      <c r="C1595" s="438" t="s">
        <v>76</v>
      </c>
      <c r="D1595" s="438" t="s">
        <v>2150</v>
      </c>
      <c r="E1595" s="438" t="s">
        <v>1764</v>
      </c>
      <c r="F1595" s="438"/>
      <c r="G1595" s="440" t="s">
        <v>82</v>
      </c>
      <c r="H1595" s="441">
        <v>1.5</v>
      </c>
      <c r="I1595" s="441">
        <v>3</v>
      </c>
      <c r="J1595" s="449">
        <v>26.52</v>
      </c>
      <c r="K1595" s="449">
        <v>40.97</v>
      </c>
    </row>
    <row r="1596" customHeight="1" spans="1:11">
      <c r="A1596" s="438" t="s">
        <v>1750</v>
      </c>
      <c r="B1596" s="439" t="s">
        <v>1767</v>
      </c>
      <c r="C1596" s="438" t="s">
        <v>76</v>
      </c>
      <c r="D1596" s="438" t="s">
        <v>1768</v>
      </c>
      <c r="E1596" s="438" t="s">
        <v>1764</v>
      </c>
      <c r="F1596" s="438"/>
      <c r="G1596" s="440" t="s">
        <v>82</v>
      </c>
      <c r="H1596" s="441">
        <v>1.5</v>
      </c>
      <c r="I1596" s="441">
        <v>3</v>
      </c>
      <c r="J1596" s="449">
        <v>19.16</v>
      </c>
      <c r="K1596" s="449">
        <v>29.6</v>
      </c>
    </row>
    <row r="1597" customHeight="1" spans="1:11">
      <c r="A1597" s="434"/>
      <c r="B1597" s="434"/>
      <c r="C1597" s="434"/>
      <c r="D1597" s="434"/>
      <c r="E1597" s="434"/>
      <c r="F1597" s="434" t="s">
        <v>1735</v>
      </c>
      <c r="G1597" s="435">
        <v>37.12</v>
      </c>
      <c r="H1597" s="434" t="s">
        <v>1736</v>
      </c>
      <c r="I1597" s="435">
        <v>33.73</v>
      </c>
      <c r="J1597" s="434" t="s">
        <v>1737</v>
      </c>
      <c r="K1597" s="435">
        <v>70.85</v>
      </c>
    </row>
    <row r="1598" customHeight="1" spans="1:11">
      <c r="A1598" s="434"/>
      <c r="B1598" s="434"/>
      <c r="C1598" s="434"/>
      <c r="D1598" s="434"/>
      <c r="E1598" s="434"/>
      <c r="F1598" s="434" t="s">
        <v>1738</v>
      </c>
      <c r="G1598" s="435">
        <v>85.9</v>
      </c>
      <c r="H1598" s="434"/>
      <c r="I1598" s="434" t="s">
        <v>1739</v>
      </c>
      <c r="J1598" s="434"/>
      <c r="K1598" s="435">
        <v>434.25</v>
      </c>
    </row>
    <row r="1599" customHeight="1" spans="1:11">
      <c r="A1599" s="436"/>
      <c r="B1599" s="436"/>
      <c r="C1599" s="436"/>
      <c r="D1599" s="436"/>
      <c r="E1599" s="436"/>
      <c r="F1599" s="436"/>
      <c r="G1599" s="436"/>
      <c r="H1599" s="436" t="s">
        <v>1740</v>
      </c>
      <c r="I1599" s="447" t="s">
        <v>1759</v>
      </c>
      <c r="J1599" s="436" t="s">
        <v>1742</v>
      </c>
      <c r="K1599" s="448">
        <v>2605.5</v>
      </c>
    </row>
    <row r="1600" customHeight="1" spans="1:11">
      <c r="A1600" s="437"/>
      <c r="B1600" s="437"/>
      <c r="C1600" s="437"/>
      <c r="D1600" s="437"/>
      <c r="E1600" s="437"/>
      <c r="F1600" s="437"/>
      <c r="G1600" s="437"/>
      <c r="H1600" s="437"/>
      <c r="I1600" s="437"/>
      <c r="J1600" s="437"/>
      <c r="K1600" s="437"/>
    </row>
    <row r="1601" customHeight="1" spans="1:11">
      <c r="A1601" s="423"/>
      <c r="B1601" s="424" t="s">
        <v>1714</v>
      </c>
      <c r="C1601" s="423" t="s">
        <v>1715</v>
      </c>
      <c r="D1601" s="423" t="s">
        <v>1716</v>
      </c>
      <c r="E1601" s="423" t="s">
        <v>1717</v>
      </c>
      <c r="F1601" s="423"/>
      <c r="G1601" s="425" t="s">
        <v>1718</v>
      </c>
      <c r="H1601" s="424" t="s">
        <v>1719</v>
      </c>
      <c r="I1601" s="424" t="s">
        <v>1720</v>
      </c>
      <c r="J1601" s="424" t="s">
        <v>1721</v>
      </c>
      <c r="K1601" s="424" t="s">
        <v>1722</v>
      </c>
    </row>
    <row r="1602" customHeight="1" spans="1:11">
      <c r="A1602" s="450" t="s">
        <v>1750</v>
      </c>
      <c r="B1602" s="451" t="s">
        <v>518</v>
      </c>
      <c r="C1602" s="450" t="s">
        <v>76</v>
      </c>
      <c r="D1602" s="450" t="s">
        <v>519</v>
      </c>
      <c r="E1602" s="450" t="s">
        <v>1631</v>
      </c>
      <c r="F1602" s="450"/>
      <c r="G1602" s="452" t="s">
        <v>105</v>
      </c>
      <c r="H1602" s="453">
        <v>1</v>
      </c>
      <c r="I1602" s="454"/>
      <c r="J1602" s="454">
        <v>28.08</v>
      </c>
      <c r="K1602" s="454">
        <v>28.08</v>
      </c>
    </row>
    <row r="1603" customHeight="1" spans="1:11">
      <c r="A1603" s="434"/>
      <c r="B1603" s="434"/>
      <c r="C1603" s="434"/>
      <c r="D1603" s="434"/>
      <c r="E1603" s="434"/>
      <c r="F1603" s="434" t="s">
        <v>1735</v>
      </c>
      <c r="G1603" s="435">
        <v>0</v>
      </c>
      <c r="H1603" s="434" t="s">
        <v>1736</v>
      </c>
      <c r="I1603" s="435">
        <v>0</v>
      </c>
      <c r="J1603" s="434" t="s">
        <v>1737</v>
      </c>
      <c r="K1603" s="435">
        <v>0</v>
      </c>
    </row>
    <row r="1604" customHeight="1" spans="1:11">
      <c r="A1604" s="434"/>
      <c r="B1604" s="434"/>
      <c r="C1604" s="434"/>
      <c r="D1604" s="434"/>
      <c r="E1604" s="434"/>
      <c r="F1604" s="434" t="s">
        <v>1738</v>
      </c>
      <c r="G1604" s="435"/>
      <c r="H1604" s="434"/>
      <c r="I1604" s="434" t="s">
        <v>1739</v>
      </c>
      <c r="J1604" s="434"/>
      <c r="K1604" s="435">
        <v>35</v>
      </c>
    </row>
    <row r="1605" customHeight="1" spans="1:11">
      <c r="A1605" s="436"/>
      <c r="B1605" s="436"/>
      <c r="C1605" s="436"/>
      <c r="D1605" s="436"/>
      <c r="E1605" s="436"/>
      <c r="F1605" s="436"/>
      <c r="G1605" s="436"/>
      <c r="H1605" s="436" t="s">
        <v>1740</v>
      </c>
      <c r="I1605" s="447" t="s">
        <v>1759</v>
      </c>
      <c r="J1605" s="436" t="s">
        <v>1742</v>
      </c>
      <c r="K1605" s="448">
        <v>210</v>
      </c>
    </row>
    <row r="1606" customHeight="1" spans="1:11">
      <c r="A1606" s="437"/>
      <c r="B1606" s="437"/>
      <c r="C1606" s="437"/>
      <c r="D1606" s="437"/>
      <c r="E1606" s="437"/>
      <c r="F1606" s="437"/>
      <c r="G1606" s="437"/>
      <c r="H1606" s="437"/>
      <c r="I1606" s="437"/>
      <c r="J1606" s="437"/>
      <c r="K1606" s="437"/>
    </row>
    <row r="1607" customHeight="1" spans="1:11">
      <c r="A1607" s="423" t="s">
        <v>520</v>
      </c>
      <c r="B1607" s="424" t="s">
        <v>1714</v>
      </c>
      <c r="C1607" s="423" t="s">
        <v>1715</v>
      </c>
      <c r="D1607" s="423" t="s">
        <v>1716</v>
      </c>
      <c r="E1607" s="423" t="s">
        <v>1717</v>
      </c>
      <c r="F1607" s="423"/>
      <c r="G1607" s="425" t="s">
        <v>1718</v>
      </c>
      <c r="H1607" s="424" t="s">
        <v>1719</v>
      </c>
      <c r="I1607" s="424" t="s">
        <v>1720</v>
      </c>
      <c r="J1607" s="424" t="s">
        <v>1721</v>
      </c>
      <c r="K1607" s="424" t="s">
        <v>1722</v>
      </c>
    </row>
    <row r="1608" customHeight="1" spans="1:11">
      <c r="A1608" s="426" t="s">
        <v>1723</v>
      </c>
      <c r="B1608" s="427" t="s">
        <v>521</v>
      </c>
      <c r="C1608" s="426" t="s">
        <v>71</v>
      </c>
      <c r="D1608" s="426" t="s">
        <v>522</v>
      </c>
      <c r="E1608" s="426" t="s">
        <v>1691</v>
      </c>
      <c r="F1608" s="426"/>
      <c r="G1608" s="428" t="s">
        <v>105</v>
      </c>
      <c r="H1608" s="429">
        <v>1</v>
      </c>
      <c r="I1608" s="445"/>
      <c r="J1608" s="445">
        <v>33.51</v>
      </c>
      <c r="K1608" s="445">
        <v>33.51</v>
      </c>
    </row>
    <row r="1609" customHeight="1" spans="1:11">
      <c r="A1609" s="430" t="s">
        <v>1724</v>
      </c>
      <c r="B1609" s="431" t="s">
        <v>1854</v>
      </c>
      <c r="C1609" s="430" t="s">
        <v>71</v>
      </c>
      <c r="D1609" s="430" t="s">
        <v>1855</v>
      </c>
      <c r="E1609" s="430" t="s">
        <v>1708</v>
      </c>
      <c r="F1609" s="430"/>
      <c r="G1609" s="432" t="s">
        <v>82</v>
      </c>
      <c r="H1609" s="433">
        <v>0.1102</v>
      </c>
      <c r="I1609" s="433">
        <v>0</v>
      </c>
      <c r="J1609" s="446">
        <v>35.55</v>
      </c>
      <c r="K1609" s="446">
        <v>3.91</v>
      </c>
    </row>
    <row r="1610" customHeight="1" spans="1:11">
      <c r="A1610" s="430" t="s">
        <v>1724</v>
      </c>
      <c r="B1610" s="431" t="s">
        <v>1859</v>
      </c>
      <c r="C1610" s="430" t="s">
        <v>71</v>
      </c>
      <c r="D1610" s="430" t="s">
        <v>1860</v>
      </c>
      <c r="E1610" s="430" t="s">
        <v>1708</v>
      </c>
      <c r="F1610" s="430"/>
      <c r="G1610" s="432" t="s">
        <v>82</v>
      </c>
      <c r="H1610" s="433">
        <v>0.1102</v>
      </c>
      <c r="I1610" s="433">
        <v>0</v>
      </c>
      <c r="J1610" s="446">
        <v>29.54</v>
      </c>
      <c r="K1610" s="446">
        <v>3.25</v>
      </c>
    </row>
    <row r="1611" customHeight="1" spans="1:11">
      <c r="A1611" s="438" t="s">
        <v>1750</v>
      </c>
      <c r="B1611" s="439" t="s">
        <v>2380</v>
      </c>
      <c r="C1611" s="438" t="s">
        <v>71</v>
      </c>
      <c r="D1611" s="438" t="s">
        <v>2381</v>
      </c>
      <c r="E1611" s="438" t="s">
        <v>1631</v>
      </c>
      <c r="F1611" s="438"/>
      <c r="G1611" s="440" t="s">
        <v>105</v>
      </c>
      <c r="H1611" s="441">
        <v>1</v>
      </c>
      <c r="I1611" s="441">
        <v>0</v>
      </c>
      <c r="J1611" s="449">
        <v>26.21</v>
      </c>
      <c r="K1611" s="449">
        <v>26.21</v>
      </c>
    </row>
    <row r="1612" customHeight="1" spans="1:11">
      <c r="A1612" s="438" t="s">
        <v>1750</v>
      </c>
      <c r="B1612" s="439" t="s">
        <v>2319</v>
      </c>
      <c r="C1612" s="438" t="s">
        <v>71</v>
      </c>
      <c r="D1612" s="438" t="s">
        <v>2320</v>
      </c>
      <c r="E1612" s="438" t="s">
        <v>1631</v>
      </c>
      <c r="F1612" s="438"/>
      <c r="G1612" s="440" t="s">
        <v>105</v>
      </c>
      <c r="H1612" s="441">
        <v>0.0106</v>
      </c>
      <c r="I1612" s="441">
        <v>0</v>
      </c>
      <c r="J1612" s="449">
        <v>13.46</v>
      </c>
      <c r="K1612" s="449">
        <v>0.14</v>
      </c>
    </row>
    <row r="1613" customHeight="1" spans="1:11">
      <c r="A1613" s="434"/>
      <c r="B1613" s="434"/>
      <c r="C1613" s="434"/>
      <c r="D1613" s="434"/>
      <c r="E1613" s="434"/>
      <c r="F1613" s="434" t="s">
        <v>1735</v>
      </c>
      <c r="G1613" s="435">
        <v>2.67</v>
      </c>
      <c r="H1613" s="434" t="s">
        <v>1736</v>
      </c>
      <c r="I1613" s="435">
        <v>2.43</v>
      </c>
      <c r="J1613" s="434" t="s">
        <v>1737</v>
      </c>
      <c r="K1613" s="435">
        <v>5.1</v>
      </c>
    </row>
    <row r="1614" customHeight="1" spans="1:11">
      <c r="A1614" s="434"/>
      <c r="B1614" s="434"/>
      <c r="C1614" s="434"/>
      <c r="D1614" s="434"/>
      <c r="E1614" s="434"/>
      <c r="F1614" s="434" t="s">
        <v>1738</v>
      </c>
      <c r="G1614" s="435">
        <v>8.26</v>
      </c>
      <c r="H1614" s="434"/>
      <c r="I1614" s="434" t="s">
        <v>1739</v>
      </c>
      <c r="J1614" s="434"/>
      <c r="K1614" s="435">
        <v>41.77</v>
      </c>
    </row>
    <row r="1615" customHeight="1" spans="1:11">
      <c r="A1615" s="436"/>
      <c r="B1615" s="436"/>
      <c r="C1615" s="436"/>
      <c r="D1615" s="436"/>
      <c r="E1615" s="436"/>
      <c r="F1615" s="436"/>
      <c r="G1615" s="436"/>
      <c r="H1615" s="436" t="s">
        <v>1740</v>
      </c>
      <c r="I1615" s="447" t="s">
        <v>1759</v>
      </c>
      <c r="J1615" s="436" t="s">
        <v>1742</v>
      </c>
      <c r="K1615" s="448">
        <v>250.62</v>
      </c>
    </row>
    <row r="1616" customHeight="1" spans="1:11">
      <c r="A1616" s="437"/>
      <c r="B1616" s="437"/>
      <c r="C1616" s="437"/>
      <c r="D1616" s="437"/>
      <c r="E1616" s="437"/>
      <c r="F1616" s="437"/>
      <c r="G1616" s="437"/>
      <c r="H1616" s="437"/>
      <c r="I1616" s="437"/>
      <c r="J1616" s="437"/>
      <c r="K1616" s="437"/>
    </row>
    <row r="1617" customHeight="1" spans="1:11">
      <c r="A1617" s="423" t="s">
        <v>523</v>
      </c>
      <c r="B1617" s="424" t="s">
        <v>1714</v>
      </c>
      <c r="C1617" s="423" t="s">
        <v>1715</v>
      </c>
      <c r="D1617" s="423" t="s">
        <v>1716</v>
      </c>
      <c r="E1617" s="423" t="s">
        <v>1717</v>
      </c>
      <c r="F1617" s="423"/>
      <c r="G1617" s="425" t="s">
        <v>1718</v>
      </c>
      <c r="H1617" s="424" t="s">
        <v>1719</v>
      </c>
      <c r="I1617" s="424" t="s">
        <v>1720</v>
      </c>
      <c r="J1617" s="424" t="s">
        <v>1721</v>
      </c>
      <c r="K1617" s="424" t="s">
        <v>1722</v>
      </c>
    </row>
    <row r="1618" customHeight="1" spans="1:11">
      <c r="A1618" s="426" t="s">
        <v>1723</v>
      </c>
      <c r="B1618" s="427" t="s">
        <v>524</v>
      </c>
      <c r="C1618" s="426" t="s">
        <v>71</v>
      </c>
      <c r="D1618" s="426" t="s">
        <v>525</v>
      </c>
      <c r="E1618" s="426" t="s">
        <v>1659</v>
      </c>
      <c r="F1618" s="426"/>
      <c r="G1618" s="428" t="s">
        <v>105</v>
      </c>
      <c r="H1618" s="429">
        <v>1</v>
      </c>
      <c r="I1618" s="445"/>
      <c r="J1618" s="445">
        <v>7.46</v>
      </c>
      <c r="K1618" s="445">
        <v>7.46</v>
      </c>
    </row>
    <row r="1619" customHeight="1" spans="1:11">
      <c r="A1619" s="430" t="s">
        <v>1724</v>
      </c>
      <c r="B1619" s="431" t="s">
        <v>1859</v>
      </c>
      <c r="C1619" s="430" t="s">
        <v>71</v>
      </c>
      <c r="D1619" s="430" t="s">
        <v>1860</v>
      </c>
      <c r="E1619" s="430" t="s">
        <v>1708</v>
      </c>
      <c r="F1619" s="430"/>
      <c r="G1619" s="432" t="s">
        <v>82</v>
      </c>
      <c r="H1619" s="433">
        <v>0.0844</v>
      </c>
      <c r="I1619" s="433">
        <v>0</v>
      </c>
      <c r="J1619" s="446">
        <v>29.54</v>
      </c>
      <c r="K1619" s="446">
        <v>2.49</v>
      </c>
    </row>
    <row r="1620" customHeight="1" spans="1:11">
      <c r="A1620" s="430" t="s">
        <v>1724</v>
      </c>
      <c r="B1620" s="431" t="s">
        <v>1854</v>
      </c>
      <c r="C1620" s="430" t="s">
        <v>71</v>
      </c>
      <c r="D1620" s="430" t="s">
        <v>1855</v>
      </c>
      <c r="E1620" s="430" t="s">
        <v>1708</v>
      </c>
      <c r="F1620" s="430"/>
      <c r="G1620" s="432" t="s">
        <v>82</v>
      </c>
      <c r="H1620" s="433">
        <v>0.0844</v>
      </c>
      <c r="I1620" s="433">
        <v>0</v>
      </c>
      <c r="J1620" s="446">
        <v>35.55</v>
      </c>
      <c r="K1620" s="446">
        <v>3</v>
      </c>
    </row>
    <row r="1621" customHeight="1" spans="1:11">
      <c r="A1621" s="438" t="s">
        <v>1750</v>
      </c>
      <c r="B1621" s="439" t="s">
        <v>2284</v>
      </c>
      <c r="C1621" s="438" t="s">
        <v>71</v>
      </c>
      <c r="D1621" s="438" t="s">
        <v>2285</v>
      </c>
      <c r="E1621" s="438" t="s">
        <v>1631</v>
      </c>
      <c r="F1621" s="438"/>
      <c r="G1621" s="440" t="s">
        <v>105</v>
      </c>
      <c r="H1621" s="441">
        <v>0.0281</v>
      </c>
      <c r="I1621" s="441">
        <v>0</v>
      </c>
      <c r="J1621" s="449">
        <v>2.08</v>
      </c>
      <c r="K1621" s="449">
        <v>0.05</v>
      </c>
    </row>
    <row r="1622" customHeight="1" spans="1:11">
      <c r="A1622" s="438" t="s">
        <v>1750</v>
      </c>
      <c r="B1622" s="439" t="s">
        <v>2294</v>
      </c>
      <c r="C1622" s="438" t="s">
        <v>71</v>
      </c>
      <c r="D1622" s="438" t="s">
        <v>2295</v>
      </c>
      <c r="E1622" s="438" t="s">
        <v>1631</v>
      </c>
      <c r="F1622" s="438"/>
      <c r="G1622" s="440" t="s">
        <v>105</v>
      </c>
      <c r="H1622" s="441">
        <v>0.007</v>
      </c>
      <c r="I1622" s="441">
        <v>0</v>
      </c>
      <c r="J1622" s="449">
        <v>82.38</v>
      </c>
      <c r="K1622" s="449">
        <v>0.57</v>
      </c>
    </row>
    <row r="1623" customHeight="1" spans="1:11">
      <c r="A1623" s="438" t="s">
        <v>1750</v>
      </c>
      <c r="B1623" s="439" t="s">
        <v>2296</v>
      </c>
      <c r="C1623" s="438" t="s">
        <v>71</v>
      </c>
      <c r="D1623" s="438" t="s">
        <v>2297</v>
      </c>
      <c r="E1623" s="438" t="s">
        <v>1631</v>
      </c>
      <c r="F1623" s="438"/>
      <c r="G1623" s="440" t="s">
        <v>105</v>
      </c>
      <c r="H1623" s="441">
        <v>0.0059</v>
      </c>
      <c r="I1623" s="441">
        <v>0</v>
      </c>
      <c r="J1623" s="449">
        <v>72.71</v>
      </c>
      <c r="K1623" s="449">
        <v>0.42</v>
      </c>
    </row>
    <row r="1624" customHeight="1" spans="1:11">
      <c r="A1624" s="438" t="s">
        <v>1750</v>
      </c>
      <c r="B1624" s="439" t="s">
        <v>2382</v>
      </c>
      <c r="C1624" s="438" t="s">
        <v>71</v>
      </c>
      <c r="D1624" s="438" t="s">
        <v>2383</v>
      </c>
      <c r="E1624" s="438" t="s">
        <v>1631</v>
      </c>
      <c r="F1624" s="438"/>
      <c r="G1624" s="440" t="s">
        <v>105</v>
      </c>
      <c r="H1624" s="441">
        <v>1</v>
      </c>
      <c r="I1624" s="441">
        <v>0</v>
      </c>
      <c r="J1624" s="449">
        <v>0.93</v>
      </c>
      <c r="K1624" s="449">
        <v>0.93</v>
      </c>
    </row>
    <row r="1625" customHeight="1" spans="1:11">
      <c r="A1625" s="434"/>
      <c r="B1625" s="434"/>
      <c r="C1625" s="434"/>
      <c r="D1625" s="434"/>
      <c r="E1625" s="434"/>
      <c r="F1625" s="434" t="s">
        <v>1735</v>
      </c>
      <c r="G1625" s="435">
        <v>2.04</v>
      </c>
      <c r="H1625" s="434" t="s">
        <v>1736</v>
      </c>
      <c r="I1625" s="435">
        <v>1.86</v>
      </c>
      <c r="J1625" s="434" t="s">
        <v>1737</v>
      </c>
      <c r="K1625" s="435">
        <v>3.9</v>
      </c>
    </row>
    <row r="1626" customHeight="1" spans="1:11">
      <c r="A1626" s="434"/>
      <c r="B1626" s="434"/>
      <c r="C1626" s="434"/>
      <c r="D1626" s="434"/>
      <c r="E1626" s="434"/>
      <c r="F1626" s="434" t="s">
        <v>1738</v>
      </c>
      <c r="G1626" s="435">
        <v>1.83</v>
      </c>
      <c r="H1626" s="434"/>
      <c r="I1626" s="434" t="s">
        <v>1739</v>
      </c>
      <c r="J1626" s="434"/>
      <c r="K1626" s="435">
        <v>9.29</v>
      </c>
    </row>
    <row r="1627" customHeight="1" spans="1:11">
      <c r="A1627" s="436"/>
      <c r="B1627" s="436"/>
      <c r="C1627" s="436"/>
      <c r="D1627" s="436"/>
      <c r="E1627" s="436"/>
      <c r="F1627" s="436"/>
      <c r="G1627" s="436"/>
      <c r="H1627" s="436" t="s">
        <v>1740</v>
      </c>
      <c r="I1627" s="447" t="s">
        <v>1759</v>
      </c>
      <c r="J1627" s="436" t="s">
        <v>1742</v>
      </c>
      <c r="K1627" s="448">
        <v>55.74</v>
      </c>
    </row>
    <row r="1628" customHeight="1" spans="1:11">
      <c r="A1628" s="437"/>
      <c r="B1628" s="437"/>
      <c r="C1628" s="437"/>
      <c r="D1628" s="437"/>
      <c r="E1628" s="437"/>
      <c r="F1628" s="437"/>
      <c r="G1628" s="437"/>
      <c r="H1628" s="437"/>
      <c r="I1628" s="437"/>
      <c r="J1628" s="437"/>
      <c r="K1628" s="437"/>
    </row>
    <row r="1629" customHeight="1" spans="1:11">
      <c r="A1629" s="423" t="s">
        <v>526</v>
      </c>
      <c r="B1629" s="424" t="s">
        <v>1714</v>
      </c>
      <c r="C1629" s="423" t="s">
        <v>1715</v>
      </c>
      <c r="D1629" s="423" t="s">
        <v>1716</v>
      </c>
      <c r="E1629" s="423" t="s">
        <v>1717</v>
      </c>
      <c r="F1629" s="423"/>
      <c r="G1629" s="425" t="s">
        <v>1718</v>
      </c>
      <c r="H1629" s="424" t="s">
        <v>1719</v>
      </c>
      <c r="I1629" s="424" t="s">
        <v>1720</v>
      </c>
      <c r="J1629" s="424" t="s">
        <v>1721</v>
      </c>
      <c r="K1629" s="424" t="s">
        <v>1722</v>
      </c>
    </row>
    <row r="1630" customHeight="1" spans="1:11">
      <c r="A1630" s="426" t="s">
        <v>1723</v>
      </c>
      <c r="B1630" s="427" t="s">
        <v>494</v>
      </c>
      <c r="C1630" s="426" t="s">
        <v>71</v>
      </c>
      <c r="D1630" s="426" t="s">
        <v>495</v>
      </c>
      <c r="E1630" s="426" t="s">
        <v>1691</v>
      </c>
      <c r="F1630" s="426"/>
      <c r="G1630" s="428" t="s">
        <v>105</v>
      </c>
      <c r="H1630" s="429">
        <v>1</v>
      </c>
      <c r="I1630" s="445"/>
      <c r="J1630" s="445">
        <v>78.48</v>
      </c>
      <c r="K1630" s="445">
        <v>78.48</v>
      </c>
    </row>
    <row r="1631" customHeight="1" spans="1:11">
      <c r="A1631" s="430" t="s">
        <v>1724</v>
      </c>
      <c r="B1631" s="431" t="s">
        <v>1854</v>
      </c>
      <c r="C1631" s="430" t="s">
        <v>71</v>
      </c>
      <c r="D1631" s="430" t="s">
        <v>1855</v>
      </c>
      <c r="E1631" s="430" t="s">
        <v>1708</v>
      </c>
      <c r="F1631" s="430"/>
      <c r="G1631" s="432" t="s">
        <v>82</v>
      </c>
      <c r="H1631" s="433">
        <v>0.2212</v>
      </c>
      <c r="I1631" s="433">
        <v>0</v>
      </c>
      <c r="J1631" s="446">
        <v>35.55</v>
      </c>
      <c r="K1631" s="446">
        <v>7.86</v>
      </c>
    </row>
    <row r="1632" customHeight="1" spans="1:11">
      <c r="A1632" s="430" t="s">
        <v>1724</v>
      </c>
      <c r="B1632" s="431" t="s">
        <v>1859</v>
      </c>
      <c r="C1632" s="430" t="s">
        <v>71</v>
      </c>
      <c r="D1632" s="430" t="s">
        <v>1860</v>
      </c>
      <c r="E1632" s="430" t="s">
        <v>1708</v>
      </c>
      <c r="F1632" s="430"/>
      <c r="G1632" s="432" t="s">
        <v>82</v>
      </c>
      <c r="H1632" s="433">
        <v>0.2212</v>
      </c>
      <c r="I1632" s="433">
        <v>0</v>
      </c>
      <c r="J1632" s="446">
        <v>29.54</v>
      </c>
      <c r="K1632" s="446">
        <v>6.53</v>
      </c>
    </row>
    <row r="1633" customHeight="1" spans="1:11">
      <c r="A1633" s="438" t="s">
        <v>1750</v>
      </c>
      <c r="B1633" s="439" t="s">
        <v>2319</v>
      </c>
      <c r="C1633" s="438" t="s">
        <v>71</v>
      </c>
      <c r="D1633" s="438" t="s">
        <v>2320</v>
      </c>
      <c r="E1633" s="438" t="s">
        <v>1631</v>
      </c>
      <c r="F1633" s="438"/>
      <c r="G1633" s="440" t="s">
        <v>105</v>
      </c>
      <c r="H1633" s="441">
        <v>0.0106</v>
      </c>
      <c r="I1633" s="441">
        <v>0</v>
      </c>
      <c r="J1633" s="449">
        <v>13.46</v>
      </c>
      <c r="K1633" s="449">
        <v>0.14</v>
      </c>
    </row>
    <row r="1634" customHeight="1" spans="1:11">
      <c r="A1634" s="438" t="s">
        <v>1750</v>
      </c>
      <c r="B1634" s="439" t="s">
        <v>2350</v>
      </c>
      <c r="C1634" s="438" t="s">
        <v>71</v>
      </c>
      <c r="D1634" s="438" t="s">
        <v>2351</v>
      </c>
      <c r="E1634" s="438" t="s">
        <v>1631</v>
      </c>
      <c r="F1634" s="438"/>
      <c r="G1634" s="440" t="s">
        <v>105</v>
      </c>
      <c r="H1634" s="441">
        <v>1</v>
      </c>
      <c r="I1634" s="441">
        <v>0</v>
      </c>
      <c r="J1634" s="449">
        <v>63.95</v>
      </c>
      <c r="K1634" s="449">
        <v>63.95</v>
      </c>
    </row>
    <row r="1635" customHeight="1" spans="1:11">
      <c r="A1635" s="434"/>
      <c r="B1635" s="434"/>
      <c r="C1635" s="434"/>
      <c r="D1635" s="434"/>
      <c r="E1635" s="434"/>
      <c r="F1635" s="434" t="s">
        <v>1735</v>
      </c>
      <c r="G1635" s="435">
        <v>5.37</v>
      </c>
      <c r="H1635" s="434" t="s">
        <v>1736</v>
      </c>
      <c r="I1635" s="435">
        <v>4.88</v>
      </c>
      <c r="J1635" s="434" t="s">
        <v>1737</v>
      </c>
      <c r="K1635" s="435">
        <v>10.25</v>
      </c>
    </row>
    <row r="1636" customHeight="1" spans="1:11">
      <c r="A1636" s="434"/>
      <c r="B1636" s="434"/>
      <c r="C1636" s="434"/>
      <c r="D1636" s="434"/>
      <c r="E1636" s="434"/>
      <c r="F1636" s="434" t="s">
        <v>1738</v>
      </c>
      <c r="G1636" s="435">
        <v>19.35</v>
      </c>
      <c r="H1636" s="434"/>
      <c r="I1636" s="434" t="s">
        <v>1739</v>
      </c>
      <c r="J1636" s="434"/>
      <c r="K1636" s="435">
        <v>97.83</v>
      </c>
    </row>
    <row r="1637" customHeight="1" spans="1:11">
      <c r="A1637" s="436"/>
      <c r="B1637" s="436"/>
      <c r="C1637" s="436"/>
      <c r="D1637" s="436"/>
      <c r="E1637" s="436"/>
      <c r="F1637" s="436"/>
      <c r="G1637" s="436"/>
      <c r="H1637" s="436" t="s">
        <v>1740</v>
      </c>
      <c r="I1637" s="447" t="s">
        <v>2384</v>
      </c>
      <c r="J1637" s="436" t="s">
        <v>1742</v>
      </c>
      <c r="K1637" s="448">
        <v>684.81</v>
      </c>
    </row>
    <row r="1638" customHeight="1" spans="1:11">
      <c r="A1638" s="437"/>
      <c r="B1638" s="437"/>
      <c r="C1638" s="437"/>
      <c r="D1638" s="437"/>
      <c r="E1638" s="437"/>
      <c r="F1638" s="437"/>
      <c r="G1638" s="437"/>
      <c r="H1638" s="437"/>
      <c r="I1638" s="437"/>
      <c r="J1638" s="437"/>
      <c r="K1638" s="437"/>
    </row>
    <row r="1639" customHeight="1" spans="1:11">
      <c r="A1639" s="423" t="s">
        <v>527</v>
      </c>
      <c r="B1639" s="424" t="s">
        <v>1714</v>
      </c>
      <c r="C1639" s="423" t="s">
        <v>1715</v>
      </c>
      <c r="D1639" s="423" t="s">
        <v>1716</v>
      </c>
      <c r="E1639" s="423" t="s">
        <v>1717</v>
      </c>
      <c r="F1639" s="423"/>
      <c r="G1639" s="425" t="s">
        <v>1718</v>
      </c>
      <c r="H1639" s="424" t="s">
        <v>1719</v>
      </c>
      <c r="I1639" s="424" t="s">
        <v>1720</v>
      </c>
      <c r="J1639" s="424" t="s">
        <v>1721</v>
      </c>
      <c r="K1639" s="424" t="s">
        <v>1722</v>
      </c>
    </row>
    <row r="1640" customHeight="1" spans="1:11">
      <c r="A1640" s="426" t="s">
        <v>1723</v>
      </c>
      <c r="B1640" s="427" t="s">
        <v>528</v>
      </c>
      <c r="C1640" s="426" t="s">
        <v>65</v>
      </c>
      <c r="D1640" s="426" t="s">
        <v>529</v>
      </c>
      <c r="E1640" s="426" t="s">
        <v>62</v>
      </c>
      <c r="F1640" s="426"/>
      <c r="G1640" s="428" t="s">
        <v>67</v>
      </c>
      <c r="H1640" s="429">
        <v>1</v>
      </c>
      <c r="I1640" s="445"/>
      <c r="J1640" s="445">
        <v>400.69</v>
      </c>
      <c r="K1640" s="445">
        <v>400.69</v>
      </c>
    </row>
    <row r="1641" customHeight="1" spans="1:11">
      <c r="A1641" s="430" t="s">
        <v>1724</v>
      </c>
      <c r="B1641" s="431" t="s">
        <v>2385</v>
      </c>
      <c r="C1641" s="430" t="s">
        <v>71</v>
      </c>
      <c r="D1641" s="430" t="s">
        <v>2386</v>
      </c>
      <c r="E1641" s="430" t="s">
        <v>1708</v>
      </c>
      <c r="F1641" s="430"/>
      <c r="G1641" s="432" t="s">
        <v>82</v>
      </c>
      <c r="H1641" s="433">
        <v>1.1</v>
      </c>
      <c r="I1641" s="433">
        <v>0</v>
      </c>
      <c r="J1641" s="446">
        <v>30.6</v>
      </c>
      <c r="K1641" s="446">
        <v>33.66</v>
      </c>
    </row>
    <row r="1642" customHeight="1" spans="1:11">
      <c r="A1642" s="430" t="s">
        <v>1724</v>
      </c>
      <c r="B1642" s="431" t="s">
        <v>2387</v>
      </c>
      <c r="C1642" s="430" t="s">
        <v>71</v>
      </c>
      <c r="D1642" s="430" t="s">
        <v>2388</v>
      </c>
      <c r="E1642" s="430" t="s">
        <v>1708</v>
      </c>
      <c r="F1642" s="430"/>
      <c r="G1642" s="432" t="s">
        <v>82</v>
      </c>
      <c r="H1642" s="433">
        <v>1.1</v>
      </c>
      <c r="I1642" s="433">
        <v>0</v>
      </c>
      <c r="J1642" s="446">
        <v>36.82</v>
      </c>
      <c r="K1642" s="446">
        <v>40.5</v>
      </c>
    </row>
    <row r="1643" customHeight="1" spans="1:11">
      <c r="A1643" s="438" t="s">
        <v>1750</v>
      </c>
      <c r="B1643" s="439" t="s">
        <v>2389</v>
      </c>
      <c r="C1643" s="438" t="s">
        <v>65</v>
      </c>
      <c r="D1643" s="438" t="s">
        <v>2390</v>
      </c>
      <c r="E1643" s="438" t="s">
        <v>1631</v>
      </c>
      <c r="F1643" s="438"/>
      <c r="G1643" s="440" t="s">
        <v>67</v>
      </c>
      <c r="H1643" s="441">
        <v>1</v>
      </c>
      <c r="I1643" s="441">
        <v>0</v>
      </c>
      <c r="J1643" s="449">
        <v>326.53</v>
      </c>
      <c r="K1643" s="449">
        <v>326.53</v>
      </c>
    </row>
    <row r="1644" customHeight="1" spans="1:11">
      <c r="A1644" s="434"/>
      <c r="B1644" s="434"/>
      <c r="C1644" s="434"/>
      <c r="D1644" s="434"/>
      <c r="E1644" s="434"/>
      <c r="F1644" s="434" t="s">
        <v>1735</v>
      </c>
      <c r="G1644" s="435">
        <v>27.27</v>
      </c>
      <c r="H1644" s="434" t="s">
        <v>1736</v>
      </c>
      <c r="I1644" s="435">
        <v>24.77</v>
      </c>
      <c r="J1644" s="434" t="s">
        <v>1737</v>
      </c>
      <c r="K1644" s="435">
        <v>52.04</v>
      </c>
    </row>
    <row r="1645" customHeight="1" spans="1:11">
      <c r="A1645" s="434"/>
      <c r="B1645" s="434"/>
      <c r="C1645" s="434"/>
      <c r="D1645" s="434"/>
      <c r="E1645" s="434"/>
      <c r="F1645" s="434" t="s">
        <v>1738</v>
      </c>
      <c r="G1645" s="435">
        <v>98.81</v>
      </c>
      <c r="H1645" s="434"/>
      <c r="I1645" s="434" t="s">
        <v>1739</v>
      </c>
      <c r="J1645" s="434"/>
      <c r="K1645" s="435">
        <v>499.5</v>
      </c>
    </row>
    <row r="1646" customHeight="1" spans="1:11">
      <c r="A1646" s="436"/>
      <c r="B1646" s="436"/>
      <c r="C1646" s="436"/>
      <c r="D1646" s="436"/>
      <c r="E1646" s="436"/>
      <c r="F1646" s="436"/>
      <c r="G1646" s="436"/>
      <c r="H1646" s="436" t="s">
        <v>1740</v>
      </c>
      <c r="I1646" s="447" t="s">
        <v>1741</v>
      </c>
      <c r="J1646" s="436" t="s">
        <v>1742</v>
      </c>
      <c r="K1646" s="448">
        <v>499.5</v>
      </c>
    </row>
    <row r="1647" customHeight="1" spans="1:11">
      <c r="A1647" s="437"/>
      <c r="B1647" s="437"/>
      <c r="C1647" s="437"/>
      <c r="D1647" s="437"/>
      <c r="E1647" s="437"/>
      <c r="F1647" s="437"/>
      <c r="G1647" s="437"/>
      <c r="H1647" s="437"/>
      <c r="I1647" s="437"/>
      <c r="J1647" s="437"/>
      <c r="K1647" s="437"/>
    </row>
    <row r="1648" customHeight="1" spans="1:11">
      <c r="A1648" s="422" t="s">
        <v>530</v>
      </c>
      <c r="B1648" s="422"/>
      <c r="C1648" s="422"/>
      <c r="D1648" s="422" t="s">
        <v>531</v>
      </c>
      <c r="E1648" s="422"/>
      <c r="F1648" s="422"/>
      <c r="G1648" s="422"/>
      <c r="H1648" s="422"/>
      <c r="I1648" s="443"/>
      <c r="J1648" s="422"/>
      <c r="K1648" s="444">
        <v>43283.35</v>
      </c>
    </row>
    <row r="1649" customHeight="1" spans="1:11">
      <c r="A1649" s="423" t="s">
        <v>532</v>
      </c>
      <c r="B1649" s="424" t="s">
        <v>1714</v>
      </c>
      <c r="C1649" s="423" t="s">
        <v>1715</v>
      </c>
      <c r="D1649" s="423" t="s">
        <v>1716</v>
      </c>
      <c r="E1649" s="423" t="s">
        <v>1717</v>
      </c>
      <c r="F1649" s="423"/>
      <c r="G1649" s="425" t="s">
        <v>1718</v>
      </c>
      <c r="H1649" s="424" t="s">
        <v>1719</v>
      </c>
      <c r="I1649" s="424" t="s">
        <v>1720</v>
      </c>
      <c r="J1649" s="424" t="s">
        <v>1721</v>
      </c>
      <c r="K1649" s="424" t="s">
        <v>1722</v>
      </c>
    </row>
    <row r="1650" customHeight="1" spans="1:11">
      <c r="A1650" s="426" t="s">
        <v>1723</v>
      </c>
      <c r="B1650" s="427" t="s">
        <v>533</v>
      </c>
      <c r="C1650" s="426" t="s">
        <v>512</v>
      </c>
      <c r="D1650" s="426" t="s">
        <v>534</v>
      </c>
      <c r="E1650" s="426" t="s">
        <v>1662</v>
      </c>
      <c r="F1650" s="426"/>
      <c r="G1650" s="428" t="s">
        <v>535</v>
      </c>
      <c r="H1650" s="429">
        <v>1</v>
      </c>
      <c r="I1650" s="445"/>
      <c r="J1650" s="445">
        <v>65.69</v>
      </c>
      <c r="K1650" s="445">
        <v>65.69</v>
      </c>
    </row>
    <row r="1651" customHeight="1" spans="1:11">
      <c r="A1651" s="438" t="s">
        <v>1750</v>
      </c>
      <c r="B1651" s="439" t="s">
        <v>2370</v>
      </c>
      <c r="C1651" s="438" t="s">
        <v>512</v>
      </c>
      <c r="D1651" s="438" t="s">
        <v>2371</v>
      </c>
      <c r="E1651" s="438" t="s">
        <v>2372</v>
      </c>
      <c r="F1651" s="438"/>
      <c r="G1651" s="440" t="s">
        <v>1617</v>
      </c>
      <c r="H1651" s="441">
        <v>63.78</v>
      </c>
      <c r="I1651" s="441">
        <v>3</v>
      </c>
      <c r="J1651" s="449">
        <v>1</v>
      </c>
      <c r="K1651" s="449">
        <v>1.91</v>
      </c>
    </row>
    <row r="1652" customHeight="1" spans="1:11">
      <c r="A1652" s="438" t="s">
        <v>1750</v>
      </c>
      <c r="B1652" s="439" t="s">
        <v>2391</v>
      </c>
      <c r="C1652" s="438" t="s">
        <v>512</v>
      </c>
      <c r="D1652" s="438" t="s">
        <v>2392</v>
      </c>
      <c r="E1652" s="438" t="s">
        <v>1764</v>
      </c>
      <c r="F1652" s="438"/>
      <c r="G1652" s="440" t="s">
        <v>2367</v>
      </c>
      <c r="H1652" s="441">
        <v>2.46</v>
      </c>
      <c r="I1652" s="441">
        <v>0</v>
      </c>
      <c r="J1652" s="449">
        <v>25.93</v>
      </c>
      <c r="K1652" s="449">
        <v>63.78</v>
      </c>
    </row>
    <row r="1653" customHeight="1" spans="1:11">
      <c r="A1653" s="434"/>
      <c r="B1653" s="434"/>
      <c r="C1653" s="434"/>
      <c r="D1653" s="434"/>
      <c r="E1653" s="434"/>
      <c r="F1653" s="434" t="s">
        <v>1735</v>
      </c>
      <c r="G1653" s="435">
        <v>33.42</v>
      </c>
      <c r="H1653" s="434" t="s">
        <v>1736</v>
      </c>
      <c r="I1653" s="435">
        <v>30.36</v>
      </c>
      <c r="J1653" s="434" t="s">
        <v>1737</v>
      </c>
      <c r="K1653" s="435">
        <v>63.78</v>
      </c>
    </row>
    <row r="1654" customHeight="1" spans="1:11">
      <c r="A1654" s="434"/>
      <c r="B1654" s="434"/>
      <c r="C1654" s="434"/>
      <c r="D1654" s="434"/>
      <c r="E1654" s="434"/>
      <c r="F1654" s="434" t="s">
        <v>1738</v>
      </c>
      <c r="G1654" s="435">
        <v>16.19</v>
      </c>
      <c r="H1654" s="434"/>
      <c r="I1654" s="434" t="s">
        <v>1739</v>
      </c>
      <c r="J1654" s="434"/>
      <c r="K1654" s="435">
        <v>81.88</v>
      </c>
    </row>
    <row r="1655" customHeight="1" spans="1:11">
      <c r="A1655" s="436"/>
      <c r="B1655" s="436"/>
      <c r="C1655" s="436"/>
      <c r="D1655" s="436"/>
      <c r="E1655" s="436"/>
      <c r="F1655" s="436"/>
      <c r="G1655" s="436"/>
      <c r="H1655" s="436" t="s">
        <v>1740</v>
      </c>
      <c r="I1655" s="447" t="s">
        <v>2393</v>
      </c>
      <c r="J1655" s="436" t="s">
        <v>1742</v>
      </c>
      <c r="K1655" s="448">
        <v>9601.24</v>
      </c>
    </row>
    <row r="1656" customHeight="1" spans="1:11">
      <c r="A1656" s="437"/>
      <c r="B1656" s="437"/>
      <c r="C1656" s="437"/>
      <c r="D1656" s="437"/>
      <c r="E1656" s="437"/>
      <c r="F1656" s="437"/>
      <c r="G1656" s="437"/>
      <c r="H1656" s="437"/>
      <c r="I1656" s="437"/>
      <c r="J1656" s="437"/>
      <c r="K1656" s="437"/>
    </row>
    <row r="1657" customHeight="1" spans="1:11">
      <c r="A1657" s="423" t="s">
        <v>536</v>
      </c>
      <c r="B1657" s="424" t="s">
        <v>1714</v>
      </c>
      <c r="C1657" s="423" t="s">
        <v>1715</v>
      </c>
      <c r="D1657" s="423" t="s">
        <v>1716</v>
      </c>
      <c r="E1657" s="423" t="s">
        <v>1717</v>
      </c>
      <c r="F1657" s="423"/>
      <c r="G1657" s="425" t="s">
        <v>1718</v>
      </c>
      <c r="H1657" s="424" t="s">
        <v>1719</v>
      </c>
      <c r="I1657" s="424" t="s">
        <v>1720</v>
      </c>
      <c r="J1657" s="424" t="s">
        <v>1721</v>
      </c>
      <c r="K1657" s="424" t="s">
        <v>1722</v>
      </c>
    </row>
    <row r="1658" customHeight="1" spans="1:11">
      <c r="A1658" s="426" t="s">
        <v>1723</v>
      </c>
      <c r="B1658" s="427" t="s">
        <v>537</v>
      </c>
      <c r="C1658" s="426" t="s">
        <v>71</v>
      </c>
      <c r="D1658" s="426" t="s">
        <v>538</v>
      </c>
      <c r="E1658" s="426" t="s">
        <v>1649</v>
      </c>
      <c r="F1658" s="426"/>
      <c r="G1658" s="428" t="s">
        <v>78</v>
      </c>
      <c r="H1658" s="429">
        <v>1</v>
      </c>
      <c r="I1658" s="445"/>
      <c r="J1658" s="445">
        <v>26.52</v>
      </c>
      <c r="K1658" s="445">
        <v>26.52</v>
      </c>
    </row>
    <row r="1659" customHeight="1" spans="1:11">
      <c r="A1659" s="430" t="s">
        <v>1724</v>
      </c>
      <c r="B1659" s="431" t="s">
        <v>1859</v>
      </c>
      <c r="C1659" s="430" t="s">
        <v>71</v>
      </c>
      <c r="D1659" s="430" t="s">
        <v>1860</v>
      </c>
      <c r="E1659" s="430" t="s">
        <v>1708</v>
      </c>
      <c r="F1659" s="430"/>
      <c r="G1659" s="432" t="s">
        <v>82</v>
      </c>
      <c r="H1659" s="433">
        <v>0.293</v>
      </c>
      <c r="I1659" s="433">
        <v>0</v>
      </c>
      <c r="J1659" s="446">
        <v>29.54</v>
      </c>
      <c r="K1659" s="446">
        <v>8.65</v>
      </c>
    </row>
    <row r="1660" customHeight="1" spans="1:11">
      <c r="A1660" s="430" t="s">
        <v>1724</v>
      </c>
      <c r="B1660" s="431" t="s">
        <v>1854</v>
      </c>
      <c r="C1660" s="430" t="s">
        <v>71</v>
      </c>
      <c r="D1660" s="430" t="s">
        <v>1855</v>
      </c>
      <c r="E1660" s="430" t="s">
        <v>1708</v>
      </c>
      <c r="F1660" s="430"/>
      <c r="G1660" s="432" t="s">
        <v>82</v>
      </c>
      <c r="H1660" s="433">
        <v>0.293</v>
      </c>
      <c r="I1660" s="433">
        <v>0</v>
      </c>
      <c r="J1660" s="446">
        <v>35.55</v>
      </c>
      <c r="K1660" s="446">
        <v>10.41</v>
      </c>
    </row>
    <row r="1661" customHeight="1" spans="1:11">
      <c r="A1661" s="438" t="s">
        <v>1750</v>
      </c>
      <c r="B1661" s="439" t="s">
        <v>2394</v>
      </c>
      <c r="C1661" s="438" t="s">
        <v>71</v>
      </c>
      <c r="D1661" s="438" t="s">
        <v>2395</v>
      </c>
      <c r="E1661" s="438" t="s">
        <v>1631</v>
      </c>
      <c r="F1661" s="438"/>
      <c r="G1661" s="440" t="s">
        <v>78</v>
      </c>
      <c r="H1661" s="441">
        <v>1.0549</v>
      </c>
      <c r="I1661" s="441">
        <v>0</v>
      </c>
      <c r="J1661" s="449">
        <v>7.05</v>
      </c>
      <c r="K1661" s="449">
        <v>7.43</v>
      </c>
    </row>
    <row r="1662" customHeight="1" spans="1:11">
      <c r="A1662" s="438" t="s">
        <v>1750</v>
      </c>
      <c r="B1662" s="439" t="s">
        <v>2284</v>
      </c>
      <c r="C1662" s="438" t="s">
        <v>71</v>
      </c>
      <c r="D1662" s="438" t="s">
        <v>2285</v>
      </c>
      <c r="E1662" s="438" t="s">
        <v>1631</v>
      </c>
      <c r="F1662" s="438"/>
      <c r="G1662" s="440" t="s">
        <v>105</v>
      </c>
      <c r="H1662" s="441">
        <v>0.0163</v>
      </c>
      <c r="I1662" s="441">
        <v>0</v>
      </c>
      <c r="J1662" s="449">
        <v>2.08</v>
      </c>
      <c r="K1662" s="449">
        <v>0.03</v>
      </c>
    </row>
    <row r="1663" customHeight="1" spans="1:11">
      <c r="A1663" s="434"/>
      <c r="B1663" s="434"/>
      <c r="C1663" s="434"/>
      <c r="D1663" s="434"/>
      <c r="E1663" s="434"/>
      <c r="F1663" s="434" t="s">
        <v>1735</v>
      </c>
      <c r="G1663" s="435">
        <v>7.11</v>
      </c>
      <c r="H1663" s="434" t="s">
        <v>1736</v>
      </c>
      <c r="I1663" s="435">
        <v>6.46</v>
      </c>
      <c r="J1663" s="434" t="s">
        <v>1737</v>
      </c>
      <c r="K1663" s="435">
        <v>13.57</v>
      </c>
    </row>
    <row r="1664" customHeight="1" spans="1:11">
      <c r="A1664" s="434"/>
      <c r="B1664" s="434"/>
      <c r="C1664" s="434"/>
      <c r="D1664" s="434"/>
      <c r="E1664" s="434"/>
      <c r="F1664" s="434" t="s">
        <v>1738</v>
      </c>
      <c r="G1664" s="435">
        <v>6.53</v>
      </c>
      <c r="H1664" s="434"/>
      <c r="I1664" s="434" t="s">
        <v>1739</v>
      </c>
      <c r="J1664" s="434"/>
      <c r="K1664" s="435">
        <v>33.05</v>
      </c>
    </row>
    <row r="1665" customHeight="1" spans="1:11">
      <c r="A1665" s="436"/>
      <c r="B1665" s="436"/>
      <c r="C1665" s="436"/>
      <c r="D1665" s="436"/>
      <c r="E1665" s="436"/>
      <c r="F1665" s="436"/>
      <c r="G1665" s="436"/>
      <c r="H1665" s="436" t="s">
        <v>1740</v>
      </c>
      <c r="I1665" s="447" t="s">
        <v>2321</v>
      </c>
      <c r="J1665" s="436" t="s">
        <v>1742</v>
      </c>
      <c r="K1665" s="448">
        <v>661</v>
      </c>
    </row>
    <row r="1666" customHeight="1" spans="1:11">
      <c r="A1666" s="437"/>
      <c r="B1666" s="437"/>
      <c r="C1666" s="437"/>
      <c r="D1666" s="437"/>
      <c r="E1666" s="437"/>
      <c r="F1666" s="437"/>
      <c r="G1666" s="437"/>
      <c r="H1666" s="437"/>
      <c r="I1666" s="437"/>
      <c r="J1666" s="437"/>
      <c r="K1666" s="437"/>
    </row>
    <row r="1667" customHeight="1" spans="1:11">
      <c r="A1667" s="423" t="s">
        <v>539</v>
      </c>
      <c r="B1667" s="424" t="s">
        <v>1714</v>
      </c>
      <c r="C1667" s="423" t="s">
        <v>1715</v>
      </c>
      <c r="D1667" s="423" t="s">
        <v>1716</v>
      </c>
      <c r="E1667" s="423" t="s">
        <v>1717</v>
      </c>
      <c r="F1667" s="423"/>
      <c r="G1667" s="425" t="s">
        <v>1718</v>
      </c>
      <c r="H1667" s="424" t="s">
        <v>1719</v>
      </c>
      <c r="I1667" s="424" t="s">
        <v>1720</v>
      </c>
      <c r="J1667" s="424" t="s">
        <v>1721</v>
      </c>
      <c r="K1667" s="424" t="s">
        <v>1722</v>
      </c>
    </row>
    <row r="1668" customHeight="1" spans="1:11">
      <c r="A1668" s="426" t="s">
        <v>1723</v>
      </c>
      <c r="B1668" s="427" t="s">
        <v>540</v>
      </c>
      <c r="C1668" s="426" t="s">
        <v>71</v>
      </c>
      <c r="D1668" s="426" t="s">
        <v>541</v>
      </c>
      <c r="E1668" s="426" t="s">
        <v>1649</v>
      </c>
      <c r="F1668" s="426"/>
      <c r="G1668" s="428" t="s">
        <v>78</v>
      </c>
      <c r="H1668" s="429">
        <v>1</v>
      </c>
      <c r="I1668" s="445"/>
      <c r="J1668" s="445">
        <v>33.01</v>
      </c>
      <c r="K1668" s="445">
        <v>33.01</v>
      </c>
    </row>
    <row r="1669" customHeight="1" spans="1:11">
      <c r="A1669" s="430" t="s">
        <v>1724</v>
      </c>
      <c r="B1669" s="431" t="s">
        <v>1854</v>
      </c>
      <c r="C1669" s="430" t="s">
        <v>71</v>
      </c>
      <c r="D1669" s="430" t="s">
        <v>1855</v>
      </c>
      <c r="E1669" s="430" t="s">
        <v>1708</v>
      </c>
      <c r="F1669" s="430"/>
      <c r="G1669" s="432" t="s">
        <v>82</v>
      </c>
      <c r="H1669" s="433">
        <v>0.3182</v>
      </c>
      <c r="I1669" s="433">
        <v>0</v>
      </c>
      <c r="J1669" s="446">
        <v>35.55</v>
      </c>
      <c r="K1669" s="446">
        <v>11.31</v>
      </c>
    </row>
    <row r="1670" customHeight="1" spans="1:11">
      <c r="A1670" s="430" t="s">
        <v>1724</v>
      </c>
      <c r="B1670" s="431" t="s">
        <v>1859</v>
      </c>
      <c r="C1670" s="430" t="s">
        <v>71</v>
      </c>
      <c r="D1670" s="430" t="s">
        <v>1860</v>
      </c>
      <c r="E1670" s="430" t="s">
        <v>1708</v>
      </c>
      <c r="F1670" s="430"/>
      <c r="G1670" s="432" t="s">
        <v>82</v>
      </c>
      <c r="H1670" s="433">
        <v>0.3182</v>
      </c>
      <c r="I1670" s="433">
        <v>0</v>
      </c>
      <c r="J1670" s="446">
        <v>29.54</v>
      </c>
      <c r="K1670" s="446">
        <v>9.39</v>
      </c>
    </row>
    <row r="1671" customHeight="1" spans="1:11">
      <c r="A1671" s="438" t="s">
        <v>1750</v>
      </c>
      <c r="B1671" s="439" t="s">
        <v>2396</v>
      </c>
      <c r="C1671" s="438" t="s">
        <v>71</v>
      </c>
      <c r="D1671" s="438" t="s">
        <v>2397</v>
      </c>
      <c r="E1671" s="438" t="s">
        <v>1631</v>
      </c>
      <c r="F1671" s="438"/>
      <c r="G1671" s="440" t="s">
        <v>78</v>
      </c>
      <c r="H1671" s="441">
        <v>1.0549</v>
      </c>
      <c r="I1671" s="441">
        <v>0</v>
      </c>
      <c r="J1671" s="449">
        <v>11.65</v>
      </c>
      <c r="K1671" s="449">
        <v>12.28</v>
      </c>
    </row>
    <row r="1672" customHeight="1" spans="1:11">
      <c r="A1672" s="438" t="s">
        <v>1750</v>
      </c>
      <c r="B1672" s="439" t="s">
        <v>2284</v>
      </c>
      <c r="C1672" s="438" t="s">
        <v>71</v>
      </c>
      <c r="D1672" s="438" t="s">
        <v>2285</v>
      </c>
      <c r="E1672" s="438" t="s">
        <v>1631</v>
      </c>
      <c r="F1672" s="438"/>
      <c r="G1672" s="440" t="s">
        <v>105</v>
      </c>
      <c r="H1672" s="441">
        <v>0.0177</v>
      </c>
      <c r="I1672" s="441">
        <v>0</v>
      </c>
      <c r="J1672" s="449">
        <v>2.08</v>
      </c>
      <c r="K1672" s="449">
        <v>0.03</v>
      </c>
    </row>
    <row r="1673" customHeight="1" spans="1:11">
      <c r="A1673" s="434"/>
      <c r="B1673" s="434"/>
      <c r="C1673" s="434"/>
      <c r="D1673" s="434"/>
      <c r="E1673" s="434"/>
      <c r="F1673" s="434" t="s">
        <v>1735</v>
      </c>
      <c r="G1673" s="435">
        <v>7.72</v>
      </c>
      <c r="H1673" s="434" t="s">
        <v>1736</v>
      </c>
      <c r="I1673" s="435">
        <v>7.02</v>
      </c>
      <c r="J1673" s="434" t="s">
        <v>1737</v>
      </c>
      <c r="K1673" s="435">
        <v>14.74</v>
      </c>
    </row>
    <row r="1674" customHeight="1" spans="1:11">
      <c r="A1674" s="434"/>
      <c r="B1674" s="434"/>
      <c r="C1674" s="434"/>
      <c r="D1674" s="434"/>
      <c r="E1674" s="434"/>
      <c r="F1674" s="434" t="s">
        <v>1738</v>
      </c>
      <c r="G1674" s="435">
        <v>8.14</v>
      </c>
      <c r="H1674" s="434"/>
      <c r="I1674" s="434" t="s">
        <v>1739</v>
      </c>
      <c r="J1674" s="434"/>
      <c r="K1674" s="435">
        <v>41.15</v>
      </c>
    </row>
    <row r="1675" customHeight="1" spans="1:11">
      <c r="A1675" s="436"/>
      <c r="B1675" s="436"/>
      <c r="C1675" s="436"/>
      <c r="D1675" s="436"/>
      <c r="E1675" s="436"/>
      <c r="F1675" s="436"/>
      <c r="G1675" s="436"/>
      <c r="H1675" s="436" t="s">
        <v>1740</v>
      </c>
      <c r="I1675" s="447" t="s">
        <v>2398</v>
      </c>
      <c r="J1675" s="436" t="s">
        <v>1742</v>
      </c>
      <c r="K1675" s="448">
        <v>1193.35</v>
      </c>
    </row>
    <row r="1676" customHeight="1" spans="1:11">
      <c r="A1676" s="437"/>
      <c r="B1676" s="437"/>
      <c r="C1676" s="437"/>
      <c r="D1676" s="437"/>
      <c r="E1676" s="437"/>
      <c r="F1676" s="437"/>
      <c r="G1676" s="437"/>
      <c r="H1676" s="437"/>
      <c r="I1676" s="437"/>
      <c r="J1676" s="437"/>
      <c r="K1676" s="437"/>
    </row>
    <row r="1677" customHeight="1" spans="1:11">
      <c r="A1677" s="423" t="s">
        <v>542</v>
      </c>
      <c r="B1677" s="424" t="s">
        <v>1714</v>
      </c>
      <c r="C1677" s="423" t="s">
        <v>1715</v>
      </c>
      <c r="D1677" s="423" t="s">
        <v>1716</v>
      </c>
      <c r="E1677" s="423" t="s">
        <v>1717</v>
      </c>
      <c r="F1677" s="423"/>
      <c r="G1677" s="425" t="s">
        <v>1718</v>
      </c>
      <c r="H1677" s="424" t="s">
        <v>1719</v>
      </c>
      <c r="I1677" s="424" t="s">
        <v>1720</v>
      </c>
      <c r="J1677" s="424" t="s">
        <v>1721</v>
      </c>
      <c r="K1677" s="424" t="s">
        <v>1722</v>
      </c>
    </row>
    <row r="1678" customHeight="1" spans="1:11">
      <c r="A1678" s="426" t="s">
        <v>1723</v>
      </c>
      <c r="B1678" s="427" t="s">
        <v>543</v>
      </c>
      <c r="C1678" s="426" t="s">
        <v>71</v>
      </c>
      <c r="D1678" s="426" t="s">
        <v>544</v>
      </c>
      <c r="E1678" s="426" t="s">
        <v>1649</v>
      </c>
      <c r="F1678" s="426"/>
      <c r="G1678" s="428" t="s">
        <v>78</v>
      </c>
      <c r="H1678" s="429">
        <v>1</v>
      </c>
      <c r="I1678" s="445"/>
      <c r="J1678" s="445">
        <v>40.97</v>
      </c>
      <c r="K1678" s="445">
        <v>40.97</v>
      </c>
    </row>
    <row r="1679" customHeight="1" spans="1:11">
      <c r="A1679" s="430" t="s">
        <v>1724</v>
      </c>
      <c r="B1679" s="431" t="s">
        <v>1854</v>
      </c>
      <c r="C1679" s="430" t="s">
        <v>71</v>
      </c>
      <c r="D1679" s="430" t="s">
        <v>1855</v>
      </c>
      <c r="E1679" s="430" t="s">
        <v>1708</v>
      </c>
      <c r="F1679" s="430"/>
      <c r="G1679" s="432" t="s">
        <v>82</v>
      </c>
      <c r="H1679" s="433">
        <v>0.3813</v>
      </c>
      <c r="I1679" s="433">
        <v>0</v>
      </c>
      <c r="J1679" s="446">
        <v>35.55</v>
      </c>
      <c r="K1679" s="446">
        <v>13.55</v>
      </c>
    </row>
    <row r="1680" customHeight="1" spans="1:11">
      <c r="A1680" s="430" t="s">
        <v>1724</v>
      </c>
      <c r="B1680" s="431" t="s">
        <v>1859</v>
      </c>
      <c r="C1680" s="430" t="s">
        <v>71</v>
      </c>
      <c r="D1680" s="430" t="s">
        <v>1860</v>
      </c>
      <c r="E1680" s="430" t="s">
        <v>1708</v>
      </c>
      <c r="F1680" s="430"/>
      <c r="G1680" s="432" t="s">
        <v>82</v>
      </c>
      <c r="H1680" s="433">
        <v>0.3813</v>
      </c>
      <c r="I1680" s="433">
        <v>0</v>
      </c>
      <c r="J1680" s="446">
        <v>29.54</v>
      </c>
      <c r="K1680" s="446">
        <v>11.26</v>
      </c>
    </row>
    <row r="1681" customHeight="1" spans="1:11">
      <c r="A1681" s="438" t="s">
        <v>1750</v>
      </c>
      <c r="B1681" s="439" t="s">
        <v>2399</v>
      </c>
      <c r="C1681" s="438" t="s">
        <v>71</v>
      </c>
      <c r="D1681" s="438" t="s">
        <v>2400</v>
      </c>
      <c r="E1681" s="438" t="s">
        <v>1631</v>
      </c>
      <c r="F1681" s="438"/>
      <c r="G1681" s="440" t="s">
        <v>78</v>
      </c>
      <c r="H1681" s="441">
        <v>1.0549</v>
      </c>
      <c r="I1681" s="441">
        <v>0</v>
      </c>
      <c r="J1681" s="449">
        <v>15.29</v>
      </c>
      <c r="K1681" s="449">
        <v>16.12</v>
      </c>
    </row>
    <row r="1682" customHeight="1" spans="1:11">
      <c r="A1682" s="438" t="s">
        <v>1750</v>
      </c>
      <c r="B1682" s="439" t="s">
        <v>2284</v>
      </c>
      <c r="C1682" s="438" t="s">
        <v>71</v>
      </c>
      <c r="D1682" s="438" t="s">
        <v>2285</v>
      </c>
      <c r="E1682" s="438" t="s">
        <v>1631</v>
      </c>
      <c r="F1682" s="438"/>
      <c r="G1682" s="440" t="s">
        <v>105</v>
      </c>
      <c r="H1682" s="441">
        <v>0.0212</v>
      </c>
      <c r="I1682" s="441">
        <v>0</v>
      </c>
      <c r="J1682" s="449">
        <v>2.08</v>
      </c>
      <c r="K1682" s="449">
        <v>0.04</v>
      </c>
    </row>
    <row r="1683" customHeight="1" spans="1:11">
      <c r="A1683" s="434"/>
      <c r="B1683" s="434"/>
      <c r="C1683" s="434"/>
      <c r="D1683" s="434"/>
      <c r="E1683" s="434"/>
      <c r="F1683" s="434" t="s">
        <v>1735</v>
      </c>
      <c r="G1683" s="435">
        <v>9.25</v>
      </c>
      <c r="H1683" s="434" t="s">
        <v>1736</v>
      </c>
      <c r="I1683" s="435">
        <v>8.42</v>
      </c>
      <c r="J1683" s="434" t="s">
        <v>1737</v>
      </c>
      <c r="K1683" s="435">
        <v>17.67</v>
      </c>
    </row>
    <row r="1684" customHeight="1" spans="1:11">
      <c r="A1684" s="434"/>
      <c r="B1684" s="434"/>
      <c r="C1684" s="434"/>
      <c r="D1684" s="434"/>
      <c r="E1684" s="434"/>
      <c r="F1684" s="434" t="s">
        <v>1738</v>
      </c>
      <c r="G1684" s="435">
        <v>10.1</v>
      </c>
      <c r="H1684" s="434"/>
      <c r="I1684" s="434" t="s">
        <v>1739</v>
      </c>
      <c r="J1684" s="434"/>
      <c r="K1684" s="435">
        <v>51.07</v>
      </c>
    </row>
    <row r="1685" customHeight="1" spans="1:11">
      <c r="A1685" s="436"/>
      <c r="B1685" s="436"/>
      <c r="C1685" s="436"/>
      <c r="D1685" s="436"/>
      <c r="E1685" s="436"/>
      <c r="F1685" s="436"/>
      <c r="G1685" s="436"/>
      <c r="H1685" s="436" t="s">
        <v>1740</v>
      </c>
      <c r="I1685" s="447" t="s">
        <v>2401</v>
      </c>
      <c r="J1685" s="436" t="s">
        <v>1742</v>
      </c>
      <c r="K1685" s="448">
        <v>1685.31</v>
      </c>
    </row>
    <row r="1686" customHeight="1" spans="1:11">
      <c r="A1686" s="437"/>
      <c r="B1686" s="437"/>
      <c r="C1686" s="437"/>
      <c r="D1686" s="437"/>
      <c r="E1686" s="437"/>
      <c r="F1686" s="437"/>
      <c r="G1686" s="437"/>
      <c r="H1686" s="437"/>
      <c r="I1686" s="437"/>
      <c r="J1686" s="437"/>
      <c r="K1686" s="437"/>
    </row>
    <row r="1687" customHeight="1" spans="1:11">
      <c r="A1687" s="423" t="s">
        <v>545</v>
      </c>
      <c r="B1687" s="424" t="s">
        <v>1714</v>
      </c>
      <c r="C1687" s="423" t="s">
        <v>1715</v>
      </c>
      <c r="D1687" s="423" t="s">
        <v>1716</v>
      </c>
      <c r="E1687" s="423" t="s">
        <v>1717</v>
      </c>
      <c r="F1687" s="423"/>
      <c r="G1687" s="425" t="s">
        <v>1718</v>
      </c>
      <c r="H1687" s="424" t="s">
        <v>1719</v>
      </c>
      <c r="I1687" s="424" t="s">
        <v>1720</v>
      </c>
      <c r="J1687" s="424" t="s">
        <v>1721</v>
      </c>
      <c r="K1687" s="424" t="s">
        <v>1722</v>
      </c>
    </row>
    <row r="1688" customHeight="1" spans="1:11">
      <c r="A1688" s="426" t="s">
        <v>1723</v>
      </c>
      <c r="B1688" s="427" t="s">
        <v>546</v>
      </c>
      <c r="C1688" s="426" t="s">
        <v>71</v>
      </c>
      <c r="D1688" s="426" t="s">
        <v>547</v>
      </c>
      <c r="E1688" s="426" t="s">
        <v>1649</v>
      </c>
      <c r="F1688" s="426"/>
      <c r="G1688" s="428" t="s">
        <v>78</v>
      </c>
      <c r="H1688" s="429">
        <v>1</v>
      </c>
      <c r="I1688" s="445"/>
      <c r="J1688" s="445">
        <v>45.99</v>
      </c>
      <c r="K1688" s="445">
        <v>45.99</v>
      </c>
    </row>
    <row r="1689" customHeight="1" spans="1:11">
      <c r="A1689" s="430" t="s">
        <v>1724</v>
      </c>
      <c r="B1689" s="431" t="s">
        <v>1854</v>
      </c>
      <c r="C1689" s="430" t="s">
        <v>71</v>
      </c>
      <c r="D1689" s="430" t="s">
        <v>1855</v>
      </c>
      <c r="E1689" s="430" t="s">
        <v>1708</v>
      </c>
      <c r="F1689" s="430"/>
      <c r="G1689" s="432" t="s">
        <v>82</v>
      </c>
      <c r="H1689" s="433">
        <v>0.4444</v>
      </c>
      <c r="I1689" s="433">
        <v>0</v>
      </c>
      <c r="J1689" s="446">
        <v>35.55</v>
      </c>
      <c r="K1689" s="446">
        <v>15.79</v>
      </c>
    </row>
    <row r="1690" customHeight="1" spans="1:11">
      <c r="A1690" s="430" t="s">
        <v>1724</v>
      </c>
      <c r="B1690" s="431" t="s">
        <v>1859</v>
      </c>
      <c r="C1690" s="430" t="s">
        <v>71</v>
      </c>
      <c r="D1690" s="430" t="s">
        <v>1860</v>
      </c>
      <c r="E1690" s="430" t="s">
        <v>1708</v>
      </c>
      <c r="F1690" s="430"/>
      <c r="G1690" s="432" t="s">
        <v>82</v>
      </c>
      <c r="H1690" s="433">
        <v>0.4444</v>
      </c>
      <c r="I1690" s="433">
        <v>0</v>
      </c>
      <c r="J1690" s="446">
        <v>29.54</v>
      </c>
      <c r="K1690" s="446">
        <v>13.12</v>
      </c>
    </row>
    <row r="1691" customHeight="1" spans="1:11">
      <c r="A1691" s="438" t="s">
        <v>1750</v>
      </c>
      <c r="B1691" s="439" t="s">
        <v>2284</v>
      </c>
      <c r="C1691" s="438" t="s">
        <v>71</v>
      </c>
      <c r="D1691" s="438" t="s">
        <v>2285</v>
      </c>
      <c r="E1691" s="438" t="s">
        <v>1631</v>
      </c>
      <c r="F1691" s="438"/>
      <c r="G1691" s="440" t="s">
        <v>105</v>
      </c>
      <c r="H1691" s="441">
        <v>0.0247</v>
      </c>
      <c r="I1691" s="441">
        <v>0</v>
      </c>
      <c r="J1691" s="449">
        <v>2.08</v>
      </c>
      <c r="K1691" s="449">
        <v>0.05</v>
      </c>
    </row>
    <row r="1692" customHeight="1" spans="1:11">
      <c r="A1692" s="438" t="s">
        <v>1750</v>
      </c>
      <c r="B1692" s="439" t="s">
        <v>2402</v>
      </c>
      <c r="C1692" s="438" t="s">
        <v>71</v>
      </c>
      <c r="D1692" s="438" t="s">
        <v>2403</v>
      </c>
      <c r="E1692" s="438" t="s">
        <v>1631</v>
      </c>
      <c r="F1692" s="438"/>
      <c r="G1692" s="440" t="s">
        <v>78</v>
      </c>
      <c r="H1692" s="441">
        <v>1.0549</v>
      </c>
      <c r="I1692" s="441">
        <v>0</v>
      </c>
      <c r="J1692" s="449">
        <v>16.15</v>
      </c>
      <c r="K1692" s="449">
        <v>17.03</v>
      </c>
    </row>
    <row r="1693" customHeight="1" spans="1:11">
      <c r="A1693" s="434"/>
      <c r="B1693" s="434"/>
      <c r="C1693" s="434"/>
      <c r="D1693" s="434"/>
      <c r="E1693" s="434"/>
      <c r="F1693" s="434" t="s">
        <v>1735</v>
      </c>
      <c r="G1693" s="435">
        <v>10.78</v>
      </c>
      <c r="H1693" s="434" t="s">
        <v>1736</v>
      </c>
      <c r="I1693" s="435">
        <v>9.81</v>
      </c>
      <c r="J1693" s="434" t="s">
        <v>1737</v>
      </c>
      <c r="K1693" s="435">
        <v>20.59</v>
      </c>
    </row>
    <row r="1694" customHeight="1" spans="1:11">
      <c r="A1694" s="434"/>
      <c r="B1694" s="434"/>
      <c r="C1694" s="434"/>
      <c r="D1694" s="434"/>
      <c r="E1694" s="434"/>
      <c r="F1694" s="434" t="s">
        <v>1738</v>
      </c>
      <c r="G1694" s="435">
        <v>11.34</v>
      </c>
      <c r="H1694" s="434"/>
      <c r="I1694" s="434" t="s">
        <v>1739</v>
      </c>
      <c r="J1694" s="434"/>
      <c r="K1694" s="435">
        <v>57.33</v>
      </c>
    </row>
    <row r="1695" customHeight="1" spans="1:11">
      <c r="A1695" s="436"/>
      <c r="B1695" s="436"/>
      <c r="C1695" s="436"/>
      <c r="D1695" s="436"/>
      <c r="E1695" s="436"/>
      <c r="F1695" s="436"/>
      <c r="G1695" s="436"/>
      <c r="H1695" s="436" t="s">
        <v>1740</v>
      </c>
      <c r="I1695" s="447" t="s">
        <v>2404</v>
      </c>
      <c r="J1695" s="436" t="s">
        <v>1742</v>
      </c>
      <c r="K1695" s="448">
        <v>7452.9</v>
      </c>
    </row>
    <row r="1696" customHeight="1" spans="1:11">
      <c r="A1696" s="437"/>
      <c r="B1696" s="437"/>
      <c r="C1696" s="437"/>
      <c r="D1696" s="437"/>
      <c r="E1696" s="437"/>
      <c r="F1696" s="437"/>
      <c r="G1696" s="437"/>
      <c r="H1696" s="437"/>
      <c r="I1696" s="437"/>
      <c r="J1696" s="437"/>
      <c r="K1696" s="437"/>
    </row>
    <row r="1697" customHeight="1" spans="1:11">
      <c r="A1697" s="423" t="s">
        <v>548</v>
      </c>
      <c r="B1697" s="424" t="s">
        <v>1714</v>
      </c>
      <c r="C1697" s="423" t="s">
        <v>1715</v>
      </c>
      <c r="D1697" s="423" t="s">
        <v>1716</v>
      </c>
      <c r="E1697" s="423" t="s">
        <v>1717</v>
      </c>
      <c r="F1697" s="423"/>
      <c r="G1697" s="425" t="s">
        <v>1718</v>
      </c>
      <c r="H1697" s="424" t="s">
        <v>1719</v>
      </c>
      <c r="I1697" s="424" t="s">
        <v>1720</v>
      </c>
      <c r="J1697" s="424" t="s">
        <v>1721</v>
      </c>
      <c r="K1697" s="424" t="s">
        <v>1722</v>
      </c>
    </row>
    <row r="1698" customHeight="1" spans="1:11">
      <c r="A1698" s="426" t="s">
        <v>1723</v>
      </c>
      <c r="B1698" s="427" t="s">
        <v>549</v>
      </c>
      <c r="C1698" s="426" t="s">
        <v>71</v>
      </c>
      <c r="D1698" s="426" t="s">
        <v>550</v>
      </c>
      <c r="E1698" s="426" t="s">
        <v>1649</v>
      </c>
      <c r="F1698" s="426"/>
      <c r="G1698" s="428" t="s">
        <v>105</v>
      </c>
      <c r="H1698" s="429">
        <v>1</v>
      </c>
      <c r="I1698" s="445"/>
      <c r="J1698" s="445">
        <v>11.06</v>
      </c>
      <c r="K1698" s="445">
        <v>11.06</v>
      </c>
    </row>
    <row r="1699" customHeight="1" spans="1:11">
      <c r="A1699" s="430" t="s">
        <v>1724</v>
      </c>
      <c r="B1699" s="431" t="s">
        <v>1859</v>
      </c>
      <c r="C1699" s="430" t="s">
        <v>71</v>
      </c>
      <c r="D1699" s="430" t="s">
        <v>1860</v>
      </c>
      <c r="E1699" s="430" t="s">
        <v>1708</v>
      </c>
      <c r="F1699" s="430"/>
      <c r="G1699" s="432" t="s">
        <v>82</v>
      </c>
      <c r="H1699" s="433">
        <v>0.0919</v>
      </c>
      <c r="I1699" s="433">
        <v>0</v>
      </c>
      <c r="J1699" s="446">
        <v>29.54</v>
      </c>
      <c r="K1699" s="446">
        <v>2.71</v>
      </c>
    </row>
    <row r="1700" customHeight="1" spans="1:11">
      <c r="A1700" s="430" t="s">
        <v>1724</v>
      </c>
      <c r="B1700" s="431" t="s">
        <v>1854</v>
      </c>
      <c r="C1700" s="430" t="s">
        <v>71</v>
      </c>
      <c r="D1700" s="430" t="s">
        <v>1855</v>
      </c>
      <c r="E1700" s="430" t="s">
        <v>1708</v>
      </c>
      <c r="F1700" s="430"/>
      <c r="G1700" s="432" t="s">
        <v>82</v>
      </c>
      <c r="H1700" s="433">
        <v>0.0919</v>
      </c>
      <c r="I1700" s="433">
        <v>0</v>
      </c>
      <c r="J1700" s="446">
        <v>35.55</v>
      </c>
      <c r="K1700" s="446">
        <v>3.26</v>
      </c>
    </row>
    <row r="1701" customHeight="1" spans="1:11">
      <c r="A1701" s="438" t="s">
        <v>1750</v>
      </c>
      <c r="B1701" s="439" t="s">
        <v>2405</v>
      </c>
      <c r="C1701" s="438" t="s">
        <v>71</v>
      </c>
      <c r="D1701" s="438" t="s">
        <v>2406</v>
      </c>
      <c r="E1701" s="438" t="s">
        <v>1631</v>
      </c>
      <c r="F1701" s="438"/>
      <c r="G1701" s="440" t="s">
        <v>105</v>
      </c>
      <c r="H1701" s="441">
        <v>1</v>
      </c>
      <c r="I1701" s="441">
        <v>0</v>
      </c>
      <c r="J1701" s="449">
        <v>3.58</v>
      </c>
      <c r="K1701" s="449">
        <v>3.58</v>
      </c>
    </row>
    <row r="1702" customHeight="1" spans="1:11">
      <c r="A1702" s="438" t="s">
        <v>1750</v>
      </c>
      <c r="B1702" s="439" t="s">
        <v>2296</v>
      </c>
      <c r="C1702" s="438" t="s">
        <v>71</v>
      </c>
      <c r="D1702" s="438" t="s">
        <v>2297</v>
      </c>
      <c r="E1702" s="438" t="s">
        <v>1631</v>
      </c>
      <c r="F1702" s="438"/>
      <c r="G1702" s="440" t="s">
        <v>105</v>
      </c>
      <c r="H1702" s="441">
        <v>0.0073</v>
      </c>
      <c r="I1702" s="441">
        <v>0</v>
      </c>
      <c r="J1702" s="449">
        <v>72.71</v>
      </c>
      <c r="K1702" s="449">
        <v>0.53</v>
      </c>
    </row>
    <row r="1703" customHeight="1" spans="1:11">
      <c r="A1703" s="438" t="s">
        <v>1750</v>
      </c>
      <c r="B1703" s="439" t="s">
        <v>2294</v>
      </c>
      <c r="C1703" s="438" t="s">
        <v>71</v>
      </c>
      <c r="D1703" s="438" t="s">
        <v>2295</v>
      </c>
      <c r="E1703" s="438" t="s">
        <v>1631</v>
      </c>
      <c r="F1703" s="438"/>
      <c r="G1703" s="440" t="s">
        <v>105</v>
      </c>
      <c r="H1703" s="441">
        <v>0.011</v>
      </c>
      <c r="I1703" s="441">
        <v>0</v>
      </c>
      <c r="J1703" s="449">
        <v>82.38</v>
      </c>
      <c r="K1703" s="449">
        <v>0.9</v>
      </c>
    </row>
    <row r="1704" customHeight="1" spans="1:11">
      <c r="A1704" s="438" t="s">
        <v>1750</v>
      </c>
      <c r="B1704" s="439" t="s">
        <v>2284</v>
      </c>
      <c r="C1704" s="438" t="s">
        <v>71</v>
      </c>
      <c r="D1704" s="438" t="s">
        <v>2285</v>
      </c>
      <c r="E1704" s="438" t="s">
        <v>1631</v>
      </c>
      <c r="F1704" s="438"/>
      <c r="G1704" s="440" t="s">
        <v>105</v>
      </c>
      <c r="H1704" s="441">
        <v>0.039</v>
      </c>
      <c r="I1704" s="441">
        <v>0</v>
      </c>
      <c r="J1704" s="449">
        <v>2.08</v>
      </c>
      <c r="K1704" s="449">
        <v>0.08</v>
      </c>
    </row>
    <row r="1705" customHeight="1" spans="1:11">
      <c r="A1705" s="434"/>
      <c r="B1705" s="434"/>
      <c r="C1705" s="434"/>
      <c r="D1705" s="434"/>
      <c r="E1705" s="434"/>
      <c r="F1705" s="434" t="s">
        <v>1735</v>
      </c>
      <c r="G1705" s="435">
        <v>2.22</v>
      </c>
      <c r="H1705" s="434" t="s">
        <v>1736</v>
      </c>
      <c r="I1705" s="435">
        <v>2.03</v>
      </c>
      <c r="J1705" s="434" t="s">
        <v>1737</v>
      </c>
      <c r="K1705" s="435">
        <v>4.25</v>
      </c>
    </row>
    <row r="1706" customHeight="1" spans="1:11">
      <c r="A1706" s="434"/>
      <c r="B1706" s="434"/>
      <c r="C1706" s="434"/>
      <c r="D1706" s="434"/>
      <c r="E1706" s="434"/>
      <c r="F1706" s="434" t="s">
        <v>1738</v>
      </c>
      <c r="G1706" s="435">
        <v>2.72</v>
      </c>
      <c r="H1706" s="434"/>
      <c r="I1706" s="434" t="s">
        <v>1739</v>
      </c>
      <c r="J1706" s="434"/>
      <c r="K1706" s="435">
        <v>13.78</v>
      </c>
    </row>
    <row r="1707" customHeight="1" spans="1:11">
      <c r="A1707" s="436"/>
      <c r="B1707" s="436"/>
      <c r="C1707" s="436"/>
      <c r="D1707" s="436"/>
      <c r="E1707" s="436"/>
      <c r="F1707" s="436"/>
      <c r="G1707" s="436"/>
      <c r="H1707" s="436" t="s">
        <v>1740</v>
      </c>
      <c r="I1707" s="447" t="s">
        <v>2407</v>
      </c>
      <c r="J1707" s="436" t="s">
        <v>1742</v>
      </c>
      <c r="K1707" s="448">
        <v>427.18</v>
      </c>
    </row>
    <row r="1708" customHeight="1" spans="1:11">
      <c r="A1708" s="437"/>
      <c r="B1708" s="437"/>
      <c r="C1708" s="437"/>
      <c r="D1708" s="437"/>
      <c r="E1708" s="437"/>
      <c r="F1708" s="437"/>
      <c r="G1708" s="437"/>
      <c r="H1708" s="437"/>
      <c r="I1708" s="437"/>
      <c r="J1708" s="437"/>
      <c r="K1708" s="437"/>
    </row>
    <row r="1709" customHeight="1" spans="1:11">
      <c r="A1709" s="423" t="s">
        <v>551</v>
      </c>
      <c r="B1709" s="424" t="s">
        <v>1714</v>
      </c>
      <c r="C1709" s="423" t="s">
        <v>1715</v>
      </c>
      <c r="D1709" s="423" t="s">
        <v>1716</v>
      </c>
      <c r="E1709" s="423" t="s">
        <v>1717</v>
      </c>
      <c r="F1709" s="423"/>
      <c r="G1709" s="425" t="s">
        <v>1718</v>
      </c>
      <c r="H1709" s="424" t="s">
        <v>1719</v>
      </c>
      <c r="I1709" s="424" t="s">
        <v>1720</v>
      </c>
      <c r="J1709" s="424" t="s">
        <v>1721</v>
      </c>
      <c r="K1709" s="424" t="s">
        <v>1722</v>
      </c>
    </row>
    <row r="1710" customHeight="1" spans="1:11">
      <c r="A1710" s="426" t="s">
        <v>1723</v>
      </c>
      <c r="B1710" s="427" t="s">
        <v>552</v>
      </c>
      <c r="C1710" s="426" t="s">
        <v>71</v>
      </c>
      <c r="D1710" s="426" t="s">
        <v>553</v>
      </c>
      <c r="E1710" s="426" t="s">
        <v>1649</v>
      </c>
      <c r="F1710" s="426"/>
      <c r="G1710" s="428" t="s">
        <v>105</v>
      </c>
      <c r="H1710" s="429">
        <v>1</v>
      </c>
      <c r="I1710" s="445"/>
      <c r="J1710" s="445">
        <v>17.87</v>
      </c>
      <c r="K1710" s="445">
        <v>17.87</v>
      </c>
    </row>
    <row r="1711" customHeight="1" spans="1:11">
      <c r="A1711" s="430" t="s">
        <v>1724</v>
      </c>
      <c r="B1711" s="431" t="s">
        <v>1859</v>
      </c>
      <c r="C1711" s="430" t="s">
        <v>71</v>
      </c>
      <c r="D1711" s="430" t="s">
        <v>1860</v>
      </c>
      <c r="E1711" s="430" t="s">
        <v>1708</v>
      </c>
      <c r="F1711" s="430"/>
      <c r="G1711" s="432" t="s">
        <v>82</v>
      </c>
      <c r="H1711" s="433">
        <v>0.1102</v>
      </c>
      <c r="I1711" s="433">
        <v>0</v>
      </c>
      <c r="J1711" s="446">
        <v>29.54</v>
      </c>
      <c r="K1711" s="446">
        <v>3.25</v>
      </c>
    </row>
    <row r="1712" customHeight="1" spans="1:11">
      <c r="A1712" s="430" t="s">
        <v>1724</v>
      </c>
      <c r="B1712" s="431" t="s">
        <v>1854</v>
      </c>
      <c r="C1712" s="430" t="s">
        <v>71</v>
      </c>
      <c r="D1712" s="430" t="s">
        <v>1855</v>
      </c>
      <c r="E1712" s="430" t="s">
        <v>1708</v>
      </c>
      <c r="F1712" s="430"/>
      <c r="G1712" s="432" t="s">
        <v>82</v>
      </c>
      <c r="H1712" s="433">
        <v>0.1102</v>
      </c>
      <c r="I1712" s="433">
        <v>0</v>
      </c>
      <c r="J1712" s="446">
        <v>35.55</v>
      </c>
      <c r="K1712" s="446">
        <v>3.91</v>
      </c>
    </row>
    <row r="1713" customHeight="1" spans="1:11">
      <c r="A1713" s="438" t="s">
        <v>1750</v>
      </c>
      <c r="B1713" s="439" t="s">
        <v>2296</v>
      </c>
      <c r="C1713" s="438" t="s">
        <v>71</v>
      </c>
      <c r="D1713" s="438" t="s">
        <v>2297</v>
      </c>
      <c r="E1713" s="438" t="s">
        <v>1631</v>
      </c>
      <c r="F1713" s="438"/>
      <c r="G1713" s="440" t="s">
        <v>105</v>
      </c>
      <c r="H1713" s="441">
        <v>0.0167</v>
      </c>
      <c r="I1713" s="441">
        <v>0</v>
      </c>
      <c r="J1713" s="449">
        <v>72.71</v>
      </c>
      <c r="K1713" s="449">
        <v>1.21</v>
      </c>
    </row>
    <row r="1714" customHeight="1" spans="1:11">
      <c r="A1714" s="438" t="s">
        <v>1750</v>
      </c>
      <c r="B1714" s="439" t="s">
        <v>2284</v>
      </c>
      <c r="C1714" s="438" t="s">
        <v>71</v>
      </c>
      <c r="D1714" s="438" t="s">
        <v>2285</v>
      </c>
      <c r="E1714" s="438" t="s">
        <v>1631</v>
      </c>
      <c r="F1714" s="438"/>
      <c r="G1714" s="440" t="s">
        <v>105</v>
      </c>
      <c r="H1714" s="441">
        <v>0.046</v>
      </c>
      <c r="I1714" s="441">
        <v>0</v>
      </c>
      <c r="J1714" s="449">
        <v>2.08</v>
      </c>
      <c r="K1714" s="449">
        <v>0.09</v>
      </c>
    </row>
    <row r="1715" customHeight="1" spans="1:11">
      <c r="A1715" s="438" t="s">
        <v>1750</v>
      </c>
      <c r="B1715" s="439" t="s">
        <v>2294</v>
      </c>
      <c r="C1715" s="438" t="s">
        <v>71</v>
      </c>
      <c r="D1715" s="438" t="s">
        <v>2295</v>
      </c>
      <c r="E1715" s="438" t="s">
        <v>1631</v>
      </c>
      <c r="F1715" s="438"/>
      <c r="G1715" s="440" t="s">
        <v>105</v>
      </c>
      <c r="H1715" s="441">
        <v>0.026</v>
      </c>
      <c r="I1715" s="441">
        <v>0</v>
      </c>
      <c r="J1715" s="449">
        <v>82.38</v>
      </c>
      <c r="K1715" s="449">
        <v>2.14</v>
      </c>
    </row>
    <row r="1716" customHeight="1" spans="1:11">
      <c r="A1716" s="438" t="s">
        <v>1750</v>
      </c>
      <c r="B1716" s="439" t="s">
        <v>2408</v>
      </c>
      <c r="C1716" s="438" t="s">
        <v>71</v>
      </c>
      <c r="D1716" s="438" t="s">
        <v>2409</v>
      </c>
      <c r="E1716" s="438" t="s">
        <v>1631</v>
      </c>
      <c r="F1716" s="438"/>
      <c r="G1716" s="440" t="s">
        <v>105</v>
      </c>
      <c r="H1716" s="441">
        <v>1</v>
      </c>
      <c r="I1716" s="441">
        <v>0</v>
      </c>
      <c r="J1716" s="449">
        <v>7.27</v>
      </c>
      <c r="K1716" s="449">
        <v>7.27</v>
      </c>
    </row>
    <row r="1717" customHeight="1" spans="1:11">
      <c r="A1717" s="434"/>
      <c r="B1717" s="434"/>
      <c r="C1717" s="434"/>
      <c r="D1717" s="434"/>
      <c r="E1717" s="434"/>
      <c r="F1717" s="434" t="s">
        <v>1735</v>
      </c>
      <c r="G1717" s="435">
        <v>2.67</v>
      </c>
      <c r="H1717" s="434" t="s">
        <v>1736</v>
      </c>
      <c r="I1717" s="435">
        <v>2.43</v>
      </c>
      <c r="J1717" s="434" t="s">
        <v>1737</v>
      </c>
      <c r="K1717" s="435">
        <v>5.1</v>
      </c>
    </row>
    <row r="1718" customHeight="1" spans="1:11">
      <c r="A1718" s="434"/>
      <c r="B1718" s="434"/>
      <c r="C1718" s="434"/>
      <c r="D1718" s="434"/>
      <c r="E1718" s="434"/>
      <c r="F1718" s="434" t="s">
        <v>1738</v>
      </c>
      <c r="G1718" s="435">
        <v>4.4</v>
      </c>
      <c r="H1718" s="434"/>
      <c r="I1718" s="434" t="s">
        <v>1739</v>
      </c>
      <c r="J1718" s="434"/>
      <c r="K1718" s="435">
        <v>22.27</v>
      </c>
    </row>
    <row r="1719" customHeight="1" spans="1:11">
      <c r="A1719" s="436"/>
      <c r="B1719" s="436"/>
      <c r="C1719" s="436"/>
      <c r="D1719" s="436"/>
      <c r="E1719" s="436"/>
      <c r="F1719" s="436"/>
      <c r="G1719" s="436"/>
      <c r="H1719" s="436" t="s">
        <v>1740</v>
      </c>
      <c r="I1719" s="447" t="s">
        <v>2410</v>
      </c>
      <c r="J1719" s="436" t="s">
        <v>1742</v>
      </c>
      <c r="K1719" s="448">
        <v>534.48</v>
      </c>
    </row>
    <row r="1720" customHeight="1" spans="1:11">
      <c r="A1720" s="437"/>
      <c r="B1720" s="437"/>
      <c r="C1720" s="437"/>
      <c r="D1720" s="437"/>
      <c r="E1720" s="437"/>
      <c r="F1720" s="437"/>
      <c r="G1720" s="437"/>
      <c r="H1720" s="437"/>
      <c r="I1720" s="437"/>
      <c r="J1720" s="437"/>
      <c r="K1720" s="437"/>
    </row>
    <row r="1721" customHeight="1" spans="1:11">
      <c r="A1721" s="423" t="s">
        <v>554</v>
      </c>
      <c r="B1721" s="424" t="s">
        <v>1714</v>
      </c>
      <c r="C1721" s="423" t="s">
        <v>1715</v>
      </c>
      <c r="D1721" s="423" t="s">
        <v>1716</v>
      </c>
      <c r="E1721" s="423" t="s">
        <v>1717</v>
      </c>
      <c r="F1721" s="423"/>
      <c r="G1721" s="425" t="s">
        <v>1718</v>
      </c>
      <c r="H1721" s="424" t="s">
        <v>1719</v>
      </c>
      <c r="I1721" s="424" t="s">
        <v>1720</v>
      </c>
      <c r="J1721" s="424" t="s">
        <v>1721</v>
      </c>
      <c r="K1721" s="424" t="s">
        <v>1722</v>
      </c>
    </row>
    <row r="1722" customHeight="1" spans="1:11">
      <c r="A1722" s="426" t="s">
        <v>1723</v>
      </c>
      <c r="B1722" s="427" t="s">
        <v>555</v>
      </c>
      <c r="C1722" s="426" t="s">
        <v>71</v>
      </c>
      <c r="D1722" s="426" t="s">
        <v>556</v>
      </c>
      <c r="E1722" s="426" t="s">
        <v>1649</v>
      </c>
      <c r="F1722" s="426"/>
      <c r="G1722" s="428" t="s">
        <v>105</v>
      </c>
      <c r="H1722" s="429">
        <v>1</v>
      </c>
      <c r="I1722" s="445"/>
      <c r="J1722" s="445">
        <v>37.79</v>
      </c>
      <c r="K1722" s="445">
        <v>37.79</v>
      </c>
    </row>
    <row r="1723" customHeight="1" spans="1:11">
      <c r="A1723" s="430" t="s">
        <v>1724</v>
      </c>
      <c r="B1723" s="431" t="s">
        <v>1859</v>
      </c>
      <c r="C1723" s="430" t="s">
        <v>71</v>
      </c>
      <c r="D1723" s="430" t="s">
        <v>1860</v>
      </c>
      <c r="E1723" s="430" t="s">
        <v>1708</v>
      </c>
      <c r="F1723" s="430"/>
      <c r="G1723" s="432" t="s">
        <v>82</v>
      </c>
      <c r="H1723" s="433">
        <v>0.1284</v>
      </c>
      <c r="I1723" s="433">
        <v>0</v>
      </c>
      <c r="J1723" s="446">
        <v>29.54</v>
      </c>
      <c r="K1723" s="446">
        <v>3.79</v>
      </c>
    </row>
    <row r="1724" customHeight="1" spans="1:11">
      <c r="A1724" s="430" t="s">
        <v>1724</v>
      </c>
      <c r="B1724" s="431" t="s">
        <v>1854</v>
      </c>
      <c r="C1724" s="430" t="s">
        <v>71</v>
      </c>
      <c r="D1724" s="430" t="s">
        <v>1855</v>
      </c>
      <c r="E1724" s="430" t="s">
        <v>1708</v>
      </c>
      <c r="F1724" s="430"/>
      <c r="G1724" s="432" t="s">
        <v>82</v>
      </c>
      <c r="H1724" s="433">
        <v>0.1284</v>
      </c>
      <c r="I1724" s="433">
        <v>0</v>
      </c>
      <c r="J1724" s="446">
        <v>35.55</v>
      </c>
      <c r="K1724" s="446">
        <v>4.56</v>
      </c>
    </row>
    <row r="1725" customHeight="1" spans="1:11">
      <c r="A1725" s="438" t="s">
        <v>1750</v>
      </c>
      <c r="B1725" s="439" t="s">
        <v>2411</v>
      </c>
      <c r="C1725" s="438" t="s">
        <v>71</v>
      </c>
      <c r="D1725" s="438" t="s">
        <v>2412</v>
      </c>
      <c r="E1725" s="438" t="s">
        <v>1631</v>
      </c>
      <c r="F1725" s="438"/>
      <c r="G1725" s="440" t="s">
        <v>105</v>
      </c>
      <c r="H1725" s="441">
        <v>0.115</v>
      </c>
      <c r="I1725" s="441">
        <v>0</v>
      </c>
      <c r="J1725" s="449">
        <v>30.01</v>
      </c>
      <c r="K1725" s="449">
        <v>3.45</v>
      </c>
    </row>
    <row r="1726" customHeight="1" spans="1:11">
      <c r="A1726" s="438" t="s">
        <v>1750</v>
      </c>
      <c r="B1726" s="439" t="s">
        <v>2413</v>
      </c>
      <c r="C1726" s="438" t="s">
        <v>71</v>
      </c>
      <c r="D1726" s="438" t="s">
        <v>2414</v>
      </c>
      <c r="E1726" s="438" t="s">
        <v>1631</v>
      </c>
      <c r="F1726" s="438"/>
      <c r="G1726" s="440" t="s">
        <v>105</v>
      </c>
      <c r="H1726" s="441">
        <v>2</v>
      </c>
      <c r="I1726" s="441">
        <v>0</v>
      </c>
      <c r="J1726" s="449">
        <v>3</v>
      </c>
      <c r="K1726" s="449">
        <v>6</v>
      </c>
    </row>
    <row r="1727" customHeight="1" spans="1:11">
      <c r="A1727" s="438" t="s">
        <v>1750</v>
      </c>
      <c r="B1727" s="439" t="s">
        <v>2415</v>
      </c>
      <c r="C1727" s="438" t="s">
        <v>71</v>
      </c>
      <c r="D1727" s="438" t="s">
        <v>2416</v>
      </c>
      <c r="E1727" s="438" t="s">
        <v>1631</v>
      </c>
      <c r="F1727" s="438"/>
      <c r="G1727" s="440" t="s">
        <v>105</v>
      </c>
      <c r="H1727" s="441">
        <v>1</v>
      </c>
      <c r="I1727" s="441">
        <v>0</v>
      </c>
      <c r="J1727" s="449">
        <v>19.99</v>
      </c>
      <c r="K1727" s="449">
        <v>19.99</v>
      </c>
    </row>
    <row r="1728" customHeight="1" spans="1:11">
      <c r="A1728" s="434"/>
      <c r="B1728" s="434"/>
      <c r="C1728" s="434"/>
      <c r="D1728" s="434"/>
      <c r="E1728" s="434"/>
      <c r="F1728" s="434" t="s">
        <v>1735</v>
      </c>
      <c r="G1728" s="435">
        <v>3.11</v>
      </c>
      <c r="H1728" s="434" t="s">
        <v>1736</v>
      </c>
      <c r="I1728" s="435">
        <v>2.83</v>
      </c>
      <c r="J1728" s="434" t="s">
        <v>1737</v>
      </c>
      <c r="K1728" s="435">
        <v>5.94</v>
      </c>
    </row>
    <row r="1729" customHeight="1" spans="1:11">
      <c r="A1729" s="434"/>
      <c r="B1729" s="434"/>
      <c r="C1729" s="434"/>
      <c r="D1729" s="434"/>
      <c r="E1729" s="434"/>
      <c r="F1729" s="434" t="s">
        <v>1738</v>
      </c>
      <c r="G1729" s="435">
        <v>9.31</v>
      </c>
      <c r="H1729" s="434"/>
      <c r="I1729" s="434" t="s">
        <v>1739</v>
      </c>
      <c r="J1729" s="434"/>
      <c r="K1729" s="435">
        <v>47.1</v>
      </c>
    </row>
    <row r="1730" customHeight="1" spans="1:11">
      <c r="A1730" s="436"/>
      <c r="B1730" s="436"/>
      <c r="C1730" s="436"/>
      <c r="D1730" s="436"/>
      <c r="E1730" s="436"/>
      <c r="F1730" s="436"/>
      <c r="G1730" s="436"/>
      <c r="H1730" s="436" t="s">
        <v>1740</v>
      </c>
      <c r="I1730" s="447" t="s">
        <v>2410</v>
      </c>
      <c r="J1730" s="436" t="s">
        <v>1742</v>
      </c>
      <c r="K1730" s="448">
        <v>1130.4</v>
      </c>
    </row>
    <row r="1731" customHeight="1" spans="1:11">
      <c r="A1731" s="437"/>
      <c r="B1731" s="437"/>
      <c r="C1731" s="437"/>
      <c r="D1731" s="437"/>
      <c r="E1731" s="437"/>
      <c r="F1731" s="437"/>
      <c r="G1731" s="437"/>
      <c r="H1731" s="437"/>
      <c r="I1731" s="437"/>
      <c r="J1731" s="437"/>
      <c r="K1731" s="437"/>
    </row>
    <row r="1732" customHeight="1" spans="1:11">
      <c r="A1732" s="423" t="s">
        <v>557</v>
      </c>
      <c r="B1732" s="424" t="s">
        <v>1714</v>
      </c>
      <c r="C1732" s="423" t="s">
        <v>1715</v>
      </c>
      <c r="D1732" s="423" t="s">
        <v>1716</v>
      </c>
      <c r="E1732" s="423" t="s">
        <v>1717</v>
      </c>
      <c r="F1732" s="423"/>
      <c r="G1732" s="425" t="s">
        <v>1718</v>
      </c>
      <c r="H1732" s="424" t="s">
        <v>1719</v>
      </c>
      <c r="I1732" s="424" t="s">
        <v>1720</v>
      </c>
      <c r="J1732" s="424" t="s">
        <v>1721</v>
      </c>
      <c r="K1732" s="424" t="s">
        <v>1722</v>
      </c>
    </row>
    <row r="1733" customHeight="1" spans="1:11">
      <c r="A1733" s="426" t="s">
        <v>1723</v>
      </c>
      <c r="B1733" s="427" t="s">
        <v>558</v>
      </c>
      <c r="C1733" s="426" t="s">
        <v>71</v>
      </c>
      <c r="D1733" s="426" t="s">
        <v>559</v>
      </c>
      <c r="E1733" s="426" t="s">
        <v>1649</v>
      </c>
      <c r="F1733" s="426"/>
      <c r="G1733" s="428" t="s">
        <v>105</v>
      </c>
      <c r="H1733" s="429">
        <v>1</v>
      </c>
      <c r="I1733" s="445"/>
      <c r="J1733" s="445">
        <v>17.95</v>
      </c>
      <c r="K1733" s="445">
        <v>17.95</v>
      </c>
    </row>
    <row r="1734" customHeight="1" spans="1:11">
      <c r="A1734" s="430" t="s">
        <v>1724</v>
      </c>
      <c r="B1734" s="431" t="s">
        <v>1859</v>
      </c>
      <c r="C1734" s="430" t="s">
        <v>71</v>
      </c>
      <c r="D1734" s="430" t="s">
        <v>1860</v>
      </c>
      <c r="E1734" s="430" t="s">
        <v>1708</v>
      </c>
      <c r="F1734" s="430"/>
      <c r="G1734" s="432" t="s">
        <v>82</v>
      </c>
      <c r="H1734" s="433">
        <v>0.1379</v>
      </c>
      <c r="I1734" s="433">
        <v>0</v>
      </c>
      <c r="J1734" s="446">
        <v>29.54</v>
      </c>
      <c r="K1734" s="446">
        <v>4.07</v>
      </c>
    </row>
    <row r="1735" customHeight="1" spans="1:11">
      <c r="A1735" s="430" t="s">
        <v>1724</v>
      </c>
      <c r="B1735" s="431" t="s">
        <v>1854</v>
      </c>
      <c r="C1735" s="430" t="s">
        <v>71</v>
      </c>
      <c r="D1735" s="430" t="s">
        <v>1855</v>
      </c>
      <c r="E1735" s="430" t="s">
        <v>1708</v>
      </c>
      <c r="F1735" s="430"/>
      <c r="G1735" s="432" t="s">
        <v>82</v>
      </c>
      <c r="H1735" s="433">
        <v>0.1379</v>
      </c>
      <c r="I1735" s="433">
        <v>0</v>
      </c>
      <c r="J1735" s="446">
        <v>35.55</v>
      </c>
      <c r="K1735" s="446">
        <v>4.9</v>
      </c>
    </row>
    <row r="1736" customHeight="1" spans="1:11">
      <c r="A1736" s="438" t="s">
        <v>1750</v>
      </c>
      <c r="B1736" s="439" t="s">
        <v>2417</v>
      </c>
      <c r="C1736" s="438" t="s">
        <v>71</v>
      </c>
      <c r="D1736" s="438" t="s">
        <v>2418</v>
      </c>
      <c r="E1736" s="438" t="s">
        <v>1631</v>
      </c>
      <c r="F1736" s="438"/>
      <c r="G1736" s="440" t="s">
        <v>105</v>
      </c>
      <c r="H1736" s="441">
        <v>1</v>
      </c>
      <c r="I1736" s="441">
        <v>0</v>
      </c>
      <c r="J1736" s="449">
        <v>4.1</v>
      </c>
      <c r="K1736" s="449">
        <v>4.1</v>
      </c>
    </row>
    <row r="1737" customHeight="1" spans="1:11">
      <c r="A1737" s="438" t="s">
        <v>1750</v>
      </c>
      <c r="B1737" s="439" t="s">
        <v>2419</v>
      </c>
      <c r="C1737" s="438" t="s">
        <v>71</v>
      </c>
      <c r="D1737" s="438" t="s">
        <v>2420</v>
      </c>
      <c r="E1737" s="438" t="s">
        <v>1631</v>
      </c>
      <c r="F1737" s="438"/>
      <c r="G1737" s="440" t="s">
        <v>105</v>
      </c>
      <c r="H1737" s="441">
        <v>2</v>
      </c>
      <c r="I1737" s="441">
        <v>0</v>
      </c>
      <c r="J1737" s="449">
        <v>1.69</v>
      </c>
      <c r="K1737" s="449">
        <v>3.38</v>
      </c>
    </row>
    <row r="1738" customHeight="1" spans="1:11">
      <c r="A1738" s="438" t="s">
        <v>1750</v>
      </c>
      <c r="B1738" s="439" t="s">
        <v>2411</v>
      </c>
      <c r="C1738" s="438" t="s">
        <v>71</v>
      </c>
      <c r="D1738" s="438" t="s">
        <v>2412</v>
      </c>
      <c r="E1738" s="438" t="s">
        <v>1631</v>
      </c>
      <c r="F1738" s="438"/>
      <c r="G1738" s="440" t="s">
        <v>105</v>
      </c>
      <c r="H1738" s="441">
        <v>0.05</v>
      </c>
      <c r="I1738" s="441">
        <v>0</v>
      </c>
      <c r="J1738" s="449">
        <v>30.01</v>
      </c>
      <c r="K1738" s="449">
        <v>1.5</v>
      </c>
    </row>
    <row r="1739" customHeight="1" spans="1:11">
      <c r="A1739" s="434"/>
      <c r="B1739" s="434"/>
      <c r="C1739" s="434"/>
      <c r="D1739" s="434"/>
      <c r="E1739" s="434"/>
      <c r="F1739" s="434" t="s">
        <v>1735</v>
      </c>
      <c r="G1739" s="435">
        <v>3.34</v>
      </c>
      <c r="H1739" s="434" t="s">
        <v>1736</v>
      </c>
      <c r="I1739" s="435">
        <v>3.05</v>
      </c>
      <c r="J1739" s="434" t="s">
        <v>1737</v>
      </c>
      <c r="K1739" s="435">
        <v>6.39</v>
      </c>
    </row>
    <row r="1740" customHeight="1" spans="1:11">
      <c r="A1740" s="434"/>
      <c r="B1740" s="434"/>
      <c r="C1740" s="434"/>
      <c r="D1740" s="434"/>
      <c r="E1740" s="434"/>
      <c r="F1740" s="434" t="s">
        <v>1738</v>
      </c>
      <c r="G1740" s="435">
        <v>4.42</v>
      </c>
      <c r="H1740" s="434"/>
      <c r="I1740" s="434" t="s">
        <v>1739</v>
      </c>
      <c r="J1740" s="434"/>
      <c r="K1740" s="435">
        <v>22.37</v>
      </c>
    </row>
    <row r="1741" customHeight="1" spans="1:11">
      <c r="A1741" s="436"/>
      <c r="B1741" s="436"/>
      <c r="C1741" s="436"/>
      <c r="D1741" s="436"/>
      <c r="E1741" s="436"/>
      <c r="F1741" s="436"/>
      <c r="G1741" s="436"/>
      <c r="H1741" s="436" t="s">
        <v>1740</v>
      </c>
      <c r="I1741" s="447" t="s">
        <v>2236</v>
      </c>
      <c r="J1741" s="436" t="s">
        <v>1742</v>
      </c>
      <c r="K1741" s="448">
        <v>111.85</v>
      </c>
    </row>
    <row r="1742" customHeight="1" spans="1:11">
      <c r="A1742" s="437"/>
      <c r="B1742" s="437"/>
      <c r="C1742" s="437"/>
      <c r="D1742" s="437"/>
      <c r="E1742" s="437"/>
      <c r="F1742" s="437"/>
      <c r="G1742" s="437"/>
      <c r="H1742" s="437"/>
      <c r="I1742" s="437"/>
      <c r="J1742" s="437"/>
      <c r="K1742" s="437"/>
    </row>
    <row r="1743" customHeight="1" spans="1:11">
      <c r="A1743" s="423" t="s">
        <v>560</v>
      </c>
      <c r="B1743" s="424" t="s">
        <v>1714</v>
      </c>
      <c r="C1743" s="423" t="s">
        <v>1715</v>
      </c>
      <c r="D1743" s="423" t="s">
        <v>1716</v>
      </c>
      <c r="E1743" s="423" t="s">
        <v>1717</v>
      </c>
      <c r="F1743" s="423"/>
      <c r="G1743" s="425" t="s">
        <v>1718</v>
      </c>
      <c r="H1743" s="424" t="s">
        <v>1719</v>
      </c>
      <c r="I1743" s="424" t="s">
        <v>1720</v>
      </c>
      <c r="J1743" s="424" t="s">
        <v>1721</v>
      </c>
      <c r="K1743" s="424" t="s">
        <v>1722</v>
      </c>
    </row>
    <row r="1744" customHeight="1" spans="1:11">
      <c r="A1744" s="426" t="s">
        <v>1723</v>
      </c>
      <c r="B1744" s="427" t="s">
        <v>561</v>
      </c>
      <c r="C1744" s="426" t="s">
        <v>71</v>
      </c>
      <c r="D1744" s="426" t="s">
        <v>562</v>
      </c>
      <c r="E1744" s="426" t="s">
        <v>1649</v>
      </c>
      <c r="F1744" s="426"/>
      <c r="G1744" s="428" t="s">
        <v>105</v>
      </c>
      <c r="H1744" s="429">
        <v>1</v>
      </c>
      <c r="I1744" s="445"/>
      <c r="J1744" s="445">
        <v>31.88</v>
      </c>
      <c r="K1744" s="445">
        <v>31.88</v>
      </c>
    </row>
    <row r="1745" customHeight="1" spans="1:11">
      <c r="A1745" s="430" t="s">
        <v>1724</v>
      </c>
      <c r="B1745" s="431" t="s">
        <v>1854</v>
      </c>
      <c r="C1745" s="430" t="s">
        <v>71</v>
      </c>
      <c r="D1745" s="430" t="s">
        <v>1855</v>
      </c>
      <c r="E1745" s="430" t="s">
        <v>1708</v>
      </c>
      <c r="F1745" s="430"/>
      <c r="G1745" s="432" t="s">
        <v>82</v>
      </c>
      <c r="H1745" s="433">
        <v>0.1926</v>
      </c>
      <c r="I1745" s="433">
        <v>0</v>
      </c>
      <c r="J1745" s="446">
        <v>35.55</v>
      </c>
      <c r="K1745" s="446">
        <v>6.84</v>
      </c>
    </row>
    <row r="1746" customHeight="1" spans="1:11">
      <c r="A1746" s="430" t="s">
        <v>1724</v>
      </c>
      <c r="B1746" s="431" t="s">
        <v>1859</v>
      </c>
      <c r="C1746" s="430" t="s">
        <v>71</v>
      </c>
      <c r="D1746" s="430" t="s">
        <v>1860</v>
      </c>
      <c r="E1746" s="430" t="s">
        <v>1708</v>
      </c>
      <c r="F1746" s="430"/>
      <c r="G1746" s="432" t="s">
        <v>82</v>
      </c>
      <c r="H1746" s="433">
        <v>0.1926</v>
      </c>
      <c r="I1746" s="433">
        <v>0</v>
      </c>
      <c r="J1746" s="446">
        <v>29.54</v>
      </c>
      <c r="K1746" s="446">
        <v>5.68</v>
      </c>
    </row>
    <row r="1747" customHeight="1" spans="1:11">
      <c r="A1747" s="438" t="s">
        <v>1750</v>
      </c>
      <c r="B1747" s="439" t="s">
        <v>2421</v>
      </c>
      <c r="C1747" s="438" t="s">
        <v>71</v>
      </c>
      <c r="D1747" s="438" t="s">
        <v>2422</v>
      </c>
      <c r="E1747" s="438" t="s">
        <v>1631</v>
      </c>
      <c r="F1747" s="438"/>
      <c r="G1747" s="440" t="s">
        <v>105</v>
      </c>
      <c r="H1747" s="441">
        <v>1</v>
      </c>
      <c r="I1747" s="441">
        <v>0</v>
      </c>
      <c r="J1747" s="449">
        <v>9.91</v>
      </c>
      <c r="K1747" s="449">
        <v>9.91</v>
      </c>
    </row>
    <row r="1748" customHeight="1" spans="1:11">
      <c r="A1748" s="438" t="s">
        <v>1750</v>
      </c>
      <c r="B1748" s="439" t="s">
        <v>2413</v>
      </c>
      <c r="C1748" s="438" t="s">
        <v>71</v>
      </c>
      <c r="D1748" s="438" t="s">
        <v>2414</v>
      </c>
      <c r="E1748" s="438" t="s">
        <v>1631</v>
      </c>
      <c r="F1748" s="438"/>
      <c r="G1748" s="440" t="s">
        <v>105</v>
      </c>
      <c r="H1748" s="441">
        <v>2</v>
      </c>
      <c r="I1748" s="441">
        <v>0</v>
      </c>
      <c r="J1748" s="449">
        <v>3</v>
      </c>
      <c r="K1748" s="449">
        <v>6</v>
      </c>
    </row>
    <row r="1749" customHeight="1" spans="1:11">
      <c r="A1749" s="438" t="s">
        <v>1750</v>
      </c>
      <c r="B1749" s="439" t="s">
        <v>2411</v>
      </c>
      <c r="C1749" s="438" t="s">
        <v>71</v>
      </c>
      <c r="D1749" s="438" t="s">
        <v>2412</v>
      </c>
      <c r="E1749" s="438" t="s">
        <v>1631</v>
      </c>
      <c r="F1749" s="438"/>
      <c r="G1749" s="440" t="s">
        <v>105</v>
      </c>
      <c r="H1749" s="441">
        <v>0.115</v>
      </c>
      <c r="I1749" s="441">
        <v>0</v>
      </c>
      <c r="J1749" s="449">
        <v>30.01</v>
      </c>
      <c r="K1749" s="449">
        <v>3.45</v>
      </c>
    </row>
    <row r="1750" customHeight="1" spans="1:11">
      <c r="A1750" s="434"/>
      <c r="B1750" s="434"/>
      <c r="C1750" s="434"/>
      <c r="D1750" s="434"/>
      <c r="E1750" s="434"/>
      <c r="F1750" s="434" t="s">
        <v>1735</v>
      </c>
      <c r="G1750" s="435">
        <v>4.67</v>
      </c>
      <c r="H1750" s="434" t="s">
        <v>1736</v>
      </c>
      <c r="I1750" s="435">
        <v>4.25</v>
      </c>
      <c r="J1750" s="434" t="s">
        <v>1737</v>
      </c>
      <c r="K1750" s="435">
        <v>8.92</v>
      </c>
    </row>
    <row r="1751" customHeight="1" spans="1:11">
      <c r="A1751" s="434"/>
      <c r="B1751" s="434"/>
      <c r="C1751" s="434"/>
      <c r="D1751" s="434"/>
      <c r="E1751" s="434"/>
      <c r="F1751" s="434" t="s">
        <v>1738</v>
      </c>
      <c r="G1751" s="435">
        <v>7.86</v>
      </c>
      <c r="H1751" s="434"/>
      <c r="I1751" s="434" t="s">
        <v>1739</v>
      </c>
      <c r="J1751" s="434"/>
      <c r="K1751" s="435">
        <v>39.74</v>
      </c>
    </row>
    <row r="1752" customHeight="1" spans="1:11">
      <c r="A1752" s="436"/>
      <c r="B1752" s="436"/>
      <c r="C1752" s="436"/>
      <c r="D1752" s="436"/>
      <c r="E1752" s="436"/>
      <c r="F1752" s="436"/>
      <c r="G1752" s="436"/>
      <c r="H1752" s="436" t="s">
        <v>1740</v>
      </c>
      <c r="I1752" s="447" t="s">
        <v>1971</v>
      </c>
      <c r="J1752" s="436" t="s">
        <v>1742</v>
      </c>
      <c r="K1752" s="448">
        <v>79.48</v>
      </c>
    </row>
    <row r="1753" customHeight="1" spans="1:11">
      <c r="A1753" s="437"/>
      <c r="B1753" s="437"/>
      <c r="C1753" s="437"/>
      <c r="D1753" s="437"/>
      <c r="E1753" s="437"/>
      <c r="F1753" s="437"/>
      <c r="G1753" s="437"/>
      <c r="H1753" s="437"/>
      <c r="I1753" s="437"/>
      <c r="J1753" s="437"/>
      <c r="K1753" s="437"/>
    </row>
    <row r="1754" customHeight="1" spans="1:11">
      <c r="A1754" s="423" t="s">
        <v>563</v>
      </c>
      <c r="B1754" s="424" t="s">
        <v>1714</v>
      </c>
      <c r="C1754" s="423" t="s">
        <v>1715</v>
      </c>
      <c r="D1754" s="423" t="s">
        <v>1716</v>
      </c>
      <c r="E1754" s="423" t="s">
        <v>1717</v>
      </c>
      <c r="F1754" s="423"/>
      <c r="G1754" s="425" t="s">
        <v>1718</v>
      </c>
      <c r="H1754" s="424" t="s">
        <v>1719</v>
      </c>
      <c r="I1754" s="424" t="s">
        <v>1720</v>
      </c>
      <c r="J1754" s="424" t="s">
        <v>1721</v>
      </c>
      <c r="K1754" s="424" t="s">
        <v>1722</v>
      </c>
    </row>
    <row r="1755" customHeight="1" spans="1:11">
      <c r="A1755" s="426" t="s">
        <v>1723</v>
      </c>
      <c r="B1755" s="427" t="s">
        <v>564</v>
      </c>
      <c r="C1755" s="426" t="s">
        <v>71</v>
      </c>
      <c r="D1755" s="426" t="s">
        <v>565</v>
      </c>
      <c r="E1755" s="426" t="s">
        <v>1649</v>
      </c>
      <c r="F1755" s="426"/>
      <c r="G1755" s="428" t="s">
        <v>105</v>
      </c>
      <c r="H1755" s="429">
        <v>1</v>
      </c>
      <c r="I1755" s="445"/>
      <c r="J1755" s="445">
        <v>30.97</v>
      </c>
      <c r="K1755" s="445">
        <v>30.97</v>
      </c>
    </row>
    <row r="1756" customHeight="1" spans="1:11">
      <c r="A1756" s="430" t="s">
        <v>1724</v>
      </c>
      <c r="B1756" s="431" t="s">
        <v>1859</v>
      </c>
      <c r="C1756" s="430" t="s">
        <v>71</v>
      </c>
      <c r="D1756" s="430" t="s">
        <v>1860</v>
      </c>
      <c r="E1756" s="430" t="s">
        <v>1708</v>
      </c>
      <c r="F1756" s="430"/>
      <c r="G1756" s="432" t="s">
        <v>82</v>
      </c>
      <c r="H1756" s="433">
        <v>0.1926</v>
      </c>
      <c r="I1756" s="433">
        <v>0</v>
      </c>
      <c r="J1756" s="446">
        <v>29.54</v>
      </c>
      <c r="K1756" s="446">
        <v>5.68</v>
      </c>
    </row>
    <row r="1757" customHeight="1" spans="1:11">
      <c r="A1757" s="430" t="s">
        <v>1724</v>
      </c>
      <c r="B1757" s="431" t="s">
        <v>1854</v>
      </c>
      <c r="C1757" s="430" t="s">
        <v>71</v>
      </c>
      <c r="D1757" s="430" t="s">
        <v>1855</v>
      </c>
      <c r="E1757" s="430" t="s">
        <v>1708</v>
      </c>
      <c r="F1757" s="430"/>
      <c r="G1757" s="432" t="s">
        <v>82</v>
      </c>
      <c r="H1757" s="433">
        <v>0.1926</v>
      </c>
      <c r="I1757" s="433">
        <v>0</v>
      </c>
      <c r="J1757" s="446">
        <v>35.55</v>
      </c>
      <c r="K1757" s="446">
        <v>6.84</v>
      </c>
    </row>
    <row r="1758" customHeight="1" spans="1:11">
      <c r="A1758" s="438" t="s">
        <v>1750</v>
      </c>
      <c r="B1758" s="439" t="s">
        <v>2423</v>
      </c>
      <c r="C1758" s="438" t="s">
        <v>71</v>
      </c>
      <c r="D1758" s="438" t="s">
        <v>2424</v>
      </c>
      <c r="E1758" s="438" t="s">
        <v>1631</v>
      </c>
      <c r="F1758" s="438"/>
      <c r="G1758" s="440" t="s">
        <v>105</v>
      </c>
      <c r="H1758" s="441">
        <v>1</v>
      </c>
      <c r="I1758" s="441">
        <v>0</v>
      </c>
      <c r="J1758" s="449">
        <v>9</v>
      </c>
      <c r="K1758" s="449">
        <v>9</v>
      </c>
    </row>
    <row r="1759" customHeight="1" spans="1:11">
      <c r="A1759" s="438" t="s">
        <v>1750</v>
      </c>
      <c r="B1759" s="439" t="s">
        <v>2411</v>
      </c>
      <c r="C1759" s="438" t="s">
        <v>71</v>
      </c>
      <c r="D1759" s="438" t="s">
        <v>2412</v>
      </c>
      <c r="E1759" s="438" t="s">
        <v>1631</v>
      </c>
      <c r="F1759" s="438"/>
      <c r="G1759" s="440" t="s">
        <v>105</v>
      </c>
      <c r="H1759" s="441">
        <v>0.115</v>
      </c>
      <c r="I1759" s="441">
        <v>0</v>
      </c>
      <c r="J1759" s="449">
        <v>30.01</v>
      </c>
      <c r="K1759" s="449">
        <v>3.45</v>
      </c>
    </row>
    <row r="1760" customHeight="1" spans="1:11">
      <c r="A1760" s="438" t="s">
        <v>1750</v>
      </c>
      <c r="B1760" s="439" t="s">
        <v>2413</v>
      </c>
      <c r="C1760" s="438" t="s">
        <v>71</v>
      </c>
      <c r="D1760" s="438" t="s">
        <v>2414</v>
      </c>
      <c r="E1760" s="438" t="s">
        <v>1631</v>
      </c>
      <c r="F1760" s="438"/>
      <c r="G1760" s="440" t="s">
        <v>105</v>
      </c>
      <c r="H1760" s="441">
        <v>2</v>
      </c>
      <c r="I1760" s="441">
        <v>0</v>
      </c>
      <c r="J1760" s="449">
        <v>3</v>
      </c>
      <c r="K1760" s="449">
        <v>6</v>
      </c>
    </row>
    <row r="1761" customHeight="1" spans="1:11">
      <c r="A1761" s="434"/>
      <c r="B1761" s="434"/>
      <c r="C1761" s="434"/>
      <c r="D1761" s="434"/>
      <c r="E1761" s="434"/>
      <c r="F1761" s="434" t="s">
        <v>1735</v>
      </c>
      <c r="G1761" s="435">
        <v>4.67</v>
      </c>
      <c r="H1761" s="434" t="s">
        <v>1736</v>
      </c>
      <c r="I1761" s="435">
        <v>4.25</v>
      </c>
      <c r="J1761" s="434" t="s">
        <v>1737</v>
      </c>
      <c r="K1761" s="435">
        <v>8.92</v>
      </c>
    </row>
    <row r="1762" customHeight="1" spans="1:11">
      <c r="A1762" s="434"/>
      <c r="B1762" s="434"/>
      <c r="C1762" s="434"/>
      <c r="D1762" s="434"/>
      <c r="E1762" s="434"/>
      <c r="F1762" s="434" t="s">
        <v>1738</v>
      </c>
      <c r="G1762" s="435">
        <v>7.63</v>
      </c>
      <c r="H1762" s="434"/>
      <c r="I1762" s="434" t="s">
        <v>1739</v>
      </c>
      <c r="J1762" s="434"/>
      <c r="K1762" s="435">
        <v>38.6</v>
      </c>
    </row>
    <row r="1763" customHeight="1" spans="1:11">
      <c r="A1763" s="436"/>
      <c r="B1763" s="436"/>
      <c r="C1763" s="436"/>
      <c r="D1763" s="436"/>
      <c r="E1763" s="436"/>
      <c r="F1763" s="436"/>
      <c r="G1763" s="436"/>
      <c r="H1763" s="436" t="s">
        <v>1740</v>
      </c>
      <c r="I1763" s="447" t="s">
        <v>2306</v>
      </c>
      <c r="J1763" s="436" t="s">
        <v>1742</v>
      </c>
      <c r="K1763" s="448">
        <v>347.4</v>
      </c>
    </row>
    <row r="1764" customHeight="1" spans="1:11">
      <c r="A1764" s="437"/>
      <c r="B1764" s="437"/>
      <c r="C1764" s="437"/>
      <c r="D1764" s="437"/>
      <c r="E1764" s="437"/>
      <c r="F1764" s="437"/>
      <c r="G1764" s="437"/>
      <c r="H1764" s="437"/>
      <c r="I1764" s="437"/>
      <c r="J1764" s="437"/>
      <c r="K1764" s="437"/>
    </row>
    <row r="1765" customHeight="1" spans="1:11">
      <c r="A1765" s="423" t="s">
        <v>566</v>
      </c>
      <c r="B1765" s="424" t="s">
        <v>1714</v>
      </c>
      <c r="C1765" s="423" t="s">
        <v>1715</v>
      </c>
      <c r="D1765" s="423" t="s">
        <v>1716</v>
      </c>
      <c r="E1765" s="423" t="s">
        <v>1717</v>
      </c>
      <c r="F1765" s="423"/>
      <c r="G1765" s="425" t="s">
        <v>1718</v>
      </c>
      <c r="H1765" s="424" t="s">
        <v>1719</v>
      </c>
      <c r="I1765" s="424" t="s">
        <v>1720</v>
      </c>
      <c r="J1765" s="424" t="s">
        <v>1721</v>
      </c>
      <c r="K1765" s="424" t="s">
        <v>1722</v>
      </c>
    </row>
    <row r="1766" customHeight="1" spans="1:11">
      <c r="A1766" s="426" t="s">
        <v>1723</v>
      </c>
      <c r="B1766" s="427" t="s">
        <v>567</v>
      </c>
      <c r="C1766" s="426" t="s">
        <v>71</v>
      </c>
      <c r="D1766" s="426" t="s">
        <v>568</v>
      </c>
      <c r="E1766" s="426" t="s">
        <v>1649</v>
      </c>
      <c r="F1766" s="426"/>
      <c r="G1766" s="428" t="s">
        <v>105</v>
      </c>
      <c r="H1766" s="429">
        <v>1</v>
      </c>
      <c r="I1766" s="445"/>
      <c r="J1766" s="445">
        <v>12.75</v>
      </c>
      <c r="K1766" s="445">
        <v>12.75</v>
      </c>
    </row>
    <row r="1767" customHeight="1" spans="1:11">
      <c r="A1767" s="430" t="s">
        <v>1724</v>
      </c>
      <c r="B1767" s="431" t="s">
        <v>1859</v>
      </c>
      <c r="C1767" s="430" t="s">
        <v>71</v>
      </c>
      <c r="D1767" s="430" t="s">
        <v>1860</v>
      </c>
      <c r="E1767" s="430" t="s">
        <v>1708</v>
      </c>
      <c r="F1767" s="430"/>
      <c r="G1767" s="432" t="s">
        <v>82</v>
      </c>
      <c r="H1767" s="433">
        <v>0.127</v>
      </c>
      <c r="I1767" s="433">
        <v>0</v>
      </c>
      <c r="J1767" s="446">
        <v>29.54</v>
      </c>
      <c r="K1767" s="446">
        <v>3.75</v>
      </c>
    </row>
    <row r="1768" customHeight="1" spans="1:11">
      <c r="A1768" s="430" t="s">
        <v>1724</v>
      </c>
      <c r="B1768" s="431" t="s">
        <v>1854</v>
      </c>
      <c r="C1768" s="430" t="s">
        <v>71</v>
      </c>
      <c r="D1768" s="430" t="s">
        <v>1855</v>
      </c>
      <c r="E1768" s="430" t="s">
        <v>1708</v>
      </c>
      <c r="F1768" s="430"/>
      <c r="G1768" s="432" t="s">
        <v>82</v>
      </c>
      <c r="H1768" s="433">
        <v>0.127</v>
      </c>
      <c r="I1768" s="433">
        <v>0</v>
      </c>
      <c r="J1768" s="446">
        <v>35.55</v>
      </c>
      <c r="K1768" s="446">
        <v>4.51</v>
      </c>
    </row>
    <row r="1769" customHeight="1" spans="1:11">
      <c r="A1769" s="438" t="s">
        <v>1750</v>
      </c>
      <c r="B1769" s="439" t="s">
        <v>2425</v>
      </c>
      <c r="C1769" s="438" t="s">
        <v>71</v>
      </c>
      <c r="D1769" s="438" t="s">
        <v>2426</v>
      </c>
      <c r="E1769" s="438" t="s">
        <v>1631</v>
      </c>
      <c r="F1769" s="438"/>
      <c r="G1769" s="440" t="s">
        <v>105</v>
      </c>
      <c r="H1769" s="441">
        <v>1</v>
      </c>
      <c r="I1769" s="441">
        <v>0</v>
      </c>
      <c r="J1769" s="449">
        <v>2.54</v>
      </c>
      <c r="K1769" s="449">
        <v>2.54</v>
      </c>
    </row>
    <row r="1770" customHeight="1" spans="1:11">
      <c r="A1770" s="438" t="s">
        <v>1750</v>
      </c>
      <c r="B1770" s="439" t="s">
        <v>2284</v>
      </c>
      <c r="C1770" s="438" t="s">
        <v>71</v>
      </c>
      <c r="D1770" s="438" t="s">
        <v>2285</v>
      </c>
      <c r="E1770" s="438" t="s">
        <v>1631</v>
      </c>
      <c r="F1770" s="438"/>
      <c r="G1770" s="440" t="s">
        <v>105</v>
      </c>
      <c r="H1770" s="441">
        <v>0.0071</v>
      </c>
      <c r="I1770" s="441">
        <v>0</v>
      </c>
      <c r="J1770" s="449">
        <v>2.08</v>
      </c>
      <c r="K1770" s="449">
        <v>0.01</v>
      </c>
    </row>
    <row r="1771" customHeight="1" spans="1:11">
      <c r="A1771" s="438" t="s">
        <v>1750</v>
      </c>
      <c r="B1771" s="439" t="s">
        <v>2294</v>
      </c>
      <c r="C1771" s="438" t="s">
        <v>71</v>
      </c>
      <c r="D1771" s="438" t="s">
        <v>2295</v>
      </c>
      <c r="E1771" s="438" t="s">
        <v>1631</v>
      </c>
      <c r="F1771" s="438"/>
      <c r="G1771" s="440" t="s">
        <v>105</v>
      </c>
      <c r="H1771" s="441">
        <v>0.015</v>
      </c>
      <c r="I1771" s="441">
        <v>0</v>
      </c>
      <c r="J1771" s="449">
        <v>82.38</v>
      </c>
      <c r="K1771" s="449">
        <v>1.23</v>
      </c>
    </row>
    <row r="1772" customHeight="1" spans="1:11">
      <c r="A1772" s="438" t="s">
        <v>1750</v>
      </c>
      <c r="B1772" s="439" t="s">
        <v>2296</v>
      </c>
      <c r="C1772" s="438" t="s">
        <v>71</v>
      </c>
      <c r="D1772" s="438" t="s">
        <v>2297</v>
      </c>
      <c r="E1772" s="438" t="s">
        <v>1631</v>
      </c>
      <c r="F1772" s="438"/>
      <c r="G1772" s="440" t="s">
        <v>105</v>
      </c>
      <c r="H1772" s="441">
        <v>0.0099</v>
      </c>
      <c r="I1772" s="441">
        <v>0</v>
      </c>
      <c r="J1772" s="449">
        <v>72.71</v>
      </c>
      <c r="K1772" s="449">
        <v>0.71</v>
      </c>
    </row>
    <row r="1773" customHeight="1" spans="1:11">
      <c r="A1773" s="434"/>
      <c r="B1773" s="434"/>
      <c r="C1773" s="434"/>
      <c r="D1773" s="434"/>
      <c r="E1773" s="434"/>
      <c r="F1773" s="434" t="s">
        <v>1735</v>
      </c>
      <c r="G1773" s="435">
        <v>3.08</v>
      </c>
      <c r="H1773" s="434" t="s">
        <v>1736</v>
      </c>
      <c r="I1773" s="435">
        <v>2.8</v>
      </c>
      <c r="J1773" s="434" t="s">
        <v>1737</v>
      </c>
      <c r="K1773" s="435">
        <v>5.88</v>
      </c>
    </row>
    <row r="1774" customHeight="1" spans="1:11">
      <c r="A1774" s="434"/>
      <c r="B1774" s="434"/>
      <c r="C1774" s="434"/>
      <c r="D1774" s="434"/>
      <c r="E1774" s="434"/>
      <c r="F1774" s="434" t="s">
        <v>1738</v>
      </c>
      <c r="G1774" s="435">
        <v>3.14</v>
      </c>
      <c r="H1774" s="434"/>
      <c r="I1774" s="434" t="s">
        <v>1739</v>
      </c>
      <c r="J1774" s="434"/>
      <c r="K1774" s="435">
        <v>15.89</v>
      </c>
    </row>
    <row r="1775" customHeight="1" spans="1:11">
      <c r="A1775" s="436"/>
      <c r="B1775" s="436"/>
      <c r="C1775" s="436"/>
      <c r="D1775" s="436"/>
      <c r="E1775" s="436"/>
      <c r="F1775" s="436"/>
      <c r="G1775" s="436"/>
      <c r="H1775" s="436" t="s">
        <v>1740</v>
      </c>
      <c r="I1775" s="447" t="s">
        <v>2306</v>
      </c>
      <c r="J1775" s="436" t="s">
        <v>1742</v>
      </c>
      <c r="K1775" s="448">
        <v>143.01</v>
      </c>
    </row>
    <row r="1776" customHeight="1" spans="1:11">
      <c r="A1776" s="437"/>
      <c r="B1776" s="437"/>
      <c r="C1776" s="437"/>
      <c r="D1776" s="437"/>
      <c r="E1776" s="437"/>
      <c r="F1776" s="437"/>
      <c r="G1776" s="437"/>
      <c r="H1776" s="437"/>
      <c r="I1776" s="437"/>
      <c r="J1776" s="437"/>
      <c r="K1776" s="437"/>
    </row>
    <row r="1777" customHeight="1" spans="1:11">
      <c r="A1777" s="423" t="s">
        <v>569</v>
      </c>
      <c r="B1777" s="424" t="s">
        <v>1714</v>
      </c>
      <c r="C1777" s="423" t="s">
        <v>1715</v>
      </c>
      <c r="D1777" s="423" t="s">
        <v>1716</v>
      </c>
      <c r="E1777" s="423" t="s">
        <v>1717</v>
      </c>
      <c r="F1777" s="423"/>
      <c r="G1777" s="425" t="s">
        <v>1718</v>
      </c>
      <c r="H1777" s="424" t="s">
        <v>1719</v>
      </c>
      <c r="I1777" s="424" t="s">
        <v>1720</v>
      </c>
      <c r="J1777" s="424" t="s">
        <v>1721</v>
      </c>
      <c r="K1777" s="424" t="s">
        <v>1722</v>
      </c>
    </row>
    <row r="1778" customHeight="1" spans="1:11">
      <c r="A1778" s="426" t="s">
        <v>1723</v>
      </c>
      <c r="B1778" s="427" t="s">
        <v>570</v>
      </c>
      <c r="C1778" s="426" t="s">
        <v>71</v>
      </c>
      <c r="D1778" s="426" t="s">
        <v>571</v>
      </c>
      <c r="E1778" s="426" t="s">
        <v>1649</v>
      </c>
      <c r="F1778" s="426"/>
      <c r="G1778" s="428" t="s">
        <v>105</v>
      </c>
      <c r="H1778" s="429">
        <v>1</v>
      </c>
      <c r="I1778" s="445"/>
      <c r="J1778" s="445">
        <v>12.5</v>
      </c>
      <c r="K1778" s="445">
        <v>12.5</v>
      </c>
    </row>
    <row r="1779" customHeight="1" spans="1:11">
      <c r="A1779" s="430" t="s">
        <v>1724</v>
      </c>
      <c r="B1779" s="431" t="s">
        <v>1854</v>
      </c>
      <c r="C1779" s="430" t="s">
        <v>71</v>
      </c>
      <c r="D1779" s="430" t="s">
        <v>1855</v>
      </c>
      <c r="E1779" s="430" t="s">
        <v>1708</v>
      </c>
      <c r="F1779" s="430"/>
      <c r="G1779" s="432" t="s">
        <v>82</v>
      </c>
      <c r="H1779" s="433">
        <v>0.127</v>
      </c>
      <c r="I1779" s="433">
        <v>0</v>
      </c>
      <c r="J1779" s="446">
        <v>35.55</v>
      </c>
      <c r="K1779" s="446">
        <v>4.51</v>
      </c>
    </row>
    <row r="1780" customHeight="1" spans="1:11">
      <c r="A1780" s="430" t="s">
        <v>1724</v>
      </c>
      <c r="B1780" s="431" t="s">
        <v>1859</v>
      </c>
      <c r="C1780" s="430" t="s">
        <v>71</v>
      </c>
      <c r="D1780" s="430" t="s">
        <v>1860</v>
      </c>
      <c r="E1780" s="430" t="s">
        <v>1708</v>
      </c>
      <c r="F1780" s="430"/>
      <c r="G1780" s="432" t="s">
        <v>82</v>
      </c>
      <c r="H1780" s="433">
        <v>0.127</v>
      </c>
      <c r="I1780" s="433">
        <v>0</v>
      </c>
      <c r="J1780" s="446">
        <v>29.54</v>
      </c>
      <c r="K1780" s="446">
        <v>3.75</v>
      </c>
    </row>
    <row r="1781" customHeight="1" spans="1:11">
      <c r="A1781" s="438" t="s">
        <v>1750</v>
      </c>
      <c r="B1781" s="439" t="s">
        <v>2284</v>
      </c>
      <c r="C1781" s="438" t="s">
        <v>71</v>
      </c>
      <c r="D1781" s="438" t="s">
        <v>2285</v>
      </c>
      <c r="E1781" s="438" t="s">
        <v>1631</v>
      </c>
      <c r="F1781" s="438"/>
      <c r="G1781" s="440" t="s">
        <v>105</v>
      </c>
      <c r="H1781" s="441">
        <v>0.0071</v>
      </c>
      <c r="I1781" s="441">
        <v>0</v>
      </c>
      <c r="J1781" s="449">
        <v>2.08</v>
      </c>
      <c r="K1781" s="449">
        <v>0.01</v>
      </c>
    </row>
    <row r="1782" customHeight="1" spans="1:11">
      <c r="A1782" s="438" t="s">
        <v>1750</v>
      </c>
      <c r="B1782" s="439" t="s">
        <v>2296</v>
      </c>
      <c r="C1782" s="438" t="s">
        <v>71</v>
      </c>
      <c r="D1782" s="438" t="s">
        <v>2297</v>
      </c>
      <c r="E1782" s="438" t="s">
        <v>1631</v>
      </c>
      <c r="F1782" s="438"/>
      <c r="G1782" s="440" t="s">
        <v>105</v>
      </c>
      <c r="H1782" s="441">
        <v>0.0099</v>
      </c>
      <c r="I1782" s="441">
        <v>0</v>
      </c>
      <c r="J1782" s="449">
        <v>72.71</v>
      </c>
      <c r="K1782" s="449">
        <v>0.71</v>
      </c>
    </row>
    <row r="1783" customHeight="1" spans="1:11">
      <c r="A1783" s="438" t="s">
        <v>1750</v>
      </c>
      <c r="B1783" s="439" t="s">
        <v>2427</v>
      </c>
      <c r="C1783" s="438" t="s">
        <v>71</v>
      </c>
      <c r="D1783" s="438" t="s">
        <v>2428</v>
      </c>
      <c r="E1783" s="438" t="s">
        <v>1631</v>
      </c>
      <c r="F1783" s="438"/>
      <c r="G1783" s="440" t="s">
        <v>105</v>
      </c>
      <c r="H1783" s="441">
        <v>1</v>
      </c>
      <c r="I1783" s="441">
        <v>0</v>
      </c>
      <c r="J1783" s="449">
        <v>2.29</v>
      </c>
      <c r="K1783" s="449">
        <v>2.29</v>
      </c>
    </row>
    <row r="1784" customHeight="1" spans="1:11">
      <c r="A1784" s="438" t="s">
        <v>1750</v>
      </c>
      <c r="B1784" s="439" t="s">
        <v>2294</v>
      </c>
      <c r="C1784" s="438" t="s">
        <v>71</v>
      </c>
      <c r="D1784" s="438" t="s">
        <v>2295</v>
      </c>
      <c r="E1784" s="438" t="s">
        <v>1631</v>
      </c>
      <c r="F1784" s="438"/>
      <c r="G1784" s="440" t="s">
        <v>105</v>
      </c>
      <c r="H1784" s="441">
        <v>0.015</v>
      </c>
      <c r="I1784" s="441">
        <v>0</v>
      </c>
      <c r="J1784" s="449">
        <v>82.38</v>
      </c>
      <c r="K1784" s="449">
        <v>1.23</v>
      </c>
    </row>
    <row r="1785" customHeight="1" spans="1:11">
      <c r="A1785" s="434"/>
      <c r="B1785" s="434"/>
      <c r="C1785" s="434"/>
      <c r="D1785" s="434"/>
      <c r="E1785" s="434"/>
      <c r="F1785" s="434" t="s">
        <v>1735</v>
      </c>
      <c r="G1785" s="435">
        <v>3.08</v>
      </c>
      <c r="H1785" s="434" t="s">
        <v>1736</v>
      </c>
      <c r="I1785" s="435">
        <v>2.8</v>
      </c>
      <c r="J1785" s="434" t="s">
        <v>1737</v>
      </c>
      <c r="K1785" s="435">
        <v>5.88</v>
      </c>
    </row>
    <row r="1786" customHeight="1" spans="1:11">
      <c r="A1786" s="434"/>
      <c r="B1786" s="434"/>
      <c r="C1786" s="434"/>
      <c r="D1786" s="434"/>
      <c r="E1786" s="434"/>
      <c r="F1786" s="434" t="s">
        <v>1738</v>
      </c>
      <c r="G1786" s="435">
        <v>3.08</v>
      </c>
      <c r="H1786" s="434"/>
      <c r="I1786" s="434" t="s">
        <v>1739</v>
      </c>
      <c r="J1786" s="434"/>
      <c r="K1786" s="435">
        <v>15.58</v>
      </c>
    </row>
    <row r="1787" customHeight="1" spans="1:11">
      <c r="A1787" s="436"/>
      <c r="B1787" s="436"/>
      <c r="C1787" s="436"/>
      <c r="D1787" s="436"/>
      <c r="E1787" s="436"/>
      <c r="F1787" s="436"/>
      <c r="G1787" s="436"/>
      <c r="H1787" s="436" t="s">
        <v>1740</v>
      </c>
      <c r="I1787" s="447" t="s">
        <v>2429</v>
      </c>
      <c r="J1787" s="436" t="s">
        <v>1742</v>
      </c>
      <c r="K1787" s="448">
        <v>436.24</v>
      </c>
    </row>
    <row r="1788" customHeight="1" spans="1:11">
      <c r="A1788" s="437"/>
      <c r="B1788" s="437"/>
      <c r="C1788" s="437"/>
      <c r="D1788" s="437"/>
      <c r="E1788" s="437"/>
      <c r="F1788" s="437"/>
      <c r="G1788" s="437"/>
      <c r="H1788" s="437"/>
      <c r="I1788" s="437"/>
      <c r="J1788" s="437"/>
      <c r="K1788" s="437"/>
    </row>
    <row r="1789" customHeight="1" spans="1:11">
      <c r="A1789" s="423" t="s">
        <v>572</v>
      </c>
      <c r="B1789" s="424" t="s">
        <v>1714</v>
      </c>
      <c r="C1789" s="423" t="s">
        <v>1715</v>
      </c>
      <c r="D1789" s="423" t="s">
        <v>1716</v>
      </c>
      <c r="E1789" s="423" t="s">
        <v>1717</v>
      </c>
      <c r="F1789" s="423"/>
      <c r="G1789" s="425" t="s">
        <v>1718</v>
      </c>
      <c r="H1789" s="424" t="s">
        <v>1719</v>
      </c>
      <c r="I1789" s="424" t="s">
        <v>1720</v>
      </c>
      <c r="J1789" s="424" t="s">
        <v>1721</v>
      </c>
      <c r="K1789" s="424" t="s">
        <v>1722</v>
      </c>
    </row>
    <row r="1790" customHeight="1" spans="1:11">
      <c r="A1790" s="426" t="s">
        <v>1723</v>
      </c>
      <c r="B1790" s="427" t="s">
        <v>573</v>
      </c>
      <c r="C1790" s="426" t="s">
        <v>71</v>
      </c>
      <c r="D1790" s="426" t="s">
        <v>574</v>
      </c>
      <c r="E1790" s="426" t="s">
        <v>1649</v>
      </c>
      <c r="F1790" s="426"/>
      <c r="G1790" s="428" t="s">
        <v>105</v>
      </c>
      <c r="H1790" s="429">
        <v>1</v>
      </c>
      <c r="I1790" s="445"/>
      <c r="J1790" s="445">
        <v>26.57</v>
      </c>
      <c r="K1790" s="445">
        <v>26.57</v>
      </c>
    </row>
    <row r="1791" customHeight="1" spans="1:11">
      <c r="A1791" s="430" t="s">
        <v>1724</v>
      </c>
      <c r="B1791" s="431" t="s">
        <v>1854</v>
      </c>
      <c r="C1791" s="430" t="s">
        <v>71</v>
      </c>
      <c r="D1791" s="430" t="s">
        <v>1855</v>
      </c>
      <c r="E1791" s="430" t="s">
        <v>1708</v>
      </c>
      <c r="F1791" s="430"/>
      <c r="G1791" s="432" t="s">
        <v>82</v>
      </c>
      <c r="H1791" s="433">
        <v>0.1652</v>
      </c>
      <c r="I1791" s="433">
        <v>0</v>
      </c>
      <c r="J1791" s="446">
        <v>35.55</v>
      </c>
      <c r="K1791" s="446">
        <v>5.87</v>
      </c>
    </row>
    <row r="1792" customHeight="1" spans="1:11">
      <c r="A1792" s="430" t="s">
        <v>1724</v>
      </c>
      <c r="B1792" s="431" t="s">
        <v>1859</v>
      </c>
      <c r="C1792" s="430" t="s">
        <v>71</v>
      </c>
      <c r="D1792" s="430" t="s">
        <v>1860</v>
      </c>
      <c r="E1792" s="430" t="s">
        <v>1708</v>
      </c>
      <c r="F1792" s="430"/>
      <c r="G1792" s="432" t="s">
        <v>82</v>
      </c>
      <c r="H1792" s="433">
        <v>0.1652</v>
      </c>
      <c r="I1792" s="433">
        <v>0</v>
      </c>
      <c r="J1792" s="446">
        <v>29.54</v>
      </c>
      <c r="K1792" s="446">
        <v>4.88</v>
      </c>
    </row>
    <row r="1793" customHeight="1" spans="1:11">
      <c r="A1793" s="438" t="s">
        <v>1750</v>
      </c>
      <c r="B1793" s="439" t="s">
        <v>2430</v>
      </c>
      <c r="C1793" s="438" t="s">
        <v>71</v>
      </c>
      <c r="D1793" s="438" t="s">
        <v>2431</v>
      </c>
      <c r="E1793" s="438" t="s">
        <v>1631</v>
      </c>
      <c r="F1793" s="438"/>
      <c r="G1793" s="440" t="s">
        <v>105</v>
      </c>
      <c r="H1793" s="441">
        <v>2</v>
      </c>
      <c r="I1793" s="441">
        <v>0</v>
      </c>
      <c r="J1793" s="449">
        <v>2.49</v>
      </c>
      <c r="K1793" s="449">
        <v>4.98</v>
      </c>
    </row>
    <row r="1794" customHeight="1" spans="1:11">
      <c r="A1794" s="438" t="s">
        <v>1750</v>
      </c>
      <c r="B1794" s="439" t="s">
        <v>2432</v>
      </c>
      <c r="C1794" s="438" t="s">
        <v>71</v>
      </c>
      <c r="D1794" s="438" t="s">
        <v>2433</v>
      </c>
      <c r="E1794" s="438" t="s">
        <v>1631</v>
      </c>
      <c r="F1794" s="438"/>
      <c r="G1794" s="440" t="s">
        <v>105</v>
      </c>
      <c r="H1794" s="441">
        <v>1</v>
      </c>
      <c r="I1794" s="441">
        <v>0</v>
      </c>
      <c r="J1794" s="449">
        <v>8.59</v>
      </c>
      <c r="K1794" s="449">
        <v>8.59</v>
      </c>
    </row>
    <row r="1795" customHeight="1" spans="1:11">
      <c r="A1795" s="438" t="s">
        <v>1750</v>
      </c>
      <c r="B1795" s="439" t="s">
        <v>2411</v>
      </c>
      <c r="C1795" s="438" t="s">
        <v>71</v>
      </c>
      <c r="D1795" s="438" t="s">
        <v>2412</v>
      </c>
      <c r="E1795" s="438" t="s">
        <v>1631</v>
      </c>
      <c r="F1795" s="438"/>
      <c r="G1795" s="440" t="s">
        <v>105</v>
      </c>
      <c r="H1795" s="441">
        <v>0.075</v>
      </c>
      <c r="I1795" s="441">
        <v>0</v>
      </c>
      <c r="J1795" s="449">
        <v>30.01</v>
      </c>
      <c r="K1795" s="449">
        <v>2.25</v>
      </c>
    </row>
    <row r="1796" customHeight="1" spans="1:11">
      <c r="A1796" s="434"/>
      <c r="B1796" s="434"/>
      <c r="C1796" s="434"/>
      <c r="D1796" s="434"/>
      <c r="E1796" s="434"/>
      <c r="F1796" s="434" t="s">
        <v>1735</v>
      </c>
      <c r="G1796" s="435">
        <v>4</v>
      </c>
      <c r="H1796" s="434" t="s">
        <v>1736</v>
      </c>
      <c r="I1796" s="435">
        <v>3.65</v>
      </c>
      <c r="J1796" s="434" t="s">
        <v>1737</v>
      </c>
      <c r="K1796" s="435">
        <v>7.65</v>
      </c>
    </row>
    <row r="1797" customHeight="1" spans="1:11">
      <c r="A1797" s="434"/>
      <c r="B1797" s="434"/>
      <c r="C1797" s="434"/>
      <c r="D1797" s="434"/>
      <c r="E1797" s="434"/>
      <c r="F1797" s="434" t="s">
        <v>1738</v>
      </c>
      <c r="G1797" s="435">
        <v>6.55</v>
      </c>
      <c r="H1797" s="434"/>
      <c r="I1797" s="434" t="s">
        <v>1739</v>
      </c>
      <c r="J1797" s="434"/>
      <c r="K1797" s="435">
        <v>33.12</v>
      </c>
    </row>
    <row r="1798" customHeight="1" spans="1:11">
      <c r="A1798" s="436"/>
      <c r="B1798" s="436"/>
      <c r="C1798" s="436"/>
      <c r="D1798" s="436"/>
      <c r="E1798" s="436"/>
      <c r="F1798" s="436"/>
      <c r="G1798" s="436"/>
      <c r="H1798" s="436" t="s">
        <v>1740</v>
      </c>
      <c r="I1798" s="447" t="s">
        <v>1971</v>
      </c>
      <c r="J1798" s="436" t="s">
        <v>1742</v>
      </c>
      <c r="K1798" s="448">
        <v>66.24</v>
      </c>
    </row>
    <row r="1799" customHeight="1" spans="1:11">
      <c r="A1799" s="437"/>
      <c r="B1799" s="437"/>
      <c r="C1799" s="437"/>
      <c r="D1799" s="437"/>
      <c r="E1799" s="437"/>
      <c r="F1799" s="437"/>
      <c r="G1799" s="437"/>
      <c r="H1799" s="437"/>
      <c r="I1799" s="437"/>
      <c r="J1799" s="437"/>
      <c r="K1799" s="437"/>
    </row>
    <row r="1800" customHeight="1" spans="1:11">
      <c r="A1800" s="423" t="s">
        <v>575</v>
      </c>
      <c r="B1800" s="424" t="s">
        <v>1714</v>
      </c>
      <c r="C1800" s="423" t="s">
        <v>1715</v>
      </c>
      <c r="D1800" s="423" t="s">
        <v>1716</v>
      </c>
      <c r="E1800" s="423" t="s">
        <v>1717</v>
      </c>
      <c r="F1800" s="423"/>
      <c r="G1800" s="425" t="s">
        <v>1718</v>
      </c>
      <c r="H1800" s="424" t="s">
        <v>1719</v>
      </c>
      <c r="I1800" s="424" t="s">
        <v>1720</v>
      </c>
      <c r="J1800" s="424" t="s">
        <v>1721</v>
      </c>
      <c r="K1800" s="424" t="s">
        <v>1722</v>
      </c>
    </row>
    <row r="1801" customHeight="1" spans="1:11">
      <c r="A1801" s="426" t="s">
        <v>1723</v>
      </c>
      <c r="B1801" s="427" t="s">
        <v>576</v>
      </c>
      <c r="C1801" s="426" t="s">
        <v>71</v>
      </c>
      <c r="D1801" s="426" t="s">
        <v>577</v>
      </c>
      <c r="E1801" s="426" t="s">
        <v>1649</v>
      </c>
      <c r="F1801" s="426"/>
      <c r="G1801" s="428" t="s">
        <v>105</v>
      </c>
      <c r="H1801" s="429">
        <v>1</v>
      </c>
      <c r="I1801" s="445"/>
      <c r="J1801" s="445">
        <v>17.17</v>
      </c>
      <c r="K1801" s="445">
        <v>17.17</v>
      </c>
    </row>
    <row r="1802" customHeight="1" spans="1:11">
      <c r="A1802" s="430" t="s">
        <v>1724</v>
      </c>
      <c r="B1802" s="431" t="s">
        <v>1854</v>
      </c>
      <c r="C1802" s="430" t="s">
        <v>71</v>
      </c>
      <c r="D1802" s="430" t="s">
        <v>1855</v>
      </c>
      <c r="E1802" s="430" t="s">
        <v>1708</v>
      </c>
      <c r="F1802" s="430"/>
      <c r="G1802" s="432" t="s">
        <v>82</v>
      </c>
      <c r="H1802" s="433">
        <v>0.1379</v>
      </c>
      <c r="I1802" s="433">
        <v>0</v>
      </c>
      <c r="J1802" s="446">
        <v>35.55</v>
      </c>
      <c r="K1802" s="446">
        <v>4.9</v>
      </c>
    </row>
    <row r="1803" customHeight="1" spans="1:11">
      <c r="A1803" s="430" t="s">
        <v>1724</v>
      </c>
      <c r="B1803" s="431" t="s">
        <v>1859</v>
      </c>
      <c r="C1803" s="430" t="s">
        <v>71</v>
      </c>
      <c r="D1803" s="430" t="s">
        <v>1860</v>
      </c>
      <c r="E1803" s="430" t="s">
        <v>1708</v>
      </c>
      <c r="F1803" s="430"/>
      <c r="G1803" s="432" t="s">
        <v>82</v>
      </c>
      <c r="H1803" s="433">
        <v>0.1379</v>
      </c>
      <c r="I1803" s="433">
        <v>0</v>
      </c>
      <c r="J1803" s="446">
        <v>29.54</v>
      </c>
      <c r="K1803" s="446">
        <v>4.07</v>
      </c>
    </row>
    <row r="1804" customHeight="1" spans="1:11">
      <c r="A1804" s="438" t="s">
        <v>1750</v>
      </c>
      <c r="B1804" s="439" t="s">
        <v>2434</v>
      </c>
      <c r="C1804" s="438" t="s">
        <v>71</v>
      </c>
      <c r="D1804" s="438" t="s">
        <v>2435</v>
      </c>
      <c r="E1804" s="438" t="s">
        <v>1631</v>
      </c>
      <c r="F1804" s="438"/>
      <c r="G1804" s="440" t="s">
        <v>105</v>
      </c>
      <c r="H1804" s="441">
        <v>1</v>
      </c>
      <c r="I1804" s="441">
        <v>0</v>
      </c>
      <c r="J1804" s="449">
        <v>3.32</v>
      </c>
      <c r="K1804" s="449">
        <v>3.32</v>
      </c>
    </row>
    <row r="1805" customHeight="1" spans="1:11">
      <c r="A1805" s="438" t="s">
        <v>1750</v>
      </c>
      <c r="B1805" s="439" t="s">
        <v>2419</v>
      </c>
      <c r="C1805" s="438" t="s">
        <v>71</v>
      </c>
      <c r="D1805" s="438" t="s">
        <v>2420</v>
      </c>
      <c r="E1805" s="438" t="s">
        <v>1631</v>
      </c>
      <c r="F1805" s="438"/>
      <c r="G1805" s="440" t="s">
        <v>105</v>
      </c>
      <c r="H1805" s="441">
        <v>2</v>
      </c>
      <c r="I1805" s="441">
        <v>0</v>
      </c>
      <c r="J1805" s="449">
        <v>1.69</v>
      </c>
      <c r="K1805" s="449">
        <v>3.38</v>
      </c>
    </row>
    <row r="1806" customHeight="1" spans="1:11">
      <c r="A1806" s="438" t="s">
        <v>1750</v>
      </c>
      <c r="B1806" s="439" t="s">
        <v>2411</v>
      </c>
      <c r="C1806" s="438" t="s">
        <v>71</v>
      </c>
      <c r="D1806" s="438" t="s">
        <v>2412</v>
      </c>
      <c r="E1806" s="438" t="s">
        <v>1631</v>
      </c>
      <c r="F1806" s="438"/>
      <c r="G1806" s="440" t="s">
        <v>105</v>
      </c>
      <c r="H1806" s="441">
        <v>0.05</v>
      </c>
      <c r="I1806" s="441">
        <v>0</v>
      </c>
      <c r="J1806" s="449">
        <v>30.01</v>
      </c>
      <c r="K1806" s="449">
        <v>1.5</v>
      </c>
    </row>
    <row r="1807" customHeight="1" spans="1:11">
      <c r="A1807" s="434"/>
      <c r="B1807" s="434"/>
      <c r="C1807" s="434"/>
      <c r="D1807" s="434"/>
      <c r="E1807" s="434"/>
      <c r="F1807" s="434" t="s">
        <v>1735</v>
      </c>
      <c r="G1807" s="435">
        <v>3.34</v>
      </c>
      <c r="H1807" s="434" t="s">
        <v>1736</v>
      </c>
      <c r="I1807" s="435">
        <v>3.05</v>
      </c>
      <c r="J1807" s="434" t="s">
        <v>1737</v>
      </c>
      <c r="K1807" s="435">
        <v>6.39</v>
      </c>
    </row>
    <row r="1808" customHeight="1" spans="1:11">
      <c r="A1808" s="434"/>
      <c r="B1808" s="434"/>
      <c r="C1808" s="434"/>
      <c r="D1808" s="434"/>
      <c r="E1808" s="434"/>
      <c r="F1808" s="434" t="s">
        <v>1738</v>
      </c>
      <c r="G1808" s="435">
        <v>4.23</v>
      </c>
      <c r="H1808" s="434"/>
      <c r="I1808" s="434" t="s">
        <v>1739</v>
      </c>
      <c r="J1808" s="434"/>
      <c r="K1808" s="435">
        <v>21.4</v>
      </c>
    </row>
    <row r="1809" customHeight="1" spans="1:11">
      <c r="A1809" s="436"/>
      <c r="B1809" s="436"/>
      <c r="C1809" s="436"/>
      <c r="D1809" s="436"/>
      <c r="E1809" s="436"/>
      <c r="F1809" s="436"/>
      <c r="G1809" s="436"/>
      <c r="H1809" s="436" t="s">
        <v>1740</v>
      </c>
      <c r="I1809" s="447" t="s">
        <v>2352</v>
      </c>
      <c r="J1809" s="436" t="s">
        <v>1742</v>
      </c>
      <c r="K1809" s="448">
        <v>406.6</v>
      </c>
    </row>
    <row r="1810" customHeight="1" spans="1:11">
      <c r="A1810" s="437"/>
      <c r="B1810" s="437"/>
      <c r="C1810" s="437"/>
      <c r="D1810" s="437"/>
      <c r="E1810" s="437"/>
      <c r="F1810" s="437"/>
      <c r="G1810" s="437"/>
      <c r="H1810" s="437"/>
      <c r="I1810" s="437"/>
      <c r="J1810" s="437"/>
      <c r="K1810" s="437"/>
    </row>
    <row r="1811" customHeight="1" spans="1:11">
      <c r="A1811" s="423" t="s">
        <v>578</v>
      </c>
      <c r="B1811" s="424" t="s">
        <v>1714</v>
      </c>
      <c r="C1811" s="423" t="s">
        <v>1715</v>
      </c>
      <c r="D1811" s="423" t="s">
        <v>1716</v>
      </c>
      <c r="E1811" s="423" t="s">
        <v>1717</v>
      </c>
      <c r="F1811" s="423"/>
      <c r="G1811" s="425" t="s">
        <v>1718</v>
      </c>
      <c r="H1811" s="424" t="s">
        <v>1719</v>
      </c>
      <c r="I1811" s="424" t="s">
        <v>1720</v>
      </c>
      <c r="J1811" s="424" t="s">
        <v>1721</v>
      </c>
      <c r="K1811" s="424" t="s">
        <v>1722</v>
      </c>
    </row>
    <row r="1812" customHeight="1" spans="1:11">
      <c r="A1812" s="426" t="s">
        <v>1723</v>
      </c>
      <c r="B1812" s="427" t="s">
        <v>579</v>
      </c>
      <c r="C1812" s="426" t="s">
        <v>71</v>
      </c>
      <c r="D1812" s="426" t="s">
        <v>580</v>
      </c>
      <c r="E1812" s="426" t="s">
        <v>1649</v>
      </c>
      <c r="F1812" s="426"/>
      <c r="G1812" s="428" t="s">
        <v>105</v>
      </c>
      <c r="H1812" s="429">
        <v>1</v>
      </c>
      <c r="I1812" s="445"/>
      <c r="J1812" s="445">
        <v>25.52</v>
      </c>
      <c r="K1812" s="445">
        <v>25.52</v>
      </c>
    </row>
    <row r="1813" customHeight="1" spans="1:11">
      <c r="A1813" s="430" t="s">
        <v>1724</v>
      </c>
      <c r="B1813" s="431" t="s">
        <v>1859</v>
      </c>
      <c r="C1813" s="430" t="s">
        <v>71</v>
      </c>
      <c r="D1813" s="430" t="s">
        <v>1860</v>
      </c>
      <c r="E1813" s="430" t="s">
        <v>1708</v>
      </c>
      <c r="F1813" s="430"/>
      <c r="G1813" s="432" t="s">
        <v>82</v>
      </c>
      <c r="H1813" s="433">
        <v>0.1652</v>
      </c>
      <c r="I1813" s="433">
        <v>0</v>
      </c>
      <c r="J1813" s="446">
        <v>29.54</v>
      </c>
      <c r="K1813" s="446">
        <v>4.88</v>
      </c>
    </row>
    <row r="1814" customHeight="1" spans="1:11">
      <c r="A1814" s="430" t="s">
        <v>1724</v>
      </c>
      <c r="B1814" s="431" t="s">
        <v>1854</v>
      </c>
      <c r="C1814" s="430" t="s">
        <v>71</v>
      </c>
      <c r="D1814" s="430" t="s">
        <v>1855</v>
      </c>
      <c r="E1814" s="430" t="s">
        <v>1708</v>
      </c>
      <c r="F1814" s="430"/>
      <c r="G1814" s="432" t="s">
        <v>82</v>
      </c>
      <c r="H1814" s="433">
        <v>0.1652</v>
      </c>
      <c r="I1814" s="433">
        <v>0</v>
      </c>
      <c r="J1814" s="446">
        <v>35.55</v>
      </c>
      <c r="K1814" s="446">
        <v>5.87</v>
      </c>
    </row>
    <row r="1815" customHeight="1" spans="1:11">
      <c r="A1815" s="438" t="s">
        <v>1750</v>
      </c>
      <c r="B1815" s="439" t="s">
        <v>2436</v>
      </c>
      <c r="C1815" s="438" t="s">
        <v>71</v>
      </c>
      <c r="D1815" s="438" t="s">
        <v>2437</v>
      </c>
      <c r="E1815" s="438" t="s">
        <v>1631</v>
      </c>
      <c r="F1815" s="438"/>
      <c r="G1815" s="440" t="s">
        <v>105</v>
      </c>
      <c r="H1815" s="441">
        <v>1</v>
      </c>
      <c r="I1815" s="441">
        <v>0</v>
      </c>
      <c r="J1815" s="449">
        <v>7.54</v>
      </c>
      <c r="K1815" s="449">
        <v>7.54</v>
      </c>
    </row>
    <row r="1816" customHeight="1" spans="1:11">
      <c r="A1816" s="438" t="s">
        <v>1750</v>
      </c>
      <c r="B1816" s="439" t="s">
        <v>2430</v>
      </c>
      <c r="C1816" s="438" t="s">
        <v>71</v>
      </c>
      <c r="D1816" s="438" t="s">
        <v>2431</v>
      </c>
      <c r="E1816" s="438" t="s">
        <v>1631</v>
      </c>
      <c r="F1816" s="438"/>
      <c r="G1816" s="440" t="s">
        <v>105</v>
      </c>
      <c r="H1816" s="441">
        <v>2</v>
      </c>
      <c r="I1816" s="441">
        <v>0</v>
      </c>
      <c r="J1816" s="449">
        <v>2.49</v>
      </c>
      <c r="K1816" s="449">
        <v>4.98</v>
      </c>
    </row>
    <row r="1817" customHeight="1" spans="1:11">
      <c r="A1817" s="438" t="s">
        <v>1750</v>
      </c>
      <c r="B1817" s="439" t="s">
        <v>2411</v>
      </c>
      <c r="C1817" s="438" t="s">
        <v>71</v>
      </c>
      <c r="D1817" s="438" t="s">
        <v>2412</v>
      </c>
      <c r="E1817" s="438" t="s">
        <v>1631</v>
      </c>
      <c r="F1817" s="438"/>
      <c r="G1817" s="440" t="s">
        <v>105</v>
      </c>
      <c r="H1817" s="441">
        <v>0.075</v>
      </c>
      <c r="I1817" s="441">
        <v>0</v>
      </c>
      <c r="J1817" s="449">
        <v>30.01</v>
      </c>
      <c r="K1817" s="449">
        <v>2.25</v>
      </c>
    </row>
    <row r="1818" customHeight="1" spans="1:11">
      <c r="A1818" s="434"/>
      <c r="B1818" s="434"/>
      <c r="C1818" s="434"/>
      <c r="D1818" s="434"/>
      <c r="E1818" s="434"/>
      <c r="F1818" s="434" t="s">
        <v>1735</v>
      </c>
      <c r="G1818" s="435">
        <v>4</v>
      </c>
      <c r="H1818" s="434" t="s">
        <v>1736</v>
      </c>
      <c r="I1818" s="435">
        <v>3.65</v>
      </c>
      <c r="J1818" s="434" t="s">
        <v>1737</v>
      </c>
      <c r="K1818" s="435">
        <v>7.65</v>
      </c>
    </row>
    <row r="1819" customHeight="1" spans="1:11">
      <c r="A1819" s="434"/>
      <c r="B1819" s="434"/>
      <c r="C1819" s="434"/>
      <c r="D1819" s="434"/>
      <c r="E1819" s="434"/>
      <c r="F1819" s="434" t="s">
        <v>1738</v>
      </c>
      <c r="G1819" s="435">
        <v>6.29</v>
      </c>
      <c r="H1819" s="434"/>
      <c r="I1819" s="434" t="s">
        <v>1739</v>
      </c>
      <c r="J1819" s="434"/>
      <c r="K1819" s="435">
        <v>31.81</v>
      </c>
    </row>
    <row r="1820" customHeight="1" spans="1:11">
      <c r="A1820" s="436"/>
      <c r="B1820" s="436"/>
      <c r="C1820" s="436"/>
      <c r="D1820" s="436"/>
      <c r="E1820" s="436"/>
      <c r="F1820" s="436"/>
      <c r="G1820" s="436"/>
      <c r="H1820" s="436" t="s">
        <v>1740</v>
      </c>
      <c r="I1820" s="447" t="s">
        <v>2310</v>
      </c>
      <c r="J1820" s="436" t="s">
        <v>1742</v>
      </c>
      <c r="K1820" s="448">
        <v>349.91</v>
      </c>
    </row>
    <row r="1821" customHeight="1" spans="1:11">
      <c r="A1821" s="437"/>
      <c r="B1821" s="437"/>
      <c r="C1821" s="437"/>
      <c r="D1821" s="437"/>
      <c r="E1821" s="437"/>
      <c r="F1821" s="437"/>
      <c r="G1821" s="437"/>
      <c r="H1821" s="437"/>
      <c r="I1821" s="437"/>
      <c r="J1821" s="437"/>
      <c r="K1821" s="437"/>
    </row>
    <row r="1822" customHeight="1" spans="1:11">
      <c r="A1822" s="423" t="s">
        <v>581</v>
      </c>
      <c r="B1822" s="424" t="s">
        <v>1714</v>
      </c>
      <c r="C1822" s="423" t="s">
        <v>1715</v>
      </c>
      <c r="D1822" s="423" t="s">
        <v>1716</v>
      </c>
      <c r="E1822" s="423" t="s">
        <v>1717</v>
      </c>
      <c r="F1822" s="423"/>
      <c r="G1822" s="425" t="s">
        <v>1718</v>
      </c>
      <c r="H1822" s="424" t="s">
        <v>1719</v>
      </c>
      <c r="I1822" s="424" t="s">
        <v>1720</v>
      </c>
      <c r="J1822" s="424" t="s">
        <v>1721</v>
      </c>
      <c r="K1822" s="424" t="s">
        <v>1722</v>
      </c>
    </row>
    <row r="1823" customHeight="1" spans="1:11">
      <c r="A1823" s="426" t="s">
        <v>1723</v>
      </c>
      <c r="B1823" s="427" t="s">
        <v>582</v>
      </c>
      <c r="C1823" s="426" t="s">
        <v>71</v>
      </c>
      <c r="D1823" s="426" t="s">
        <v>583</v>
      </c>
      <c r="E1823" s="426" t="s">
        <v>1649</v>
      </c>
      <c r="F1823" s="426"/>
      <c r="G1823" s="428" t="s">
        <v>105</v>
      </c>
      <c r="H1823" s="429">
        <v>1</v>
      </c>
      <c r="I1823" s="445"/>
      <c r="J1823" s="445">
        <v>18.05</v>
      </c>
      <c r="K1823" s="445">
        <v>18.05</v>
      </c>
    </row>
    <row r="1824" customHeight="1" spans="1:11">
      <c r="A1824" s="430" t="s">
        <v>1724</v>
      </c>
      <c r="B1824" s="431" t="s">
        <v>1859</v>
      </c>
      <c r="C1824" s="430" t="s">
        <v>71</v>
      </c>
      <c r="D1824" s="430" t="s">
        <v>1860</v>
      </c>
      <c r="E1824" s="430" t="s">
        <v>1708</v>
      </c>
      <c r="F1824" s="430"/>
      <c r="G1824" s="432" t="s">
        <v>82</v>
      </c>
      <c r="H1824" s="433">
        <v>0.1693</v>
      </c>
      <c r="I1824" s="433">
        <v>0</v>
      </c>
      <c r="J1824" s="446">
        <v>29.54</v>
      </c>
      <c r="K1824" s="446">
        <v>5</v>
      </c>
    </row>
    <row r="1825" customHeight="1" spans="1:11">
      <c r="A1825" s="430" t="s">
        <v>1724</v>
      </c>
      <c r="B1825" s="431" t="s">
        <v>1854</v>
      </c>
      <c r="C1825" s="430" t="s">
        <v>71</v>
      </c>
      <c r="D1825" s="430" t="s">
        <v>1855</v>
      </c>
      <c r="E1825" s="430" t="s">
        <v>1708</v>
      </c>
      <c r="F1825" s="430"/>
      <c r="G1825" s="432" t="s">
        <v>82</v>
      </c>
      <c r="H1825" s="433">
        <v>0.1693</v>
      </c>
      <c r="I1825" s="433">
        <v>0</v>
      </c>
      <c r="J1825" s="446">
        <v>35.55</v>
      </c>
      <c r="K1825" s="446">
        <v>6.01</v>
      </c>
    </row>
    <row r="1826" customHeight="1" spans="1:11">
      <c r="A1826" s="438" t="s">
        <v>1750</v>
      </c>
      <c r="B1826" s="439" t="s">
        <v>2438</v>
      </c>
      <c r="C1826" s="438" t="s">
        <v>71</v>
      </c>
      <c r="D1826" s="438" t="s">
        <v>2439</v>
      </c>
      <c r="E1826" s="438" t="s">
        <v>1631</v>
      </c>
      <c r="F1826" s="438"/>
      <c r="G1826" s="440" t="s">
        <v>105</v>
      </c>
      <c r="H1826" s="441">
        <v>1</v>
      </c>
      <c r="I1826" s="441">
        <v>0</v>
      </c>
      <c r="J1826" s="449">
        <v>4.1</v>
      </c>
      <c r="K1826" s="449">
        <v>4.1</v>
      </c>
    </row>
    <row r="1827" customHeight="1" spans="1:11">
      <c r="A1827" s="438" t="s">
        <v>1750</v>
      </c>
      <c r="B1827" s="439" t="s">
        <v>2284</v>
      </c>
      <c r="C1827" s="438" t="s">
        <v>71</v>
      </c>
      <c r="D1827" s="438" t="s">
        <v>2285</v>
      </c>
      <c r="E1827" s="438" t="s">
        <v>1631</v>
      </c>
      <c r="F1827" s="438"/>
      <c r="G1827" s="440" t="s">
        <v>105</v>
      </c>
      <c r="H1827" s="441">
        <v>0.0107</v>
      </c>
      <c r="I1827" s="441">
        <v>0</v>
      </c>
      <c r="J1827" s="449">
        <v>2.08</v>
      </c>
      <c r="K1827" s="449">
        <v>0.02</v>
      </c>
    </row>
    <row r="1828" customHeight="1" spans="1:11">
      <c r="A1828" s="438" t="s">
        <v>1750</v>
      </c>
      <c r="B1828" s="439" t="s">
        <v>2296</v>
      </c>
      <c r="C1828" s="438" t="s">
        <v>71</v>
      </c>
      <c r="D1828" s="438" t="s">
        <v>2297</v>
      </c>
      <c r="E1828" s="438" t="s">
        <v>1631</v>
      </c>
      <c r="F1828" s="438"/>
      <c r="G1828" s="440" t="s">
        <v>105</v>
      </c>
      <c r="H1828" s="441">
        <v>0.0148</v>
      </c>
      <c r="I1828" s="441">
        <v>0</v>
      </c>
      <c r="J1828" s="449">
        <v>72.71</v>
      </c>
      <c r="K1828" s="449">
        <v>1.07</v>
      </c>
    </row>
    <row r="1829" customHeight="1" spans="1:11">
      <c r="A1829" s="438" t="s">
        <v>1750</v>
      </c>
      <c r="B1829" s="439" t="s">
        <v>2294</v>
      </c>
      <c r="C1829" s="438" t="s">
        <v>71</v>
      </c>
      <c r="D1829" s="438" t="s">
        <v>2295</v>
      </c>
      <c r="E1829" s="438" t="s">
        <v>1631</v>
      </c>
      <c r="F1829" s="438"/>
      <c r="G1829" s="440" t="s">
        <v>105</v>
      </c>
      <c r="H1829" s="441">
        <v>0.0225</v>
      </c>
      <c r="I1829" s="441">
        <v>0</v>
      </c>
      <c r="J1829" s="449">
        <v>82.38</v>
      </c>
      <c r="K1829" s="449">
        <v>1.85</v>
      </c>
    </row>
    <row r="1830" customHeight="1" spans="1:11">
      <c r="A1830" s="434"/>
      <c r="B1830" s="434"/>
      <c r="C1830" s="434"/>
      <c r="D1830" s="434"/>
      <c r="E1830" s="434"/>
      <c r="F1830" s="434" t="s">
        <v>1735</v>
      </c>
      <c r="G1830" s="435">
        <v>4.1</v>
      </c>
      <c r="H1830" s="434" t="s">
        <v>1736</v>
      </c>
      <c r="I1830" s="435">
        <v>3.74</v>
      </c>
      <c r="J1830" s="434" t="s">
        <v>1737</v>
      </c>
      <c r="K1830" s="435">
        <v>7.84</v>
      </c>
    </row>
    <row r="1831" customHeight="1" spans="1:11">
      <c r="A1831" s="434"/>
      <c r="B1831" s="434"/>
      <c r="C1831" s="434"/>
      <c r="D1831" s="434"/>
      <c r="E1831" s="434"/>
      <c r="F1831" s="434" t="s">
        <v>1738</v>
      </c>
      <c r="G1831" s="435">
        <v>4.45</v>
      </c>
      <c r="H1831" s="434"/>
      <c r="I1831" s="434" t="s">
        <v>1739</v>
      </c>
      <c r="J1831" s="434"/>
      <c r="K1831" s="435">
        <v>22.5</v>
      </c>
    </row>
    <row r="1832" customHeight="1" spans="1:11">
      <c r="A1832" s="436"/>
      <c r="B1832" s="436"/>
      <c r="C1832" s="436"/>
      <c r="D1832" s="436"/>
      <c r="E1832" s="436"/>
      <c r="F1832" s="436"/>
      <c r="G1832" s="436"/>
      <c r="H1832" s="436" t="s">
        <v>1740</v>
      </c>
      <c r="I1832" s="447" t="s">
        <v>2339</v>
      </c>
      <c r="J1832" s="436" t="s">
        <v>1742</v>
      </c>
      <c r="K1832" s="448">
        <v>67.5</v>
      </c>
    </row>
    <row r="1833" customHeight="1" spans="1:11">
      <c r="A1833" s="437"/>
      <c r="B1833" s="437"/>
      <c r="C1833" s="437"/>
      <c r="D1833" s="437"/>
      <c r="E1833" s="437"/>
      <c r="F1833" s="437"/>
      <c r="G1833" s="437"/>
      <c r="H1833" s="437"/>
      <c r="I1833" s="437"/>
      <c r="J1833" s="437"/>
      <c r="K1833" s="437"/>
    </row>
    <row r="1834" customHeight="1" spans="1:11">
      <c r="A1834" s="423" t="s">
        <v>584</v>
      </c>
      <c r="B1834" s="424" t="s">
        <v>1714</v>
      </c>
      <c r="C1834" s="423" t="s">
        <v>1715</v>
      </c>
      <c r="D1834" s="423" t="s">
        <v>1716</v>
      </c>
      <c r="E1834" s="423" t="s">
        <v>1717</v>
      </c>
      <c r="F1834" s="423"/>
      <c r="G1834" s="425" t="s">
        <v>1718</v>
      </c>
      <c r="H1834" s="424" t="s">
        <v>1719</v>
      </c>
      <c r="I1834" s="424" t="s">
        <v>1720</v>
      </c>
      <c r="J1834" s="424" t="s">
        <v>1721</v>
      </c>
      <c r="K1834" s="424" t="s">
        <v>1722</v>
      </c>
    </row>
    <row r="1835" customHeight="1" spans="1:11">
      <c r="A1835" s="426" t="s">
        <v>1723</v>
      </c>
      <c r="B1835" s="427" t="s">
        <v>585</v>
      </c>
      <c r="C1835" s="426" t="s">
        <v>71</v>
      </c>
      <c r="D1835" s="426" t="s">
        <v>586</v>
      </c>
      <c r="E1835" s="426" t="s">
        <v>1649</v>
      </c>
      <c r="F1835" s="426"/>
      <c r="G1835" s="428" t="s">
        <v>105</v>
      </c>
      <c r="H1835" s="429">
        <v>1</v>
      </c>
      <c r="I1835" s="445"/>
      <c r="J1835" s="445">
        <v>29.96</v>
      </c>
      <c r="K1835" s="445">
        <v>29.96</v>
      </c>
    </row>
    <row r="1836" customHeight="1" spans="1:11">
      <c r="A1836" s="430" t="s">
        <v>1724</v>
      </c>
      <c r="B1836" s="431" t="s">
        <v>1859</v>
      </c>
      <c r="C1836" s="430" t="s">
        <v>71</v>
      </c>
      <c r="D1836" s="430" t="s">
        <v>1860</v>
      </c>
      <c r="E1836" s="430" t="s">
        <v>1708</v>
      </c>
      <c r="F1836" s="430"/>
      <c r="G1836" s="432" t="s">
        <v>82</v>
      </c>
      <c r="H1836" s="433">
        <v>0.1839</v>
      </c>
      <c r="I1836" s="433">
        <v>0</v>
      </c>
      <c r="J1836" s="446">
        <v>29.54</v>
      </c>
      <c r="K1836" s="446">
        <v>5.43</v>
      </c>
    </row>
    <row r="1837" customHeight="1" spans="1:11">
      <c r="A1837" s="430" t="s">
        <v>1724</v>
      </c>
      <c r="B1837" s="431" t="s">
        <v>1854</v>
      </c>
      <c r="C1837" s="430" t="s">
        <v>71</v>
      </c>
      <c r="D1837" s="430" t="s">
        <v>1855</v>
      </c>
      <c r="E1837" s="430" t="s">
        <v>1708</v>
      </c>
      <c r="F1837" s="430"/>
      <c r="G1837" s="432" t="s">
        <v>82</v>
      </c>
      <c r="H1837" s="433">
        <v>0.1839</v>
      </c>
      <c r="I1837" s="433">
        <v>0</v>
      </c>
      <c r="J1837" s="446">
        <v>35.55</v>
      </c>
      <c r="K1837" s="446">
        <v>6.53</v>
      </c>
    </row>
    <row r="1838" customHeight="1" spans="1:11">
      <c r="A1838" s="438" t="s">
        <v>1750</v>
      </c>
      <c r="B1838" s="439" t="s">
        <v>2440</v>
      </c>
      <c r="C1838" s="438" t="s">
        <v>71</v>
      </c>
      <c r="D1838" s="438" t="s">
        <v>2441</v>
      </c>
      <c r="E1838" s="438" t="s">
        <v>1631</v>
      </c>
      <c r="F1838" s="438"/>
      <c r="G1838" s="440" t="s">
        <v>105</v>
      </c>
      <c r="H1838" s="441">
        <v>1</v>
      </c>
      <c r="I1838" s="441">
        <v>0</v>
      </c>
      <c r="J1838" s="449">
        <v>10.68</v>
      </c>
      <c r="K1838" s="449">
        <v>10.68</v>
      </c>
    </row>
    <row r="1839" customHeight="1" spans="1:11">
      <c r="A1839" s="438" t="s">
        <v>1750</v>
      </c>
      <c r="B1839" s="439" t="s">
        <v>2411</v>
      </c>
      <c r="C1839" s="438" t="s">
        <v>71</v>
      </c>
      <c r="D1839" s="438" t="s">
        <v>2412</v>
      </c>
      <c r="E1839" s="438" t="s">
        <v>1631</v>
      </c>
      <c r="F1839" s="438"/>
      <c r="G1839" s="440" t="s">
        <v>105</v>
      </c>
      <c r="H1839" s="441">
        <v>0.075</v>
      </c>
      <c r="I1839" s="441">
        <v>0</v>
      </c>
      <c r="J1839" s="449">
        <v>30.01</v>
      </c>
      <c r="K1839" s="449">
        <v>2.25</v>
      </c>
    </row>
    <row r="1840" customHeight="1" spans="1:11">
      <c r="A1840" s="438" t="s">
        <v>1750</v>
      </c>
      <c r="B1840" s="439" t="s">
        <v>2419</v>
      </c>
      <c r="C1840" s="438" t="s">
        <v>71</v>
      </c>
      <c r="D1840" s="438" t="s">
        <v>2420</v>
      </c>
      <c r="E1840" s="438" t="s">
        <v>1631</v>
      </c>
      <c r="F1840" s="438"/>
      <c r="G1840" s="440" t="s">
        <v>105</v>
      </c>
      <c r="H1840" s="441">
        <v>3</v>
      </c>
      <c r="I1840" s="441">
        <v>0</v>
      </c>
      <c r="J1840" s="449">
        <v>1.69</v>
      </c>
      <c r="K1840" s="449">
        <v>5.07</v>
      </c>
    </row>
    <row r="1841" customHeight="1" spans="1:11">
      <c r="A1841" s="434"/>
      <c r="B1841" s="434"/>
      <c r="C1841" s="434"/>
      <c r="D1841" s="434"/>
      <c r="E1841" s="434"/>
      <c r="F1841" s="434" t="s">
        <v>1735</v>
      </c>
      <c r="G1841" s="435">
        <v>4.45</v>
      </c>
      <c r="H1841" s="434" t="s">
        <v>1736</v>
      </c>
      <c r="I1841" s="435">
        <v>4.06</v>
      </c>
      <c r="J1841" s="434" t="s">
        <v>1737</v>
      </c>
      <c r="K1841" s="435">
        <v>8.51</v>
      </c>
    </row>
    <row r="1842" customHeight="1" spans="1:11">
      <c r="A1842" s="434"/>
      <c r="B1842" s="434"/>
      <c r="C1842" s="434"/>
      <c r="D1842" s="434"/>
      <c r="E1842" s="434"/>
      <c r="F1842" s="434" t="s">
        <v>1738</v>
      </c>
      <c r="G1842" s="435">
        <v>7.38</v>
      </c>
      <c r="H1842" s="434"/>
      <c r="I1842" s="434" t="s">
        <v>1739</v>
      </c>
      <c r="J1842" s="434"/>
      <c r="K1842" s="435">
        <v>37.34</v>
      </c>
    </row>
    <row r="1843" customHeight="1" spans="1:11">
      <c r="A1843" s="436"/>
      <c r="B1843" s="436"/>
      <c r="C1843" s="436"/>
      <c r="D1843" s="436"/>
      <c r="E1843" s="436"/>
      <c r="F1843" s="436"/>
      <c r="G1843" s="436"/>
      <c r="H1843" s="436" t="s">
        <v>1740</v>
      </c>
      <c r="I1843" s="447" t="s">
        <v>1741</v>
      </c>
      <c r="J1843" s="436" t="s">
        <v>1742</v>
      </c>
      <c r="K1843" s="448">
        <v>37.34</v>
      </c>
    </row>
    <row r="1844" customHeight="1" spans="1:11">
      <c r="A1844" s="437"/>
      <c r="B1844" s="437"/>
      <c r="C1844" s="437"/>
      <c r="D1844" s="437"/>
      <c r="E1844" s="437"/>
      <c r="F1844" s="437"/>
      <c r="G1844" s="437"/>
      <c r="H1844" s="437"/>
      <c r="I1844" s="437"/>
      <c r="J1844" s="437"/>
      <c r="K1844" s="437"/>
    </row>
    <row r="1845" customHeight="1" spans="1:11">
      <c r="A1845" s="423" t="s">
        <v>587</v>
      </c>
      <c r="B1845" s="424" t="s">
        <v>1714</v>
      </c>
      <c r="C1845" s="423" t="s">
        <v>1715</v>
      </c>
      <c r="D1845" s="423" t="s">
        <v>1716</v>
      </c>
      <c r="E1845" s="423" t="s">
        <v>1717</v>
      </c>
      <c r="F1845" s="423"/>
      <c r="G1845" s="425" t="s">
        <v>1718</v>
      </c>
      <c r="H1845" s="424" t="s">
        <v>1719</v>
      </c>
      <c r="I1845" s="424" t="s">
        <v>1720</v>
      </c>
      <c r="J1845" s="424" t="s">
        <v>1721</v>
      </c>
      <c r="K1845" s="424" t="s">
        <v>1722</v>
      </c>
    </row>
    <row r="1846" customHeight="1" spans="1:11">
      <c r="A1846" s="426" t="s">
        <v>1723</v>
      </c>
      <c r="B1846" s="427" t="s">
        <v>588</v>
      </c>
      <c r="C1846" s="426" t="s">
        <v>71</v>
      </c>
      <c r="D1846" s="426" t="s">
        <v>589</v>
      </c>
      <c r="E1846" s="426" t="s">
        <v>1649</v>
      </c>
      <c r="F1846" s="426"/>
      <c r="G1846" s="428" t="s">
        <v>105</v>
      </c>
      <c r="H1846" s="429">
        <v>1</v>
      </c>
      <c r="I1846" s="445"/>
      <c r="J1846" s="445">
        <v>47.68</v>
      </c>
      <c r="K1846" s="445">
        <v>47.68</v>
      </c>
    </row>
    <row r="1847" customHeight="1" spans="1:11">
      <c r="A1847" s="430" t="s">
        <v>1724</v>
      </c>
      <c r="B1847" s="431" t="s">
        <v>1859</v>
      </c>
      <c r="C1847" s="430" t="s">
        <v>71</v>
      </c>
      <c r="D1847" s="430" t="s">
        <v>1860</v>
      </c>
      <c r="E1847" s="430" t="s">
        <v>1708</v>
      </c>
      <c r="F1847" s="430"/>
      <c r="G1847" s="432" t="s">
        <v>82</v>
      </c>
      <c r="H1847" s="433">
        <v>0.2325</v>
      </c>
      <c r="I1847" s="433">
        <v>0</v>
      </c>
      <c r="J1847" s="446">
        <v>29.54</v>
      </c>
      <c r="K1847" s="446">
        <v>6.86</v>
      </c>
    </row>
    <row r="1848" customHeight="1" spans="1:11">
      <c r="A1848" s="430" t="s">
        <v>1724</v>
      </c>
      <c r="B1848" s="431" t="s">
        <v>1854</v>
      </c>
      <c r="C1848" s="430" t="s">
        <v>71</v>
      </c>
      <c r="D1848" s="430" t="s">
        <v>1855</v>
      </c>
      <c r="E1848" s="430" t="s">
        <v>1708</v>
      </c>
      <c r="F1848" s="430"/>
      <c r="G1848" s="432" t="s">
        <v>82</v>
      </c>
      <c r="H1848" s="433">
        <v>0.2325</v>
      </c>
      <c r="I1848" s="433">
        <v>0</v>
      </c>
      <c r="J1848" s="446">
        <v>35.55</v>
      </c>
      <c r="K1848" s="446">
        <v>8.26</v>
      </c>
    </row>
    <row r="1849" customHeight="1" spans="1:11">
      <c r="A1849" s="438" t="s">
        <v>1750</v>
      </c>
      <c r="B1849" s="439" t="s">
        <v>2419</v>
      </c>
      <c r="C1849" s="438" t="s">
        <v>71</v>
      </c>
      <c r="D1849" s="438" t="s">
        <v>2420</v>
      </c>
      <c r="E1849" s="438" t="s">
        <v>1631</v>
      </c>
      <c r="F1849" s="438"/>
      <c r="G1849" s="440" t="s">
        <v>105</v>
      </c>
      <c r="H1849" s="441">
        <v>1</v>
      </c>
      <c r="I1849" s="441">
        <v>0</v>
      </c>
      <c r="J1849" s="449">
        <v>1.69</v>
      </c>
      <c r="K1849" s="449">
        <v>1.69</v>
      </c>
    </row>
    <row r="1850" customHeight="1" spans="1:11">
      <c r="A1850" s="438" t="s">
        <v>1750</v>
      </c>
      <c r="B1850" s="439" t="s">
        <v>2411</v>
      </c>
      <c r="C1850" s="438" t="s">
        <v>71</v>
      </c>
      <c r="D1850" s="438" t="s">
        <v>2412</v>
      </c>
      <c r="E1850" s="438" t="s">
        <v>1631</v>
      </c>
      <c r="F1850" s="438"/>
      <c r="G1850" s="440" t="s">
        <v>105</v>
      </c>
      <c r="H1850" s="441">
        <v>0.14</v>
      </c>
      <c r="I1850" s="441">
        <v>0</v>
      </c>
      <c r="J1850" s="449">
        <v>30.01</v>
      </c>
      <c r="K1850" s="449">
        <v>4.2</v>
      </c>
    </row>
    <row r="1851" customHeight="1" spans="1:11">
      <c r="A1851" s="438" t="s">
        <v>1750</v>
      </c>
      <c r="B1851" s="439" t="s">
        <v>2413</v>
      </c>
      <c r="C1851" s="438" t="s">
        <v>71</v>
      </c>
      <c r="D1851" s="438" t="s">
        <v>2414</v>
      </c>
      <c r="E1851" s="438" t="s">
        <v>1631</v>
      </c>
      <c r="F1851" s="438"/>
      <c r="G1851" s="440" t="s">
        <v>105</v>
      </c>
      <c r="H1851" s="441">
        <v>2</v>
      </c>
      <c r="I1851" s="441">
        <v>0</v>
      </c>
      <c r="J1851" s="449">
        <v>3</v>
      </c>
      <c r="K1851" s="449">
        <v>6</v>
      </c>
    </row>
    <row r="1852" customHeight="1" spans="1:11">
      <c r="A1852" s="438" t="s">
        <v>1750</v>
      </c>
      <c r="B1852" s="439" t="s">
        <v>2442</v>
      </c>
      <c r="C1852" s="438" t="s">
        <v>71</v>
      </c>
      <c r="D1852" s="438" t="s">
        <v>2443</v>
      </c>
      <c r="E1852" s="438" t="s">
        <v>1631</v>
      </c>
      <c r="F1852" s="438"/>
      <c r="G1852" s="440" t="s">
        <v>105</v>
      </c>
      <c r="H1852" s="441">
        <v>1</v>
      </c>
      <c r="I1852" s="441">
        <v>0</v>
      </c>
      <c r="J1852" s="449">
        <v>20.67</v>
      </c>
      <c r="K1852" s="449">
        <v>20.67</v>
      </c>
    </row>
    <row r="1853" customHeight="1" spans="1:11">
      <c r="A1853" s="434"/>
      <c r="B1853" s="434"/>
      <c r="C1853" s="434"/>
      <c r="D1853" s="434"/>
      <c r="E1853" s="434"/>
      <c r="F1853" s="434" t="s">
        <v>1735</v>
      </c>
      <c r="G1853" s="435">
        <v>5.63</v>
      </c>
      <c r="H1853" s="434" t="s">
        <v>1736</v>
      </c>
      <c r="I1853" s="435">
        <v>5.13</v>
      </c>
      <c r="J1853" s="434" t="s">
        <v>1737</v>
      </c>
      <c r="K1853" s="435">
        <v>10.76</v>
      </c>
    </row>
    <row r="1854" customHeight="1" spans="1:11">
      <c r="A1854" s="434"/>
      <c r="B1854" s="434"/>
      <c r="C1854" s="434"/>
      <c r="D1854" s="434"/>
      <c r="E1854" s="434"/>
      <c r="F1854" s="434" t="s">
        <v>1738</v>
      </c>
      <c r="G1854" s="435">
        <v>11.75</v>
      </c>
      <c r="H1854" s="434"/>
      <c r="I1854" s="434" t="s">
        <v>1739</v>
      </c>
      <c r="J1854" s="434"/>
      <c r="K1854" s="435">
        <v>59.43</v>
      </c>
    </row>
    <row r="1855" customHeight="1" spans="1:11">
      <c r="A1855" s="436"/>
      <c r="B1855" s="436"/>
      <c r="C1855" s="436"/>
      <c r="D1855" s="436"/>
      <c r="E1855" s="436"/>
      <c r="F1855" s="436"/>
      <c r="G1855" s="436"/>
      <c r="H1855" s="436" t="s">
        <v>1740</v>
      </c>
      <c r="I1855" s="447" t="s">
        <v>2339</v>
      </c>
      <c r="J1855" s="436" t="s">
        <v>1742</v>
      </c>
      <c r="K1855" s="448">
        <v>178.29</v>
      </c>
    </row>
    <row r="1856" customHeight="1" spans="1:11">
      <c r="A1856" s="437"/>
      <c r="B1856" s="437"/>
      <c r="C1856" s="437"/>
      <c r="D1856" s="437"/>
      <c r="E1856" s="437"/>
      <c r="F1856" s="437"/>
      <c r="G1856" s="437"/>
      <c r="H1856" s="437"/>
      <c r="I1856" s="437"/>
      <c r="J1856" s="437"/>
      <c r="K1856" s="437"/>
    </row>
    <row r="1857" customHeight="1" spans="1:11">
      <c r="A1857" s="423" t="s">
        <v>590</v>
      </c>
      <c r="B1857" s="424" t="s">
        <v>1714</v>
      </c>
      <c r="C1857" s="423" t="s">
        <v>1715</v>
      </c>
      <c r="D1857" s="423" t="s">
        <v>1716</v>
      </c>
      <c r="E1857" s="423" t="s">
        <v>1717</v>
      </c>
      <c r="F1857" s="423"/>
      <c r="G1857" s="425" t="s">
        <v>1718</v>
      </c>
      <c r="H1857" s="424" t="s">
        <v>1719</v>
      </c>
      <c r="I1857" s="424" t="s">
        <v>1720</v>
      </c>
      <c r="J1857" s="424" t="s">
        <v>1721</v>
      </c>
      <c r="K1857" s="424" t="s">
        <v>1722</v>
      </c>
    </row>
    <row r="1858" customHeight="1" spans="1:11">
      <c r="A1858" s="426" t="s">
        <v>1723</v>
      </c>
      <c r="B1858" s="427" t="s">
        <v>591</v>
      </c>
      <c r="C1858" s="426" t="s">
        <v>71</v>
      </c>
      <c r="D1858" s="426" t="s">
        <v>592</v>
      </c>
      <c r="E1858" s="426" t="s">
        <v>1687</v>
      </c>
      <c r="F1858" s="426"/>
      <c r="G1858" s="428" t="s">
        <v>105</v>
      </c>
      <c r="H1858" s="429">
        <v>1</v>
      </c>
      <c r="I1858" s="445"/>
      <c r="J1858" s="445">
        <v>99.58</v>
      </c>
      <c r="K1858" s="445">
        <v>99.58</v>
      </c>
    </row>
    <row r="1859" customHeight="1" spans="1:11">
      <c r="A1859" s="430" t="s">
        <v>1724</v>
      </c>
      <c r="B1859" s="431" t="s">
        <v>1854</v>
      </c>
      <c r="C1859" s="430" t="s">
        <v>71</v>
      </c>
      <c r="D1859" s="430" t="s">
        <v>1855</v>
      </c>
      <c r="E1859" s="430" t="s">
        <v>1708</v>
      </c>
      <c r="F1859" s="430"/>
      <c r="G1859" s="432" t="s">
        <v>82</v>
      </c>
      <c r="H1859" s="433">
        <v>0.1563</v>
      </c>
      <c r="I1859" s="433">
        <v>0</v>
      </c>
      <c r="J1859" s="446">
        <v>35.55</v>
      </c>
      <c r="K1859" s="446">
        <v>5.55</v>
      </c>
    </row>
    <row r="1860" customHeight="1" spans="1:11">
      <c r="A1860" s="430" t="s">
        <v>1724</v>
      </c>
      <c r="B1860" s="431" t="s">
        <v>1859</v>
      </c>
      <c r="C1860" s="430" t="s">
        <v>71</v>
      </c>
      <c r="D1860" s="430" t="s">
        <v>1860</v>
      </c>
      <c r="E1860" s="430" t="s">
        <v>1708</v>
      </c>
      <c r="F1860" s="430"/>
      <c r="G1860" s="432" t="s">
        <v>82</v>
      </c>
      <c r="H1860" s="433">
        <v>0.1563</v>
      </c>
      <c r="I1860" s="433">
        <v>0</v>
      </c>
      <c r="J1860" s="446">
        <v>29.54</v>
      </c>
      <c r="K1860" s="446">
        <v>4.61</v>
      </c>
    </row>
    <row r="1861" customHeight="1" spans="1:11">
      <c r="A1861" s="438" t="s">
        <v>1750</v>
      </c>
      <c r="B1861" s="439" t="s">
        <v>2444</v>
      </c>
      <c r="C1861" s="438" t="s">
        <v>71</v>
      </c>
      <c r="D1861" s="438" t="s">
        <v>2445</v>
      </c>
      <c r="E1861" s="438" t="s">
        <v>1631</v>
      </c>
      <c r="F1861" s="438"/>
      <c r="G1861" s="440" t="s">
        <v>105</v>
      </c>
      <c r="H1861" s="441">
        <v>1</v>
      </c>
      <c r="I1861" s="441">
        <v>0</v>
      </c>
      <c r="J1861" s="449">
        <v>75.11</v>
      </c>
      <c r="K1861" s="449">
        <v>75.11</v>
      </c>
    </row>
    <row r="1862" customHeight="1" spans="1:11">
      <c r="A1862" s="438" t="s">
        <v>1750</v>
      </c>
      <c r="B1862" s="439" t="s">
        <v>2411</v>
      </c>
      <c r="C1862" s="438" t="s">
        <v>71</v>
      </c>
      <c r="D1862" s="438" t="s">
        <v>2412</v>
      </c>
      <c r="E1862" s="438" t="s">
        <v>1631</v>
      </c>
      <c r="F1862" s="438"/>
      <c r="G1862" s="440" t="s">
        <v>105</v>
      </c>
      <c r="H1862" s="441">
        <v>0.1525</v>
      </c>
      <c r="I1862" s="441">
        <v>0</v>
      </c>
      <c r="J1862" s="449">
        <v>30.01</v>
      </c>
      <c r="K1862" s="449">
        <v>4.57</v>
      </c>
    </row>
    <row r="1863" customHeight="1" spans="1:11">
      <c r="A1863" s="438" t="s">
        <v>1750</v>
      </c>
      <c r="B1863" s="439" t="s">
        <v>2446</v>
      </c>
      <c r="C1863" s="438" t="s">
        <v>71</v>
      </c>
      <c r="D1863" s="438" t="s">
        <v>2447</v>
      </c>
      <c r="E1863" s="438" t="s">
        <v>1631</v>
      </c>
      <c r="F1863" s="438"/>
      <c r="G1863" s="440" t="s">
        <v>105</v>
      </c>
      <c r="H1863" s="441">
        <v>1</v>
      </c>
      <c r="I1863" s="441">
        <v>0</v>
      </c>
      <c r="J1863" s="449">
        <v>2.7</v>
      </c>
      <c r="K1863" s="449">
        <v>2.7</v>
      </c>
    </row>
    <row r="1864" customHeight="1" spans="1:11">
      <c r="A1864" s="438" t="s">
        <v>1750</v>
      </c>
      <c r="B1864" s="439" t="s">
        <v>2448</v>
      </c>
      <c r="C1864" s="438" t="s">
        <v>71</v>
      </c>
      <c r="D1864" s="438" t="s">
        <v>2449</v>
      </c>
      <c r="E1864" s="438" t="s">
        <v>1631</v>
      </c>
      <c r="F1864" s="438"/>
      <c r="G1864" s="440" t="s">
        <v>105</v>
      </c>
      <c r="H1864" s="441">
        <v>2</v>
      </c>
      <c r="I1864" s="441">
        <v>0</v>
      </c>
      <c r="J1864" s="449">
        <v>3.52</v>
      </c>
      <c r="K1864" s="449">
        <v>7.04</v>
      </c>
    </row>
    <row r="1865" customHeight="1" spans="1:11">
      <c r="A1865" s="434"/>
      <c r="B1865" s="434"/>
      <c r="C1865" s="434"/>
      <c r="D1865" s="434"/>
      <c r="E1865" s="434"/>
      <c r="F1865" s="434" t="s">
        <v>1735</v>
      </c>
      <c r="G1865" s="435">
        <v>3.79</v>
      </c>
      <c r="H1865" s="434" t="s">
        <v>1736</v>
      </c>
      <c r="I1865" s="435">
        <v>3.45</v>
      </c>
      <c r="J1865" s="434" t="s">
        <v>1737</v>
      </c>
      <c r="K1865" s="435">
        <v>7.24</v>
      </c>
    </row>
    <row r="1866" customHeight="1" spans="1:11">
      <c r="A1866" s="434"/>
      <c r="B1866" s="434"/>
      <c r="C1866" s="434"/>
      <c r="D1866" s="434"/>
      <c r="E1866" s="434"/>
      <c r="F1866" s="434" t="s">
        <v>1738</v>
      </c>
      <c r="G1866" s="435">
        <v>24.55</v>
      </c>
      <c r="H1866" s="434"/>
      <c r="I1866" s="434" t="s">
        <v>1739</v>
      </c>
      <c r="J1866" s="434"/>
      <c r="K1866" s="435">
        <v>124.13</v>
      </c>
    </row>
    <row r="1867" customHeight="1" spans="1:11">
      <c r="A1867" s="436"/>
      <c r="B1867" s="436"/>
      <c r="C1867" s="436"/>
      <c r="D1867" s="436"/>
      <c r="E1867" s="436"/>
      <c r="F1867" s="436"/>
      <c r="G1867" s="436"/>
      <c r="H1867" s="436" t="s">
        <v>1740</v>
      </c>
      <c r="I1867" s="447" t="s">
        <v>1971</v>
      </c>
      <c r="J1867" s="436" t="s">
        <v>1742</v>
      </c>
      <c r="K1867" s="448">
        <v>248.26</v>
      </c>
    </row>
    <row r="1868" customHeight="1" spans="1:11">
      <c r="A1868" s="437"/>
      <c r="B1868" s="437"/>
      <c r="C1868" s="437"/>
      <c r="D1868" s="437"/>
      <c r="E1868" s="437"/>
      <c r="F1868" s="437"/>
      <c r="G1868" s="437"/>
      <c r="H1868" s="437"/>
      <c r="I1868" s="437"/>
      <c r="J1868" s="437"/>
      <c r="K1868" s="437"/>
    </row>
    <row r="1869" customHeight="1" spans="1:11">
      <c r="A1869" s="423" t="s">
        <v>593</v>
      </c>
      <c r="B1869" s="424" t="s">
        <v>1714</v>
      </c>
      <c r="C1869" s="423" t="s">
        <v>1715</v>
      </c>
      <c r="D1869" s="423" t="s">
        <v>1716</v>
      </c>
      <c r="E1869" s="423" t="s">
        <v>1717</v>
      </c>
      <c r="F1869" s="423"/>
      <c r="G1869" s="425" t="s">
        <v>1718</v>
      </c>
      <c r="H1869" s="424" t="s">
        <v>1719</v>
      </c>
      <c r="I1869" s="424" t="s">
        <v>1720</v>
      </c>
      <c r="J1869" s="424" t="s">
        <v>1721</v>
      </c>
      <c r="K1869" s="424" t="s">
        <v>1722</v>
      </c>
    </row>
    <row r="1870" customHeight="1" spans="1:11">
      <c r="A1870" s="426" t="s">
        <v>1723</v>
      </c>
      <c r="B1870" s="427" t="s">
        <v>594</v>
      </c>
      <c r="C1870" s="426" t="s">
        <v>71</v>
      </c>
      <c r="D1870" s="426" t="s">
        <v>595</v>
      </c>
      <c r="E1870" s="426" t="s">
        <v>1649</v>
      </c>
      <c r="F1870" s="426"/>
      <c r="G1870" s="428" t="s">
        <v>105</v>
      </c>
      <c r="H1870" s="429">
        <v>1</v>
      </c>
      <c r="I1870" s="445"/>
      <c r="J1870" s="445">
        <v>56.9</v>
      </c>
      <c r="K1870" s="445">
        <v>56.9</v>
      </c>
    </row>
    <row r="1871" customHeight="1" spans="1:11">
      <c r="A1871" s="430" t="s">
        <v>1724</v>
      </c>
      <c r="B1871" s="431" t="s">
        <v>1854</v>
      </c>
      <c r="C1871" s="430" t="s">
        <v>71</v>
      </c>
      <c r="D1871" s="430" t="s">
        <v>1855</v>
      </c>
      <c r="E1871" s="430" t="s">
        <v>1708</v>
      </c>
      <c r="F1871" s="430"/>
      <c r="G1871" s="432" t="s">
        <v>82</v>
      </c>
      <c r="H1871" s="433">
        <v>0.2568</v>
      </c>
      <c r="I1871" s="433">
        <v>0</v>
      </c>
      <c r="J1871" s="446">
        <v>35.55</v>
      </c>
      <c r="K1871" s="446">
        <v>9.12</v>
      </c>
    </row>
    <row r="1872" customHeight="1" spans="1:11">
      <c r="A1872" s="430" t="s">
        <v>1724</v>
      </c>
      <c r="B1872" s="431" t="s">
        <v>1859</v>
      </c>
      <c r="C1872" s="430" t="s">
        <v>71</v>
      </c>
      <c r="D1872" s="430" t="s">
        <v>1860</v>
      </c>
      <c r="E1872" s="430" t="s">
        <v>1708</v>
      </c>
      <c r="F1872" s="430"/>
      <c r="G1872" s="432" t="s">
        <v>82</v>
      </c>
      <c r="H1872" s="433">
        <v>0.2568</v>
      </c>
      <c r="I1872" s="433">
        <v>0</v>
      </c>
      <c r="J1872" s="446">
        <v>29.54</v>
      </c>
      <c r="K1872" s="446">
        <v>7.58</v>
      </c>
    </row>
    <row r="1873" customHeight="1" spans="1:11">
      <c r="A1873" s="438" t="s">
        <v>1750</v>
      </c>
      <c r="B1873" s="439" t="s">
        <v>2411</v>
      </c>
      <c r="C1873" s="438" t="s">
        <v>71</v>
      </c>
      <c r="D1873" s="438" t="s">
        <v>2412</v>
      </c>
      <c r="E1873" s="438" t="s">
        <v>1631</v>
      </c>
      <c r="F1873" s="438"/>
      <c r="G1873" s="440" t="s">
        <v>105</v>
      </c>
      <c r="H1873" s="441">
        <v>0.1725</v>
      </c>
      <c r="I1873" s="441">
        <v>0</v>
      </c>
      <c r="J1873" s="449">
        <v>30.01</v>
      </c>
      <c r="K1873" s="449">
        <v>5.17</v>
      </c>
    </row>
    <row r="1874" customHeight="1" spans="1:11">
      <c r="A1874" s="438" t="s">
        <v>1750</v>
      </c>
      <c r="B1874" s="439" t="s">
        <v>2413</v>
      </c>
      <c r="C1874" s="438" t="s">
        <v>71</v>
      </c>
      <c r="D1874" s="438" t="s">
        <v>2414</v>
      </c>
      <c r="E1874" s="438" t="s">
        <v>1631</v>
      </c>
      <c r="F1874" s="438"/>
      <c r="G1874" s="440" t="s">
        <v>105</v>
      </c>
      <c r="H1874" s="441">
        <v>3</v>
      </c>
      <c r="I1874" s="441">
        <v>0</v>
      </c>
      <c r="J1874" s="449">
        <v>3</v>
      </c>
      <c r="K1874" s="449">
        <v>9</v>
      </c>
    </row>
    <row r="1875" customHeight="1" spans="1:11">
      <c r="A1875" s="438" t="s">
        <v>1750</v>
      </c>
      <c r="B1875" s="439" t="s">
        <v>2450</v>
      </c>
      <c r="C1875" s="438" t="s">
        <v>71</v>
      </c>
      <c r="D1875" s="438" t="s">
        <v>2451</v>
      </c>
      <c r="E1875" s="438" t="s">
        <v>1631</v>
      </c>
      <c r="F1875" s="438"/>
      <c r="G1875" s="440" t="s">
        <v>105</v>
      </c>
      <c r="H1875" s="441">
        <v>1</v>
      </c>
      <c r="I1875" s="441">
        <v>0</v>
      </c>
      <c r="J1875" s="449">
        <v>26.03</v>
      </c>
      <c r="K1875" s="449">
        <v>26.03</v>
      </c>
    </row>
    <row r="1876" customHeight="1" spans="1:11">
      <c r="A1876" s="434"/>
      <c r="B1876" s="434"/>
      <c r="C1876" s="434"/>
      <c r="D1876" s="434"/>
      <c r="E1876" s="434"/>
      <c r="F1876" s="434" t="s">
        <v>1735</v>
      </c>
      <c r="G1876" s="435">
        <v>6.23</v>
      </c>
      <c r="H1876" s="434" t="s">
        <v>1736</v>
      </c>
      <c r="I1876" s="435">
        <v>5.66</v>
      </c>
      <c r="J1876" s="434" t="s">
        <v>1737</v>
      </c>
      <c r="K1876" s="435">
        <v>11.89</v>
      </c>
    </row>
    <row r="1877" customHeight="1" spans="1:11">
      <c r="A1877" s="434"/>
      <c r="B1877" s="434"/>
      <c r="C1877" s="434"/>
      <c r="D1877" s="434"/>
      <c r="E1877" s="434"/>
      <c r="F1877" s="434" t="s">
        <v>1738</v>
      </c>
      <c r="G1877" s="435">
        <v>14.03</v>
      </c>
      <c r="H1877" s="434"/>
      <c r="I1877" s="434" t="s">
        <v>1739</v>
      </c>
      <c r="J1877" s="434"/>
      <c r="K1877" s="435">
        <v>70.93</v>
      </c>
    </row>
    <row r="1878" customHeight="1" spans="1:11">
      <c r="A1878" s="436"/>
      <c r="B1878" s="436"/>
      <c r="C1878" s="436"/>
      <c r="D1878" s="436"/>
      <c r="E1878" s="436"/>
      <c r="F1878" s="436"/>
      <c r="G1878" s="436"/>
      <c r="H1878" s="436" t="s">
        <v>1740</v>
      </c>
      <c r="I1878" s="447" t="s">
        <v>1759</v>
      </c>
      <c r="J1878" s="436" t="s">
        <v>1742</v>
      </c>
      <c r="K1878" s="448">
        <v>425.58</v>
      </c>
    </row>
    <row r="1879" customHeight="1" spans="1:11">
      <c r="A1879" s="437"/>
      <c r="B1879" s="437"/>
      <c r="C1879" s="437"/>
      <c r="D1879" s="437"/>
      <c r="E1879" s="437"/>
      <c r="F1879" s="437"/>
      <c r="G1879" s="437"/>
      <c r="H1879" s="437"/>
      <c r="I1879" s="437"/>
      <c r="J1879" s="437"/>
      <c r="K1879" s="437"/>
    </row>
    <row r="1880" customHeight="1" spans="1:11">
      <c r="A1880" s="423" t="s">
        <v>596</v>
      </c>
      <c r="B1880" s="424" t="s">
        <v>1714</v>
      </c>
      <c r="C1880" s="423" t="s">
        <v>1715</v>
      </c>
      <c r="D1880" s="423" t="s">
        <v>1716</v>
      </c>
      <c r="E1880" s="423" t="s">
        <v>1717</v>
      </c>
      <c r="F1880" s="423"/>
      <c r="G1880" s="425" t="s">
        <v>1718</v>
      </c>
      <c r="H1880" s="424" t="s">
        <v>1719</v>
      </c>
      <c r="I1880" s="424" t="s">
        <v>1720</v>
      </c>
      <c r="J1880" s="424" t="s">
        <v>1721</v>
      </c>
      <c r="K1880" s="424" t="s">
        <v>1722</v>
      </c>
    </row>
    <row r="1881" customHeight="1" spans="1:11">
      <c r="A1881" s="426" t="s">
        <v>1723</v>
      </c>
      <c r="B1881" s="427" t="s">
        <v>597</v>
      </c>
      <c r="C1881" s="426" t="s">
        <v>71</v>
      </c>
      <c r="D1881" s="426" t="s">
        <v>598</v>
      </c>
      <c r="E1881" s="426" t="s">
        <v>1649</v>
      </c>
      <c r="F1881" s="426"/>
      <c r="G1881" s="428" t="s">
        <v>105</v>
      </c>
      <c r="H1881" s="429">
        <v>1</v>
      </c>
      <c r="I1881" s="445"/>
      <c r="J1881" s="445">
        <v>12.48</v>
      </c>
      <c r="K1881" s="445">
        <v>12.48</v>
      </c>
    </row>
    <row r="1882" customHeight="1" spans="1:11">
      <c r="A1882" s="430" t="s">
        <v>1724</v>
      </c>
      <c r="B1882" s="431" t="s">
        <v>1854</v>
      </c>
      <c r="C1882" s="430" t="s">
        <v>71</v>
      </c>
      <c r="D1882" s="430" t="s">
        <v>1855</v>
      </c>
      <c r="E1882" s="430" t="s">
        <v>1708</v>
      </c>
      <c r="F1882" s="430"/>
      <c r="G1882" s="432" t="s">
        <v>82</v>
      </c>
      <c r="H1882" s="433">
        <v>0.08825</v>
      </c>
      <c r="I1882" s="433">
        <v>0</v>
      </c>
      <c r="J1882" s="446">
        <v>35.55</v>
      </c>
      <c r="K1882" s="446">
        <v>3.13</v>
      </c>
    </row>
    <row r="1883" customHeight="1" spans="1:11">
      <c r="A1883" s="430" t="s">
        <v>1724</v>
      </c>
      <c r="B1883" s="431" t="s">
        <v>1859</v>
      </c>
      <c r="C1883" s="430" t="s">
        <v>71</v>
      </c>
      <c r="D1883" s="430" t="s">
        <v>1860</v>
      </c>
      <c r="E1883" s="430" t="s">
        <v>1708</v>
      </c>
      <c r="F1883" s="430"/>
      <c r="G1883" s="432" t="s">
        <v>82</v>
      </c>
      <c r="H1883" s="433">
        <v>0.08825</v>
      </c>
      <c r="I1883" s="433">
        <v>0</v>
      </c>
      <c r="J1883" s="446">
        <v>29.54</v>
      </c>
      <c r="K1883" s="446">
        <v>2.6</v>
      </c>
    </row>
    <row r="1884" customHeight="1" spans="1:11">
      <c r="A1884" s="438" t="s">
        <v>1750</v>
      </c>
      <c r="B1884" s="439" t="s">
        <v>2294</v>
      </c>
      <c r="C1884" s="438" t="s">
        <v>71</v>
      </c>
      <c r="D1884" s="438" t="s">
        <v>2295</v>
      </c>
      <c r="E1884" s="438" t="s">
        <v>1631</v>
      </c>
      <c r="F1884" s="438"/>
      <c r="G1884" s="440" t="s">
        <v>105</v>
      </c>
      <c r="H1884" s="441">
        <v>0.0075</v>
      </c>
      <c r="I1884" s="441">
        <v>0</v>
      </c>
      <c r="J1884" s="449">
        <v>82.38</v>
      </c>
      <c r="K1884" s="449">
        <v>0.61</v>
      </c>
    </row>
    <row r="1885" customHeight="1" spans="1:11">
      <c r="A1885" s="438" t="s">
        <v>1750</v>
      </c>
      <c r="B1885" s="439" t="s">
        <v>2284</v>
      </c>
      <c r="C1885" s="438" t="s">
        <v>71</v>
      </c>
      <c r="D1885" s="438" t="s">
        <v>2285</v>
      </c>
      <c r="E1885" s="438" t="s">
        <v>1631</v>
      </c>
      <c r="F1885" s="438"/>
      <c r="G1885" s="440" t="s">
        <v>105</v>
      </c>
      <c r="H1885" s="441">
        <v>0.0074</v>
      </c>
      <c r="I1885" s="441">
        <v>0</v>
      </c>
      <c r="J1885" s="449">
        <v>2.08</v>
      </c>
      <c r="K1885" s="449">
        <v>0.01</v>
      </c>
    </row>
    <row r="1886" customHeight="1" spans="1:11">
      <c r="A1886" s="438" t="s">
        <v>1750</v>
      </c>
      <c r="B1886" s="439" t="s">
        <v>2452</v>
      </c>
      <c r="C1886" s="438" t="s">
        <v>71</v>
      </c>
      <c r="D1886" s="438" t="s">
        <v>2453</v>
      </c>
      <c r="E1886" s="438" t="s">
        <v>1631</v>
      </c>
      <c r="F1886" s="438"/>
      <c r="G1886" s="440" t="s">
        <v>105</v>
      </c>
      <c r="H1886" s="441">
        <v>1</v>
      </c>
      <c r="I1886" s="441">
        <v>0</v>
      </c>
      <c r="J1886" s="449">
        <v>3.34</v>
      </c>
      <c r="K1886" s="449">
        <v>3.34</v>
      </c>
    </row>
    <row r="1887" customHeight="1" spans="1:11">
      <c r="A1887" s="438" t="s">
        <v>1750</v>
      </c>
      <c r="B1887" s="439" t="s">
        <v>2419</v>
      </c>
      <c r="C1887" s="438" t="s">
        <v>71</v>
      </c>
      <c r="D1887" s="438" t="s">
        <v>2420</v>
      </c>
      <c r="E1887" s="438" t="s">
        <v>1631</v>
      </c>
      <c r="F1887" s="438"/>
      <c r="G1887" s="440" t="s">
        <v>105</v>
      </c>
      <c r="H1887" s="441">
        <v>1</v>
      </c>
      <c r="I1887" s="441">
        <v>0</v>
      </c>
      <c r="J1887" s="449">
        <v>1.69</v>
      </c>
      <c r="K1887" s="449">
        <v>1.69</v>
      </c>
    </row>
    <row r="1888" customHeight="1" spans="1:11">
      <c r="A1888" s="438" t="s">
        <v>1750</v>
      </c>
      <c r="B1888" s="439" t="s">
        <v>2411</v>
      </c>
      <c r="C1888" s="438" t="s">
        <v>71</v>
      </c>
      <c r="D1888" s="438" t="s">
        <v>2412</v>
      </c>
      <c r="E1888" s="438" t="s">
        <v>1631</v>
      </c>
      <c r="F1888" s="438"/>
      <c r="G1888" s="440" t="s">
        <v>105</v>
      </c>
      <c r="H1888" s="441">
        <v>0.025</v>
      </c>
      <c r="I1888" s="441">
        <v>0</v>
      </c>
      <c r="J1888" s="449">
        <v>30.01</v>
      </c>
      <c r="K1888" s="449">
        <v>0.75</v>
      </c>
    </row>
    <row r="1889" customHeight="1" spans="1:11">
      <c r="A1889" s="438" t="s">
        <v>1750</v>
      </c>
      <c r="B1889" s="439" t="s">
        <v>2296</v>
      </c>
      <c r="C1889" s="438" t="s">
        <v>71</v>
      </c>
      <c r="D1889" s="438" t="s">
        <v>2297</v>
      </c>
      <c r="E1889" s="438" t="s">
        <v>1631</v>
      </c>
      <c r="F1889" s="438"/>
      <c r="G1889" s="440" t="s">
        <v>105</v>
      </c>
      <c r="H1889" s="441">
        <v>0.0049</v>
      </c>
      <c r="I1889" s="441">
        <v>0</v>
      </c>
      <c r="J1889" s="449">
        <v>72.71</v>
      </c>
      <c r="K1889" s="449">
        <v>0.35</v>
      </c>
    </row>
    <row r="1890" customHeight="1" spans="1:11">
      <c r="A1890" s="434"/>
      <c r="B1890" s="434"/>
      <c r="C1890" s="434"/>
      <c r="D1890" s="434"/>
      <c r="E1890" s="434"/>
      <c r="F1890" s="434" t="s">
        <v>1735</v>
      </c>
      <c r="G1890" s="435">
        <v>2.14</v>
      </c>
      <c r="H1890" s="434" t="s">
        <v>1736</v>
      </c>
      <c r="I1890" s="435">
        <v>1.95</v>
      </c>
      <c r="J1890" s="434" t="s">
        <v>1737</v>
      </c>
      <c r="K1890" s="435">
        <v>4.09</v>
      </c>
    </row>
    <row r="1891" customHeight="1" spans="1:11">
      <c r="A1891" s="434"/>
      <c r="B1891" s="434"/>
      <c r="C1891" s="434"/>
      <c r="D1891" s="434"/>
      <c r="E1891" s="434"/>
      <c r="F1891" s="434" t="s">
        <v>1738</v>
      </c>
      <c r="G1891" s="435">
        <v>3.07</v>
      </c>
      <c r="H1891" s="434"/>
      <c r="I1891" s="434" t="s">
        <v>1739</v>
      </c>
      <c r="J1891" s="434"/>
      <c r="K1891" s="435">
        <v>15.55</v>
      </c>
    </row>
    <row r="1892" customHeight="1" spans="1:11">
      <c r="A1892" s="436"/>
      <c r="B1892" s="436"/>
      <c r="C1892" s="436"/>
      <c r="D1892" s="436"/>
      <c r="E1892" s="436"/>
      <c r="F1892" s="436"/>
      <c r="G1892" s="436"/>
      <c r="H1892" s="436" t="s">
        <v>1740</v>
      </c>
      <c r="I1892" s="447" t="s">
        <v>1741</v>
      </c>
      <c r="J1892" s="436" t="s">
        <v>1742</v>
      </c>
      <c r="K1892" s="448">
        <v>15.55</v>
      </c>
    </row>
    <row r="1893" customHeight="1" spans="1:11">
      <c r="A1893" s="437"/>
      <c r="B1893" s="437"/>
      <c r="C1893" s="437"/>
      <c r="D1893" s="437"/>
      <c r="E1893" s="437"/>
      <c r="F1893" s="437"/>
      <c r="G1893" s="437"/>
      <c r="H1893" s="437"/>
      <c r="I1893" s="437"/>
      <c r="J1893" s="437"/>
      <c r="K1893" s="437"/>
    </row>
    <row r="1894" customHeight="1" spans="1:11">
      <c r="A1894" s="423" t="s">
        <v>599</v>
      </c>
      <c r="B1894" s="424" t="s">
        <v>1714</v>
      </c>
      <c r="C1894" s="423" t="s">
        <v>1715</v>
      </c>
      <c r="D1894" s="423" t="s">
        <v>1716</v>
      </c>
      <c r="E1894" s="423" t="s">
        <v>1717</v>
      </c>
      <c r="F1894" s="423"/>
      <c r="G1894" s="425" t="s">
        <v>1718</v>
      </c>
      <c r="H1894" s="424" t="s">
        <v>1719</v>
      </c>
      <c r="I1894" s="424" t="s">
        <v>1720</v>
      </c>
      <c r="J1894" s="424" t="s">
        <v>1721</v>
      </c>
      <c r="K1894" s="424" t="s">
        <v>1722</v>
      </c>
    </row>
    <row r="1895" customHeight="1" spans="1:11">
      <c r="A1895" s="426" t="s">
        <v>1723</v>
      </c>
      <c r="B1895" s="427" t="s">
        <v>600</v>
      </c>
      <c r="C1895" s="426" t="s">
        <v>71</v>
      </c>
      <c r="D1895" s="426" t="s">
        <v>601</v>
      </c>
      <c r="E1895" s="426" t="s">
        <v>1687</v>
      </c>
      <c r="F1895" s="426"/>
      <c r="G1895" s="428" t="s">
        <v>105</v>
      </c>
      <c r="H1895" s="429">
        <v>1</v>
      </c>
      <c r="I1895" s="445"/>
      <c r="J1895" s="445">
        <v>20.24</v>
      </c>
      <c r="K1895" s="445">
        <v>20.24</v>
      </c>
    </row>
    <row r="1896" customHeight="1" spans="1:11">
      <c r="A1896" s="430" t="s">
        <v>1724</v>
      </c>
      <c r="B1896" s="431" t="s">
        <v>1859</v>
      </c>
      <c r="C1896" s="430" t="s">
        <v>71</v>
      </c>
      <c r="D1896" s="430" t="s">
        <v>1860</v>
      </c>
      <c r="E1896" s="430" t="s">
        <v>1708</v>
      </c>
      <c r="F1896" s="430"/>
      <c r="G1896" s="432" t="s">
        <v>82</v>
      </c>
      <c r="H1896" s="433">
        <v>0.0516</v>
      </c>
      <c r="I1896" s="433">
        <v>0</v>
      </c>
      <c r="J1896" s="446">
        <v>29.54</v>
      </c>
      <c r="K1896" s="446">
        <v>1.52</v>
      </c>
    </row>
    <row r="1897" customHeight="1" spans="1:11">
      <c r="A1897" s="430" t="s">
        <v>1724</v>
      </c>
      <c r="B1897" s="431" t="s">
        <v>1854</v>
      </c>
      <c r="C1897" s="430" t="s">
        <v>71</v>
      </c>
      <c r="D1897" s="430" t="s">
        <v>1855</v>
      </c>
      <c r="E1897" s="430" t="s">
        <v>1708</v>
      </c>
      <c r="F1897" s="430"/>
      <c r="G1897" s="432" t="s">
        <v>82</v>
      </c>
      <c r="H1897" s="433">
        <v>0.0516</v>
      </c>
      <c r="I1897" s="433">
        <v>0</v>
      </c>
      <c r="J1897" s="446">
        <v>35.55</v>
      </c>
      <c r="K1897" s="446">
        <v>1.83</v>
      </c>
    </row>
    <row r="1898" customHeight="1" spans="1:11">
      <c r="A1898" s="438" t="s">
        <v>1750</v>
      </c>
      <c r="B1898" s="439" t="s">
        <v>2411</v>
      </c>
      <c r="C1898" s="438" t="s">
        <v>71</v>
      </c>
      <c r="D1898" s="438" t="s">
        <v>2412</v>
      </c>
      <c r="E1898" s="438" t="s">
        <v>1631</v>
      </c>
      <c r="F1898" s="438"/>
      <c r="G1898" s="440" t="s">
        <v>105</v>
      </c>
      <c r="H1898" s="441">
        <v>0.0625</v>
      </c>
      <c r="I1898" s="441">
        <v>0</v>
      </c>
      <c r="J1898" s="449">
        <v>30.01</v>
      </c>
      <c r="K1898" s="449">
        <v>1.87</v>
      </c>
    </row>
    <row r="1899" customHeight="1" spans="1:11">
      <c r="A1899" s="438" t="s">
        <v>1750</v>
      </c>
      <c r="B1899" s="439" t="s">
        <v>2454</v>
      </c>
      <c r="C1899" s="438" t="s">
        <v>71</v>
      </c>
      <c r="D1899" s="438" t="s">
        <v>2455</v>
      </c>
      <c r="E1899" s="438" t="s">
        <v>1631</v>
      </c>
      <c r="F1899" s="438"/>
      <c r="G1899" s="440" t="s">
        <v>105</v>
      </c>
      <c r="H1899" s="441">
        <v>1</v>
      </c>
      <c r="I1899" s="441">
        <v>0</v>
      </c>
      <c r="J1899" s="449">
        <v>10.1</v>
      </c>
      <c r="K1899" s="449">
        <v>10.1</v>
      </c>
    </row>
    <row r="1900" customHeight="1" spans="1:11">
      <c r="A1900" s="438" t="s">
        <v>1750</v>
      </c>
      <c r="B1900" s="439" t="s">
        <v>2446</v>
      </c>
      <c r="C1900" s="438" t="s">
        <v>71</v>
      </c>
      <c r="D1900" s="438" t="s">
        <v>2447</v>
      </c>
      <c r="E1900" s="438" t="s">
        <v>1631</v>
      </c>
      <c r="F1900" s="438"/>
      <c r="G1900" s="440" t="s">
        <v>105</v>
      </c>
      <c r="H1900" s="441">
        <v>1</v>
      </c>
      <c r="I1900" s="441">
        <v>0</v>
      </c>
      <c r="J1900" s="449">
        <v>2.7</v>
      </c>
      <c r="K1900" s="449">
        <v>2.7</v>
      </c>
    </row>
    <row r="1901" customHeight="1" spans="1:11">
      <c r="A1901" s="438" t="s">
        <v>1750</v>
      </c>
      <c r="B1901" s="439" t="s">
        <v>2456</v>
      </c>
      <c r="C1901" s="438" t="s">
        <v>71</v>
      </c>
      <c r="D1901" s="438" t="s">
        <v>2457</v>
      </c>
      <c r="E1901" s="438" t="s">
        <v>1631</v>
      </c>
      <c r="F1901" s="438"/>
      <c r="G1901" s="440" t="s">
        <v>105</v>
      </c>
      <c r="H1901" s="441">
        <v>1</v>
      </c>
      <c r="I1901" s="441">
        <v>0</v>
      </c>
      <c r="J1901" s="449">
        <v>2.22</v>
      </c>
      <c r="K1901" s="449">
        <v>2.22</v>
      </c>
    </row>
    <row r="1902" customHeight="1" spans="1:11">
      <c r="A1902" s="434"/>
      <c r="B1902" s="434"/>
      <c r="C1902" s="434"/>
      <c r="D1902" s="434"/>
      <c r="E1902" s="434"/>
      <c r="F1902" s="434" t="s">
        <v>1735</v>
      </c>
      <c r="G1902" s="435">
        <v>1.25</v>
      </c>
      <c r="H1902" s="434" t="s">
        <v>1736</v>
      </c>
      <c r="I1902" s="435">
        <v>1.14</v>
      </c>
      <c r="J1902" s="434" t="s">
        <v>1737</v>
      </c>
      <c r="K1902" s="435">
        <v>2.39</v>
      </c>
    </row>
    <row r="1903" customHeight="1" spans="1:11">
      <c r="A1903" s="434"/>
      <c r="B1903" s="434"/>
      <c r="C1903" s="434"/>
      <c r="D1903" s="434"/>
      <c r="E1903" s="434"/>
      <c r="F1903" s="434" t="s">
        <v>1738</v>
      </c>
      <c r="G1903" s="435">
        <v>4.99</v>
      </c>
      <c r="H1903" s="434"/>
      <c r="I1903" s="434" t="s">
        <v>1739</v>
      </c>
      <c r="J1903" s="434"/>
      <c r="K1903" s="435">
        <v>25.23</v>
      </c>
    </row>
    <row r="1904" customHeight="1" spans="1:11">
      <c r="A1904" s="436"/>
      <c r="B1904" s="436"/>
      <c r="C1904" s="436"/>
      <c r="D1904" s="436"/>
      <c r="E1904" s="436"/>
      <c r="F1904" s="436"/>
      <c r="G1904" s="436"/>
      <c r="H1904" s="436" t="s">
        <v>1740</v>
      </c>
      <c r="I1904" s="447" t="s">
        <v>1971</v>
      </c>
      <c r="J1904" s="436" t="s">
        <v>1742</v>
      </c>
      <c r="K1904" s="448">
        <v>50.46</v>
      </c>
    </row>
    <row r="1905" customHeight="1" spans="1:11">
      <c r="A1905" s="437"/>
      <c r="B1905" s="437"/>
      <c r="C1905" s="437"/>
      <c r="D1905" s="437"/>
      <c r="E1905" s="437"/>
      <c r="F1905" s="437"/>
      <c r="G1905" s="437"/>
      <c r="H1905" s="437"/>
      <c r="I1905" s="437"/>
      <c r="J1905" s="437"/>
      <c r="K1905" s="437"/>
    </row>
    <row r="1906" customHeight="1" spans="1:11">
      <c r="A1906" s="423" t="s">
        <v>602</v>
      </c>
      <c r="B1906" s="424" t="s">
        <v>1714</v>
      </c>
      <c r="C1906" s="423" t="s">
        <v>1715</v>
      </c>
      <c r="D1906" s="423" t="s">
        <v>1716</v>
      </c>
      <c r="E1906" s="423" t="s">
        <v>1717</v>
      </c>
      <c r="F1906" s="423"/>
      <c r="G1906" s="425" t="s">
        <v>1718</v>
      </c>
      <c r="H1906" s="424" t="s">
        <v>1719</v>
      </c>
      <c r="I1906" s="424" t="s">
        <v>1720</v>
      </c>
      <c r="J1906" s="424" t="s">
        <v>1721</v>
      </c>
      <c r="K1906" s="424" t="s">
        <v>1722</v>
      </c>
    </row>
    <row r="1907" customHeight="1" spans="1:11">
      <c r="A1907" s="426" t="s">
        <v>1723</v>
      </c>
      <c r="B1907" s="427" t="s">
        <v>603</v>
      </c>
      <c r="C1907" s="426" t="s">
        <v>71</v>
      </c>
      <c r="D1907" s="426" t="s">
        <v>604</v>
      </c>
      <c r="E1907" s="426" t="s">
        <v>1649</v>
      </c>
      <c r="F1907" s="426"/>
      <c r="G1907" s="428" t="s">
        <v>105</v>
      </c>
      <c r="H1907" s="429">
        <v>1</v>
      </c>
      <c r="I1907" s="445"/>
      <c r="J1907" s="445">
        <v>27.42</v>
      </c>
      <c r="K1907" s="445">
        <v>27.42</v>
      </c>
    </row>
    <row r="1908" customHeight="1" spans="1:11">
      <c r="A1908" s="430" t="s">
        <v>1724</v>
      </c>
      <c r="B1908" s="431" t="s">
        <v>1854</v>
      </c>
      <c r="C1908" s="430" t="s">
        <v>71</v>
      </c>
      <c r="D1908" s="430" t="s">
        <v>1855</v>
      </c>
      <c r="E1908" s="430" t="s">
        <v>1708</v>
      </c>
      <c r="F1908" s="430"/>
      <c r="G1908" s="432" t="s">
        <v>82</v>
      </c>
      <c r="H1908" s="433">
        <v>0.1839</v>
      </c>
      <c r="I1908" s="433">
        <v>0</v>
      </c>
      <c r="J1908" s="446">
        <v>35.55</v>
      </c>
      <c r="K1908" s="446">
        <v>6.53</v>
      </c>
    </row>
    <row r="1909" customHeight="1" spans="1:11">
      <c r="A1909" s="430" t="s">
        <v>1724</v>
      </c>
      <c r="B1909" s="431" t="s">
        <v>1859</v>
      </c>
      <c r="C1909" s="430" t="s">
        <v>71</v>
      </c>
      <c r="D1909" s="430" t="s">
        <v>1860</v>
      </c>
      <c r="E1909" s="430" t="s">
        <v>1708</v>
      </c>
      <c r="F1909" s="430"/>
      <c r="G1909" s="432" t="s">
        <v>82</v>
      </c>
      <c r="H1909" s="433">
        <v>0.1839</v>
      </c>
      <c r="I1909" s="433">
        <v>0</v>
      </c>
      <c r="J1909" s="446">
        <v>29.54</v>
      </c>
      <c r="K1909" s="446">
        <v>5.43</v>
      </c>
    </row>
    <row r="1910" customHeight="1" spans="1:11">
      <c r="A1910" s="438" t="s">
        <v>1750</v>
      </c>
      <c r="B1910" s="439" t="s">
        <v>2411</v>
      </c>
      <c r="C1910" s="438" t="s">
        <v>71</v>
      </c>
      <c r="D1910" s="438" t="s">
        <v>2412</v>
      </c>
      <c r="E1910" s="438" t="s">
        <v>1631</v>
      </c>
      <c r="F1910" s="438"/>
      <c r="G1910" s="440" t="s">
        <v>105</v>
      </c>
      <c r="H1910" s="441">
        <v>0.075</v>
      </c>
      <c r="I1910" s="441">
        <v>0</v>
      </c>
      <c r="J1910" s="449">
        <v>30.01</v>
      </c>
      <c r="K1910" s="449">
        <v>2.25</v>
      </c>
    </row>
    <row r="1911" customHeight="1" spans="1:11">
      <c r="A1911" s="438" t="s">
        <v>1750</v>
      </c>
      <c r="B1911" s="439" t="s">
        <v>2458</v>
      </c>
      <c r="C1911" s="438" t="s">
        <v>71</v>
      </c>
      <c r="D1911" s="438" t="s">
        <v>2459</v>
      </c>
      <c r="E1911" s="438" t="s">
        <v>1631</v>
      </c>
      <c r="F1911" s="438"/>
      <c r="G1911" s="440" t="s">
        <v>105</v>
      </c>
      <c r="H1911" s="441">
        <v>1</v>
      </c>
      <c r="I1911" s="441">
        <v>0</v>
      </c>
      <c r="J1911" s="449">
        <v>8.14</v>
      </c>
      <c r="K1911" s="449">
        <v>8.14</v>
      </c>
    </row>
    <row r="1912" customHeight="1" spans="1:11">
      <c r="A1912" s="438" t="s">
        <v>1750</v>
      </c>
      <c r="B1912" s="439" t="s">
        <v>2419</v>
      </c>
      <c r="C1912" s="438" t="s">
        <v>71</v>
      </c>
      <c r="D1912" s="438" t="s">
        <v>2420</v>
      </c>
      <c r="E1912" s="438" t="s">
        <v>1631</v>
      </c>
      <c r="F1912" s="438"/>
      <c r="G1912" s="440" t="s">
        <v>105</v>
      </c>
      <c r="H1912" s="441">
        <v>3</v>
      </c>
      <c r="I1912" s="441">
        <v>0</v>
      </c>
      <c r="J1912" s="449">
        <v>1.69</v>
      </c>
      <c r="K1912" s="449">
        <v>5.07</v>
      </c>
    </row>
    <row r="1913" customHeight="1" spans="1:11">
      <c r="A1913" s="434"/>
      <c r="B1913" s="434"/>
      <c r="C1913" s="434"/>
      <c r="D1913" s="434"/>
      <c r="E1913" s="434"/>
      <c r="F1913" s="434" t="s">
        <v>1735</v>
      </c>
      <c r="G1913" s="435">
        <v>4.45</v>
      </c>
      <c r="H1913" s="434" t="s">
        <v>1736</v>
      </c>
      <c r="I1913" s="435">
        <v>4.06</v>
      </c>
      <c r="J1913" s="434" t="s">
        <v>1737</v>
      </c>
      <c r="K1913" s="435">
        <v>8.51</v>
      </c>
    </row>
    <row r="1914" customHeight="1" spans="1:11">
      <c r="A1914" s="434"/>
      <c r="B1914" s="434"/>
      <c r="C1914" s="434"/>
      <c r="D1914" s="434"/>
      <c r="E1914" s="434"/>
      <c r="F1914" s="434" t="s">
        <v>1738</v>
      </c>
      <c r="G1914" s="435">
        <v>6.76</v>
      </c>
      <c r="H1914" s="434"/>
      <c r="I1914" s="434" t="s">
        <v>1739</v>
      </c>
      <c r="J1914" s="434"/>
      <c r="K1914" s="435">
        <v>34.18</v>
      </c>
    </row>
    <row r="1915" customHeight="1" spans="1:11">
      <c r="A1915" s="436"/>
      <c r="B1915" s="436"/>
      <c r="C1915" s="436"/>
      <c r="D1915" s="436"/>
      <c r="E1915" s="436"/>
      <c r="F1915" s="436"/>
      <c r="G1915" s="436"/>
      <c r="H1915" s="436" t="s">
        <v>1740</v>
      </c>
      <c r="I1915" s="447" t="s">
        <v>1759</v>
      </c>
      <c r="J1915" s="436" t="s">
        <v>1742</v>
      </c>
      <c r="K1915" s="448">
        <v>205.08</v>
      </c>
    </row>
    <row r="1916" customHeight="1" spans="1:11">
      <c r="A1916" s="437"/>
      <c r="B1916" s="437"/>
      <c r="C1916" s="437"/>
      <c r="D1916" s="437"/>
      <c r="E1916" s="437"/>
      <c r="F1916" s="437"/>
      <c r="G1916" s="437"/>
      <c r="H1916" s="437"/>
      <c r="I1916" s="437"/>
      <c r="J1916" s="437"/>
      <c r="K1916" s="437"/>
    </row>
    <row r="1917" customHeight="1" spans="1:11">
      <c r="A1917" s="423" t="s">
        <v>605</v>
      </c>
      <c r="B1917" s="424" t="s">
        <v>1714</v>
      </c>
      <c r="C1917" s="423" t="s">
        <v>1715</v>
      </c>
      <c r="D1917" s="423" t="s">
        <v>1716</v>
      </c>
      <c r="E1917" s="423" t="s">
        <v>1717</v>
      </c>
      <c r="F1917" s="423"/>
      <c r="G1917" s="425" t="s">
        <v>1718</v>
      </c>
      <c r="H1917" s="424" t="s">
        <v>1719</v>
      </c>
      <c r="I1917" s="424" t="s">
        <v>1720</v>
      </c>
      <c r="J1917" s="424" t="s">
        <v>1721</v>
      </c>
      <c r="K1917" s="424" t="s">
        <v>1722</v>
      </c>
    </row>
    <row r="1918" customHeight="1" spans="1:11">
      <c r="A1918" s="426" t="s">
        <v>1723</v>
      </c>
      <c r="B1918" s="427" t="s">
        <v>606</v>
      </c>
      <c r="C1918" s="426" t="s">
        <v>71</v>
      </c>
      <c r="D1918" s="426" t="s">
        <v>607</v>
      </c>
      <c r="E1918" s="426" t="s">
        <v>1649</v>
      </c>
      <c r="F1918" s="426"/>
      <c r="G1918" s="428" t="s">
        <v>105</v>
      </c>
      <c r="H1918" s="429">
        <v>1</v>
      </c>
      <c r="I1918" s="445"/>
      <c r="J1918" s="445">
        <v>43.16</v>
      </c>
      <c r="K1918" s="445">
        <v>43.16</v>
      </c>
    </row>
    <row r="1919" customHeight="1" spans="1:11">
      <c r="A1919" s="430" t="s">
        <v>1724</v>
      </c>
      <c r="B1919" s="431" t="s">
        <v>1859</v>
      </c>
      <c r="C1919" s="430" t="s">
        <v>71</v>
      </c>
      <c r="D1919" s="430" t="s">
        <v>1860</v>
      </c>
      <c r="E1919" s="430" t="s">
        <v>1708</v>
      </c>
      <c r="F1919" s="430"/>
      <c r="G1919" s="432" t="s">
        <v>82</v>
      </c>
      <c r="H1919" s="433">
        <v>0.2203</v>
      </c>
      <c r="I1919" s="433">
        <v>0</v>
      </c>
      <c r="J1919" s="446">
        <v>29.54</v>
      </c>
      <c r="K1919" s="446">
        <v>6.5</v>
      </c>
    </row>
    <row r="1920" customHeight="1" spans="1:11">
      <c r="A1920" s="430" t="s">
        <v>1724</v>
      </c>
      <c r="B1920" s="431" t="s">
        <v>1854</v>
      </c>
      <c r="C1920" s="430" t="s">
        <v>71</v>
      </c>
      <c r="D1920" s="430" t="s">
        <v>1855</v>
      </c>
      <c r="E1920" s="430" t="s">
        <v>1708</v>
      </c>
      <c r="F1920" s="430"/>
      <c r="G1920" s="432" t="s">
        <v>82</v>
      </c>
      <c r="H1920" s="433">
        <v>0.2203</v>
      </c>
      <c r="I1920" s="433">
        <v>0</v>
      </c>
      <c r="J1920" s="446">
        <v>35.55</v>
      </c>
      <c r="K1920" s="446">
        <v>7.83</v>
      </c>
    </row>
    <row r="1921" customHeight="1" spans="1:11">
      <c r="A1921" s="438" t="s">
        <v>1750</v>
      </c>
      <c r="B1921" s="439" t="s">
        <v>2411</v>
      </c>
      <c r="C1921" s="438" t="s">
        <v>71</v>
      </c>
      <c r="D1921" s="438" t="s">
        <v>2412</v>
      </c>
      <c r="E1921" s="438" t="s">
        <v>1631</v>
      </c>
      <c r="F1921" s="438"/>
      <c r="G1921" s="440" t="s">
        <v>105</v>
      </c>
      <c r="H1921" s="441">
        <v>0.1125</v>
      </c>
      <c r="I1921" s="441">
        <v>0</v>
      </c>
      <c r="J1921" s="449">
        <v>30.01</v>
      </c>
      <c r="K1921" s="449">
        <v>3.37</v>
      </c>
    </row>
    <row r="1922" customHeight="1" spans="1:11">
      <c r="A1922" s="438" t="s">
        <v>1750</v>
      </c>
      <c r="B1922" s="439" t="s">
        <v>2460</v>
      </c>
      <c r="C1922" s="438" t="s">
        <v>71</v>
      </c>
      <c r="D1922" s="438" t="s">
        <v>2461</v>
      </c>
      <c r="E1922" s="438" t="s">
        <v>1631</v>
      </c>
      <c r="F1922" s="438"/>
      <c r="G1922" s="440" t="s">
        <v>105</v>
      </c>
      <c r="H1922" s="441">
        <v>1</v>
      </c>
      <c r="I1922" s="441">
        <v>0</v>
      </c>
      <c r="J1922" s="449">
        <v>17.99</v>
      </c>
      <c r="K1922" s="449">
        <v>17.99</v>
      </c>
    </row>
    <row r="1923" customHeight="1" spans="1:11">
      <c r="A1923" s="438" t="s">
        <v>1750</v>
      </c>
      <c r="B1923" s="439" t="s">
        <v>2430</v>
      </c>
      <c r="C1923" s="438" t="s">
        <v>71</v>
      </c>
      <c r="D1923" s="438" t="s">
        <v>2431</v>
      </c>
      <c r="E1923" s="438" t="s">
        <v>1631</v>
      </c>
      <c r="F1923" s="438"/>
      <c r="G1923" s="440" t="s">
        <v>105</v>
      </c>
      <c r="H1923" s="441">
        <v>3</v>
      </c>
      <c r="I1923" s="441">
        <v>0</v>
      </c>
      <c r="J1923" s="449">
        <v>2.49</v>
      </c>
      <c r="K1923" s="449">
        <v>7.47</v>
      </c>
    </row>
    <row r="1924" customHeight="1" spans="1:11">
      <c r="A1924" s="434"/>
      <c r="B1924" s="434"/>
      <c r="C1924" s="434"/>
      <c r="D1924" s="434"/>
      <c r="E1924" s="434"/>
      <c r="F1924" s="434" t="s">
        <v>1735</v>
      </c>
      <c r="G1924" s="435">
        <v>5.34</v>
      </c>
      <c r="H1924" s="434" t="s">
        <v>1736</v>
      </c>
      <c r="I1924" s="435">
        <v>4.86</v>
      </c>
      <c r="J1924" s="434" t="s">
        <v>1737</v>
      </c>
      <c r="K1924" s="435">
        <v>10.2</v>
      </c>
    </row>
    <row r="1925" customHeight="1" spans="1:11">
      <c r="A1925" s="434"/>
      <c r="B1925" s="434"/>
      <c r="C1925" s="434"/>
      <c r="D1925" s="434"/>
      <c r="E1925" s="434"/>
      <c r="F1925" s="434" t="s">
        <v>1738</v>
      </c>
      <c r="G1925" s="435">
        <v>10.64</v>
      </c>
      <c r="H1925" s="434"/>
      <c r="I1925" s="434" t="s">
        <v>1739</v>
      </c>
      <c r="J1925" s="434"/>
      <c r="K1925" s="435">
        <v>53.8</v>
      </c>
    </row>
    <row r="1926" customHeight="1" spans="1:11">
      <c r="A1926" s="436"/>
      <c r="B1926" s="436"/>
      <c r="C1926" s="436"/>
      <c r="D1926" s="436"/>
      <c r="E1926" s="436"/>
      <c r="F1926" s="436"/>
      <c r="G1926" s="436"/>
      <c r="H1926" s="436" t="s">
        <v>1740</v>
      </c>
      <c r="I1926" s="447" t="s">
        <v>2384</v>
      </c>
      <c r="J1926" s="436" t="s">
        <v>1742</v>
      </c>
      <c r="K1926" s="448">
        <v>376.6</v>
      </c>
    </row>
    <row r="1927" customHeight="1" spans="1:11">
      <c r="A1927" s="437"/>
      <c r="B1927" s="437"/>
      <c r="C1927" s="437"/>
      <c r="D1927" s="437"/>
      <c r="E1927" s="437"/>
      <c r="F1927" s="437"/>
      <c r="G1927" s="437"/>
      <c r="H1927" s="437"/>
      <c r="I1927" s="437"/>
      <c r="J1927" s="437"/>
      <c r="K1927" s="437"/>
    </row>
    <row r="1928" customHeight="1" spans="1:11">
      <c r="A1928" s="423" t="s">
        <v>608</v>
      </c>
      <c r="B1928" s="424" t="s">
        <v>1714</v>
      </c>
      <c r="C1928" s="423" t="s">
        <v>1715</v>
      </c>
      <c r="D1928" s="423" t="s">
        <v>1716</v>
      </c>
      <c r="E1928" s="423" t="s">
        <v>1717</v>
      </c>
      <c r="F1928" s="423"/>
      <c r="G1928" s="425" t="s">
        <v>1718</v>
      </c>
      <c r="H1928" s="424" t="s">
        <v>1719</v>
      </c>
      <c r="I1928" s="424" t="s">
        <v>1720</v>
      </c>
      <c r="J1928" s="424" t="s">
        <v>1721</v>
      </c>
      <c r="K1928" s="424" t="s">
        <v>1722</v>
      </c>
    </row>
    <row r="1929" customHeight="1" spans="1:11">
      <c r="A1929" s="426" t="s">
        <v>1723</v>
      </c>
      <c r="B1929" s="427" t="s">
        <v>609</v>
      </c>
      <c r="C1929" s="426" t="s">
        <v>71</v>
      </c>
      <c r="D1929" s="426" t="s">
        <v>610</v>
      </c>
      <c r="E1929" s="426" t="s">
        <v>1649</v>
      </c>
      <c r="F1929" s="426"/>
      <c r="G1929" s="428" t="s">
        <v>105</v>
      </c>
      <c r="H1929" s="429">
        <v>1</v>
      </c>
      <c r="I1929" s="445"/>
      <c r="J1929" s="445">
        <v>50.13</v>
      </c>
      <c r="K1929" s="445">
        <v>50.13</v>
      </c>
    </row>
    <row r="1930" customHeight="1" spans="1:11">
      <c r="A1930" s="430" t="s">
        <v>1724</v>
      </c>
      <c r="B1930" s="431" t="s">
        <v>1854</v>
      </c>
      <c r="C1930" s="430" t="s">
        <v>71</v>
      </c>
      <c r="D1930" s="430" t="s">
        <v>1855</v>
      </c>
      <c r="E1930" s="430" t="s">
        <v>1708</v>
      </c>
      <c r="F1930" s="430"/>
      <c r="G1930" s="432" t="s">
        <v>82</v>
      </c>
      <c r="H1930" s="433">
        <v>0.2446</v>
      </c>
      <c r="I1930" s="433">
        <v>0</v>
      </c>
      <c r="J1930" s="446">
        <v>35.55</v>
      </c>
      <c r="K1930" s="446">
        <v>8.69</v>
      </c>
    </row>
    <row r="1931" customHeight="1" spans="1:11">
      <c r="A1931" s="430" t="s">
        <v>1724</v>
      </c>
      <c r="B1931" s="431" t="s">
        <v>1859</v>
      </c>
      <c r="C1931" s="430" t="s">
        <v>71</v>
      </c>
      <c r="D1931" s="430" t="s">
        <v>1860</v>
      </c>
      <c r="E1931" s="430" t="s">
        <v>1708</v>
      </c>
      <c r="F1931" s="430"/>
      <c r="G1931" s="432" t="s">
        <v>82</v>
      </c>
      <c r="H1931" s="433">
        <v>0.2446</v>
      </c>
      <c r="I1931" s="433">
        <v>0</v>
      </c>
      <c r="J1931" s="446">
        <v>29.54</v>
      </c>
      <c r="K1931" s="446">
        <v>7.22</v>
      </c>
    </row>
    <row r="1932" customHeight="1" spans="1:11">
      <c r="A1932" s="438" t="s">
        <v>1750</v>
      </c>
      <c r="B1932" s="439" t="s">
        <v>2462</v>
      </c>
      <c r="C1932" s="438" t="s">
        <v>71</v>
      </c>
      <c r="D1932" s="438" t="s">
        <v>2463</v>
      </c>
      <c r="E1932" s="438" t="s">
        <v>1631</v>
      </c>
      <c r="F1932" s="438"/>
      <c r="G1932" s="440" t="s">
        <v>105</v>
      </c>
      <c r="H1932" s="441">
        <v>1</v>
      </c>
      <c r="I1932" s="441">
        <v>0</v>
      </c>
      <c r="J1932" s="449">
        <v>21.16</v>
      </c>
      <c r="K1932" s="449">
        <v>21.16</v>
      </c>
    </row>
    <row r="1933" customHeight="1" spans="1:11">
      <c r="A1933" s="438" t="s">
        <v>1750</v>
      </c>
      <c r="B1933" s="439" t="s">
        <v>2430</v>
      </c>
      <c r="C1933" s="438" t="s">
        <v>71</v>
      </c>
      <c r="D1933" s="438" t="s">
        <v>2431</v>
      </c>
      <c r="E1933" s="438" t="s">
        <v>1631</v>
      </c>
      <c r="F1933" s="438"/>
      <c r="G1933" s="440" t="s">
        <v>105</v>
      </c>
      <c r="H1933" s="441">
        <v>1</v>
      </c>
      <c r="I1933" s="441">
        <v>0</v>
      </c>
      <c r="J1933" s="449">
        <v>2.49</v>
      </c>
      <c r="K1933" s="449">
        <v>2.49</v>
      </c>
    </row>
    <row r="1934" customHeight="1" spans="1:11">
      <c r="A1934" s="438" t="s">
        <v>1750</v>
      </c>
      <c r="B1934" s="439" t="s">
        <v>2411</v>
      </c>
      <c r="C1934" s="438" t="s">
        <v>71</v>
      </c>
      <c r="D1934" s="438" t="s">
        <v>2412</v>
      </c>
      <c r="E1934" s="438" t="s">
        <v>1631</v>
      </c>
      <c r="F1934" s="438"/>
      <c r="G1934" s="440" t="s">
        <v>105</v>
      </c>
      <c r="H1934" s="441">
        <v>0.1525</v>
      </c>
      <c r="I1934" s="441">
        <v>0</v>
      </c>
      <c r="J1934" s="449">
        <v>30.01</v>
      </c>
      <c r="K1934" s="449">
        <v>4.57</v>
      </c>
    </row>
    <row r="1935" customHeight="1" spans="1:11">
      <c r="A1935" s="438" t="s">
        <v>1750</v>
      </c>
      <c r="B1935" s="439" t="s">
        <v>2413</v>
      </c>
      <c r="C1935" s="438" t="s">
        <v>71</v>
      </c>
      <c r="D1935" s="438" t="s">
        <v>2414</v>
      </c>
      <c r="E1935" s="438" t="s">
        <v>1631</v>
      </c>
      <c r="F1935" s="438"/>
      <c r="G1935" s="440" t="s">
        <v>105</v>
      </c>
      <c r="H1935" s="441">
        <v>2</v>
      </c>
      <c r="I1935" s="441">
        <v>0</v>
      </c>
      <c r="J1935" s="449">
        <v>3</v>
      </c>
      <c r="K1935" s="449">
        <v>6</v>
      </c>
    </row>
    <row r="1936" customHeight="1" spans="1:11">
      <c r="A1936" s="434"/>
      <c r="B1936" s="434"/>
      <c r="C1936" s="434"/>
      <c r="D1936" s="434"/>
      <c r="E1936" s="434"/>
      <c r="F1936" s="434" t="s">
        <v>1735</v>
      </c>
      <c r="G1936" s="435">
        <v>5.93</v>
      </c>
      <c r="H1936" s="434" t="s">
        <v>1736</v>
      </c>
      <c r="I1936" s="435">
        <v>5.4</v>
      </c>
      <c r="J1936" s="434" t="s">
        <v>1737</v>
      </c>
      <c r="K1936" s="435">
        <v>11.33</v>
      </c>
    </row>
    <row r="1937" customHeight="1" spans="1:11">
      <c r="A1937" s="434"/>
      <c r="B1937" s="434"/>
      <c r="C1937" s="434"/>
      <c r="D1937" s="434"/>
      <c r="E1937" s="434"/>
      <c r="F1937" s="434" t="s">
        <v>1738</v>
      </c>
      <c r="G1937" s="435">
        <v>12.36</v>
      </c>
      <c r="H1937" s="434"/>
      <c r="I1937" s="434" t="s">
        <v>1739</v>
      </c>
      <c r="J1937" s="434"/>
      <c r="K1937" s="435">
        <v>62.49</v>
      </c>
    </row>
    <row r="1938" customHeight="1" spans="1:11">
      <c r="A1938" s="436"/>
      <c r="B1938" s="436"/>
      <c r="C1938" s="436"/>
      <c r="D1938" s="436"/>
      <c r="E1938" s="436"/>
      <c r="F1938" s="436"/>
      <c r="G1938" s="436"/>
      <c r="H1938" s="436" t="s">
        <v>1740</v>
      </c>
      <c r="I1938" s="447" t="s">
        <v>2324</v>
      </c>
      <c r="J1938" s="436" t="s">
        <v>1742</v>
      </c>
      <c r="K1938" s="448">
        <v>249.96</v>
      </c>
    </row>
    <row r="1939" customHeight="1" spans="1:11">
      <c r="A1939" s="437"/>
      <c r="B1939" s="437"/>
      <c r="C1939" s="437"/>
      <c r="D1939" s="437"/>
      <c r="E1939" s="437"/>
      <c r="F1939" s="437"/>
      <c r="G1939" s="437"/>
      <c r="H1939" s="437"/>
      <c r="I1939" s="437"/>
      <c r="J1939" s="437"/>
      <c r="K1939" s="437"/>
    </row>
    <row r="1940" customHeight="1" spans="1:11">
      <c r="A1940" s="423" t="s">
        <v>611</v>
      </c>
      <c r="B1940" s="424" t="s">
        <v>1714</v>
      </c>
      <c r="C1940" s="423" t="s">
        <v>1715</v>
      </c>
      <c r="D1940" s="423" t="s">
        <v>1716</v>
      </c>
      <c r="E1940" s="423" t="s">
        <v>1717</v>
      </c>
      <c r="F1940" s="423"/>
      <c r="G1940" s="425" t="s">
        <v>1718</v>
      </c>
      <c r="H1940" s="424" t="s">
        <v>1719</v>
      </c>
      <c r="I1940" s="424" t="s">
        <v>1720</v>
      </c>
      <c r="J1940" s="424" t="s">
        <v>1721</v>
      </c>
      <c r="K1940" s="424" t="s">
        <v>1722</v>
      </c>
    </row>
    <row r="1941" customHeight="1" spans="1:11">
      <c r="A1941" s="426" t="s">
        <v>1723</v>
      </c>
      <c r="B1941" s="427" t="s">
        <v>612</v>
      </c>
      <c r="C1941" s="426" t="s">
        <v>71</v>
      </c>
      <c r="D1941" s="426" t="s">
        <v>613</v>
      </c>
      <c r="E1941" s="426" t="s">
        <v>1649</v>
      </c>
      <c r="F1941" s="426"/>
      <c r="G1941" s="428" t="s">
        <v>105</v>
      </c>
      <c r="H1941" s="429">
        <v>1</v>
      </c>
      <c r="I1941" s="445"/>
      <c r="J1941" s="445">
        <v>45.44</v>
      </c>
      <c r="K1941" s="445">
        <v>45.44</v>
      </c>
    </row>
    <row r="1942" customHeight="1" spans="1:11">
      <c r="A1942" s="430" t="s">
        <v>1724</v>
      </c>
      <c r="B1942" s="431" t="s">
        <v>1854</v>
      </c>
      <c r="C1942" s="430" t="s">
        <v>71</v>
      </c>
      <c r="D1942" s="430" t="s">
        <v>1855</v>
      </c>
      <c r="E1942" s="430" t="s">
        <v>1708</v>
      </c>
      <c r="F1942" s="430"/>
      <c r="G1942" s="432" t="s">
        <v>82</v>
      </c>
      <c r="H1942" s="433">
        <v>0.2325</v>
      </c>
      <c r="I1942" s="433">
        <v>0</v>
      </c>
      <c r="J1942" s="446">
        <v>35.55</v>
      </c>
      <c r="K1942" s="446">
        <v>8.26</v>
      </c>
    </row>
    <row r="1943" customHeight="1" spans="1:11">
      <c r="A1943" s="430" t="s">
        <v>1724</v>
      </c>
      <c r="B1943" s="431" t="s">
        <v>1859</v>
      </c>
      <c r="C1943" s="430" t="s">
        <v>71</v>
      </c>
      <c r="D1943" s="430" t="s">
        <v>1860</v>
      </c>
      <c r="E1943" s="430" t="s">
        <v>1708</v>
      </c>
      <c r="F1943" s="430"/>
      <c r="G1943" s="432" t="s">
        <v>82</v>
      </c>
      <c r="H1943" s="433">
        <v>0.2325</v>
      </c>
      <c r="I1943" s="433">
        <v>0</v>
      </c>
      <c r="J1943" s="446">
        <v>29.54</v>
      </c>
      <c r="K1943" s="446">
        <v>6.86</v>
      </c>
    </row>
    <row r="1944" customHeight="1" spans="1:11">
      <c r="A1944" s="438" t="s">
        <v>1750</v>
      </c>
      <c r="B1944" s="439" t="s">
        <v>2419</v>
      </c>
      <c r="C1944" s="438" t="s">
        <v>71</v>
      </c>
      <c r="D1944" s="438" t="s">
        <v>2420</v>
      </c>
      <c r="E1944" s="438" t="s">
        <v>1631</v>
      </c>
      <c r="F1944" s="438"/>
      <c r="G1944" s="440" t="s">
        <v>105</v>
      </c>
      <c r="H1944" s="441">
        <v>1</v>
      </c>
      <c r="I1944" s="441">
        <v>0</v>
      </c>
      <c r="J1944" s="449">
        <v>1.69</v>
      </c>
      <c r="K1944" s="449">
        <v>1.69</v>
      </c>
    </row>
    <row r="1945" customHeight="1" spans="1:11">
      <c r="A1945" s="438" t="s">
        <v>1750</v>
      </c>
      <c r="B1945" s="439" t="s">
        <v>2411</v>
      </c>
      <c r="C1945" s="438" t="s">
        <v>71</v>
      </c>
      <c r="D1945" s="438" t="s">
        <v>2412</v>
      </c>
      <c r="E1945" s="438" t="s">
        <v>1631</v>
      </c>
      <c r="F1945" s="438"/>
      <c r="G1945" s="440" t="s">
        <v>105</v>
      </c>
      <c r="H1945" s="441">
        <v>0.14</v>
      </c>
      <c r="I1945" s="441">
        <v>0</v>
      </c>
      <c r="J1945" s="449">
        <v>30.01</v>
      </c>
      <c r="K1945" s="449">
        <v>4.2</v>
      </c>
    </row>
    <row r="1946" customHeight="1" spans="1:11">
      <c r="A1946" s="438" t="s">
        <v>1750</v>
      </c>
      <c r="B1946" s="439" t="s">
        <v>2464</v>
      </c>
      <c r="C1946" s="438" t="s">
        <v>71</v>
      </c>
      <c r="D1946" s="438" t="s">
        <v>2465</v>
      </c>
      <c r="E1946" s="438" t="s">
        <v>1631</v>
      </c>
      <c r="F1946" s="438"/>
      <c r="G1946" s="440" t="s">
        <v>105</v>
      </c>
      <c r="H1946" s="441">
        <v>1</v>
      </c>
      <c r="I1946" s="441">
        <v>0</v>
      </c>
      <c r="J1946" s="449">
        <v>18.43</v>
      </c>
      <c r="K1946" s="449">
        <v>18.43</v>
      </c>
    </row>
    <row r="1947" customHeight="1" spans="1:11">
      <c r="A1947" s="438" t="s">
        <v>1750</v>
      </c>
      <c r="B1947" s="439" t="s">
        <v>2413</v>
      </c>
      <c r="C1947" s="438" t="s">
        <v>71</v>
      </c>
      <c r="D1947" s="438" t="s">
        <v>2414</v>
      </c>
      <c r="E1947" s="438" t="s">
        <v>1631</v>
      </c>
      <c r="F1947" s="438"/>
      <c r="G1947" s="440" t="s">
        <v>105</v>
      </c>
      <c r="H1947" s="441">
        <v>2</v>
      </c>
      <c r="I1947" s="441">
        <v>0</v>
      </c>
      <c r="J1947" s="449">
        <v>3</v>
      </c>
      <c r="K1947" s="449">
        <v>6</v>
      </c>
    </row>
    <row r="1948" customHeight="1" spans="1:11">
      <c r="A1948" s="434"/>
      <c r="B1948" s="434"/>
      <c r="C1948" s="434"/>
      <c r="D1948" s="434"/>
      <c r="E1948" s="434"/>
      <c r="F1948" s="434" t="s">
        <v>1735</v>
      </c>
      <c r="G1948" s="435">
        <v>5.63</v>
      </c>
      <c r="H1948" s="434" t="s">
        <v>1736</v>
      </c>
      <c r="I1948" s="435">
        <v>5.13</v>
      </c>
      <c r="J1948" s="434" t="s">
        <v>1737</v>
      </c>
      <c r="K1948" s="435">
        <v>10.76</v>
      </c>
    </row>
    <row r="1949" customHeight="1" spans="1:11">
      <c r="A1949" s="434"/>
      <c r="B1949" s="434"/>
      <c r="C1949" s="434"/>
      <c r="D1949" s="434"/>
      <c r="E1949" s="434"/>
      <c r="F1949" s="434" t="s">
        <v>1738</v>
      </c>
      <c r="G1949" s="435">
        <v>11.2</v>
      </c>
      <c r="H1949" s="434"/>
      <c r="I1949" s="434" t="s">
        <v>1739</v>
      </c>
      <c r="J1949" s="434"/>
      <c r="K1949" s="435">
        <v>56.64</v>
      </c>
    </row>
    <row r="1950" customHeight="1" spans="1:11">
      <c r="A1950" s="436"/>
      <c r="B1950" s="436"/>
      <c r="C1950" s="436"/>
      <c r="D1950" s="436"/>
      <c r="E1950" s="436"/>
      <c r="F1950" s="436"/>
      <c r="G1950" s="436"/>
      <c r="H1950" s="436" t="s">
        <v>1740</v>
      </c>
      <c r="I1950" s="447" t="s">
        <v>1741</v>
      </c>
      <c r="J1950" s="436" t="s">
        <v>1742</v>
      </c>
      <c r="K1950" s="448">
        <v>56.64</v>
      </c>
    </row>
    <row r="1951" customHeight="1" spans="1:11">
      <c r="A1951" s="437"/>
      <c r="B1951" s="437"/>
      <c r="C1951" s="437"/>
      <c r="D1951" s="437"/>
      <c r="E1951" s="437"/>
      <c r="F1951" s="437"/>
      <c r="G1951" s="437"/>
      <c r="H1951" s="437"/>
      <c r="I1951" s="437"/>
      <c r="J1951" s="437"/>
      <c r="K1951" s="437"/>
    </row>
    <row r="1952" customHeight="1" spans="1:11">
      <c r="A1952" s="423" t="s">
        <v>614</v>
      </c>
      <c r="B1952" s="424" t="s">
        <v>1714</v>
      </c>
      <c r="C1952" s="423" t="s">
        <v>1715</v>
      </c>
      <c r="D1952" s="423" t="s">
        <v>1716</v>
      </c>
      <c r="E1952" s="423" t="s">
        <v>1717</v>
      </c>
      <c r="F1952" s="423"/>
      <c r="G1952" s="425" t="s">
        <v>1718</v>
      </c>
      <c r="H1952" s="424" t="s">
        <v>1719</v>
      </c>
      <c r="I1952" s="424" t="s">
        <v>1720</v>
      </c>
      <c r="J1952" s="424" t="s">
        <v>1721</v>
      </c>
      <c r="K1952" s="424" t="s">
        <v>1722</v>
      </c>
    </row>
    <row r="1953" customHeight="1" spans="1:11">
      <c r="A1953" s="426" t="s">
        <v>1723</v>
      </c>
      <c r="B1953" s="427" t="s">
        <v>615</v>
      </c>
      <c r="C1953" s="426" t="s">
        <v>71</v>
      </c>
      <c r="D1953" s="426" t="s">
        <v>616</v>
      </c>
      <c r="E1953" s="426" t="s">
        <v>1712</v>
      </c>
      <c r="F1953" s="426"/>
      <c r="G1953" s="428" t="s">
        <v>105</v>
      </c>
      <c r="H1953" s="429">
        <v>1</v>
      </c>
      <c r="I1953" s="445"/>
      <c r="J1953" s="445">
        <v>26.52</v>
      </c>
      <c r="K1953" s="445">
        <v>26.52</v>
      </c>
    </row>
    <row r="1954" customHeight="1" spans="1:11">
      <c r="A1954" s="430" t="s">
        <v>1724</v>
      </c>
      <c r="B1954" s="431" t="s">
        <v>1859</v>
      </c>
      <c r="C1954" s="430" t="s">
        <v>71</v>
      </c>
      <c r="D1954" s="430" t="s">
        <v>1860</v>
      </c>
      <c r="E1954" s="430" t="s">
        <v>1708</v>
      </c>
      <c r="F1954" s="430"/>
      <c r="G1954" s="432" t="s">
        <v>82</v>
      </c>
      <c r="H1954" s="433">
        <v>0.1652</v>
      </c>
      <c r="I1954" s="433">
        <v>0</v>
      </c>
      <c r="J1954" s="446">
        <v>29.54</v>
      </c>
      <c r="K1954" s="446">
        <v>4.88</v>
      </c>
    </row>
    <row r="1955" customHeight="1" spans="1:11">
      <c r="A1955" s="430" t="s">
        <v>1724</v>
      </c>
      <c r="B1955" s="431" t="s">
        <v>1854</v>
      </c>
      <c r="C1955" s="430" t="s">
        <v>71</v>
      </c>
      <c r="D1955" s="430" t="s">
        <v>1855</v>
      </c>
      <c r="E1955" s="430" t="s">
        <v>1708</v>
      </c>
      <c r="F1955" s="430"/>
      <c r="G1955" s="432" t="s">
        <v>82</v>
      </c>
      <c r="H1955" s="433">
        <v>0.1652</v>
      </c>
      <c r="I1955" s="433">
        <v>0</v>
      </c>
      <c r="J1955" s="446">
        <v>35.55</v>
      </c>
      <c r="K1955" s="446">
        <v>5.87</v>
      </c>
    </row>
    <row r="1956" customHeight="1" spans="1:11">
      <c r="A1956" s="438" t="s">
        <v>1750</v>
      </c>
      <c r="B1956" s="439" t="s">
        <v>2296</v>
      </c>
      <c r="C1956" s="438" t="s">
        <v>71</v>
      </c>
      <c r="D1956" s="438" t="s">
        <v>2297</v>
      </c>
      <c r="E1956" s="438" t="s">
        <v>1631</v>
      </c>
      <c r="F1956" s="438"/>
      <c r="G1956" s="440" t="s">
        <v>105</v>
      </c>
      <c r="H1956" s="441">
        <v>0.0049</v>
      </c>
      <c r="I1956" s="441">
        <v>0</v>
      </c>
      <c r="J1956" s="449">
        <v>72.71</v>
      </c>
      <c r="K1956" s="449">
        <v>0.35</v>
      </c>
    </row>
    <row r="1957" customHeight="1" spans="1:11">
      <c r="A1957" s="438" t="s">
        <v>1750</v>
      </c>
      <c r="B1957" s="439" t="s">
        <v>2284</v>
      </c>
      <c r="C1957" s="438" t="s">
        <v>71</v>
      </c>
      <c r="D1957" s="438" t="s">
        <v>2285</v>
      </c>
      <c r="E1957" s="438" t="s">
        <v>1631</v>
      </c>
      <c r="F1957" s="438"/>
      <c r="G1957" s="440" t="s">
        <v>105</v>
      </c>
      <c r="H1957" s="441">
        <v>0.036</v>
      </c>
      <c r="I1957" s="441">
        <v>0</v>
      </c>
      <c r="J1957" s="449">
        <v>2.08</v>
      </c>
      <c r="K1957" s="449">
        <v>0.07</v>
      </c>
    </row>
    <row r="1958" customHeight="1" spans="1:11">
      <c r="A1958" s="438" t="s">
        <v>1750</v>
      </c>
      <c r="B1958" s="439" t="s">
        <v>2466</v>
      </c>
      <c r="C1958" s="438" t="s">
        <v>71</v>
      </c>
      <c r="D1958" s="438" t="s">
        <v>2467</v>
      </c>
      <c r="E1958" s="438" t="s">
        <v>1631</v>
      </c>
      <c r="F1958" s="438"/>
      <c r="G1958" s="440" t="s">
        <v>105</v>
      </c>
      <c r="H1958" s="441">
        <v>1</v>
      </c>
      <c r="I1958" s="441">
        <v>0</v>
      </c>
      <c r="J1958" s="449">
        <v>14.74</v>
      </c>
      <c r="K1958" s="449">
        <v>14.74</v>
      </c>
    </row>
    <row r="1959" customHeight="1" spans="1:11">
      <c r="A1959" s="438" t="s">
        <v>1750</v>
      </c>
      <c r="B1959" s="439" t="s">
        <v>2294</v>
      </c>
      <c r="C1959" s="438" t="s">
        <v>71</v>
      </c>
      <c r="D1959" s="438" t="s">
        <v>2295</v>
      </c>
      <c r="E1959" s="438" t="s">
        <v>1631</v>
      </c>
      <c r="F1959" s="438"/>
      <c r="G1959" s="440" t="s">
        <v>105</v>
      </c>
      <c r="H1959" s="441">
        <v>0.0075</v>
      </c>
      <c r="I1959" s="441">
        <v>0</v>
      </c>
      <c r="J1959" s="449">
        <v>82.38</v>
      </c>
      <c r="K1959" s="449">
        <v>0.61</v>
      </c>
    </row>
    <row r="1960" customHeight="1" spans="1:11">
      <c r="A1960" s="434"/>
      <c r="B1960" s="434"/>
      <c r="C1960" s="434"/>
      <c r="D1960" s="434"/>
      <c r="E1960" s="434"/>
      <c r="F1960" s="434" t="s">
        <v>1735</v>
      </c>
      <c r="G1960" s="435">
        <v>4</v>
      </c>
      <c r="H1960" s="434" t="s">
        <v>1736</v>
      </c>
      <c r="I1960" s="435">
        <v>3.65</v>
      </c>
      <c r="J1960" s="434" t="s">
        <v>1737</v>
      </c>
      <c r="K1960" s="435">
        <v>7.65</v>
      </c>
    </row>
    <row r="1961" customHeight="1" spans="1:11">
      <c r="A1961" s="434"/>
      <c r="B1961" s="434"/>
      <c r="C1961" s="434"/>
      <c r="D1961" s="434"/>
      <c r="E1961" s="434"/>
      <c r="F1961" s="434" t="s">
        <v>1738</v>
      </c>
      <c r="G1961" s="435">
        <v>6.53</v>
      </c>
      <c r="H1961" s="434"/>
      <c r="I1961" s="434" t="s">
        <v>1739</v>
      </c>
      <c r="J1961" s="434"/>
      <c r="K1961" s="435">
        <v>33.05</v>
      </c>
    </row>
    <row r="1962" customHeight="1" spans="1:11">
      <c r="A1962" s="436"/>
      <c r="B1962" s="436"/>
      <c r="C1962" s="436"/>
      <c r="D1962" s="436"/>
      <c r="E1962" s="436"/>
      <c r="F1962" s="436"/>
      <c r="G1962" s="436"/>
      <c r="H1962" s="436" t="s">
        <v>1740</v>
      </c>
      <c r="I1962" s="447" t="s">
        <v>1741</v>
      </c>
      <c r="J1962" s="436" t="s">
        <v>1742</v>
      </c>
      <c r="K1962" s="448">
        <v>33.05</v>
      </c>
    </row>
    <row r="1963" customHeight="1" spans="1:11">
      <c r="A1963" s="437"/>
      <c r="B1963" s="437"/>
      <c r="C1963" s="437"/>
      <c r="D1963" s="437"/>
      <c r="E1963" s="437"/>
      <c r="F1963" s="437"/>
      <c r="G1963" s="437"/>
      <c r="H1963" s="437"/>
      <c r="I1963" s="437"/>
      <c r="J1963" s="437"/>
      <c r="K1963" s="437"/>
    </row>
    <row r="1964" customHeight="1" spans="1:11">
      <c r="A1964" s="423" t="s">
        <v>617</v>
      </c>
      <c r="B1964" s="424" t="s">
        <v>1714</v>
      </c>
      <c r="C1964" s="423" t="s">
        <v>1715</v>
      </c>
      <c r="D1964" s="423" t="s">
        <v>1716</v>
      </c>
      <c r="E1964" s="423" t="s">
        <v>1717</v>
      </c>
      <c r="F1964" s="423"/>
      <c r="G1964" s="425" t="s">
        <v>1718</v>
      </c>
      <c r="H1964" s="424" t="s">
        <v>1719</v>
      </c>
      <c r="I1964" s="424" t="s">
        <v>1720</v>
      </c>
      <c r="J1964" s="424" t="s">
        <v>1721</v>
      </c>
      <c r="K1964" s="424" t="s">
        <v>1722</v>
      </c>
    </row>
    <row r="1965" customHeight="1" spans="1:11">
      <c r="A1965" s="426" t="s">
        <v>1723</v>
      </c>
      <c r="B1965" s="427" t="s">
        <v>618</v>
      </c>
      <c r="C1965" s="426" t="s">
        <v>65</v>
      </c>
      <c r="D1965" s="426" t="s">
        <v>619</v>
      </c>
      <c r="E1965" s="426" t="s">
        <v>62</v>
      </c>
      <c r="F1965" s="426"/>
      <c r="G1965" s="428" t="s">
        <v>67</v>
      </c>
      <c r="H1965" s="429">
        <v>1</v>
      </c>
      <c r="I1965" s="445"/>
      <c r="J1965" s="445">
        <v>165.97</v>
      </c>
      <c r="K1965" s="445">
        <v>165.97</v>
      </c>
    </row>
    <row r="1966" customHeight="1" spans="1:11">
      <c r="A1966" s="430" t="s">
        <v>1724</v>
      </c>
      <c r="B1966" s="431" t="s">
        <v>1859</v>
      </c>
      <c r="C1966" s="430" t="s">
        <v>71</v>
      </c>
      <c r="D1966" s="430" t="s">
        <v>1860</v>
      </c>
      <c r="E1966" s="430" t="s">
        <v>1708</v>
      </c>
      <c r="F1966" s="430"/>
      <c r="G1966" s="432" t="s">
        <v>82</v>
      </c>
      <c r="H1966" s="433">
        <v>0.3987</v>
      </c>
      <c r="I1966" s="433">
        <v>0</v>
      </c>
      <c r="J1966" s="446">
        <v>29.54</v>
      </c>
      <c r="K1966" s="446">
        <v>11.77</v>
      </c>
    </row>
    <row r="1967" customHeight="1" spans="1:11">
      <c r="A1967" s="430" t="s">
        <v>1724</v>
      </c>
      <c r="B1967" s="431" t="s">
        <v>1854</v>
      </c>
      <c r="C1967" s="430" t="s">
        <v>71</v>
      </c>
      <c r="D1967" s="430" t="s">
        <v>1855</v>
      </c>
      <c r="E1967" s="430" t="s">
        <v>1708</v>
      </c>
      <c r="F1967" s="430"/>
      <c r="G1967" s="432" t="s">
        <v>82</v>
      </c>
      <c r="H1967" s="433">
        <v>0.3987</v>
      </c>
      <c r="I1967" s="433">
        <v>0</v>
      </c>
      <c r="J1967" s="446">
        <v>35.55</v>
      </c>
      <c r="K1967" s="446">
        <v>14.17</v>
      </c>
    </row>
    <row r="1968" customHeight="1" spans="1:11">
      <c r="A1968" s="438" t="s">
        <v>1750</v>
      </c>
      <c r="B1968" s="439" t="s">
        <v>2294</v>
      </c>
      <c r="C1968" s="438" t="s">
        <v>71</v>
      </c>
      <c r="D1968" s="438" t="s">
        <v>2295</v>
      </c>
      <c r="E1968" s="438" t="s">
        <v>1631</v>
      </c>
      <c r="F1968" s="438"/>
      <c r="G1968" s="440" t="s">
        <v>105</v>
      </c>
      <c r="H1968" s="441">
        <v>1</v>
      </c>
      <c r="I1968" s="441">
        <v>0</v>
      </c>
      <c r="J1968" s="449">
        <v>82.38</v>
      </c>
      <c r="K1968" s="449">
        <v>82.38</v>
      </c>
    </row>
    <row r="1969" customHeight="1" spans="1:11">
      <c r="A1969" s="438" t="s">
        <v>1750</v>
      </c>
      <c r="B1969" s="439" t="s">
        <v>2468</v>
      </c>
      <c r="C1969" s="438" t="s">
        <v>65</v>
      </c>
      <c r="D1969" s="438" t="s">
        <v>2469</v>
      </c>
      <c r="E1969" s="438" t="s">
        <v>1631</v>
      </c>
      <c r="F1969" s="438"/>
      <c r="G1969" s="440" t="s">
        <v>67</v>
      </c>
      <c r="H1969" s="441">
        <v>1</v>
      </c>
      <c r="I1969" s="441">
        <v>0</v>
      </c>
      <c r="J1969" s="449">
        <v>55.44</v>
      </c>
      <c r="K1969" s="449">
        <v>55.44</v>
      </c>
    </row>
    <row r="1970" customHeight="1" spans="1:11">
      <c r="A1970" s="438" t="s">
        <v>1750</v>
      </c>
      <c r="B1970" s="439" t="s">
        <v>2284</v>
      </c>
      <c r="C1970" s="438" t="s">
        <v>71</v>
      </c>
      <c r="D1970" s="438" t="s">
        <v>2285</v>
      </c>
      <c r="E1970" s="438" t="s">
        <v>1631</v>
      </c>
      <c r="F1970" s="438"/>
      <c r="G1970" s="440" t="s">
        <v>105</v>
      </c>
      <c r="H1970" s="441">
        <v>0.044</v>
      </c>
      <c r="I1970" s="441">
        <v>0</v>
      </c>
      <c r="J1970" s="449">
        <v>2.08</v>
      </c>
      <c r="K1970" s="449">
        <v>0.09</v>
      </c>
    </row>
    <row r="1971" customHeight="1" spans="1:11">
      <c r="A1971" s="438" t="s">
        <v>1750</v>
      </c>
      <c r="B1971" s="439" t="s">
        <v>2296</v>
      </c>
      <c r="C1971" s="438" t="s">
        <v>71</v>
      </c>
      <c r="D1971" s="438" t="s">
        <v>2297</v>
      </c>
      <c r="E1971" s="438" t="s">
        <v>1631</v>
      </c>
      <c r="F1971" s="438"/>
      <c r="G1971" s="440" t="s">
        <v>105</v>
      </c>
      <c r="H1971" s="441">
        <v>0.0292</v>
      </c>
      <c r="I1971" s="441">
        <v>0</v>
      </c>
      <c r="J1971" s="449">
        <v>72.71</v>
      </c>
      <c r="K1971" s="449">
        <v>2.12</v>
      </c>
    </row>
    <row r="1972" customHeight="1" spans="1:11">
      <c r="A1972" s="434"/>
      <c r="B1972" s="434"/>
      <c r="C1972" s="434"/>
      <c r="D1972" s="434"/>
      <c r="E1972" s="434"/>
      <c r="F1972" s="434" t="s">
        <v>1735</v>
      </c>
      <c r="G1972" s="435">
        <v>9.67</v>
      </c>
      <c r="H1972" s="434" t="s">
        <v>1736</v>
      </c>
      <c r="I1972" s="435">
        <v>8.8</v>
      </c>
      <c r="J1972" s="434" t="s">
        <v>1737</v>
      </c>
      <c r="K1972" s="435">
        <v>18.47</v>
      </c>
    </row>
    <row r="1973" customHeight="1" spans="1:11">
      <c r="A1973" s="434"/>
      <c r="B1973" s="434"/>
      <c r="C1973" s="434"/>
      <c r="D1973" s="434"/>
      <c r="E1973" s="434"/>
      <c r="F1973" s="434" t="s">
        <v>1738</v>
      </c>
      <c r="G1973" s="435">
        <v>40.92</v>
      </c>
      <c r="H1973" s="434"/>
      <c r="I1973" s="434" t="s">
        <v>1739</v>
      </c>
      <c r="J1973" s="434"/>
      <c r="K1973" s="435">
        <v>206.89</v>
      </c>
    </row>
    <row r="1974" customHeight="1" spans="1:11">
      <c r="A1974" s="436"/>
      <c r="B1974" s="436"/>
      <c r="C1974" s="436"/>
      <c r="D1974" s="436"/>
      <c r="E1974" s="436"/>
      <c r="F1974" s="436"/>
      <c r="G1974" s="436"/>
      <c r="H1974" s="436" t="s">
        <v>1740</v>
      </c>
      <c r="I1974" s="447" t="s">
        <v>2339</v>
      </c>
      <c r="J1974" s="436" t="s">
        <v>1742</v>
      </c>
      <c r="K1974" s="448">
        <v>620.67</v>
      </c>
    </row>
    <row r="1975" customHeight="1" spans="1:11">
      <c r="A1975" s="437"/>
      <c r="B1975" s="437"/>
      <c r="C1975" s="437"/>
      <c r="D1975" s="437"/>
      <c r="E1975" s="437"/>
      <c r="F1975" s="437"/>
      <c r="G1975" s="437"/>
      <c r="H1975" s="437"/>
      <c r="I1975" s="437"/>
      <c r="J1975" s="437"/>
      <c r="K1975" s="437"/>
    </row>
    <row r="1976" customHeight="1" spans="1:11">
      <c r="A1976" s="423" t="s">
        <v>620</v>
      </c>
      <c r="B1976" s="424" t="s">
        <v>1714</v>
      </c>
      <c r="C1976" s="423" t="s">
        <v>1715</v>
      </c>
      <c r="D1976" s="423" t="s">
        <v>1716</v>
      </c>
      <c r="E1976" s="423" t="s">
        <v>1717</v>
      </c>
      <c r="F1976" s="423"/>
      <c r="G1976" s="425" t="s">
        <v>1718</v>
      </c>
      <c r="H1976" s="424" t="s">
        <v>1719</v>
      </c>
      <c r="I1976" s="424" t="s">
        <v>1720</v>
      </c>
      <c r="J1976" s="424" t="s">
        <v>1721</v>
      </c>
      <c r="K1976" s="424" t="s">
        <v>1722</v>
      </c>
    </row>
    <row r="1977" customHeight="1" spans="1:11">
      <c r="A1977" s="426" t="s">
        <v>1723</v>
      </c>
      <c r="B1977" s="427" t="s">
        <v>621</v>
      </c>
      <c r="C1977" s="426" t="s">
        <v>71</v>
      </c>
      <c r="D1977" s="426" t="s">
        <v>622</v>
      </c>
      <c r="E1977" s="426" t="s">
        <v>1712</v>
      </c>
      <c r="F1977" s="426"/>
      <c r="G1977" s="428" t="s">
        <v>105</v>
      </c>
      <c r="H1977" s="429">
        <v>1</v>
      </c>
      <c r="I1977" s="445"/>
      <c r="J1977" s="445">
        <v>63.72</v>
      </c>
      <c r="K1977" s="445">
        <v>63.72</v>
      </c>
    </row>
    <row r="1978" customHeight="1" spans="1:11">
      <c r="A1978" s="430" t="s">
        <v>1724</v>
      </c>
      <c r="B1978" s="431" t="s">
        <v>1854</v>
      </c>
      <c r="C1978" s="430" t="s">
        <v>71</v>
      </c>
      <c r="D1978" s="430" t="s">
        <v>1855</v>
      </c>
      <c r="E1978" s="430" t="s">
        <v>1708</v>
      </c>
      <c r="F1978" s="430"/>
      <c r="G1978" s="432" t="s">
        <v>82</v>
      </c>
      <c r="H1978" s="433">
        <v>0.3987</v>
      </c>
      <c r="I1978" s="433">
        <v>0</v>
      </c>
      <c r="J1978" s="446">
        <v>35.55</v>
      </c>
      <c r="K1978" s="446">
        <v>14.17</v>
      </c>
    </row>
    <row r="1979" customHeight="1" spans="1:11">
      <c r="A1979" s="430" t="s">
        <v>1724</v>
      </c>
      <c r="B1979" s="431" t="s">
        <v>1859</v>
      </c>
      <c r="C1979" s="430" t="s">
        <v>71</v>
      </c>
      <c r="D1979" s="430" t="s">
        <v>1860</v>
      </c>
      <c r="E1979" s="430" t="s">
        <v>1708</v>
      </c>
      <c r="F1979" s="430"/>
      <c r="G1979" s="432" t="s">
        <v>82</v>
      </c>
      <c r="H1979" s="433">
        <v>0.3987</v>
      </c>
      <c r="I1979" s="433">
        <v>0</v>
      </c>
      <c r="J1979" s="446">
        <v>29.54</v>
      </c>
      <c r="K1979" s="446">
        <v>11.77</v>
      </c>
    </row>
    <row r="1980" customHeight="1" spans="1:11">
      <c r="A1980" s="438" t="s">
        <v>1750</v>
      </c>
      <c r="B1980" s="439" t="s">
        <v>2294</v>
      </c>
      <c r="C1980" s="438" t="s">
        <v>71</v>
      </c>
      <c r="D1980" s="438" t="s">
        <v>2295</v>
      </c>
      <c r="E1980" s="438" t="s">
        <v>1631</v>
      </c>
      <c r="F1980" s="438"/>
      <c r="G1980" s="440" t="s">
        <v>105</v>
      </c>
      <c r="H1980" s="441">
        <v>0.044</v>
      </c>
      <c r="I1980" s="441">
        <v>0</v>
      </c>
      <c r="J1980" s="449">
        <v>82.38</v>
      </c>
      <c r="K1980" s="449">
        <v>3.62</v>
      </c>
    </row>
    <row r="1981" customHeight="1" spans="1:11">
      <c r="A1981" s="438" t="s">
        <v>1750</v>
      </c>
      <c r="B1981" s="439" t="s">
        <v>2296</v>
      </c>
      <c r="C1981" s="438" t="s">
        <v>71</v>
      </c>
      <c r="D1981" s="438" t="s">
        <v>2297</v>
      </c>
      <c r="E1981" s="438" t="s">
        <v>1631</v>
      </c>
      <c r="F1981" s="438"/>
      <c r="G1981" s="440" t="s">
        <v>105</v>
      </c>
      <c r="H1981" s="441">
        <v>0.0292</v>
      </c>
      <c r="I1981" s="441">
        <v>0</v>
      </c>
      <c r="J1981" s="449">
        <v>72.71</v>
      </c>
      <c r="K1981" s="449">
        <v>2.12</v>
      </c>
    </row>
    <row r="1982" customHeight="1" spans="1:11">
      <c r="A1982" s="438" t="s">
        <v>1750</v>
      </c>
      <c r="B1982" s="439" t="s">
        <v>2284</v>
      </c>
      <c r="C1982" s="438" t="s">
        <v>71</v>
      </c>
      <c r="D1982" s="438" t="s">
        <v>2285</v>
      </c>
      <c r="E1982" s="438" t="s">
        <v>1631</v>
      </c>
      <c r="F1982" s="438"/>
      <c r="G1982" s="440" t="s">
        <v>105</v>
      </c>
      <c r="H1982" s="441">
        <v>0.0154</v>
      </c>
      <c r="I1982" s="441">
        <v>0</v>
      </c>
      <c r="J1982" s="449">
        <v>2.08</v>
      </c>
      <c r="K1982" s="449">
        <v>0.03</v>
      </c>
    </row>
    <row r="1983" customHeight="1" spans="1:11">
      <c r="A1983" s="438" t="s">
        <v>1750</v>
      </c>
      <c r="B1983" s="439" t="s">
        <v>2470</v>
      </c>
      <c r="C1983" s="438" t="s">
        <v>71</v>
      </c>
      <c r="D1983" s="438" t="s">
        <v>2471</v>
      </c>
      <c r="E1983" s="438" t="s">
        <v>1631</v>
      </c>
      <c r="F1983" s="438"/>
      <c r="G1983" s="440" t="s">
        <v>105</v>
      </c>
      <c r="H1983" s="441">
        <v>1</v>
      </c>
      <c r="I1983" s="441">
        <v>0</v>
      </c>
      <c r="J1983" s="449">
        <v>32.01</v>
      </c>
      <c r="K1983" s="449">
        <v>32.01</v>
      </c>
    </row>
    <row r="1984" customHeight="1" spans="1:11">
      <c r="A1984" s="434"/>
      <c r="B1984" s="434"/>
      <c r="C1984" s="434"/>
      <c r="D1984" s="434"/>
      <c r="E1984" s="434"/>
      <c r="F1984" s="434" t="s">
        <v>1735</v>
      </c>
      <c r="G1984" s="435">
        <v>9.67</v>
      </c>
      <c r="H1984" s="434" t="s">
        <v>1736</v>
      </c>
      <c r="I1984" s="435">
        <v>8.8</v>
      </c>
      <c r="J1984" s="434" t="s">
        <v>1737</v>
      </c>
      <c r="K1984" s="435">
        <v>18.47</v>
      </c>
    </row>
    <row r="1985" customHeight="1" spans="1:11">
      <c r="A1985" s="434"/>
      <c r="B1985" s="434"/>
      <c r="C1985" s="434"/>
      <c r="D1985" s="434"/>
      <c r="E1985" s="434"/>
      <c r="F1985" s="434" t="s">
        <v>1738</v>
      </c>
      <c r="G1985" s="435">
        <v>15.71</v>
      </c>
      <c r="H1985" s="434"/>
      <c r="I1985" s="434" t="s">
        <v>1739</v>
      </c>
      <c r="J1985" s="434"/>
      <c r="K1985" s="435">
        <v>79.43</v>
      </c>
    </row>
    <row r="1986" customHeight="1" spans="1:11">
      <c r="A1986" s="436"/>
      <c r="B1986" s="436"/>
      <c r="C1986" s="436"/>
      <c r="D1986" s="436"/>
      <c r="E1986" s="436"/>
      <c r="F1986" s="436"/>
      <c r="G1986" s="436"/>
      <c r="H1986" s="436" t="s">
        <v>1740</v>
      </c>
      <c r="I1986" s="447" t="s">
        <v>1741</v>
      </c>
      <c r="J1986" s="436" t="s">
        <v>1742</v>
      </c>
      <c r="K1986" s="448">
        <v>79.43</v>
      </c>
    </row>
    <row r="1987" customHeight="1" spans="1:11">
      <c r="A1987" s="437"/>
      <c r="B1987" s="437"/>
      <c r="C1987" s="437"/>
      <c r="D1987" s="437"/>
      <c r="E1987" s="437"/>
      <c r="F1987" s="437"/>
      <c r="G1987" s="437"/>
      <c r="H1987" s="437"/>
      <c r="I1987" s="437"/>
      <c r="J1987" s="437"/>
      <c r="K1987" s="437"/>
    </row>
    <row r="1988" customHeight="1" spans="1:11">
      <c r="A1988" s="423" t="s">
        <v>623</v>
      </c>
      <c r="B1988" s="424" t="s">
        <v>1714</v>
      </c>
      <c r="C1988" s="423" t="s">
        <v>1715</v>
      </c>
      <c r="D1988" s="423" t="s">
        <v>1716</v>
      </c>
      <c r="E1988" s="423" t="s">
        <v>1717</v>
      </c>
      <c r="F1988" s="423"/>
      <c r="G1988" s="425" t="s">
        <v>1718</v>
      </c>
      <c r="H1988" s="424" t="s">
        <v>1719</v>
      </c>
      <c r="I1988" s="424" t="s">
        <v>1720</v>
      </c>
      <c r="J1988" s="424" t="s">
        <v>1721</v>
      </c>
      <c r="K1988" s="424" t="s">
        <v>1722</v>
      </c>
    </row>
    <row r="1989" customHeight="1" spans="1:11">
      <c r="A1989" s="426" t="s">
        <v>1723</v>
      </c>
      <c r="B1989" s="427" t="s">
        <v>624</v>
      </c>
      <c r="C1989" s="426" t="s">
        <v>65</v>
      </c>
      <c r="D1989" s="426" t="s">
        <v>625</v>
      </c>
      <c r="E1989" s="426" t="s">
        <v>62</v>
      </c>
      <c r="F1989" s="426"/>
      <c r="G1989" s="428" t="s">
        <v>67</v>
      </c>
      <c r="H1989" s="429">
        <v>1</v>
      </c>
      <c r="I1989" s="445"/>
      <c r="J1989" s="445">
        <v>142.4</v>
      </c>
      <c r="K1989" s="445">
        <v>142.4</v>
      </c>
    </row>
    <row r="1990" customHeight="1" spans="1:11">
      <c r="A1990" s="430" t="s">
        <v>1724</v>
      </c>
      <c r="B1990" s="431" t="s">
        <v>1854</v>
      </c>
      <c r="C1990" s="430" t="s">
        <v>71</v>
      </c>
      <c r="D1990" s="430" t="s">
        <v>1855</v>
      </c>
      <c r="E1990" s="430" t="s">
        <v>1708</v>
      </c>
      <c r="F1990" s="430"/>
      <c r="G1990" s="432" t="s">
        <v>82</v>
      </c>
      <c r="H1990" s="433">
        <v>0.3987</v>
      </c>
      <c r="I1990" s="433">
        <v>0</v>
      </c>
      <c r="J1990" s="446">
        <v>35.55</v>
      </c>
      <c r="K1990" s="446">
        <v>14.17</v>
      </c>
    </row>
    <row r="1991" customHeight="1" spans="1:11">
      <c r="A1991" s="430" t="s">
        <v>1724</v>
      </c>
      <c r="B1991" s="431" t="s">
        <v>1859</v>
      </c>
      <c r="C1991" s="430" t="s">
        <v>71</v>
      </c>
      <c r="D1991" s="430" t="s">
        <v>1860</v>
      </c>
      <c r="E1991" s="430" t="s">
        <v>1708</v>
      </c>
      <c r="F1991" s="430"/>
      <c r="G1991" s="432" t="s">
        <v>82</v>
      </c>
      <c r="H1991" s="433">
        <v>0.3987</v>
      </c>
      <c r="I1991" s="433">
        <v>0</v>
      </c>
      <c r="J1991" s="446">
        <v>29.54</v>
      </c>
      <c r="K1991" s="446">
        <v>11.77</v>
      </c>
    </row>
    <row r="1992" customHeight="1" spans="1:11">
      <c r="A1992" s="438" t="s">
        <v>1750</v>
      </c>
      <c r="B1992" s="439" t="s">
        <v>2296</v>
      </c>
      <c r="C1992" s="438" t="s">
        <v>71</v>
      </c>
      <c r="D1992" s="438" t="s">
        <v>2297</v>
      </c>
      <c r="E1992" s="438" t="s">
        <v>1631</v>
      </c>
      <c r="F1992" s="438"/>
      <c r="G1992" s="440" t="s">
        <v>105</v>
      </c>
      <c r="H1992" s="441">
        <v>0.0292</v>
      </c>
      <c r="I1992" s="441">
        <v>0</v>
      </c>
      <c r="J1992" s="449">
        <v>72.71</v>
      </c>
      <c r="K1992" s="449">
        <v>2.12</v>
      </c>
    </row>
    <row r="1993" customHeight="1" spans="1:11">
      <c r="A1993" s="438" t="s">
        <v>1750</v>
      </c>
      <c r="B1993" s="439" t="s">
        <v>2294</v>
      </c>
      <c r="C1993" s="438" t="s">
        <v>71</v>
      </c>
      <c r="D1993" s="438" t="s">
        <v>2295</v>
      </c>
      <c r="E1993" s="438" t="s">
        <v>1631</v>
      </c>
      <c r="F1993" s="438"/>
      <c r="G1993" s="440" t="s">
        <v>105</v>
      </c>
      <c r="H1993" s="441">
        <v>1</v>
      </c>
      <c r="I1993" s="441">
        <v>0</v>
      </c>
      <c r="J1993" s="449">
        <v>82.38</v>
      </c>
      <c r="K1993" s="449">
        <v>82.38</v>
      </c>
    </row>
    <row r="1994" customHeight="1" spans="1:11">
      <c r="A1994" s="438" t="s">
        <v>1750</v>
      </c>
      <c r="B1994" s="439" t="s">
        <v>2472</v>
      </c>
      <c r="C1994" s="438" t="s">
        <v>65</v>
      </c>
      <c r="D1994" s="438" t="s">
        <v>2473</v>
      </c>
      <c r="E1994" s="438" t="s">
        <v>1631</v>
      </c>
      <c r="F1994" s="438"/>
      <c r="G1994" s="440" t="s">
        <v>67</v>
      </c>
      <c r="H1994" s="441">
        <v>1</v>
      </c>
      <c r="I1994" s="441">
        <v>0</v>
      </c>
      <c r="J1994" s="449">
        <v>31.87</v>
      </c>
      <c r="K1994" s="449">
        <v>31.87</v>
      </c>
    </row>
    <row r="1995" customHeight="1" spans="1:11">
      <c r="A1995" s="438" t="s">
        <v>1750</v>
      </c>
      <c r="B1995" s="439" t="s">
        <v>2284</v>
      </c>
      <c r="C1995" s="438" t="s">
        <v>71</v>
      </c>
      <c r="D1995" s="438" t="s">
        <v>2285</v>
      </c>
      <c r="E1995" s="438" t="s">
        <v>1631</v>
      </c>
      <c r="F1995" s="438"/>
      <c r="G1995" s="440" t="s">
        <v>105</v>
      </c>
      <c r="H1995" s="441">
        <v>0.044</v>
      </c>
      <c r="I1995" s="441">
        <v>0</v>
      </c>
      <c r="J1995" s="449">
        <v>2.08</v>
      </c>
      <c r="K1995" s="449">
        <v>0.09</v>
      </c>
    </row>
    <row r="1996" customHeight="1" spans="1:11">
      <c r="A1996" s="434"/>
      <c r="B1996" s="434"/>
      <c r="C1996" s="434"/>
      <c r="D1996" s="434"/>
      <c r="E1996" s="434"/>
      <c r="F1996" s="434" t="s">
        <v>1735</v>
      </c>
      <c r="G1996" s="435">
        <v>9.67</v>
      </c>
      <c r="H1996" s="434" t="s">
        <v>1736</v>
      </c>
      <c r="I1996" s="435">
        <v>8.8</v>
      </c>
      <c r="J1996" s="434" t="s">
        <v>1737</v>
      </c>
      <c r="K1996" s="435">
        <v>18.47</v>
      </c>
    </row>
    <row r="1997" customHeight="1" spans="1:11">
      <c r="A1997" s="434"/>
      <c r="B1997" s="434"/>
      <c r="C1997" s="434"/>
      <c r="D1997" s="434"/>
      <c r="E1997" s="434"/>
      <c r="F1997" s="434" t="s">
        <v>1738</v>
      </c>
      <c r="G1997" s="435">
        <v>35.11</v>
      </c>
      <c r="H1997" s="434"/>
      <c r="I1997" s="434" t="s">
        <v>1739</v>
      </c>
      <c r="J1997" s="434"/>
      <c r="K1997" s="435">
        <v>177.51</v>
      </c>
    </row>
    <row r="1998" customHeight="1" spans="1:11">
      <c r="A1998" s="436"/>
      <c r="B1998" s="436"/>
      <c r="C1998" s="436"/>
      <c r="D1998" s="436"/>
      <c r="E1998" s="436"/>
      <c r="F1998" s="436"/>
      <c r="G1998" s="436"/>
      <c r="H1998" s="436" t="s">
        <v>1740</v>
      </c>
      <c r="I1998" s="447" t="s">
        <v>2339</v>
      </c>
      <c r="J1998" s="436" t="s">
        <v>1742</v>
      </c>
      <c r="K1998" s="448">
        <v>532.53</v>
      </c>
    </row>
    <row r="1999" customHeight="1" spans="1:11">
      <c r="A1999" s="437"/>
      <c r="B1999" s="437"/>
      <c r="C1999" s="437"/>
      <c r="D1999" s="437"/>
      <c r="E1999" s="437"/>
      <c r="F1999" s="437"/>
      <c r="G1999" s="437"/>
      <c r="H1999" s="437"/>
      <c r="I1999" s="437"/>
      <c r="J1999" s="437"/>
      <c r="K1999" s="437"/>
    </row>
    <row r="2000" customHeight="1" spans="1:11">
      <c r="A2000" s="423" t="s">
        <v>626</v>
      </c>
      <c r="B2000" s="424" t="s">
        <v>1714</v>
      </c>
      <c r="C2000" s="423" t="s">
        <v>1715</v>
      </c>
      <c r="D2000" s="423" t="s">
        <v>1716</v>
      </c>
      <c r="E2000" s="423" t="s">
        <v>1717</v>
      </c>
      <c r="F2000" s="423"/>
      <c r="G2000" s="425" t="s">
        <v>1718</v>
      </c>
      <c r="H2000" s="424" t="s">
        <v>1719</v>
      </c>
      <c r="I2000" s="424" t="s">
        <v>1720</v>
      </c>
      <c r="J2000" s="424" t="s">
        <v>1721</v>
      </c>
      <c r="K2000" s="424" t="s">
        <v>1722</v>
      </c>
    </row>
    <row r="2001" customHeight="1" spans="1:11">
      <c r="A2001" s="426" t="s">
        <v>1723</v>
      </c>
      <c r="B2001" s="427" t="s">
        <v>627</v>
      </c>
      <c r="C2001" s="426" t="s">
        <v>71</v>
      </c>
      <c r="D2001" s="426" t="s">
        <v>628</v>
      </c>
      <c r="E2001" s="426" t="s">
        <v>1649</v>
      </c>
      <c r="F2001" s="426"/>
      <c r="G2001" s="428" t="s">
        <v>105</v>
      </c>
      <c r="H2001" s="429">
        <v>1</v>
      </c>
      <c r="I2001" s="445"/>
      <c r="J2001" s="445">
        <v>12.06</v>
      </c>
      <c r="K2001" s="445">
        <v>12.06</v>
      </c>
    </row>
    <row r="2002" customHeight="1" spans="1:11">
      <c r="A2002" s="430" t="s">
        <v>1724</v>
      </c>
      <c r="B2002" s="431" t="s">
        <v>1854</v>
      </c>
      <c r="C2002" s="430" t="s">
        <v>71</v>
      </c>
      <c r="D2002" s="430" t="s">
        <v>1855</v>
      </c>
      <c r="E2002" s="430" t="s">
        <v>1708</v>
      </c>
      <c r="F2002" s="430"/>
      <c r="G2002" s="432" t="s">
        <v>82</v>
      </c>
      <c r="H2002" s="433">
        <v>0.0114</v>
      </c>
      <c r="I2002" s="433">
        <v>0</v>
      </c>
      <c r="J2002" s="446">
        <v>35.55</v>
      </c>
      <c r="K2002" s="446">
        <v>0.4</v>
      </c>
    </row>
    <row r="2003" customHeight="1" spans="1:11">
      <c r="A2003" s="430" t="s">
        <v>1724</v>
      </c>
      <c r="B2003" s="431" t="s">
        <v>1859</v>
      </c>
      <c r="C2003" s="430" t="s">
        <v>71</v>
      </c>
      <c r="D2003" s="430" t="s">
        <v>1860</v>
      </c>
      <c r="E2003" s="430" t="s">
        <v>1708</v>
      </c>
      <c r="F2003" s="430"/>
      <c r="G2003" s="432" t="s">
        <v>82</v>
      </c>
      <c r="H2003" s="433">
        <v>0.0114</v>
      </c>
      <c r="I2003" s="433">
        <v>0</v>
      </c>
      <c r="J2003" s="446">
        <v>29.54</v>
      </c>
      <c r="K2003" s="446">
        <v>0.33</v>
      </c>
    </row>
    <row r="2004" customHeight="1" spans="1:11">
      <c r="A2004" s="438" t="s">
        <v>1750</v>
      </c>
      <c r="B2004" s="439" t="s">
        <v>2284</v>
      </c>
      <c r="C2004" s="438" t="s">
        <v>71</v>
      </c>
      <c r="D2004" s="438" t="s">
        <v>2285</v>
      </c>
      <c r="E2004" s="438" t="s">
        <v>1631</v>
      </c>
      <c r="F2004" s="438"/>
      <c r="G2004" s="440" t="s">
        <v>105</v>
      </c>
      <c r="H2004" s="441">
        <v>0.008</v>
      </c>
      <c r="I2004" s="441">
        <v>0</v>
      </c>
      <c r="J2004" s="449">
        <v>2.08</v>
      </c>
      <c r="K2004" s="449">
        <v>0.01</v>
      </c>
    </row>
    <row r="2005" customHeight="1" spans="1:11">
      <c r="A2005" s="438" t="s">
        <v>1750</v>
      </c>
      <c r="B2005" s="439" t="s">
        <v>2296</v>
      </c>
      <c r="C2005" s="438" t="s">
        <v>71</v>
      </c>
      <c r="D2005" s="438" t="s">
        <v>2297</v>
      </c>
      <c r="E2005" s="438" t="s">
        <v>1631</v>
      </c>
      <c r="F2005" s="438"/>
      <c r="G2005" s="440" t="s">
        <v>105</v>
      </c>
      <c r="H2005" s="441">
        <v>0.0073</v>
      </c>
      <c r="I2005" s="441">
        <v>0</v>
      </c>
      <c r="J2005" s="449">
        <v>72.71</v>
      </c>
      <c r="K2005" s="449">
        <v>0.53</v>
      </c>
    </row>
    <row r="2006" customHeight="1" spans="1:11">
      <c r="A2006" s="438" t="s">
        <v>1750</v>
      </c>
      <c r="B2006" s="439" t="s">
        <v>2474</v>
      </c>
      <c r="C2006" s="438" t="s">
        <v>71</v>
      </c>
      <c r="D2006" s="438" t="s">
        <v>2475</v>
      </c>
      <c r="E2006" s="438" t="s">
        <v>1631</v>
      </c>
      <c r="F2006" s="438"/>
      <c r="G2006" s="440" t="s">
        <v>105</v>
      </c>
      <c r="H2006" s="441">
        <v>1</v>
      </c>
      <c r="I2006" s="441">
        <v>0</v>
      </c>
      <c r="J2006" s="449">
        <v>9.89</v>
      </c>
      <c r="K2006" s="449">
        <v>9.89</v>
      </c>
    </row>
    <row r="2007" customHeight="1" spans="1:11">
      <c r="A2007" s="438" t="s">
        <v>1750</v>
      </c>
      <c r="B2007" s="439" t="s">
        <v>2294</v>
      </c>
      <c r="C2007" s="438" t="s">
        <v>71</v>
      </c>
      <c r="D2007" s="438" t="s">
        <v>2295</v>
      </c>
      <c r="E2007" s="438" t="s">
        <v>1631</v>
      </c>
      <c r="F2007" s="438"/>
      <c r="G2007" s="440" t="s">
        <v>105</v>
      </c>
      <c r="H2007" s="441">
        <v>0.011</v>
      </c>
      <c r="I2007" s="441">
        <v>0</v>
      </c>
      <c r="J2007" s="449">
        <v>82.38</v>
      </c>
      <c r="K2007" s="449">
        <v>0.9</v>
      </c>
    </row>
    <row r="2008" customHeight="1" spans="1:11">
      <c r="A2008" s="434"/>
      <c r="B2008" s="434"/>
      <c r="C2008" s="434"/>
      <c r="D2008" s="434"/>
      <c r="E2008" s="434"/>
      <c r="F2008" s="434" t="s">
        <v>1735</v>
      </c>
      <c r="G2008" s="435">
        <v>0.26</v>
      </c>
      <c r="H2008" s="434" t="s">
        <v>1736</v>
      </c>
      <c r="I2008" s="435">
        <v>0.25</v>
      </c>
      <c r="J2008" s="434" t="s">
        <v>1737</v>
      </c>
      <c r="K2008" s="435">
        <v>0.51</v>
      </c>
    </row>
    <row r="2009" customHeight="1" spans="1:11">
      <c r="A2009" s="434"/>
      <c r="B2009" s="434"/>
      <c r="C2009" s="434"/>
      <c r="D2009" s="434"/>
      <c r="E2009" s="434"/>
      <c r="F2009" s="434" t="s">
        <v>1738</v>
      </c>
      <c r="G2009" s="435">
        <v>2.97</v>
      </c>
      <c r="H2009" s="434"/>
      <c r="I2009" s="434" t="s">
        <v>1739</v>
      </c>
      <c r="J2009" s="434"/>
      <c r="K2009" s="435">
        <v>15.03</v>
      </c>
    </row>
    <row r="2010" customHeight="1" spans="1:11">
      <c r="A2010" s="436"/>
      <c r="B2010" s="436"/>
      <c r="C2010" s="436"/>
      <c r="D2010" s="436"/>
      <c r="E2010" s="436"/>
      <c r="F2010" s="436"/>
      <c r="G2010" s="436"/>
      <c r="H2010" s="436" t="s">
        <v>1740</v>
      </c>
      <c r="I2010" s="447" t="s">
        <v>2339</v>
      </c>
      <c r="J2010" s="436" t="s">
        <v>1742</v>
      </c>
      <c r="K2010" s="448">
        <v>45.09</v>
      </c>
    </row>
    <row r="2011" customHeight="1" spans="1:11">
      <c r="A2011" s="437"/>
      <c r="B2011" s="437"/>
      <c r="C2011" s="437"/>
      <c r="D2011" s="437"/>
      <c r="E2011" s="437"/>
      <c r="F2011" s="437"/>
      <c r="G2011" s="437"/>
      <c r="H2011" s="437"/>
      <c r="I2011" s="437"/>
      <c r="J2011" s="437"/>
      <c r="K2011" s="437"/>
    </row>
    <row r="2012" customHeight="1" spans="1:11">
      <c r="A2012" s="423" t="s">
        <v>629</v>
      </c>
      <c r="B2012" s="424" t="s">
        <v>1714</v>
      </c>
      <c r="C2012" s="423" t="s">
        <v>1715</v>
      </c>
      <c r="D2012" s="423" t="s">
        <v>1716</v>
      </c>
      <c r="E2012" s="423" t="s">
        <v>1717</v>
      </c>
      <c r="F2012" s="423"/>
      <c r="G2012" s="425" t="s">
        <v>1718</v>
      </c>
      <c r="H2012" s="424" t="s">
        <v>1719</v>
      </c>
      <c r="I2012" s="424" t="s">
        <v>1720</v>
      </c>
      <c r="J2012" s="424" t="s">
        <v>1721</v>
      </c>
      <c r="K2012" s="424" t="s">
        <v>1722</v>
      </c>
    </row>
    <row r="2013" customHeight="1" spans="1:11">
      <c r="A2013" s="426" t="s">
        <v>1723</v>
      </c>
      <c r="B2013" s="427" t="s">
        <v>630</v>
      </c>
      <c r="C2013" s="426" t="s">
        <v>71</v>
      </c>
      <c r="D2013" s="426" t="s">
        <v>631</v>
      </c>
      <c r="E2013" s="426" t="s">
        <v>1649</v>
      </c>
      <c r="F2013" s="426"/>
      <c r="G2013" s="428" t="s">
        <v>105</v>
      </c>
      <c r="H2013" s="429">
        <v>1</v>
      </c>
      <c r="I2013" s="445"/>
      <c r="J2013" s="445">
        <v>25.13</v>
      </c>
      <c r="K2013" s="445">
        <v>25.13</v>
      </c>
    </row>
    <row r="2014" customHeight="1" spans="1:11">
      <c r="A2014" s="430" t="s">
        <v>1724</v>
      </c>
      <c r="B2014" s="431" t="s">
        <v>1854</v>
      </c>
      <c r="C2014" s="430" t="s">
        <v>71</v>
      </c>
      <c r="D2014" s="430" t="s">
        <v>1855</v>
      </c>
      <c r="E2014" s="430" t="s">
        <v>1708</v>
      </c>
      <c r="F2014" s="430"/>
      <c r="G2014" s="432" t="s">
        <v>82</v>
      </c>
      <c r="H2014" s="433">
        <v>0.0419</v>
      </c>
      <c r="I2014" s="433">
        <v>0</v>
      </c>
      <c r="J2014" s="446">
        <v>35.55</v>
      </c>
      <c r="K2014" s="446">
        <v>1.48</v>
      </c>
    </row>
    <row r="2015" customHeight="1" spans="1:11">
      <c r="A2015" s="430" t="s">
        <v>1724</v>
      </c>
      <c r="B2015" s="431" t="s">
        <v>1859</v>
      </c>
      <c r="C2015" s="430" t="s">
        <v>71</v>
      </c>
      <c r="D2015" s="430" t="s">
        <v>1860</v>
      </c>
      <c r="E2015" s="430" t="s">
        <v>1708</v>
      </c>
      <c r="F2015" s="430"/>
      <c r="G2015" s="432" t="s">
        <v>82</v>
      </c>
      <c r="H2015" s="433">
        <v>0.0419</v>
      </c>
      <c r="I2015" s="433">
        <v>0</v>
      </c>
      <c r="J2015" s="446">
        <v>29.54</v>
      </c>
      <c r="K2015" s="446">
        <v>1.23</v>
      </c>
    </row>
    <row r="2016" customHeight="1" spans="1:11">
      <c r="A2016" s="438" t="s">
        <v>1750</v>
      </c>
      <c r="B2016" s="439" t="s">
        <v>2284</v>
      </c>
      <c r="C2016" s="438" t="s">
        <v>71</v>
      </c>
      <c r="D2016" s="438" t="s">
        <v>2285</v>
      </c>
      <c r="E2016" s="438" t="s">
        <v>1631</v>
      </c>
      <c r="F2016" s="438"/>
      <c r="G2016" s="440" t="s">
        <v>105</v>
      </c>
      <c r="H2016" s="441">
        <v>0.031</v>
      </c>
      <c r="I2016" s="441">
        <v>0</v>
      </c>
      <c r="J2016" s="449">
        <v>2.08</v>
      </c>
      <c r="K2016" s="449">
        <v>0.06</v>
      </c>
    </row>
    <row r="2017" customHeight="1" spans="1:11">
      <c r="A2017" s="438" t="s">
        <v>1750</v>
      </c>
      <c r="B2017" s="439" t="s">
        <v>2476</v>
      </c>
      <c r="C2017" s="438" t="s">
        <v>71</v>
      </c>
      <c r="D2017" s="438" t="s">
        <v>2477</v>
      </c>
      <c r="E2017" s="438" t="s">
        <v>1631</v>
      </c>
      <c r="F2017" s="438"/>
      <c r="G2017" s="440" t="s">
        <v>105</v>
      </c>
      <c r="H2017" s="441">
        <v>1</v>
      </c>
      <c r="I2017" s="441">
        <v>0</v>
      </c>
      <c r="J2017" s="449">
        <v>19.01</v>
      </c>
      <c r="K2017" s="449">
        <v>19.01</v>
      </c>
    </row>
    <row r="2018" customHeight="1" spans="1:11">
      <c r="A2018" s="438" t="s">
        <v>1750</v>
      </c>
      <c r="B2018" s="439" t="s">
        <v>2294</v>
      </c>
      <c r="C2018" s="438" t="s">
        <v>71</v>
      </c>
      <c r="D2018" s="438" t="s">
        <v>2295</v>
      </c>
      <c r="E2018" s="438" t="s">
        <v>1631</v>
      </c>
      <c r="F2018" s="438"/>
      <c r="G2018" s="440" t="s">
        <v>105</v>
      </c>
      <c r="H2018" s="441">
        <v>0.026</v>
      </c>
      <c r="I2018" s="441">
        <v>0</v>
      </c>
      <c r="J2018" s="449">
        <v>82.38</v>
      </c>
      <c r="K2018" s="449">
        <v>2.14</v>
      </c>
    </row>
    <row r="2019" customHeight="1" spans="1:11">
      <c r="A2019" s="438" t="s">
        <v>1750</v>
      </c>
      <c r="B2019" s="439" t="s">
        <v>2296</v>
      </c>
      <c r="C2019" s="438" t="s">
        <v>71</v>
      </c>
      <c r="D2019" s="438" t="s">
        <v>2297</v>
      </c>
      <c r="E2019" s="438" t="s">
        <v>1631</v>
      </c>
      <c r="F2019" s="438"/>
      <c r="G2019" s="440" t="s">
        <v>105</v>
      </c>
      <c r="H2019" s="441">
        <v>0.0167</v>
      </c>
      <c r="I2019" s="441">
        <v>0</v>
      </c>
      <c r="J2019" s="449">
        <v>72.71</v>
      </c>
      <c r="K2019" s="449">
        <v>1.21</v>
      </c>
    </row>
    <row r="2020" customHeight="1" spans="1:11">
      <c r="A2020" s="434"/>
      <c r="B2020" s="434"/>
      <c r="C2020" s="434"/>
      <c r="D2020" s="434"/>
      <c r="E2020" s="434"/>
      <c r="F2020" s="434" t="s">
        <v>1735</v>
      </c>
      <c r="G2020" s="435">
        <v>1.01</v>
      </c>
      <c r="H2020" s="434" t="s">
        <v>1736</v>
      </c>
      <c r="I2020" s="435">
        <v>0.92</v>
      </c>
      <c r="J2020" s="434" t="s">
        <v>1737</v>
      </c>
      <c r="K2020" s="435">
        <v>1.93</v>
      </c>
    </row>
    <row r="2021" customHeight="1" spans="1:11">
      <c r="A2021" s="434"/>
      <c r="B2021" s="434"/>
      <c r="C2021" s="434"/>
      <c r="D2021" s="434"/>
      <c r="E2021" s="434"/>
      <c r="F2021" s="434" t="s">
        <v>1738</v>
      </c>
      <c r="G2021" s="435">
        <v>6.19</v>
      </c>
      <c r="H2021" s="434"/>
      <c r="I2021" s="434" t="s">
        <v>1739</v>
      </c>
      <c r="J2021" s="434"/>
      <c r="K2021" s="435">
        <v>31.32</v>
      </c>
    </row>
    <row r="2022" customHeight="1" spans="1:11">
      <c r="A2022" s="436"/>
      <c r="B2022" s="436"/>
      <c r="C2022" s="436"/>
      <c r="D2022" s="436"/>
      <c r="E2022" s="436"/>
      <c r="F2022" s="436"/>
      <c r="G2022" s="436"/>
      <c r="H2022" s="436" t="s">
        <v>1740</v>
      </c>
      <c r="I2022" s="447" t="s">
        <v>2339</v>
      </c>
      <c r="J2022" s="436" t="s">
        <v>1742</v>
      </c>
      <c r="K2022" s="448">
        <v>93.96</v>
      </c>
    </row>
    <row r="2023" customHeight="1" spans="1:11">
      <c r="A2023" s="437"/>
      <c r="B2023" s="437"/>
      <c r="C2023" s="437"/>
      <c r="D2023" s="437"/>
      <c r="E2023" s="437"/>
      <c r="F2023" s="437"/>
      <c r="G2023" s="437"/>
      <c r="H2023" s="437"/>
      <c r="I2023" s="437"/>
      <c r="J2023" s="437"/>
      <c r="K2023" s="437"/>
    </row>
    <row r="2024" customHeight="1" spans="1:11">
      <c r="A2024" s="423" t="s">
        <v>632</v>
      </c>
      <c r="B2024" s="424" t="s">
        <v>1714</v>
      </c>
      <c r="C2024" s="423" t="s">
        <v>1715</v>
      </c>
      <c r="D2024" s="423" t="s">
        <v>1716</v>
      </c>
      <c r="E2024" s="423" t="s">
        <v>1717</v>
      </c>
      <c r="F2024" s="423"/>
      <c r="G2024" s="425" t="s">
        <v>1718</v>
      </c>
      <c r="H2024" s="424" t="s">
        <v>1719</v>
      </c>
      <c r="I2024" s="424" t="s">
        <v>1720</v>
      </c>
      <c r="J2024" s="424" t="s">
        <v>1721</v>
      </c>
      <c r="K2024" s="424" t="s">
        <v>1722</v>
      </c>
    </row>
    <row r="2025" customHeight="1" spans="1:11">
      <c r="A2025" s="426" t="s">
        <v>1723</v>
      </c>
      <c r="B2025" s="427" t="s">
        <v>633</v>
      </c>
      <c r="C2025" s="426" t="s">
        <v>65</v>
      </c>
      <c r="D2025" s="426" t="s">
        <v>634</v>
      </c>
      <c r="E2025" s="426" t="s">
        <v>62</v>
      </c>
      <c r="F2025" s="426"/>
      <c r="G2025" s="428" t="s">
        <v>67</v>
      </c>
      <c r="H2025" s="429">
        <v>1</v>
      </c>
      <c r="I2025" s="445"/>
      <c r="J2025" s="445">
        <v>294.2</v>
      </c>
      <c r="K2025" s="445">
        <v>294.2</v>
      </c>
    </row>
    <row r="2026" customHeight="1" spans="1:11">
      <c r="A2026" s="430" t="s">
        <v>1724</v>
      </c>
      <c r="B2026" s="431" t="s">
        <v>1745</v>
      </c>
      <c r="C2026" s="430" t="s">
        <v>71</v>
      </c>
      <c r="D2026" s="430" t="s">
        <v>1746</v>
      </c>
      <c r="E2026" s="430" t="s">
        <v>1708</v>
      </c>
      <c r="F2026" s="430"/>
      <c r="G2026" s="432" t="s">
        <v>82</v>
      </c>
      <c r="H2026" s="433">
        <v>0.3482</v>
      </c>
      <c r="I2026" s="433">
        <v>0</v>
      </c>
      <c r="J2026" s="446">
        <v>29.15</v>
      </c>
      <c r="K2026" s="446">
        <v>10.15</v>
      </c>
    </row>
    <row r="2027" customHeight="1" spans="1:11">
      <c r="A2027" s="430" t="s">
        <v>1724</v>
      </c>
      <c r="B2027" s="431" t="s">
        <v>1936</v>
      </c>
      <c r="C2027" s="430" t="s">
        <v>71</v>
      </c>
      <c r="D2027" s="430" t="s">
        <v>1937</v>
      </c>
      <c r="E2027" s="430" t="s">
        <v>1708</v>
      </c>
      <c r="F2027" s="430"/>
      <c r="G2027" s="432" t="s">
        <v>82</v>
      </c>
      <c r="H2027" s="433">
        <v>0.3482</v>
      </c>
      <c r="I2027" s="433">
        <v>0</v>
      </c>
      <c r="J2027" s="446">
        <v>36.96</v>
      </c>
      <c r="K2027" s="446">
        <v>12.86</v>
      </c>
    </row>
    <row r="2028" customHeight="1" spans="1:11">
      <c r="A2028" s="438" t="s">
        <v>1750</v>
      </c>
      <c r="B2028" s="439" t="s">
        <v>2478</v>
      </c>
      <c r="C2028" s="438" t="s">
        <v>65</v>
      </c>
      <c r="D2028" s="438" t="s">
        <v>2479</v>
      </c>
      <c r="E2028" s="438" t="s">
        <v>1631</v>
      </c>
      <c r="F2028" s="438"/>
      <c r="G2028" s="440" t="s">
        <v>67</v>
      </c>
      <c r="H2028" s="441">
        <v>1</v>
      </c>
      <c r="I2028" s="441">
        <v>0</v>
      </c>
      <c r="J2028" s="449">
        <v>213.99</v>
      </c>
      <c r="K2028" s="449">
        <v>213.99</v>
      </c>
    </row>
    <row r="2029" customHeight="1" spans="1:11">
      <c r="A2029" s="438" t="s">
        <v>1750</v>
      </c>
      <c r="B2029" s="439" t="s">
        <v>2480</v>
      </c>
      <c r="C2029" s="438" t="s">
        <v>71</v>
      </c>
      <c r="D2029" s="438" t="s">
        <v>2481</v>
      </c>
      <c r="E2029" s="438" t="s">
        <v>1631</v>
      </c>
      <c r="F2029" s="438"/>
      <c r="G2029" s="440" t="s">
        <v>78</v>
      </c>
      <c r="H2029" s="441">
        <v>1</v>
      </c>
      <c r="I2029" s="441">
        <v>0</v>
      </c>
      <c r="J2029" s="449">
        <v>42.1</v>
      </c>
      <c r="K2029" s="449">
        <v>42.1</v>
      </c>
    </row>
    <row r="2030" customHeight="1" spans="1:11">
      <c r="A2030" s="438" t="s">
        <v>1750</v>
      </c>
      <c r="B2030" s="439" t="s">
        <v>2482</v>
      </c>
      <c r="C2030" s="438" t="s">
        <v>71</v>
      </c>
      <c r="D2030" s="438" t="s">
        <v>2483</v>
      </c>
      <c r="E2030" s="438" t="s">
        <v>1631</v>
      </c>
      <c r="F2030" s="438"/>
      <c r="G2030" s="440" t="s">
        <v>158</v>
      </c>
      <c r="H2030" s="441">
        <v>6.5681</v>
      </c>
      <c r="I2030" s="441">
        <v>0</v>
      </c>
      <c r="J2030" s="449">
        <v>2.3</v>
      </c>
      <c r="K2030" s="449">
        <v>15.1</v>
      </c>
    </row>
    <row r="2031" customHeight="1" spans="1:11">
      <c r="A2031" s="434"/>
      <c r="B2031" s="434"/>
      <c r="C2031" s="434"/>
      <c r="D2031" s="434"/>
      <c r="E2031" s="434"/>
      <c r="F2031" s="434" t="s">
        <v>1735</v>
      </c>
      <c r="G2031" s="435">
        <v>8.42</v>
      </c>
      <c r="H2031" s="434" t="s">
        <v>1736</v>
      </c>
      <c r="I2031" s="435">
        <v>7.65</v>
      </c>
      <c r="J2031" s="434" t="s">
        <v>1737</v>
      </c>
      <c r="K2031" s="435">
        <v>16.07</v>
      </c>
    </row>
    <row r="2032" customHeight="1" spans="1:11">
      <c r="A2032" s="434"/>
      <c r="B2032" s="434"/>
      <c r="C2032" s="434"/>
      <c r="D2032" s="434"/>
      <c r="E2032" s="434"/>
      <c r="F2032" s="434" t="s">
        <v>1738</v>
      </c>
      <c r="G2032" s="435">
        <v>72.54</v>
      </c>
      <c r="H2032" s="434"/>
      <c r="I2032" s="434" t="s">
        <v>1739</v>
      </c>
      <c r="J2032" s="434"/>
      <c r="K2032" s="435">
        <v>366.74</v>
      </c>
    </row>
    <row r="2033" customHeight="1" spans="1:11">
      <c r="A2033" s="436"/>
      <c r="B2033" s="436"/>
      <c r="C2033" s="436"/>
      <c r="D2033" s="436"/>
      <c r="E2033" s="436"/>
      <c r="F2033" s="436"/>
      <c r="G2033" s="436"/>
      <c r="H2033" s="436" t="s">
        <v>1740</v>
      </c>
      <c r="I2033" s="447" t="s">
        <v>2484</v>
      </c>
      <c r="J2033" s="436" t="s">
        <v>1742</v>
      </c>
      <c r="K2033" s="448">
        <v>293.39</v>
      </c>
    </row>
    <row r="2034" customHeight="1" spans="1:11">
      <c r="A2034" s="437"/>
      <c r="B2034" s="437"/>
      <c r="C2034" s="437"/>
      <c r="D2034" s="437"/>
      <c r="E2034" s="437"/>
      <c r="F2034" s="437"/>
      <c r="G2034" s="437"/>
      <c r="H2034" s="437"/>
      <c r="I2034" s="437"/>
      <c r="J2034" s="437"/>
      <c r="K2034" s="437"/>
    </row>
    <row r="2035" customHeight="1" spans="1:11">
      <c r="A2035" s="423" t="s">
        <v>635</v>
      </c>
      <c r="B2035" s="424" t="s">
        <v>1714</v>
      </c>
      <c r="C2035" s="423" t="s">
        <v>1715</v>
      </c>
      <c r="D2035" s="423" t="s">
        <v>1716</v>
      </c>
      <c r="E2035" s="423" t="s">
        <v>1717</v>
      </c>
      <c r="F2035" s="423"/>
      <c r="G2035" s="425" t="s">
        <v>1718</v>
      </c>
      <c r="H2035" s="424" t="s">
        <v>1719</v>
      </c>
      <c r="I2035" s="424" t="s">
        <v>1720</v>
      </c>
      <c r="J2035" s="424" t="s">
        <v>1721</v>
      </c>
      <c r="K2035" s="424" t="s">
        <v>1722</v>
      </c>
    </row>
    <row r="2036" customHeight="1" spans="1:11">
      <c r="A2036" s="426" t="s">
        <v>1723</v>
      </c>
      <c r="B2036" s="427" t="s">
        <v>636</v>
      </c>
      <c r="C2036" s="426" t="s">
        <v>76</v>
      </c>
      <c r="D2036" s="426" t="s">
        <v>637</v>
      </c>
      <c r="E2036" s="426">
        <v>6</v>
      </c>
      <c r="F2036" s="426"/>
      <c r="G2036" s="428" t="s">
        <v>105</v>
      </c>
      <c r="H2036" s="429">
        <v>1</v>
      </c>
      <c r="I2036" s="445"/>
      <c r="J2036" s="445">
        <v>1144.41</v>
      </c>
      <c r="K2036" s="445">
        <v>1144.41</v>
      </c>
    </row>
    <row r="2037" customHeight="1" spans="1:11">
      <c r="A2037" s="430" t="s">
        <v>1724</v>
      </c>
      <c r="B2037" s="431" t="s">
        <v>2485</v>
      </c>
      <c r="C2037" s="430" t="s">
        <v>76</v>
      </c>
      <c r="D2037" s="430" t="s">
        <v>2486</v>
      </c>
      <c r="E2037" s="430">
        <v>11</v>
      </c>
      <c r="F2037" s="430"/>
      <c r="G2037" s="432" t="s">
        <v>129</v>
      </c>
      <c r="H2037" s="433">
        <v>0.17</v>
      </c>
      <c r="I2037" s="433">
        <v>0</v>
      </c>
      <c r="J2037" s="446">
        <v>359.88</v>
      </c>
      <c r="K2037" s="446">
        <v>61.17</v>
      </c>
    </row>
    <row r="2038" customHeight="1" spans="1:11">
      <c r="A2038" s="430" t="s">
        <v>1724</v>
      </c>
      <c r="B2038" s="431" t="s">
        <v>2487</v>
      </c>
      <c r="C2038" s="430" t="s">
        <v>76</v>
      </c>
      <c r="D2038" s="430" t="s">
        <v>2488</v>
      </c>
      <c r="E2038" s="430">
        <v>12</v>
      </c>
      <c r="F2038" s="430"/>
      <c r="G2038" s="432" t="s">
        <v>73</v>
      </c>
      <c r="H2038" s="433">
        <v>2.56</v>
      </c>
      <c r="I2038" s="433">
        <v>0</v>
      </c>
      <c r="J2038" s="446">
        <v>319.76</v>
      </c>
      <c r="K2038" s="446">
        <v>818.58</v>
      </c>
    </row>
    <row r="2039" customHeight="1" spans="1:11">
      <c r="A2039" s="430" t="s">
        <v>1724</v>
      </c>
      <c r="B2039" s="431" t="s">
        <v>2489</v>
      </c>
      <c r="C2039" s="430" t="s">
        <v>76</v>
      </c>
      <c r="D2039" s="430" t="s">
        <v>2490</v>
      </c>
      <c r="E2039" s="430">
        <v>13</v>
      </c>
      <c r="F2039" s="430"/>
      <c r="G2039" s="432" t="s">
        <v>73</v>
      </c>
      <c r="H2039" s="433">
        <v>2.02</v>
      </c>
      <c r="I2039" s="433">
        <v>0</v>
      </c>
      <c r="J2039" s="446">
        <v>33.44</v>
      </c>
      <c r="K2039" s="446">
        <v>67.54</v>
      </c>
    </row>
    <row r="2040" customHeight="1" spans="1:11">
      <c r="A2040" s="438" t="s">
        <v>1750</v>
      </c>
      <c r="B2040" s="439" t="s">
        <v>2149</v>
      </c>
      <c r="C2040" s="438" t="s">
        <v>76</v>
      </c>
      <c r="D2040" s="438" t="s">
        <v>2150</v>
      </c>
      <c r="E2040" s="438" t="s">
        <v>1764</v>
      </c>
      <c r="F2040" s="438"/>
      <c r="G2040" s="440" t="s">
        <v>82</v>
      </c>
      <c r="H2040" s="441">
        <v>4.11</v>
      </c>
      <c r="I2040" s="441">
        <v>3</v>
      </c>
      <c r="J2040" s="449">
        <v>26.52</v>
      </c>
      <c r="K2040" s="449">
        <v>112.26</v>
      </c>
    </row>
    <row r="2041" customHeight="1" spans="1:11">
      <c r="A2041" s="438" t="s">
        <v>1750</v>
      </c>
      <c r="B2041" s="439" t="s">
        <v>1762</v>
      </c>
      <c r="C2041" s="438" t="s">
        <v>76</v>
      </c>
      <c r="D2041" s="438" t="s">
        <v>1763</v>
      </c>
      <c r="E2041" s="438" t="s">
        <v>1764</v>
      </c>
      <c r="F2041" s="438"/>
      <c r="G2041" s="440" t="s">
        <v>82</v>
      </c>
      <c r="H2041" s="441">
        <v>0.5</v>
      </c>
      <c r="I2041" s="441">
        <v>3</v>
      </c>
      <c r="J2041" s="449">
        <v>26.52</v>
      </c>
      <c r="K2041" s="449">
        <v>13.65</v>
      </c>
    </row>
    <row r="2042" customHeight="1" spans="1:11">
      <c r="A2042" s="438" t="s">
        <v>1750</v>
      </c>
      <c r="B2042" s="439" t="s">
        <v>1767</v>
      </c>
      <c r="C2042" s="438" t="s">
        <v>76</v>
      </c>
      <c r="D2042" s="438" t="s">
        <v>1768</v>
      </c>
      <c r="E2042" s="438" t="s">
        <v>1764</v>
      </c>
      <c r="F2042" s="438"/>
      <c r="G2042" s="440" t="s">
        <v>82</v>
      </c>
      <c r="H2042" s="441">
        <v>2.71</v>
      </c>
      <c r="I2042" s="441">
        <v>3</v>
      </c>
      <c r="J2042" s="449">
        <v>19.16</v>
      </c>
      <c r="K2042" s="449">
        <v>53.48</v>
      </c>
    </row>
    <row r="2043" customHeight="1" spans="1:11">
      <c r="A2043" s="438" t="s">
        <v>1750</v>
      </c>
      <c r="B2043" s="439" t="s">
        <v>1773</v>
      </c>
      <c r="C2043" s="438" t="s">
        <v>76</v>
      </c>
      <c r="D2043" s="438" t="s">
        <v>1774</v>
      </c>
      <c r="E2043" s="438" t="s">
        <v>1631</v>
      </c>
      <c r="F2043" s="438"/>
      <c r="G2043" s="440" t="s">
        <v>78</v>
      </c>
      <c r="H2043" s="441">
        <v>1.4</v>
      </c>
      <c r="I2043" s="441">
        <v>0</v>
      </c>
      <c r="J2043" s="449">
        <v>12.67</v>
      </c>
      <c r="K2043" s="449">
        <v>17.73</v>
      </c>
    </row>
    <row r="2044" customHeight="1" spans="1:11">
      <c r="A2044" s="434"/>
      <c r="B2044" s="434"/>
      <c r="C2044" s="434"/>
      <c r="D2044" s="434"/>
      <c r="E2044" s="434"/>
      <c r="F2044" s="434" t="s">
        <v>1735</v>
      </c>
      <c r="G2044" s="435">
        <v>273.38</v>
      </c>
      <c r="H2044" s="434" t="s">
        <v>1736</v>
      </c>
      <c r="I2044" s="435">
        <v>248.33</v>
      </c>
      <c r="J2044" s="434" t="s">
        <v>1737</v>
      </c>
      <c r="K2044" s="435">
        <v>521.71</v>
      </c>
    </row>
    <row r="2045" customHeight="1" spans="1:11">
      <c r="A2045" s="434"/>
      <c r="B2045" s="434"/>
      <c r="C2045" s="434"/>
      <c r="D2045" s="434"/>
      <c r="E2045" s="434"/>
      <c r="F2045" s="434" t="s">
        <v>1738</v>
      </c>
      <c r="G2045" s="435">
        <v>282.21</v>
      </c>
      <c r="H2045" s="434"/>
      <c r="I2045" s="434" t="s">
        <v>1739</v>
      </c>
      <c r="J2045" s="434"/>
      <c r="K2045" s="435">
        <v>1426.62</v>
      </c>
    </row>
    <row r="2046" customHeight="1" spans="1:11">
      <c r="A2046" s="436"/>
      <c r="B2046" s="436"/>
      <c r="C2046" s="436"/>
      <c r="D2046" s="436"/>
      <c r="E2046" s="436"/>
      <c r="F2046" s="436"/>
      <c r="G2046" s="436"/>
      <c r="H2046" s="436" t="s">
        <v>1740</v>
      </c>
      <c r="I2046" s="447" t="s">
        <v>1964</v>
      </c>
      <c r="J2046" s="436" t="s">
        <v>1742</v>
      </c>
      <c r="K2046" s="448">
        <v>14266.2</v>
      </c>
    </row>
    <row r="2047" customHeight="1" spans="1:11">
      <c r="A2047" s="437"/>
      <c r="B2047" s="437"/>
      <c r="C2047" s="437"/>
      <c r="D2047" s="437"/>
      <c r="E2047" s="437"/>
      <c r="F2047" s="437"/>
      <c r="G2047" s="437"/>
      <c r="H2047" s="437"/>
      <c r="I2047" s="437"/>
      <c r="J2047" s="437"/>
      <c r="K2047" s="437"/>
    </row>
    <row r="2048" customHeight="1" spans="1:11">
      <c r="A2048" s="423" t="s">
        <v>638</v>
      </c>
      <c r="B2048" s="424" t="s">
        <v>1714</v>
      </c>
      <c r="C2048" s="423" t="s">
        <v>1715</v>
      </c>
      <c r="D2048" s="423" t="s">
        <v>1716</v>
      </c>
      <c r="E2048" s="423" t="s">
        <v>1717</v>
      </c>
      <c r="F2048" s="423"/>
      <c r="G2048" s="425" t="s">
        <v>1718</v>
      </c>
      <c r="H2048" s="424" t="s">
        <v>1719</v>
      </c>
      <c r="I2048" s="424" t="s">
        <v>1720</v>
      </c>
      <c r="J2048" s="424" t="s">
        <v>1721</v>
      </c>
      <c r="K2048" s="424" t="s">
        <v>1722</v>
      </c>
    </row>
    <row r="2049" customHeight="1" spans="1:11">
      <c r="A2049" s="426" t="s">
        <v>1723</v>
      </c>
      <c r="B2049" s="427" t="s">
        <v>639</v>
      </c>
      <c r="C2049" s="426" t="s">
        <v>71</v>
      </c>
      <c r="D2049" s="426" t="s">
        <v>640</v>
      </c>
      <c r="E2049" s="426" t="s">
        <v>1706</v>
      </c>
      <c r="F2049" s="426"/>
      <c r="G2049" s="428" t="s">
        <v>105</v>
      </c>
      <c r="H2049" s="429">
        <v>1</v>
      </c>
      <c r="I2049" s="445"/>
      <c r="J2049" s="445">
        <v>313.33</v>
      </c>
      <c r="K2049" s="445">
        <v>313.33</v>
      </c>
    </row>
    <row r="2050" customHeight="1" spans="1:11">
      <c r="A2050" s="430" t="s">
        <v>1724</v>
      </c>
      <c r="B2050" s="431" t="s">
        <v>2491</v>
      </c>
      <c r="C2050" s="430" t="s">
        <v>71</v>
      </c>
      <c r="D2050" s="430" t="s">
        <v>2492</v>
      </c>
      <c r="E2050" s="430" t="s">
        <v>2493</v>
      </c>
      <c r="F2050" s="430"/>
      <c r="G2050" s="432" t="s">
        <v>73</v>
      </c>
      <c r="H2050" s="433">
        <v>0.35</v>
      </c>
      <c r="I2050" s="433">
        <v>0</v>
      </c>
      <c r="J2050" s="446">
        <v>8.53</v>
      </c>
      <c r="K2050" s="446">
        <v>2.98</v>
      </c>
    </row>
    <row r="2051" customHeight="1" spans="1:11">
      <c r="A2051" s="430" t="s">
        <v>1724</v>
      </c>
      <c r="B2051" s="431" t="s">
        <v>2494</v>
      </c>
      <c r="C2051" s="430" t="s">
        <v>71</v>
      </c>
      <c r="D2051" s="430" t="s">
        <v>2495</v>
      </c>
      <c r="E2051" s="430" t="s">
        <v>2095</v>
      </c>
      <c r="F2051" s="430"/>
      <c r="G2051" s="432" t="s">
        <v>129</v>
      </c>
      <c r="H2051" s="433">
        <v>0.0115</v>
      </c>
      <c r="I2051" s="433">
        <v>0</v>
      </c>
      <c r="J2051" s="446">
        <v>466.18</v>
      </c>
      <c r="K2051" s="446">
        <v>5.36</v>
      </c>
    </row>
    <row r="2052" customHeight="1" spans="1:11">
      <c r="A2052" s="430" t="s">
        <v>1724</v>
      </c>
      <c r="B2052" s="431" t="s">
        <v>1745</v>
      </c>
      <c r="C2052" s="430" t="s">
        <v>71</v>
      </c>
      <c r="D2052" s="430" t="s">
        <v>1746</v>
      </c>
      <c r="E2052" s="430" t="s">
        <v>1708</v>
      </c>
      <c r="F2052" s="430"/>
      <c r="G2052" s="432" t="s">
        <v>82</v>
      </c>
      <c r="H2052" s="433">
        <v>2.0625</v>
      </c>
      <c r="I2052" s="433">
        <v>0</v>
      </c>
      <c r="J2052" s="446">
        <v>29.15</v>
      </c>
      <c r="K2052" s="446">
        <v>60.12</v>
      </c>
    </row>
    <row r="2053" customHeight="1" spans="1:11">
      <c r="A2053" s="430" t="s">
        <v>1724</v>
      </c>
      <c r="B2053" s="431" t="s">
        <v>2496</v>
      </c>
      <c r="C2053" s="430" t="s">
        <v>71</v>
      </c>
      <c r="D2053" s="430" t="s">
        <v>2497</v>
      </c>
      <c r="E2053" s="430" t="s">
        <v>1799</v>
      </c>
      <c r="F2053" s="430"/>
      <c r="G2053" s="432" t="s">
        <v>129</v>
      </c>
      <c r="H2053" s="433">
        <v>0.0223</v>
      </c>
      <c r="I2053" s="433">
        <v>0</v>
      </c>
      <c r="J2053" s="446">
        <v>445.88</v>
      </c>
      <c r="K2053" s="446">
        <v>9.94</v>
      </c>
    </row>
    <row r="2054" customHeight="1" spans="1:11">
      <c r="A2054" s="430" t="s">
        <v>1724</v>
      </c>
      <c r="B2054" s="431" t="s">
        <v>1936</v>
      </c>
      <c r="C2054" s="430" t="s">
        <v>71</v>
      </c>
      <c r="D2054" s="430" t="s">
        <v>1937</v>
      </c>
      <c r="E2054" s="430" t="s">
        <v>1708</v>
      </c>
      <c r="F2054" s="430"/>
      <c r="G2054" s="432" t="s">
        <v>82</v>
      </c>
      <c r="H2054" s="433">
        <v>2.625</v>
      </c>
      <c r="I2054" s="433">
        <v>0</v>
      </c>
      <c r="J2054" s="446">
        <v>36.96</v>
      </c>
      <c r="K2054" s="446">
        <v>97.02</v>
      </c>
    </row>
    <row r="2055" customHeight="1" spans="1:11">
      <c r="A2055" s="430" t="s">
        <v>1724</v>
      </c>
      <c r="B2055" s="431" t="s">
        <v>2498</v>
      </c>
      <c r="C2055" s="430" t="s">
        <v>71</v>
      </c>
      <c r="D2055" s="430" t="s">
        <v>2499</v>
      </c>
      <c r="E2055" s="430" t="s">
        <v>2095</v>
      </c>
      <c r="F2055" s="430"/>
      <c r="G2055" s="432" t="s">
        <v>129</v>
      </c>
      <c r="H2055" s="433">
        <v>0.0523</v>
      </c>
      <c r="I2055" s="433">
        <v>0</v>
      </c>
      <c r="J2055" s="446">
        <v>693.51</v>
      </c>
      <c r="K2055" s="446">
        <v>36.27</v>
      </c>
    </row>
    <row r="2056" customHeight="1" spans="1:11">
      <c r="A2056" s="430" t="s">
        <v>1724</v>
      </c>
      <c r="B2056" s="431" t="s">
        <v>2500</v>
      </c>
      <c r="C2056" s="430" t="s">
        <v>71</v>
      </c>
      <c r="D2056" s="430" t="s">
        <v>2501</v>
      </c>
      <c r="E2056" s="430" t="s">
        <v>2502</v>
      </c>
      <c r="F2056" s="430"/>
      <c r="G2056" s="432" t="s">
        <v>129</v>
      </c>
      <c r="H2056" s="433">
        <v>0.0132</v>
      </c>
      <c r="I2056" s="433">
        <v>0</v>
      </c>
      <c r="J2056" s="446">
        <v>4094.77</v>
      </c>
      <c r="K2056" s="446">
        <v>54.05</v>
      </c>
    </row>
    <row r="2057" customHeight="1" spans="1:11">
      <c r="A2057" s="438" t="s">
        <v>1750</v>
      </c>
      <c r="B2057" s="439" t="s">
        <v>1943</v>
      </c>
      <c r="C2057" s="438" t="s">
        <v>71</v>
      </c>
      <c r="D2057" s="438" t="s">
        <v>1944</v>
      </c>
      <c r="E2057" s="438" t="s">
        <v>1631</v>
      </c>
      <c r="F2057" s="438"/>
      <c r="G2057" s="440" t="s">
        <v>1945</v>
      </c>
      <c r="H2057" s="441">
        <v>0.0027</v>
      </c>
      <c r="I2057" s="441">
        <v>0</v>
      </c>
      <c r="J2057" s="449">
        <v>7.97</v>
      </c>
      <c r="K2057" s="449">
        <v>0.02</v>
      </c>
    </row>
    <row r="2058" customHeight="1" spans="1:11">
      <c r="A2058" s="438" t="s">
        <v>1750</v>
      </c>
      <c r="B2058" s="439" t="s">
        <v>2041</v>
      </c>
      <c r="C2058" s="438" t="s">
        <v>71</v>
      </c>
      <c r="D2058" s="438" t="s">
        <v>2042</v>
      </c>
      <c r="E2058" s="438" t="s">
        <v>1631</v>
      </c>
      <c r="F2058" s="438"/>
      <c r="G2058" s="440" t="s">
        <v>78</v>
      </c>
      <c r="H2058" s="441">
        <v>0.2208</v>
      </c>
      <c r="I2058" s="441">
        <v>0</v>
      </c>
      <c r="J2058" s="449">
        <v>21.41</v>
      </c>
      <c r="K2058" s="449">
        <v>4.72</v>
      </c>
    </row>
    <row r="2059" customHeight="1" spans="1:11">
      <c r="A2059" s="438" t="s">
        <v>1750</v>
      </c>
      <c r="B2059" s="439" t="s">
        <v>1751</v>
      </c>
      <c r="C2059" s="438" t="s">
        <v>71</v>
      </c>
      <c r="D2059" s="438" t="s">
        <v>1752</v>
      </c>
      <c r="E2059" s="438" t="s">
        <v>1631</v>
      </c>
      <c r="F2059" s="438"/>
      <c r="G2059" s="440" t="s">
        <v>158</v>
      </c>
      <c r="H2059" s="441">
        <v>0.0062</v>
      </c>
      <c r="I2059" s="441">
        <v>0</v>
      </c>
      <c r="J2059" s="449">
        <v>18.73</v>
      </c>
      <c r="K2059" s="449">
        <v>0.11</v>
      </c>
    </row>
    <row r="2060" customHeight="1" spans="1:11">
      <c r="A2060" s="438" t="s">
        <v>1750</v>
      </c>
      <c r="B2060" s="439" t="s">
        <v>2503</v>
      </c>
      <c r="C2060" s="438" t="s">
        <v>71</v>
      </c>
      <c r="D2060" s="438" t="s">
        <v>2504</v>
      </c>
      <c r="E2060" s="438" t="s">
        <v>1631</v>
      </c>
      <c r="F2060" s="438"/>
      <c r="G2060" s="440" t="s">
        <v>105</v>
      </c>
      <c r="H2060" s="441">
        <v>16.159</v>
      </c>
      <c r="I2060" s="441">
        <v>0</v>
      </c>
      <c r="J2060" s="449">
        <v>2.6</v>
      </c>
      <c r="K2060" s="449">
        <v>42.01</v>
      </c>
    </row>
    <row r="2061" customHeight="1" spans="1:11">
      <c r="A2061" s="438" t="s">
        <v>1750</v>
      </c>
      <c r="B2061" s="439" t="s">
        <v>1941</v>
      </c>
      <c r="C2061" s="438" t="s">
        <v>71</v>
      </c>
      <c r="D2061" s="438" t="s">
        <v>1942</v>
      </c>
      <c r="E2061" s="438" t="s">
        <v>1631</v>
      </c>
      <c r="F2061" s="438"/>
      <c r="G2061" s="440" t="s">
        <v>78</v>
      </c>
      <c r="H2061" s="441">
        <v>0.0704</v>
      </c>
      <c r="I2061" s="441">
        <v>0</v>
      </c>
      <c r="J2061" s="449">
        <v>3.07</v>
      </c>
      <c r="K2061" s="449">
        <v>0.21</v>
      </c>
    </row>
    <row r="2062" customHeight="1" spans="1:11">
      <c r="A2062" s="438" t="s">
        <v>1750</v>
      </c>
      <c r="B2062" s="439" t="s">
        <v>1807</v>
      </c>
      <c r="C2062" s="438" t="s">
        <v>71</v>
      </c>
      <c r="D2062" s="438" t="s">
        <v>1808</v>
      </c>
      <c r="E2062" s="438" t="s">
        <v>1631</v>
      </c>
      <c r="F2062" s="438"/>
      <c r="G2062" s="440" t="s">
        <v>78</v>
      </c>
      <c r="H2062" s="441">
        <v>0.0592</v>
      </c>
      <c r="I2062" s="441">
        <v>0</v>
      </c>
      <c r="J2062" s="449">
        <v>8.79</v>
      </c>
      <c r="K2062" s="449">
        <v>0.52</v>
      </c>
    </row>
    <row r="2063" customHeight="1" spans="1:11">
      <c r="A2063" s="434"/>
      <c r="B2063" s="434"/>
      <c r="C2063" s="434"/>
      <c r="D2063" s="434"/>
      <c r="E2063" s="434"/>
      <c r="F2063" s="434" t="s">
        <v>1735</v>
      </c>
      <c r="G2063" s="435">
        <v>77.74</v>
      </c>
      <c r="H2063" s="434" t="s">
        <v>1736</v>
      </c>
      <c r="I2063" s="435">
        <v>70.63</v>
      </c>
      <c r="J2063" s="434" t="s">
        <v>1737</v>
      </c>
      <c r="K2063" s="435">
        <v>148.37</v>
      </c>
    </row>
    <row r="2064" customHeight="1" spans="1:11">
      <c r="A2064" s="434"/>
      <c r="B2064" s="434"/>
      <c r="C2064" s="434"/>
      <c r="D2064" s="434"/>
      <c r="E2064" s="434"/>
      <c r="F2064" s="434" t="s">
        <v>1738</v>
      </c>
      <c r="G2064" s="435">
        <v>77.26</v>
      </c>
      <c r="H2064" s="434"/>
      <c r="I2064" s="434" t="s">
        <v>1739</v>
      </c>
      <c r="J2064" s="434"/>
      <c r="K2064" s="435">
        <v>390.59</v>
      </c>
    </row>
    <row r="2065" customHeight="1" spans="1:11">
      <c r="A2065" s="436"/>
      <c r="B2065" s="436"/>
      <c r="C2065" s="436"/>
      <c r="D2065" s="436"/>
      <c r="E2065" s="436"/>
      <c r="F2065" s="436"/>
      <c r="G2065" s="436"/>
      <c r="H2065" s="436" t="s">
        <v>1740</v>
      </c>
      <c r="I2065" s="447" t="s">
        <v>1971</v>
      </c>
      <c r="J2065" s="436" t="s">
        <v>1742</v>
      </c>
      <c r="K2065" s="448">
        <v>781.18</v>
      </c>
    </row>
    <row r="2066" customHeight="1" spans="1:11">
      <c r="A2066" s="437"/>
      <c r="B2066" s="437"/>
      <c r="C2066" s="437"/>
      <c r="D2066" s="437"/>
      <c r="E2066" s="437"/>
      <c r="F2066" s="437"/>
      <c r="G2066" s="437"/>
      <c r="H2066" s="437"/>
      <c r="I2066" s="437"/>
      <c r="J2066" s="437"/>
      <c r="K2066" s="437"/>
    </row>
    <row r="2067" customHeight="1" spans="1:11">
      <c r="A2067" s="422" t="s">
        <v>641</v>
      </c>
      <c r="B2067" s="422"/>
      <c r="C2067" s="422"/>
      <c r="D2067" s="422" t="s">
        <v>642</v>
      </c>
      <c r="E2067" s="422"/>
      <c r="F2067" s="422"/>
      <c r="G2067" s="422"/>
      <c r="H2067" s="422"/>
      <c r="I2067" s="443"/>
      <c r="J2067" s="422"/>
      <c r="K2067" s="444">
        <v>36710.9</v>
      </c>
    </row>
    <row r="2068" customHeight="1" spans="1:11">
      <c r="A2068" s="423" t="s">
        <v>643</v>
      </c>
      <c r="B2068" s="424" t="s">
        <v>1714</v>
      </c>
      <c r="C2068" s="423" t="s">
        <v>1715</v>
      </c>
      <c r="D2068" s="423" t="s">
        <v>1716</v>
      </c>
      <c r="E2068" s="423" t="s">
        <v>1717</v>
      </c>
      <c r="F2068" s="423"/>
      <c r="G2068" s="425" t="s">
        <v>1718</v>
      </c>
      <c r="H2068" s="424" t="s">
        <v>1719</v>
      </c>
      <c r="I2068" s="424" t="s">
        <v>1720</v>
      </c>
      <c r="J2068" s="424" t="s">
        <v>1721</v>
      </c>
      <c r="K2068" s="424" t="s">
        <v>1722</v>
      </c>
    </row>
    <row r="2069" customHeight="1" spans="1:11">
      <c r="A2069" s="426" t="s">
        <v>1723</v>
      </c>
      <c r="B2069" s="427" t="s">
        <v>644</v>
      </c>
      <c r="C2069" s="426" t="s">
        <v>71</v>
      </c>
      <c r="D2069" s="426" t="s">
        <v>645</v>
      </c>
      <c r="E2069" s="426" t="s">
        <v>1673</v>
      </c>
      <c r="F2069" s="426"/>
      <c r="G2069" s="428" t="s">
        <v>105</v>
      </c>
      <c r="H2069" s="429">
        <v>1</v>
      </c>
      <c r="I2069" s="445"/>
      <c r="J2069" s="445">
        <v>535.52</v>
      </c>
      <c r="K2069" s="445">
        <v>535.52</v>
      </c>
    </row>
    <row r="2070" customHeight="1" spans="1:11">
      <c r="A2070" s="430" t="s">
        <v>1724</v>
      </c>
      <c r="B2070" s="431" t="s">
        <v>1854</v>
      </c>
      <c r="C2070" s="430" t="s">
        <v>71</v>
      </c>
      <c r="D2070" s="430" t="s">
        <v>1855</v>
      </c>
      <c r="E2070" s="430" t="s">
        <v>1708</v>
      </c>
      <c r="F2070" s="430"/>
      <c r="G2070" s="432" t="s">
        <v>82</v>
      </c>
      <c r="H2070" s="433">
        <v>0.7791</v>
      </c>
      <c r="I2070" s="433">
        <v>0</v>
      </c>
      <c r="J2070" s="446">
        <v>35.55</v>
      </c>
      <c r="K2070" s="446">
        <v>27.69</v>
      </c>
    </row>
    <row r="2071" customHeight="1" spans="1:11">
      <c r="A2071" s="430" t="s">
        <v>1724</v>
      </c>
      <c r="B2071" s="431" t="s">
        <v>1745</v>
      </c>
      <c r="C2071" s="430" t="s">
        <v>71</v>
      </c>
      <c r="D2071" s="430" t="s">
        <v>1746</v>
      </c>
      <c r="E2071" s="430" t="s">
        <v>1708</v>
      </c>
      <c r="F2071" s="430"/>
      <c r="G2071" s="432" t="s">
        <v>82</v>
      </c>
      <c r="H2071" s="433">
        <v>0.4384</v>
      </c>
      <c r="I2071" s="433">
        <v>0</v>
      </c>
      <c r="J2071" s="446">
        <v>29.15</v>
      </c>
      <c r="K2071" s="446">
        <v>12.77</v>
      </c>
    </row>
    <row r="2072" customHeight="1" spans="1:11">
      <c r="A2072" s="438" t="s">
        <v>1750</v>
      </c>
      <c r="B2072" s="439" t="s">
        <v>2505</v>
      </c>
      <c r="C2072" s="438" t="s">
        <v>71</v>
      </c>
      <c r="D2072" s="438" t="s">
        <v>2506</v>
      </c>
      <c r="E2072" s="438" t="s">
        <v>1631</v>
      </c>
      <c r="F2072" s="438"/>
      <c r="G2072" s="440" t="s">
        <v>105</v>
      </c>
      <c r="H2072" s="441">
        <v>1</v>
      </c>
      <c r="I2072" s="441">
        <v>0</v>
      </c>
      <c r="J2072" s="449">
        <v>15.41</v>
      </c>
      <c r="K2072" s="449">
        <v>15.41</v>
      </c>
    </row>
    <row r="2073" customHeight="1" spans="1:11">
      <c r="A2073" s="438" t="s">
        <v>1750</v>
      </c>
      <c r="B2073" s="439" t="s">
        <v>2507</v>
      </c>
      <c r="C2073" s="438" t="s">
        <v>71</v>
      </c>
      <c r="D2073" s="438" t="s">
        <v>2508</v>
      </c>
      <c r="E2073" s="438" t="s">
        <v>1631</v>
      </c>
      <c r="F2073" s="438"/>
      <c r="G2073" s="440" t="s">
        <v>105</v>
      </c>
      <c r="H2073" s="441">
        <v>1</v>
      </c>
      <c r="I2073" s="441">
        <v>0</v>
      </c>
      <c r="J2073" s="449">
        <v>411.22</v>
      </c>
      <c r="K2073" s="449">
        <v>411.22</v>
      </c>
    </row>
    <row r="2074" customHeight="1" spans="1:11">
      <c r="A2074" s="438" t="s">
        <v>1750</v>
      </c>
      <c r="B2074" s="439" t="s">
        <v>2509</v>
      </c>
      <c r="C2074" s="438" t="s">
        <v>71</v>
      </c>
      <c r="D2074" s="438" t="s">
        <v>2510</v>
      </c>
      <c r="E2074" s="438" t="s">
        <v>1631</v>
      </c>
      <c r="F2074" s="438"/>
      <c r="G2074" s="440" t="s">
        <v>158</v>
      </c>
      <c r="H2074" s="441">
        <v>0.0881</v>
      </c>
      <c r="I2074" s="441">
        <v>0</v>
      </c>
      <c r="J2074" s="449">
        <v>92.75</v>
      </c>
      <c r="K2074" s="449">
        <v>8.17</v>
      </c>
    </row>
    <row r="2075" customHeight="1" spans="1:11">
      <c r="A2075" s="438" t="s">
        <v>1750</v>
      </c>
      <c r="B2075" s="439" t="s">
        <v>2511</v>
      </c>
      <c r="C2075" s="438" t="s">
        <v>71</v>
      </c>
      <c r="D2075" s="438" t="s">
        <v>2512</v>
      </c>
      <c r="E2075" s="438" t="s">
        <v>1631</v>
      </c>
      <c r="F2075" s="438"/>
      <c r="G2075" s="440" t="s">
        <v>105</v>
      </c>
      <c r="H2075" s="441">
        <v>2</v>
      </c>
      <c r="I2075" s="441">
        <v>0</v>
      </c>
      <c r="J2075" s="449">
        <v>30.13</v>
      </c>
      <c r="K2075" s="449">
        <v>60.26</v>
      </c>
    </row>
    <row r="2076" customHeight="1" spans="1:11">
      <c r="A2076" s="434"/>
      <c r="B2076" s="434"/>
      <c r="C2076" s="434"/>
      <c r="D2076" s="434"/>
      <c r="E2076" s="434"/>
      <c r="F2076" s="434" t="s">
        <v>1735</v>
      </c>
      <c r="G2076" s="435">
        <v>15.09</v>
      </c>
      <c r="H2076" s="434" t="s">
        <v>1736</v>
      </c>
      <c r="I2076" s="435">
        <v>13.72</v>
      </c>
      <c r="J2076" s="434" t="s">
        <v>1737</v>
      </c>
      <c r="K2076" s="435">
        <v>28.81</v>
      </c>
    </row>
    <row r="2077" customHeight="1" spans="1:11">
      <c r="A2077" s="434"/>
      <c r="B2077" s="434"/>
      <c r="C2077" s="434"/>
      <c r="D2077" s="434"/>
      <c r="E2077" s="434"/>
      <c r="F2077" s="434" t="s">
        <v>1738</v>
      </c>
      <c r="G2077" s="435">
        <v>132.05</v>
      </c>
      <c r="H2077" s="434"/>
      <c r="I2077" s="434" t="s">
        <v>1739</v>
      </c>
      <c r="J2077" s="434"/>
      <c r="K2077" s="435">
        <v>667.57</v>
      </c>
    </row>
    <row r="2078" customHeight="1" spans="1:11">
      <c r="A2078" s="436"/>
      <c r="B2078" s="436"/>
      <c r="C2078" s="436"/>
      <c r="D2078" s="436"/>
      <c r="E2078" s="436"/>
      <c r="F2078" s="436"/>
      <c r="G2078" s="436"/>
      <c r="H2078" s="436" t="s">
        <v>1740</v>
      </c>
      <c r="I2078" s="447" t="s">
        <v>2306</v>
      </c>
      <c r="J2078" s="436" t="s">
        <v>1742</v>
      </c>
      <c r="K2078" s="448">
        <v>6008.13</v>
      </c>
    </row>
    <row r="2079" customHeight="1" spans="1:11">
      <c r="A2079" s="437"/>
      <c r="B2079" s="437"/>
      <c r="C2079" s="437"/>
      <c r="D2079" s="437"/>
      <c r="E2079" s="437"/>
      <c r="F2079" s="437"/>
      <c r="G2079" s="437"/>
      <c r="H2079" s="437"/>
      <c r="I2079" s="437"/>
      <c r="J2079" s="437"/>
      <c r="K2079" s="437"/>
    </row>
    <row r="2080" customHeight="1" spans="1:11">
      <c r="A2080" s="423" t="s">
        <v>646</v>
      </c>
      <c r="B2080" s="424" t="s">
        <v>1714</v>
      </c>
      <c r="C2080" s="423" t="s">
        <v>1715</v>
      </c>
      <c r="D2080" s="423" t="s">
        <v>1716</v>
      </c>
      <c r="E2080" s="423" t="s">
        <v>1717</v>
      </c>
      <c r="F2080" s="423"/>
      <c r="G2080" s="425" t="s">
        <v>1718</v>
      </c>
      <c r="H2080" s="424" t="s">
        <v>1719</v>
      </c>
      <c r="I2080" s="424" t="s">
        <v>1720</v>
      </c>
      <c r="J2080" s="424" t="s">
        <v>1721</v>
      </c>
      <c r="K2080" s="424" t="s">
        <v>1722</v>
      </c>
    </row>
    <row r="2081" customHeight="1" spans="1:11">
      <c r="A2081" s="426" t="s">
        <v>1723</v>
      </c>
      <c r="B2081" s="427" t="s">
        <v>647</v>
      </c>
      <c r="C2081" s="426" t="s">
        <v>71</v>
      </c>
      <c r="D2081" s="426" t="s">
        <v>648</v>
      </c>
      <c r="E2081" s="426" t="s">
        <v>1673</v>
      </c>
      <c r="F2081" s="426"/>
      <c r="G2081" s="428" t="s">
        <v>105</v>
      </c>
      <c r="H2081" s="429">
        <v>1</v>
      </c>
      <c r="I2081" s="445"/>
      <c r="J2081" s="445">
        <v>709.64</v>
      </c>
      <c r="K2081" s="445">
        <v>709.64</v>
      </c>
    </row>
    <row r="2082" customHeight="1" spans="1:11">
      <c r="A2082" s="430" t="s">
        <v>1724</v>
      </c>
      <c r="B2082" s="431" t="s">
        <v>1745</v>
      </c>
      <c r="C2082" s="430" t="s">
        <v>71</v>
      </c>
      <c r="D2082" s="430" t="s">
        <v>1746</v>
      </c>
      <c r="E2082" s="430" t="s">
        <v>1708</v>
      </c>
      <c r="F2082" s="430"/>
      <c r="G2082" s="432" t="s">
        <v>82</v>
      </c>
      <c r="H2082" s="433">
        <v>0.3179</v>
      </c>
      <c r="I2082" s="433">
        <v>0</v>
      </c>
      <c r="J2082" s="446">
        <v>29.15</v>
      </c>
      <c r="K2082" s="446">
        <v>9.26</v>
      </c>
    </row>
    <row r="2083" customHeight="1" spans="1:11">
      <c r="A2083" s="430" t="s">
        <v>1724</v>
      </c>
      <c r="B2083" s="431" t="s">
        <v>1854</v>
      </c>
      <c r="C2083" s="430" t="s">
        <v>71</v>
      </c>
      <c r="D2083" s="430" t="s">
        <v>1855</v>
      </c>
      <c r="E2083" s="430" t="s">
        <v>1708</v>
      </c>
      <c r="F2083" s="430"/>
      <c r="G2083" s="432" t="s">
        <v>82</v>
      </c>
      <c r="H2083" s="433">
        <v>1.009</v>
      </c>
      <c r="I2083" s="433">
        <v>0</v>
      </c>
      <c r="J2083" s="446">
        <v>35.55</v>
      </c>
      <c r="K2083" s="446">
        <v>35.86</v>
      </c>
    </row>
    <row r="2084" customHeight="1" spans="1:11">
      <c r="A2084" s="438" t="s">
        <v>1750</v>
      </c>
      <c r="B2084" s="439" t="s">
        <v>2361</v>
      </c>
      <c r="C2084" s="438" t="s">
        <v>71</v>
      </c>
      <c r="D2084" s="438" t="s">
        <v>2362</v>
      </c>
      <c r="E2084" s="438" t="s">
        <v>1631</v>
      </c>
      <c r="F2084" s="438"/>
      <c r="G2084" s="440" t="s">
        <v>105</v>
      </c>
      <c r="H2084" s="441">
        <v>0.0365</v>
      </c>
      <c r="I2084" s="441">
        <v>0</v>
      </c>
      <c r="J2084" s="449">
        <v>3.65</v>
      </c>
      <c r="K2084" s="449">
        <v>0.13</v>
      </c>
    </row>
    <row r="2085" customHeight="1" spans="1:11">
      <c r="A2085" s="438" t="s">
        <v>1750</v>
      </c>
      <c r="B2085" s="439" t="s">
        <v>2513</v>
      </c>
      <c r="C2085" s="438" t="s">
        <v>71</v>
      </c>
      <c r="D2085" s="438" t="s">
        <v>2514</v>
      </c>
      <c r="E2085" s="438" t="s">
        <v>1631</v>
      </c>
      <c r="F2085" s="438"/>
      <c r="G2085" s="440" t="s">
        <v>105</v>
      </c>
      <c r="H2085" s="441">
        <v>2</v>
      </c>
      <c r="I2085" s="441">
        <v>0</v>
      </c>
      <c r="J2085" s="449">
        <v>22.34</v>
      </c>
      <c r="K2085" s="449">
        <v>44.68</v>
      </c>
    </row>
    <row r="2086" customHeight="1" spans="1:11">
      <c r="A2086" s="438" t="s">
        <v>1750</v>
      </c>
      <c r="B2086" s="439" t="s">
        <v>2515</v>
      </c>
      <c r="C2086" s="438" t="s">
        <v>71</v>
      </c>
      <c r="D2086" s="438" t="s">
        <v>2516</v>
      </c>
      <c r="E2086" s="438" t="s">
        <v>1631</v>
      </c>
      <c r="F2086" s="438"/>
      <c r="G2086" s="440" t="s">
        <v>105</v>
      </c>
      <c r="H2086" s="441">
        <v>1</v>
      </c>
      <c r="I2086" s="441">
        <v>0</v>
      </c>
      <c r="J2086" s="449">
        <v>226.3</v>
      </c>
      <c r="K2086" s="449">
        <v>226.3</v>
      </c>
    </row>
    <row r="2087" customHeight="1" spans="1:11">
      <c r="A2087" s="438" t="s">
        <v>1750</v>
      </c>
      <c r="B2087" s="439" t="s">
        <v>2517</v>
      </c>
      <c r="C2087" s="438" t="s">
        <v>71</v>
      </c>
      <c r="D2087" s="438" t="s">
        <v>2518</v>
      </c>
      <c r="E2087" s="438" t="s">
        <v>1631</v>
      </c>
      <c r="F2087" s="438"/>
      <c r="G2087" s="440" t="s">
        <v>105</v>
      </c>
      <c r="H2087" s="441">
        <v>1</v>
      </c>
      <c r="I2087" s="441">
        <v>0</v>
      </c>
      <c r="J2087" s="449">
        <v>10.38</v>
      </c>
      <c r="K2087" s="449">
        <v>10.38</v>
      </c>
    </row>
    <row r="2088" customHeight="1" spans="1:11">
      <c r="A2088" s="438" t="s">
        <v>1750</v>
      </c>
      <c r="B2088" s="439" t="s">
        <v>2519</v>
      </c>
      <c r="C2088" s="438" t="s">
        <v>71</v>
      </c>
      <c r="D2088" s="438" t="s">
        <v>2520</v>
      </c>
      <c r="E2088" s="438" t="s">
        <v>1631</v>
      </c>
      <c r="F2088" s="438"/>
      <c r="G2088" s="440" t="s">
        <v>105</v>
      </c>
      <c r="H2088" s="441">
        <v>1</v>
      </c>
      <c r="I2088" s="441">
        <v>0</v>
      </c>
      <c r="J2088" s="449">
        <v>383.03</v>
      </c>
      <c r="K2088" s="449">
        <v>383.03</v>
      </c>
    </row>
    <row r="2089" customHeight="1" spans="1:11">
      <c r="A2089" s="434"/>
      <c r="B2089" s="434"/>
      <c r="C2089" s="434"/>
      <c r="D2089" s="434"/>
      <c r="E2089" s="434"/>
      <c r="F2089" s="434" t="s">
        <v>1735</v>
      </c>
      <c r="G2089" s="435">
        <v>17.04</v>
      </c>
      <c r="H2089" s="434" t="s">
        <v>1736</v>
      </c>
      <c r="I2089" s="435">
        <v>15.48</v>
      </c>
      <c r="J2089" s="434" t="s">
        <v>1737</v>
      </c>
      <c r="K2089" s="435">
        <v>32.52</v>
      </c>
    </row>
    <row r="2090" customHeight="1" spans="1:11">
      <c r="A2090" s="434"/>
      <c r="B2090" s="434"/>
      <c r="C2090" s="434"/>
      <c r="D2090" s="434"/>
      <c r="E2090" s="434"/>
      <c r="F2090" s="434" t="s">
        <v>1738</v>
      </c>
      <c r="G2090" s="435">
        <v>174.99</v>
      </c>
      <c r="H2090" s="434"/>
      <c r="I2090" s="434" t="s">
        <v>1739</v>
      </c>
      <c r="J2090" s="434"/>
      <c r="K2090" s="435">
        <v>884.63</v>
      </c>
    </row>
    <row r="2091" customHeight="1" spans="1:11">
      <c r="A2091" s="436"/>
      <c r="B2091" s="436"/>
      <c r="C2091" s="436"/>
      <c r="D2091" s="436"/>
      <c r="E2091" s="436"/>
      <c r="F2091" s="436"/>
      <c r="G2091" s="436"/>
      <c r="H2091" s="436" t="s">
        <v>1740</v>
      </c>
      <c r="I2091" s="447" t="s">
        <v>1971</v>
      </c>
      <c r="J2091" s="436" t="s">
        <v>1742</v>
      </c>
      <c r="K2091" s="448">
        <v>1769.26</v>
      </c>
    </row>
    <row r="2092" customHeight="1" spans="1:11">
      <c r="A2092" s="437"/>
      <c r="B2092" s="437"/>
      <c r="C2092" s="437"/>
      <c r="D2092" s="437"/>
      <c r="E2092" s="437"/>
      <c r="F2092" s="437"/>
      <c r="G2092" s="437"/>
      <c r="H2092" s="437"/>
      <c r="I2092" s="437"/>
      <c r="J2092" s="437"/>
      <c r="K2092" s="437"/>
    </row>
    <row r="2093" customHeight="1" spans="1:11">
      <c r="A2093" s="423" t="s">
        <v>649</v>
      </c>
      <c r="B2093" s="424" t="s">
        <v>1714</v>
      </c>
      <c r="C2093" s="423" t="s">
        <v>1715</v>
      </c>
      <c r="D2093" s="423" t="s">
        <v>1716</v>
      </c>
      <c r="E2093" s="423" t="s">
        <v>1717</v>
      </c>
      <c r="F2093" s="423"/>
      <c r="G2093" s="425" t="s">
        <v>1718</v>
      </c>
      <c r="H2093" s="424" t="s">
        <v>1719</v>
      </c>
      <c r="I2093" s="424" t="s">
        <v>1720</v>
      </c>
      <c r="J2093" s="424" t="s">
        <v>1721</v>
      </c>
      <c r="K2093" s="424" t="s">
        <v>1722</v>
      </c>
    </row>
    <row r="2094" customHeight="1" spans="1:11">
      <c r="A2094" s="426" t="s">
        <v>1723</v>
      </c>
      <c r="B2094" s="427" t="s">
        <v>650</v>
      </c>
      <c r="C2094" s="426" t="s">
        <v>65</v>
      </c>
      <c r="D2094" s="426" t="s">
        <v>651</v>
      </c>
      <c r="E2094" s="426" t="s">
        <v>62</v>
      </c>
      <c r="F2094" s="426"/>
      <c r="G2094" s="428" t="s">
        <v>67</v>
      </c>
      <c r="H2094" s="429">
        <v>1</v>
      </c>
      <c r="I2094" s="445"/>
      <c r="J2094" s="445">
        <v>145.36</v>
      </c>
      <c r="K2094" s="445">
        <v>145.36</v>
      </c>
    </row>
    <row r="2095" customHeight="1" spans="1:11">
      <c r="A2095" s="430" t="s">
        <v>1724</v>
      </c>
      <c r="B2095" s="431" t="s">
        <v>1745</v>
      </c>
      <c r="C2095" s="430" t="s">
        <v>71</v>
      </c>
      <c r="D2095" s="430" t="s">
        <v>1746</v>
      </c>
      <c r="E2095" s="430" t="s">
        <v>1708</v>
      </c>
      <c r="F2095" s="430"/>
      <c r="G2095" s="432" t="s">
        <v>82</v>
      </c>
      <c r="H2095" s="433">
        <v>0.1504</v>
      </c>
      <c r="I2095" s="433">
        <v>0</v>
      </c>
      <c r="J2095" s="446">
        <v>29.15</v>
      </c>
      <c r="K2095" s="446">
        <v>4.38</v>
      </c>
    </row>
    <row r="2096" customHeight="1" spans="1:11">
      <c r="A2096" s="430" t="s">
        <v>1724</v>
      </c>
      <c r="B2096" s="431" t="s">
        <v>2521</v>
      </c>
      <c r="C2096" s="430" t="s">
        <v>71</v>
      </c>
      <c r="D2096" s="430" t="s">
        <v>2522</v>
      </c>
      <c r="E2096" s="430" t="s">
        <v>1708</v>
      </c>
      <c r="F2096" s="430"/>
      <c r="G2096" s="432" t="s">
        <v>82</v>
      </c>
      <c r="H2096" s="433">
        <v>0.4774</v>
      </c>
      <c r="I2096" s="433">
        <v>0</v>
      </c>
      <c r="J2096" s="446">
        <v>30.79</v>
      </c>
      <c r="K2096" s="446">
        <v>14.69</v>
      </c>
    </row>
    <row r="2097" customHeight="1" spans="1:11">
      <c r="A2097" s="438" t="s">
        <v>1750</v>
      </c>
      <c r="B2097" s="439" t="s">
        <v>2523</v>
      </c>
      <c r="C2097" s="438" t="s">
        <v>71</v>
      </c>
      <c r="D2097" s="438" t="s">
        <v>2524</v>
      </c>
      <c r="E2097" s="438" t="s">
        <v>1631</v>
      </c>
      <c r="F2097" s="438"/>
      <c r="G2097" s="440" t="s">
        <v>158</v>
      </c>
      <c r="H2097" s="441">
        <v>0.2974</v>
      </c>
      <c r="I2097" s="441">
        <v>0</v>
      </c>
      <c r="J2097" s="449">
        <v>38.31</v>
      </c>
      <c r="K2097" s="449">
        <v>11.39</v>
      </c>
    </row>
    <row r="2098" customHeight="1" spans="1:11">
      <c r="A2098" s="438" t="s">
        <v>1750</v>
      </c>
      <c r="B2098" s="439" t="s">
        <v>2525</v>
      </c>
      <c r="C2098" s="438" t="s">
        <v>65</v>
      </c>
      <c r="D2098" s="438" t="s">
        <v>2526</v>
      </c>
      <c r="E2098" s="438" t="s">
        <v>1631</v>
      </c>
      <c r="F2098" s="438"/>
      <c r="G2098" s="440" t="s">
        <v>67</v>
      </c>
      <c r="H2098" s="441">
        <v>1</v>
      </c>
      <c r="I2098" s="441">
        <v>0</v>
      </c>
      <c r="J2098" s="449">
        <v>114.9</v>
      </c>
      <c r="K2098" s="449">
        <v>114.9</v>
      </c>
    </row>
    <row r="2099" customHeight="1" spans="1:11">
      <c r="A2099" s="434"/>
      <c r="B2099" s="434"/>
      <c r="C2099" s="434"/>
      <c r="D2099" s="434"/>
      <c r="E2099" s="434"/>
      <c r="F2099" s="434" t="s">
        <v>1735</v>
      </c>
      <c r="G2099" s="435">
        <v>6.7</v>
      </c>
      <c r="H2099" s="434" t="s">
        <v>1736</v>
      </c>
      <c r="I2099" s="435">
        <v>6.1</v>
      </c>
      <c r="J2099" s="434" t="s">
        <v>1737</v>
      </c>
      <c r="K2099" s="435">
        <v>12.8</v>
      </c>
    </row>
    <row r="2100" customHeight="1" spans="1:11">
      <c r="A2100" s="434"/>
      <c r="B2100" s="434"/>
      <c r="C2100" s="434"/>
      <c r="D2100" s="434"/>
      <c r="E2100" s="434"/>
      <c r="F2100" s="434" t="s">
        <v>1738</v>
      </c>
      <c r="G2100" s="435">
        <v>35.84</v>
      </c>
      <c r="H2100" s="434"/>
      <c r="I2100" s="434" t="s">
        <v>1739</v>
      </c>
      <c r="J2100" s="434"/>
      <c r="K2100" s="435">
        <v>181.2</v>
      </c>
    </row>
    <row r="2101" customHeight="1" spans="1:11">
      <c r="A2101" s="436"/>
      <c r="B2101" s="436"/>
      <c r="C2101" s="436"/>
      <c r="D2101" s="436"/>
      <c r="E2101" s="436"/>
      <c r="F2101" s="436"/>
      <c r="G2101" s="436"/>
      <c r="H2101" s="436" t="s">
        <v>1740</v>
      </c>
      <c r="I2101" s="447" t="s">
        <v>2384</v>
      </c>
      <c r="J2101" s="436" t="s">
        <v>1742</v>
      </c>
      <c r="K2101" s="448">
        <v>1268.4</v>
      </c>
    </row>
    <row r="2102" customHeight="1" spans="1:11">
      <c r="A2102" s="437"/>
      <c r="B2102" s="437"/>
      <c r="C2102" s="437"/>
      <c r="D2102" s="437"/>
      <c r="E2102" s="437"/>
      <c r="F2102" s="437"/>
      <c r="G2102" s="437"/>
      <c r="H2102" s="437"/>
      <c r="I2102" s="437"/>
      <c r="J2102" s="437"/>
      <c r="K2102" s="437"/>
    </row>
    <row r="2103" customHeight="1" spans="1:11">
      <c r="A2103" s="423" t="s">
        <v>652</v>
      </c>
      <c r="B2103" s="424" t="s">
        <v>1714</v>
      </c>
      <c r="C2103" s="423" t="s">
        <v>1715</v>
      </c>
      <c r="D2103" s="423" t="s">
        <v>1716</v>
      </c>
      <c r="E2103" s="423" t="s">
        <v>1717</v>
      </c>
      <c r="F2103" s="423"/>
      <c r="G2103" s="425" t="s">
        <v>1718</v>
      </c>
      <c r="H2103" s="424" t="s">
        <v>1719</v>
      </c>
      <c r="I2103" s="424" t="s">
        <v>1720</v>
      </c>
      <c r="J2103" s="424" t="s">
        <v>1721</v>
      </c>
      <c r="K2103" s="424" t="s">
        <v>1722</v>
      </c>
    </row>
    <row r="2104" customHeight="1" spans="1:11">
      <c r="A2104" s="426" t="s">
        <v>1723</v>
      </c>
      <c r="B2104" s="427" t="s">
        <v>653</v>
      </c>
      <c r="C2104" s="426" t="s">
        <v>65</v>
      </c>
      <c r="D2104" s="426" t="s">
        <v>654</v>
      </c>
      <c r="E2104" s="426" t="s">
        <v>62</v>
      </c>
      <c r="F2104" s="426"/>
      <c r="G2104" s="428" t="s">
        <v>67</v>
      </c>
      <c r="H2104" s="429">
        <v>1</v>
      </c>
      <c r="I2104" s="445"/>
      <c r="J2104" s="445">
        <v>186.71</v>
      </c>
      <c r="K2104" s="445">
        <v>186.71</v>
      </c>
    </row>
    <row r="2105" customHeight="1" spans="1:11">
      <c r="A2105" s="430" t="s">
        <v>1724</v>
      </c>
      <c r="B2105" s="431" t="s">
        <v>1745</v>
      </c>
      <c r="C2105" s="430" t="s">
        <v>71</v>
      </c>
      <c r="D2105" s="430" t="s">
        <v>1746</v>
      </c>
      <c r="E2105" s="430" t="s">
        <v>1708</v>
      </c>
      <c r="F2105" s="430"/>
      <c r="G2105" s="432" t="s">
        <v>82</v>
      </c>
      <c r="H2105" s="433">
        <v>0.1504</v>
      </c>
      <c r="I2105" s="433">
        <v>0</v>
      </c>
      <c r="J2105" s="446">
        <v>29.15</v>
      </c>
      <c r="K2105" s="446">
        <v>4.38</v>
      </c>
    </row>
    <row r="2106" customHeight="1" spans="1:11">
      <c r="A2106" s="430" t="s">
        <v>1724</v>
      </c>
      <c r="B2106" s="431" t="s">
        <v>1936</v>
      </c>
      <c r="C2106" s="430" t="s">
        <v>71</v>
      </c>
      <c r="D2106" s="430" t="s">
        <v>1937</v>
      </c>
      <c r="E2106" s="430" t="s">
        <v>1708</v>
      </c>
      <c r="F2106" s="430"/>
      <c r="G2106" s="432" t="s">
        <v>82</v>
      </c>
      <c r="H2106" s="433">
        <v>0.4774</v>
      </c>
      <c r="I2106" s="433">
        <v>0</v>
      </c>
      <c r="J2106" s="446">
        <v>36.96</v>
      </c>
      <c r="K2106" s="446">
        <v>17.64</v>
      </c>
    </row>
    <row r="2107" customHeight="1" spans="1:11">
      <c r="A2107" s="438" t="s">
        <v>1750</v>
      </c>
      <c r="B2107" s="439" t="s">
        <v>2527</v>
      </c>
      <c r="C2107" s="438" t="s">
        <v>71</v>
      </c>
      <c r="D2107" s="438" t="s">
        <v>2528</v>
      </c>
      <c r="E2107" s="438" t="s">
        <v>1631</v>
      </c>
      <c r="F2107" s="438"/>
      <c r="G2107" s="440" t="s">
        <v>105</v>
      </c>
      <c r="H2107" s="441">
        <v>1</v>
      </c>
      <c r="I2107" s="441">
        <v>0</v>
      </c>
      <c r="J2107" s="449">
        <v>164.69</v>
      </c>
      <c r="K2107" s="449">
        <v>164.69</v>
      </c>
    </row>
    <row r="2108" customHeight="1" spans="1:11">
      <c r="A2108" s="434"/>
      <c r="B2108" s="434"/>
      <c r="C2108" s="434"/>
      <c r="D2108" s="434"/>
      <c r="E2108" s="434"/>
      <c r="F2108" s="434" t="s">
        <v>1735</v>
      </c>
      <c r="G2108" s="435">
        <v>8.25</v>
      </c>
      <c r="H2108" s="434" t="s">
        <v>1736</v>
      </c>
      <c r="I2108" s="435">
        <v>7.5</v>
      </c>
      <c r="J2108" s="434" t="s">
        <v>1737</v>
      </c>
      <c r="K2108" s="435">
        <v>15.75</v>
      </c>
    </row>
    <row r="2109" customHeight="1" spans="1:11">
      <c r="A2109" s="434"/>
      <c r="B2109" s="434"/>
      <c r="C2109" s="434"/>
      <c r="D2109" s="434"/>
      <c r="E2109" s="434"/>
      <c r="F2109" s="434" t="s">
        <v>1738</v>
      </c>
      <c r="G2109" s="435">
        <v>46.04</v>
      </c>
      <c r="H2109" s="434"/>
      <c r="I2109" s="434" t="s">
        <v>1739</v>
      </c>
      <c r="J2109" s="434"/>
      <c r="K2109" s="435">
        <v>232.75</v>
      </c>
    </row>
    <row r="2110" customHeight="1" spans="1:11">
      <c r="A2110" s="436"/>
      <c r="B2110" s="436"/>
      <c r="C2110" s="436"/>
      <c r="D2110" s="436"/>
      <c r="E2110" s="436"/>
      <c r="F2110" s="436"/>
      <c r="G2110" s="436"/>
      <c r="H2110" s="436" t="s">
        <v>1740</v>
      </c>
      <c r="I2110" s="447" t="s">
        <v>1971</v>
      </c>
      <c r="J2110" s="436" t="s">
        <v>1742</v>
      </c>
      <c r="K2110" s="448">
        <v>465.5</v>
      </c>
    </row>
    <row r="2111" customHeight="1" spans="1:11">
      <c r="A2111" s="437"/>
      <c r="B2111" s="437"/>
      <c r="C2111" s="437"/>
      <c r="D2111" s="437"/>
      <c r="E2111" s="437"/>
      <c r="F2111" s="437"/>
      <c r="G2111" s="437"/>
      <c r="H2111" s="437"/>
      <c r="I2111" s="437"/>
      <c r="J2111" s="437"/>
      <c r="K2111" s="437"/>
    </row>
    <row r="2112" customHeight="1" spans="1:11">
      <c r="A2112" s="423" t="s">
        <v>655</v>
      </c>
      <c r="B2112" s="424" t="s">
        <v>1714</v>
      </c>
      <c r="C2112" s="423" t="s">
        <v>1715</v>
      </c>
      <c r="D2112" s="423" t="s">
        <v>1716</v>
      </c>
      <c r="E2112" s="423" t="s">
        <v>1717</v>
      </c>
      <c r="F2112" s="423"/>
      <c r="G2112" s="425" t="s">
        <v>1718</v>
      </c>
      <c r="H2112" s="424" t="s">
        <v>1719</v>
      </c>
      <c r="I2112" s="424" t="s">
        <v>1720</v>
      </c>
      <c r="J2112" s="424" t="s">
        <v>1721</v>
      </c>
      <c r="K2112" s="424" t="s">
        <v>1722</v>
      </c>
    </row>
    <row r="2113" customHeight="1" spans="1:11">
      <c r="A2113" s="426" t="s">
        <v>1723</v>
      </c>
      <c r="B2113" s="427" t="s">
        <v>656</v>
      </c>
      <c r="C2113" s="426" t="s">
        <v>71</v>
      </c>
      <c r="D2113" s="426" t="s">
        <v>657</v>
      </c>
      <c r="E2113" s="426" t="s">
        <v>1673</v>
      </c>
      <c r="F2113" s="426"/>
      <c r="G2113" s="428" t="s">
        <v>105</v>
      </c>
      <c r="H2113" s="429">
        <v>1</v>
      </c>
      <c r="I2113" s="445"/>
      <c r="J2113" s="445">
        <v>321.73</v>
      </c>
      <c r="K2113" s="445">
        <v>321.73</v>
      </c>
    </row>
    <row r="2114" customHeight="1" spans="1:11">
      <c r="A2114" s="430" t="s">
        <v>1724</v>
      </c>
      <c r="B2114" s="431" t="s">
        <v>2529</v>
      </c>
      <c r="C2114" s="430" t="s">
        <v>71</v>
      </c>
      <c r="D2114" s="430" t="s">
        <v>2530</v>
      </c>
      <c r="E2114" s="430" t="s">
        <v>1673</v>
      </c>
      <c r="F2114" s="430"/>
      <c r="G2114" s="432" t="s">
        <v>105</v>
      </c>
      <c r="H2114" s="433">
        <v>1</v>
      </c>
      <c r="I2114" s="433">
        <v>0</v>
      </c>
      <c r="J2114" s="446">
        <v>76.21</v>
      </c>
      <c r="K2114" s="446">
        <v>76.21</v>
      </c>
    </row>
    <row r="2115" customHeight="1" spans="1:11">
      <c r="A2115" s="430" t="s">
        <v>1724</v>
      </c>
      <c r="B2115" s="431" t="s">
        <v>680</v>
      </c>
      <c r="C2115" s="430" t="s">
        <v>71</v>
      </c>
      <c r="D2115" s="430" t="s">
        <v>681</v>
      </c>
      <c r="E2115" s="430" t="s">
        <v>1673</v>
      </c>
      <c r="F2115" s="430"/>
      <c r="G2115" s="432" t="s">
        <v>105</v>
      </c>
      <c r="H2115" s="433">
        <v>1</v>
      </c>
      <c r="I2115" s="433">
        <v>0</v>
      </c>
      <c r="J2115" s="446">
        <v>17.34</v>
      </c>
      <c r="K2115" s="446">
        <v>17.34</v>
      </c>
    </row>
    <row r="2116" customHeight="1" spans="1:11">
      <c r="A2116" s="430" t="s">
        <v>1724</v>
      </c>
      <c r="B2116" s="431" t="s">
        <v>2531</v>
      </c>
      <c r="C2116" s="430" t="s">
        <v>71</v>
      </c>
      <c r="D2116" s="430" t="s">
        <v>2532</v>
      </c>
      <c r="E2116" s="430" t="s">
        <v>1673</v>
      </c>
      <c r="F2116" s="430"/>
      <c r="G2116" s="432" t="s">
        <v>105</v>
      </c>
      <c r="H2116" s="433">
        <v>1</v>
      </c>
      <c r="I2116" s="433">
        <v>0</v>
      </c>
      <c r="J2116" s="446">
        <v>228.18</v>
      </c>
      <c r="K2116" s="446">
        <v>228.18</v>
      </c>
    </row>
    <row r="2117" customHeight="1" spans="1:11">
      <c r="A2117" s="434"/>
      <c r="B2117" s="434"/>
      <c r="C2117" s="434"/>
      <c r="D2117" s="434"/>
      <c r="E2117" s="434"/>
      <c r="F2117" s="434" t="s">
        <v>1735</v>
      </c>
      <c r="G2117" s="435">
        <v>11.06</v>
      </c>
      <c r="H2117" s="434" t="s">
        <v>1736</v>
      </c>
      <c r="I2117" s="435">
        <v>10.06</v>
      </c>
      <c r="J2117" s="434" t="s">
        <v>1737</v>
      </c>
      <c r="K2117" s="435">
        <v>21.12</v>
      </c>
    </row>
    <row r="2118" customHeight="1" spans="1:11">
      <c r="A2118" s="434"/>
      <c r="B2118" s="434"/>
      <c r="C2118" s="434"/>
      <c r="D2118" s="434"/>
      <c r="E2118" s="434"/>
      <c r="F2118" s="434" t="s">
        <v>1738</v>
      </c>
      <c r="G2118" s="435">
        <v>79.33</v>
      </c>
      <c r="H2118" s="434"/>
      <c r="I2118" s="434" t="s">
        <v>1739</v>
      </c>
      <c r="J2118" s="434"/>
      <c r="K2118" s="435">
        <v>401.06</v>
      </c>
    </row>
    <row r="2119" customHeight="1" spans="1:11">
      <c r="A2119" s="436"/>
      <c r="B2119" s="436"/>
      <c r="C2119" s="436"/>
      <c r="D2119" s="436"/>
      <c r="E2119" s="436"/>
      <c r="F2119" s="436"/>
      <c r="G2119" s="436"/>
      <c r="H2119" s="436" t="s">
        <v>1740</v>
      </c>
      <c r="I2119" s="447" t="s">
        <v>1971</v>
      </c>
      <c r="J2119" s="436" t="s">
        <v>1742</v>
      </c>
      <c r="K2119" s="448">
        <v>802.12</v>
      </c>
    </row>
    <row r="2120" customHeight="1" spans="1:11">
      <c r="A2120" s="437"/>
      <c r="B2120" s="437"/>
      <c r="C2120" s="437"/>
      <c r="D2120" s="437"/>
      <c r="E2120" s="437"/>
      <c r="F2120" s="437"/>
      <c r="G2120" s="437"/>
      <c r="H2120" s="437"/>
      <c r="I2120" s="437"/>
      <c r="J2120" s="437"/>
      <c r="K2120" s="437"/>
    </row>
    <row r="2121" customHeight="1" spans="1:11">
      <c r="A2121" s="423" t="s">
        <v>658</v>
      </c>
      <c r="B2121" s="424" t="s">
        <v>1714</v>
      </c>
      <c r="C2121" s="423" t="s">
        <v>1715</v>
      </c>
      <c r="D2121" s="423" t="s">
        <v>1716</v>
      </c>
      <c r="E2121" s="423" t="s">
        <v>1717</v>
      </c>
      <c r="F2121" s="423"/>
      <c r="G2121" s="425" t="s">
        <v>1718</v>
      </c>
      <c r="H2121" s="424" t="s">
        <v>1719</v>
      </c>
      <c r="I2121" s="424" t="s">
        <v>1720</v>
      </c>
      <c r="J2121" s="424" t="s">
        <v>1721</v>
      </c>
      <c r="K2121" s="424" t="s">
        <v>1722</v>
      </c>
    </row>
    <row r="2122" customHeight="1" spans="1:11">
      <c r="A2122" s="426" t="s">
        <v>1723</v>
      </c>
      <c r="B2122" s="427" t="s">
        <v>659</v>
      </c>
      <c r="C2122" s="426" t="s">
        <v>76</v>
      </c>
      <c r="D2122" s="426" t="s">
        <v>660</v>
      </c>
      <c r="E2122" s="426">
        <v>18</v>
      </c>
      <c r="F2122" s="426"/>
      <c r="G2122" s="428" t="s">
        <v>105</v>
      </c>
      <c r="H2122" s="429">
        <v>1</v>
      </c>
      <c r="I2122" s="445"/>
      <c r="J2122" s="445">
        <v>662.88</v>
      </c>
      <c r="K2122" s="445">
        <v>662.88</v>
      </c>
    </row>
    <row r="2123" customHeight="1" spans="1:11">
      <c r="A2123" s="438" t="s">
        <v>1750</v>
      </c>
      <c r="B2123" s="439" t="s">
        <v>2533</v>
      </c>
      <c r="C2123" s="438" t="s">
        <v>76</v>
      </c>
      <c r="D2123" s="438" t="s">
        <v>2534</v>
      </c>
      <c r="E2123" s="438" t="s">
        <v>1631</v>
      </c>
      <c r="F2123" s="438"/>
      <c r="G2123" s="440" t="s">
        <v>105</v>
      </c>
      <c r="H2123" s="441">
        <v>1</v>
      </c>
      <c r="I2123" s="441">
        <v>0</v>
      </c>
      <c r="J2123" s="449">
        <v>12.61</v>
      </c>
      <c r="K2123" s="449">
        <v>12.61</v>
      </c>
    </row>
    <row r="2124" customHeight="1" spans="1:11">
      <c r="A2124" s="438" t="s">
        <v>1750</v>
      </c>
      <c r="B2124" s="439" t="s">
        <v>2535</v>
      </c>
      <c r="C2124" s="438" t="s">
        <v>76</v>
      </c>
      <c r="D2124" s="438" t="s">
        <v>2536</v>
      </c>
      <c r="E2124" s="438" t="s">
        <v>1631</v>
      </c>
      <c r="F2124" s="438"/>
      <c r="G2124" s="440" t="s">
        <v>105</v>
      </c>
      <c r="H2124" s="441">
        <v>1</v>
      </c>
      <c r="I2124" s="441">
        <v>0</v>
      </c>
      <c r="J2124" s="449">
        <v>22.71</v>
      </c>
      <c r="K2124" s="449">
        <v>22.71</v>
      </c>
    </row>
    <row r="2125" customHeight="1" spans="1:11">
      <c r="A2125" s="438" t="s">
        <v>1750</v>
      </c>
      <c r="B2125" s="439" t="s">
        <v>2537</v>
      </c>
      <c r="C2125" s="438" t="s">
        <v>76</v>
      </c>
      <c r="D2125" s="438" t="s">
        <v>2538</v>
      </c>
      <c r="E2125" s="438" t="s">
        <v>1631</v>
      </c>
      <c r="F2125" s="438"/>
      <c r="G2125" s="440" t="s">
        <v>105</v>
      </c>
      <c r="H2125" s="441">
        <v>1</v>
      </c>
      <c r="I2125" s="441">
        <v>0</v>
      </c>
      <c r="J2125" s="449">
        <v>20.88</v>
      </c>
      <c r="K2125" s="449">
        <v>20.88</v>
      </c>
    </row>
    <row r="2126" customHeight="1" spans="1:11">
      <c r="A2126" s="438" t="s">
        <v>1750</v>
      </c>
      <c r="B2126" s="439" t="s">
        <v>2539</v>
      </c>
      <c r="C2126" s="438" t="s">
        <v>76</v>
      </c>
      <c r="D2126" s="438" t="s">
        <v>2540</v>
      </c>
      <c r="E2126" s="438" t="s">
        <v>1631</v>
      </c>
      <c r="F2126" s="438"/>
      <c r="G2126" s="440" t="s">
        <v>105</v>
      </c>
      <c r="H2126" s="441">
        <v>1</v>
      </c>
      <c r="I2126" s="441">
        <v>0</v>
      </c>
      <c r="J2126" s="449">
        <v>331.1</v>
      </c>
      <c r="K2126" s="449">
        <v>331.1</v>
      </c>
    </row>
    <row r="2127" customHeight="1" spans="1:11">
      <c r="A2127" s="438" t="s">
        <v>1750</v>
      </c>
      <c r="B2127" s="439" t="s">
        <v>2541</v>
      </c>
      <c r="C2127" s="438" t="s">
        <v>76</v>
      </c>
      <c r="D2127" s="438" t="s">
        <v>2542</v>
      </c>
      <c r="E2127" s="438" t="s">
        <v>1631</v>
      </c>
      <c r="F2127" s="438"/>
      <c r="G2127" s="440" t="s">
        <v>105</v>
      </c>
      <c r="H2127" s="441">
        <v>1</v>
      </c>
      <c r="I2127" s="441">
        <v>0</v>
      </c>
      <c r="J2127" s="449">
        <v>153.97</v>
      </c>
      <c r="K2127" s="449">
        <v>153.97</v>
      </c>
    </row>
    <row r="2128" customHeight="1" spans="1:11">
      <c r="A2128" s="438" t="s">
        <v>1750</v>
      </c>
      <c r="B2128" s="439" t="s">
        <v>2543</v>
      </c>
      <c r="C2128" s="438" t="s">
        <v>76</v>
      </c>
      <c r="D2128" s="438" t="s">
        <v>2544</v>
      </c>
      <c r="E2128" s="438" t="s">
        <v>1631</v>
      </c>
      <c r="F2128" s="438"/>
      <c r="G2128" s="440" t="s">
        <v>105</v>
      </c>
      <c r="H2128" s="441">
        <v>1</v>
      </c>
      <c r="I2128" s="441">
        <v>0</v>
      </c>
      <c r="J2128" s="449">
        <v>121.61</v>
      </c>
      <c r="K2128" s="449">
        <v>121.61</v>
      </c>
    </row>
    <row r="2129" customHeight="1" spans="1:11">
      <c r="A2129" s="434"/>
      <c r="B2129" s="434"/>
      <c r="C2129" s="434"/>
      <c r="D2129" s="434"/>
      <c r="E2129" s="434"/>
      <c r="F2129" s="434" t="s">
        <v>1735</v>
      </c>
      <c r="G2129" s="435">
        <v>0</v>
      </c>
      <c r="H2129" s="434" t="s">
        <v>1736</v>
      </c>
      <c r="I2129" s="435">
        <v>0</v>
      </c>
      <c r="J2129" s="434" t="s">
        <v>1737</v>
      </c>
      <c r="K2129" s="435">
        <v>0</v>
      </c>
    </row>
    <row r="2130" customHeight="1" spans="1:11">
      <c r="A2130" s="434"/>
      <c r="B2130" s="434"/>
      <c r="C2130" s="434"/>
      <c r="D2130" s="434"/>
      <c r="E2130" s="434"/>
      <c r="F2130" s="434" t="s">
        <v>1738</v>
      </c>
      <c r="G2130" s="435">
        <v>163.46</v>
      </c>
      <c r="H2130" s="434"/>
      <c r="I2130" s="434" t="s">
        <v>1739</v>
      </c>
      <c r="J2130" s="434"/>
      <c r="K2130" s="435">
        <v>826.34</v>
      </c>
    </row>
    <row r="2131" customHeight="1" spans="1:11">
      <c r="A2131" s="436"/>
      <c r="B2131" s="436"/>
      <c r="C2131" s="436"/>
      <c r="D2131" s="436"/>
      <c r="E2131" s="436"/>
      <c r="F2131" s="436"/>
      <c r="G2131" s="436"/>
      <c r="H2131" s="436" t="s">
        <v>1740</v>
      </c>
      <c r="I2131" s="447" t="s">
        <v>1741</v>
      </c>
      <c r="J2131" s="436" t="s">
        <v>1742</v>
      </c>
      <c r="K2131" s="448">
        <v>826.34</v>
      </c>
    </row>
    <row r="2132" customHeight="1" spans="1:11">
      <c r="A2132" s="437"/>
      <c r="B2132" s="437"/>
      <c r="C2132" s="437"/>
      <c r="D2132" s="437"/>
      <c r="E2132" s="437"/>
      <c r="F2132" s="437"/>
      <c r="G2132" s="437"/>
      <c r="H2132" s="437"/>
      <c r="I2132" s="437"/>
      <c r="J2132" s="437"/>
      <c r="K2132" s="437"/>
    </row>
    <row r="2133" customHeight="1" spans="1:11">
      <c r="A2133" s="423" t="s">
        <v>661</v>
      </c>
      <c r="B2133" s="424" t="s">
        <v>1714</v>
      </c>
      <c r="C2133" s="423" t="s">
        <v>1715</v>
      </c>
      <c r="D2133" s="423" t="s">
        <v>1716</v>
      </c>
      <c r="E2133" s="423" t="s">
        <v>1717</v>
      </c>
      <c r="F2133" s="423"/>
      <c r="G2133" s="425" t="s">
        <v>1718</v>
      </c>
      <c r="H2133" s="424" t="s">
        <v>1719</v>
      </c>
      <c r="I2133" s="424" t="s">
        <v>1720</v>
      </c>
      <c r="J2133" s="424" t="s">
        <v>1721</v>
      </c>
      <c r="K2133" s="424" t="s">
        <v>1722</v>
      </c>
    </row>
    <row r="2134" customHeight="1" spans="1:11">
      <c r="A2134" s="426" t="s">
        <v>1723</v>
      </c>
      <c r="B2134" s="427" t="s">
        <v>662</v>
      </c>
      <c r="C2134" s="426" t="s">
        <v>76</v>
      </c>
      <c r="D2134" s="426" t="s">
        <v>663</v>
      </c>
      <c r="E2134" s="426">
        <v>18</v>
      </c>
      <c r="F2134" s="426"/>
      <c r="G2134" s="428" t="s">
        <v>105</v>
      </c>
      <c r="H2134" s="429">
        <v>1</v>
      </c>
      <c r="I2134" s="445"/>
      <c r="J2134" s="445">
        <v>67.22</v>
      </c>
      <c r="K2134" s="445">
        <v>67.22</v>
      </c>
    </row>
    <row r="2135" customHeight="1" spans="1:11">
      <c r="A2135" s="438" t="s">
        <v>1750</v>
      </c>
      <c r="B2135" s="439" t="s">
        <v>2545</v>
      </c>
      <c r="C2135" s="438" t="s">
        <v>76</v>
      </c>
      <c r="D2135" s="438" t="s">
        <v>2546</v>
      </c>
      <c r="E2135" s="438" t="s">
        <v>1631</v>
      </c>
      <c r="F2135" s="438"/>
      <c r="G2135" s="440" t="s">
        <v>105</v>
      </c>
      <c r="H2135" s="441">
        <v>1</v>
      </c>
      <c r="I2135" s="441">
        <v>0</v>
      </c>
      <c r="J2135" s="449">
        <v>67.22</v>
      </c>
      <c r="K2135" s="449">
        <v>67.22</v>
      </c>
    </row>
    <row r="2136" customHeight="1" spans="1:11">
      <c r="A2136" s="434"/>
      <c r="B2136" s="434"/>
      <c r="C2136" s="434"/>
      <c r="D2136" s="434"/>
      <c r="E2136" s="434"/>
      <c r="F2136" s="434" t="s">
        <v>1735</v>
      </c>
      <c r="G2136" s="435">
        <v>0</v>
      </c>
      <c r="H2136" s="434" t="s">
        <v>1736</v>
      </c>
      <c r="I2136" s="435">
        <v>0</v>
      </c>
      <c r="J2136" s="434" t="s">
        <v>1737</v>
      </c>
      <c r="K2136" s="435">
        <v>0</v>
      </c>
    </row>
    <row r="2137" customHeight="1" spans="1:11">
      <c r="A2137" s="434"/>
      <c r="B2137" s="434"/>
      <c r="C2137" s="434"/>
      <c r="D2137" s="434"/>
      <c r="E2137" s="434"/>
      <c r="F2137" s="434" t="s">
        <v>1738</v>
      </c>
      <c r="G2137" s="435">
        <v>16.57</v>
      </c>
      <c r="H2137" s="434"/>
      <c r="I2137" s="434" t="s">
        <v>1739</v>
      </c>
      <c r="J2137" s="434"/>
      <c r="K2137" s="435">
        <v>83.79</v>
      </c>
    </row>
    <row r="2138" customHeight="1" spans="1:11">
      <c r="A2138" s="436"/>
      <c r="B2138" s="436"/>
      <c r="C2138" s="436"/>
      <c r="D2138" s="436"/>
      <c r="E2138" s="436"/>
      <c r="F2138" s="436"/>
      <c r="G2138" s="436"/>
      <c r="H2138" s="436" t="s">
        <v>1740</v>
      </c>
      <c r="I2138" s="447" t="s">
        <v>2306</v>
      </c>
      <c r="J2138" s="436" t="s">
        <v>1742</v>
      </c>
      <c r="K2138" s="448">
        <v>754.11</v>
      </c>
    </row>
    <row r="2139" customHeight="1" spans="1:11">
      <c r="A2139" s="437"/>
      <c r="B2139" s="437"/>
      <c r="C2139" s="437"/>
      <c r="D2139" s="437"/>
      <c r="E2139" s="437"/>
      <c r="F2139" s="437"/>
      <c r="G2139" s="437"/>
      <c r="H2139" s="437"/>
      <c r="I2139" s="437"/>
      <c r="J2139" s="437"/>
      <c r="K2139" s="437"/>
    </row>
    <row r="2140" customHeight="1" spans="1:11">
      <c r="A2140" s="423" t="s">
        <v>664</v>
      </c>
      <c r="B2140" s="424" t="s">
        <v>1714</v>
      </c>
      <c r="C2140" s="423" t="s">
        <v>1715</v>
      </c>
      <c r="D2140" s="423" t="s">
        <v>1716</v>
      </c>
      <c r="E2140" s="423" t="s">
        <v>1717</v>
      </c>
      <c r="F2140" s="423"/>
      <c r="G2140" s="425" t="s">
        <v>1718</v>
      </c>
      <c r="H2140" s="424" t="s">
        <v>1719</v>
      </c>
      <c r="I2140" s="424" t="s">
        <v>1720</v>
      </c>
      <c r="J2140" s="424" t="s">
        <v>1721</v>
      </c>
      <c r="K2140" s="424" t="s">
        <v>1722</v>
      </c>
    </row>
    <row r="2141" customHeight="1" spans="1:11">
      <c r="A2141" s="426" t="s">
        <v>1723</v>
      </c>
      <c r="B2141" s="427" t="s">
        <v>665</v>
      </c>
      <c r="C2141" s="426" t="s">
        <v>65</v>
      </c>
      <c r="D2141" s="426" t="s">
        <v>666</v>
      </c>
      <c r="E2141" s="426" t="s">
        <v>62</v>
      </c>
      <c r="F2141" s="426"/>
      <c r="G2141" s="428" t="s">
        <v>67</v>
      </c>
      <c r="H2141" s="429">
        <v>1</v>
      </c>
      <c r="I2141" s="445"/>
      <c r="J2141" s="445">
        <v>150.02</v>
      </c>
      <c r="K2141" s="445">
        <v>150.02</v>
      </c>
    </row>
    <row r="2142" customHeight="1" spans="1:11">
      <c r="A2142" s="430" t="s">
        <v>1724</v>
      </c>
      <c r="B2142" s="431" t="s">
        <v>1854</v>
      </c>
      <c r="C2142" s="430" t="s">
        <v>71</v>
      </c>
      <c r="D2142" s="430" t="s">
        <v>1855</v>
      </c>
      <c r="E2142" s="430" t="s">
        <v>1708</v>
      </c>
      <c r="F2142" s="430"/>
      <c r="G2142" s="432" t="s">
        <v>82</v>
      </c>
      <c r="H2142" s="433">
        <v>0.1667</v>
      </c>
      <c r="I2142" s="433">
        <v>0</v>
      </c>
      <c r="J2142" s="446">
        <v>35.55</v>
      </c>
      <c r="K2142" s="446">
        <v>5.92</v>
      </c>
    </row>
    <row r="2143" customHeight="1" spans="1:11">
      <c r="A2143" s="430" t="s">
        <v>1724</v>
      </c>
      <c r="B2143" s="431" t="s">
        <v>1745</v>
      </c>
      <c r="C2143" s="430" t="s">
        <v>71</v>
      </c>
      <c r="D2143" s="430" t="s">
        <v>1746</v>
      </c>
      <c r="E2143" s="430" t="s">
        <v>1708</v>
      </c>
      <c r="F2143" s="430"/>
      <c r="G2143" s="432" t="s">
        <v>82</v>
      </c>
      <c r="H2143" s="433">
        <v>0.0525</v>
      </c>
      <c r="I2143" s="433">
        <v>0</v>
      </c>
      <c r="J2143" s="446">
        <v>29.15</v>
      </c>
      <c r="K2143" s="446">
        <v>1.53</v>
      </c>
    </row>
    <row r="2144" customHeight="1" spans="1:11">
      <c r="A2144" s="438" t="s">
        <v>1750</v>
      </c>
      <c r="B2144" s="439" t="s">
        <v>2547</v>
      </c>
      <c r="C2144" s="438" t="s">
        <v>71</v>
      </c>
      <c r="D2144" s="438" t="s">
        <v>2548</v>
      </c>
      <c r="E2144" s="438" t="s">
        <v>1631</v>
      </c>
      <c r="F2144" s="438"/>
      <c r="G2144" s="440" t="s">
        <v>105</v>
      </c>
      <c r="H2144" s="441">
        <v>1</v>
      </c>
      <c r="I2144" s="441">
        <v>0</v>
      </c>
      <c r="J2144" s="449">
        <v>142.5</v>
      </c>
      <c r="K2144" s="449">
        <v>142.5</v>
      </c>
    </row>
    <row r="2145" customHeight="1" spans="1:11">
      <c r="A2145" s="438" t="s">
        <v>1750</v>
      </c>
      <c r="B2145" s="439" t="s">
        <v>2361</v>
      </c>
      <c r="C2145" s="438" t="s">
        <v>71</v>
      </c>
      <c r="D2145" s="438" t="s">
        <v>2362</v>
      </c>
      <c r="E2145" s="438" t="s">
        <v>1631</v>
      </c>
      <c r="F2145" s="438"/>
      <c r="G2145" s="440" t="s">
        <v>105</v>
      </c>
      <c r="H2145" s="441">
        <v>0.021</v>
      </c>
      <c r="I2145" s="441">
        <v>0</v>
      </c>
      <c r="J2145" s="449">
        <v>3.65</v>
      </c>
      <c r="K2145" s="449">
        <v>0.07</v>
      </c>
    </row>
    <row r="2146" customHeight="1" spans="1:11">
      <c r="A2146" s="434"/>
      <c r="B2146" s="434"/>
      <c r="C2146" s="434"/>
      <c r="D2146" s="434"/>
      <c r="E2146" s="434"/>
      <c r="F2146" s="434" t="s">
        <v>1735</v>
      </c>
      <c r="G2146" s="435">
        <v>2.8</v>
      </c>
      <c r="H2146" s="434" t="s">
        <v>1736</v>
      </c>
      <c r="I2146" s="435">
        <v>2.56</v>
      </c>
      <c r="J2146" s="434" t="s">
        <v>1737</v>
      </c>
      <c r="K2146" s="435">
        <v>5.36</v>
      </c>
    </row>
    <row r="2147" customHeight="1" spans="1:11">
      <c r="A2147" s="434"/>
      <c r="B2147" s="434"/>
      <c r="C2147" s="434"/>
      <c r="D2147" s="434"/>
      <c r="E2147" s="434"/>
      <c r="F2147" s="434" t="s">
        <v>1738</v>
      </c>
      <c r="G2147" s="435">
        <v>36.99</v>
      </c>
      <c r="H2147" s="434"/>
      <c r="I2147" s="434" t="s">
        <v>1739</v>
      </c>
      <c r="J2147" s="434"/>
      <c r="K2147" s="435">
        <v>187.01</v>
      </c>
    </row>
    <row r="2148" customHeight="1" spans="1:11">
      <c r="A2148" s="436"/>
      <c r="B2148" s="436"/>
      <c r="C2148" s="436"/>
      <c r="D2148" s="436"/>
      <c r="E2148" s="436"/>
      <c r="F2148" s="436"/>
      <c r="G2148" s="436"/>
      <c r="H2148" s="436" t="s">
        <v>1740</v>
      </c>
      <c r="I2148" s="447" t="s">
        <v>1971</v>
      </c>
      <c r="J2148" s="436" t="s">
        <v>1742</v>
      </c>
      <c r="K2148" s="448">
        <v>374.02</v>
      </c>
    </row>
    <row r="2149" customHeight="1" spans="1:11">
      <c r="A2149" s="437"/>
      <c r="B2149" s="437"/>
      <c r="C2149" s="437"/>
      <c r="D2149" s="437"/>
      <c r="E2149" s="437"/>
      <c r="F2149" s="437"/>
      <c r="G2149" s="437"/>
      <c r="H2149" s="437"/>
      <c r="I2149" s="437"/>
      <c r="J2149" s="437"/>
      <c r="K2149" s="437"/>
    </row>
    <row r="2150" customHeight="1" spans="1:11">
      <c r="A2150" s="423" t="s">
        <v>667</v>
      </c>
      <c r="B2150" s="424" t="s">
        <v>1714</v>
      </c>
      <c r="C2150" s="423" t="s">
        <v>1715</v>
      </c>
      <c r="D2150" s="423" t="s">
        <v>1716</v>
      </c>
      <c r="E2150" s="423" t="s">
        <v>1717</v>
      </c>
      <c r="F2150" s="423"/>
      <c r="G2150" s="425" t="s">
        <v>1718</v>
      </c>
      <c r="H2150" s="424" t="s">
        <v>1719</v>
      </c>
      <c r="I2150" s="424" t="s">
        <v>1720</v>
      </c>
      <c r="J2150" s="424" t="s">
        <v>1721</v>
      </c>
      <c r="K2150" s="424" t="s">
        <v>1722</v>
      </c>
    </row>
    <row r="2151" customHeight="1" spans="1:11">
      <c r="A2151" s="426" t="s">
        <v>1723</v>
      </c>
      <c r="B2151" s="427" t="s">
        <v>668</v>
      </c>
      <c r="C2151" s="426" t="s">
        <v>65</v>
      </c>
      <c r="D2151" s="426" t="s">
        <v>669</v>
      </c>
      <c r="E2151" s="426" t="s">
        <v>62</v>
      </c>
      <c r="F2151" s="426"/>
      <c r="G2151" s="428" t="s">
        <v>67</v>
      </c>
      <c r="H2151" s="429">
        <v>1</v>
      </c>
      <c r="I2151" s="445"/>
      <c r="J2151" s="445">
        <v>133.77</v>
      </c>
      <c r="K2151" s="445">
        <v>133.77</v>
      </c>
    </row>
    <row r="2152" customHeight="1" spans="1:11">
      <c r="A2152" s="430" t="s">
        <v>1724</v>
      </c>
      <c r="B2152" s="431" t="s">
        <v>1745</v>
      </c>
      <c r="C2152" s="430" t="s">
        <v>71</v>
      </c>
      <c r="D2152" s="430" t="s">
        <v>1746</v>
      </c>
      <c r="E2152" s="430" t="s">
        <v>1708</v>
      </c>
      <c r="F2152" s="430"/>
      <c r="G2152" s="432" t="s">
        <v>82</v>
      </c>
      <c r="H2152" s="433">
        <v>0.0525</v>
      </c>
      <c r="I2152" s="433">
        <v>0</v>
      </c>
      <c r="J2152" s="446">
        <v>29.15</v>
      </c>
      <c r="K2152" s="446">
        <v>1.53</v>
      </c>
    </row>
    <row r="2153" customHeight="1" spans="1:11">
      <c r="A2153" s="430" t="s">
        <v>1724</v>
      </c>
      <c r="B2153" s="431" t="s">
        <v>1854</v>
      </c>
      <c r="C2153" s="430" t="s">
        <v>71</v>
      </c>
      <c r="D2153" s="430" t="s">
        <v>1855</v>
      </c>
      <c r="E2153" s="430" t="s">
        <v>1708</v>
      </c>
      <c r="F2153" s="430"/>
      <c r="G2153" s="432" t="s">
        <v>82</v>
      </c>
      <c r="H2153" s="433">
        <v>0.1667</v>
      </c>
      <c r="I2153" s="433">
        <v>0</v>
      </c>
      <c r="J2153" s="446">
        <v>35.55</v>
      </c>
      <c r="K2153" s="446">
        <v>5.92</v>
      </c>
    </row>
    <row r="2154" customHeight="1" spans="1:11">
      <c r="A2154" s="438" t="s">
        <v>1750</v>
      </c>
      <c r="B2154" s="439" t="s">
        <v>2361</v>
      </c>
      <c r="C2154" s="438" t="s">
        <v>71</v>
      </c>
      <c r="D2154" s="438" t="s">
        <v>2362</v>
      </c>
      <c r="E2154" s="438" t="s">
        <v>1631</v>
      </c>
      <c r="F2154" s="438"/>
      <c r="G2154" s="440" t="s">
        <v>105</v>
      </c>
      <c r="H2154" s="441">
        <v>0.021</v>
      </c>
      <c r="I2154" s="441">
        <v>0</v>
      </c>
      <c r="J2154" s="449">
        <v>3.65</v>
      </c>
      <c r="K2154" s="449">
        <v>0.07</v>
      </c>
    </row>
    <row r="2155" customHeight="1" spans="1:11">
      <c r="A2155" s="438" t="s">
        <v>1750</v>
      </c>
      <c r="B2155" s="439" t="s">
        <v>2549</v>
      </c>
      <c r="C2155" s="438" t="s">
        <v>71</v>
      </c>
      <c r="D2155" s="438" t="s">
        <v>2550</v>
      </c>
      <c r="E2155" s="438" t="s">
        <v>1631</v>
      </c>
      <c r="F2155" s="438"/>
      <c r="G2155" s="440" t="s">
        <v>105</v>
      </c>
      <c r="H2155" s="441">
        <v>1</v>
      </c>
      <c r="I2155" s="441">
        <v>0</v>
      </c>
      <c r="J2155" s="449">
        <v>126.25</v>
      </c>
      <c r="K2155" s="449">
        <v>126.25</v>
      </c>
    </row>
    <row r="2156" customHeight="1" spans="1:11">
      <c r="A2156" s="434"/>
      <c r="B2156" s="434"/>
      <c r="C2156" s="434"/>
      <c r="D2156" s="434"/>
      <c r="E2156" s="434"/>
      <c r="F2156" s="434" t="s">
        <v>1735</v>
      </c>
      <c r="G2156" s="435">
        <v>2.8</v>
      </c>
      <c r="H2156" s="434" t="s">
        <v>1736</v>
      </c>
      <c r="I2156" s="435">
        <v>2.56</v>
      </c>
      <c r="J2156" s="434" t="s">
        <v>1737</v>
      </c>
      <c r="K2156" s="435">
        <v>5.36</v>
      </c>
    </row>
    <row r="2157" customHeight="1" spans="1:11">
      <c r="A2157" s="434"/>
      <c r="B2157" s="434"/>
      <c r="C2157" s="434"/>
      <c r="D2157" s="434"/>
      <c r="E2157" s="434"/>
      <c r="F2157" s="434" t="s">
        <v>1738</v>
      </c>
      <c r="G2157" s="435">
        <v>32.98</v>
      </c>
      <c r="H2157" s="434"/>
      <c r="I2157" s="434" t="s">
        <v>1739</v>
      </c>
      <c r="J2157" s="434"/>
      <c r="K2157" s="435">
        <v>166.75</v>
      </c>
    </row>
    <row r="2158" customHeight="1" spans="1:11">
      <c r="A2158" s="436"/>
      <c r="B2158" s="436"/>
      <c r="C2158" s="436"/>
      <c r="D2158" s="436"/>
      <c r="E2158" s="436"/>
      <c r="F2158" s="436"/>
      <c r="G2158" s="436"/>
      <c r="H2158" s="436" t="s">
        <v>1740</v>
      </c>
      <c r="I2158" s="447" t="s">
        <v>1741</v>
      </c>
      <c r="J2158" s="436" t="s">
        <v>1742</v>
      </c>
      <c r="K2158" s="448">
        <v>166.75</v>
      </c>
    </row>
    <row r="2159" customHeight="1" spans="1:11">
      <c r="A2159" s="437"/>
      <c r="B2159" s="437"/>
      <c r="C2159" s="437"/>
      <c r="D2159" s="437"/>
      <c r="E2159" s="437"/>
      <c r="F2159" s="437"/>
      <c r="G2159" s="437"/>
      <c r="H2159" s="437"/>
      <c r="I2159" s="437"/>
      <c r="J2159" s="437"/>
      <c r="K2159" s="437"/>
    </row>
    <row r="2160" customHeight="1" spans="1:11">
      <c r="A2160" s="423" t="s">
        <v>670</v>
      </c>
      <c r="B2160" s="424" t="s">
        <v>1714</v>
      </c>
      <c r="C2160" s="423" t="s">
        <v>1715</v>
      </c>
      <c r="D2160" s="423" t="s">
        <v>1716</v>
      </c>
      <c r="E2160" s="423" t="s">
        <v>1717</v>
      </c>
      <c r="F2160" s="423"/>
      <c r="G2160" s="425" t="s">
        <v>1718</v>
      </c>
      <c r="H2160" s="424" t="s">
        <v>1719</v>
      </c>
      <c r="I2160" s="424" t="s">
        <v>1720</v>
      </c>
      <c r="J2160" s="424" t="s">
        <v>1721</v>
      </c>
      <c r="K2160" s="424" t="s">
        <v>1722</v>
      </c>
    </row>
    <row r="2161" customHeight="1" spans="1:11">
      <c r="A2161" s="426" t="s">
        <v>1723</v>
      </c>
      <c r="B2161" s="427" t="s">
        <v>671</v>
      </c>
      <c r="C2161" s="426" t="s">
        <v>76</v>
      </c>
      <c r="D2161" s="426" t="s">
        <v>672</v>
      </c>
      <c r="E2161" s="426">
        <v>18</v>
      </c>
      <c r="F2161" s="426"/>
      <c r="G2161" s="428" t="s">
        <v>105</v>
      </c>
      <c r="H2161" s="429">
        <v>1</v>
      </c>
      <c r="I2161" s="445"/>
      <c r="J2161" s="445">
        <v>63.74</v>
      </c>
      <c r="K2161" s="445">
        <v>63.74</v>
      </c>
    </row>
    <row r="2162" customHeight="1" spans="1:11">
      <c r="A2162" s="438" t="s">
        <v>1750</v>
      </c>
      <c r="B2162" s="439" t="s">
        <v>2551</v>
      </c>
      <c r="C2162" s="438" t="s">
        <v>76</v>
      </c>
      <c r="D2162" s="438" t="s">
        <v>2552</v>
      </c>
      <c r="E2162" s="438" t="s">
        <v>1631</v>
      </c>
      <c r="F2162" s="438"/>
      <c r="G2162" s="440" t="s">
        <v>105</v>
      </c>
      <c r="H2162" s="441">
        <v>1</v>
      </c>
      <c r="I2162" s="441">
        <v>0</v>
      </c>
      <c r="J2162" s="449">
        <v>63.74</v>
      </c>
      <c r="K2162" s="449">
        <v>63.74</v>
      </c>
    </row>
    <row r="2163" customHeight="1" spans="1:11">
      <c r="A2163" s="434"/>
      <c r="B2163" s="434"/>
      <c r="C2163" s="434"/>
      <c r="D2163" s="434"/>
      <c r="E2163" s="434"/>
      <c r="F2163" s="434" t="s">
        <v>1735</v>
      </c>
      <c r="G2163" s="435">
        <v>0</v>
      </c>
      <c r="H2163" s="434" t="s">
        <v>1736</v>
      </c>
      <c r="I2163" s="435">
        <v>0</v>
      </c>
      <c r="J2163" s="434" t="s">
        <v>1737</v>
      </c>
      <c r="K2163" s="435">
        <v>0</v>
      </c>
    </row>
    <row r="2164" customHeight="1" spans="1:11">
      <c r="A2164" s="434"/>
      <c r="B2164" s="434"/>
      <c r="C2164" s="434"/>
      <c r="D2164" s="434"/>
      <c r="E2164" s="434"/>
      <c r="F2164" s="434" t="s">
        <v>1738</v>
      </c>
      <c r="G2164" s="435">
        <v>15.71</v>
      </c>
      <c r="H2164" s="434"/>
      <c r="I2164" s="434" t="s">
        <v>1739</v>
      </c>
      <c r="J2164" s="434"/>
      <c r="K2164" s="435">
        <v>79.45</v>
      </c>
    </row>
    <row r="2165" customHeight="1" spans="1:11">
      <c r="A2165" s="436"/>
      <c r="B2165" s="436"/>
      <c r="C2165" s="436"/>
      <c r="D2165" s="436"/>
      <c r="E2165" s="436"/>
      <c r="F2165" s="436"/>
      <c r="G2165" s="436"/>
      <c r="H2165" s="436" t="s">
        <v>1740</v>
      </c>
      <c r="I2165" s="447" t="s">
        <v>1971</v>
      </c>
      <c r="J2165" s="436" t="s">
        <v>1742</v>
      </c>
      <c r="K2165" s="448">
        <v>158.9</v>
      </c>
    </row>
    <row r="2166" customHeight="1" spans="1:11">
      <c r="A2166" s="437"/>
      <c r="B2166" s="437"/>
      <c r="C2166" s="437"/>
      <c r="D2166" s="437"/>
      <c r="E2166" s="437"/>
      <c r="F2166" s="437"/>
      <c r="G2166" s="437"/>
      <c r="H2166" s="437"/>
      <c r="I2166" s="437"/>
      <c r="J2166" s="437"/>
      <c r="K2166" s="437"/>
    </row>
    <row r="2167" customHeight="1" spans="1:11">
      <c r="A2167" s="423" t="s">
        <v>673</v>
      </c>
      <c r="B2167" s="424" t="s">
        <v>1714</v>
      </c>
      <c r="C2167" s="423" t="s">
        <v>1715</v>
      </c>
      <c r="D2167" s="423" t="s">
        <v>1716</v>
      </c>
      <c r="E2167" s="423" t="s">
        <v>1717</v>
      </c>
      <c r="F2167" s="423"/>
      <c r="G2167" s="425" t="s">
        <v>1718</v>
      </c>
      <c r="H2167" s="424" t="s">
        <v>1719</v>
      </c>
      <c r="I2167" s="424" t="s">
        <v>1720</v>
      </c>
      <c r="J2167" s="424" t="s">
        <v>1721</v>
      </c>
      <c r="K2167" s="424" t="s">
        <v>1722</v>
      </c>
    </row>
    <row r="2168" customHeight="1" spans="1:11">
      <c r="A2168" s="426" t="s">
        <v>1723</v>
      </c>
      <c r="B2168" s="427" t="s">
        <v>674</v>
      </c>
      <c r="C2168" s="426" t="s">
        <v>71</v>
      </c>
      <c r="D2168" s="426" t="s">
        <v>675</v>
      </c>
      <c r="E2168" s="426" t="s">
        <v>1673</v>
      </c>
      <c r="F2168" s="426"/>
      <c r="G2168" s="428" t="s">
        <v>105</v>
      </c>
      <c r="H2168" s="429">
        <v>1</v>
      </c>
      <c r="I2168" s="445"/>
      <c r="J2168" s="445">
        <v>287.93</v>
      </c>
      <c r="K2168" s="445">
        <v>287.93</v>
      </c>
    </row>
    <row r="2169" customHeight="1" spans="1:11">
      <c r="A2169" s="430" t="s">
        <v>1724</v>
      </c>
      <c r="B2169" s="431" t="s">
        <v>1745</v>
      </c>
      <c r="C2169" s="430" t="s">
        <v>71</v>
      </c>
      <c r="D2169" s="430" t="s">
        <v>1746</v>
      </c>
      <c r="E2169" s="430" t="s">
        <v>1708</v>
      </c>
      <c r="F2169" s="430"/>
      <c r="G2169" s="432" t="s">
        <v>82</v>
      </c>
      <c r="H2169" s="433">
        <v>0.2988</v>
      </c>
      <c r="I2169" s="433">
        <v>0</v>
      </c>
      <c r="J2169" s="446">
        <v>29.15</v>
      </c>
      <c r="K2169" s="446">
        <v>8.71</v>
      </c>
    </row>
    <row r="2170" customHeight="1" spans="1:11">
      <c r="A2170" s="430" t="s">
        <v>1724</v>
      </c>
      <c r="B2170" s="431" t="s">
        <v>1854</v>
      </c>
      <c r="C2170" s="430" t="s">
        <v>71</v>
      </c>
      <c r="D2170" s="430" t="s">
        <v>1855</v>
      </c>
      <c r="E2170" s="430" t="s">
        <v>1708</v>
      </c>
      <c r="F2170" s="430"/>
      <c r="G2170" s="432" t="s">
        <v>82</v>
      </c>
      <c r="H2170" s="433">
        <v>0.9485</v>
      </c>
      <c r="I2170" s="433">
        <v>0</v>
      </c>
      <c r="J2170" s="446">
        <v>35.55</v>
      </c>
      <c r="K2170" s="446">
        <v>33.71</v>
      </c>
    </row>
    <row r="2171" customHeight="1" spans="1:11">
      <c r="A2171" s="438" t="s">
        <v>1750</v>
      </c>
      <c r="B2171" s="439" t="s">
        <v>2513</v>
      </c>
      <c r="C2171" s="438" t="s">
        <v>71</v>
      </c>
      <c r="D2171" s="438" t="s">
        <v>2514</v>
      </c>
      <c r="E2171" s="438" t="s">
        <v>1631</v>
      </c>
      <c r="F2171" s="438"/>
      <c r="G2171" s="440" t="s">
        <v>105</v>
      </c>
      <c r="H2171" s="441">
        <v>6</v>
      </c>
      <c r="I2171" s="441">
        <v>0</v>
      </c>
      <c r="J2171" s="449">
        <v>22.34</v>
      </c>
      <c r="K2171" s="449">
        <v>134.04</v>
      </c>
    </row>
    <row r="2172" customHeight="1" spans="1:11">
      <c r="A2172" s="438" t="s">
        <v>1750</v>
      </c>
      <c r="B2172" s="439" t="s">
        <v>2553</v>
      </c>
      <c r="C2172" s="438" t="s">
        <v>71</v>
      </c>
      <c r="D2172" s="438" t="s">
        <v>2554</v>
      </c>
      <c r="E2172" s="438" t="s">
        <v>1631</v>
      </c>
      <c r="F2172" s="438"/>
      <c r="G2172" s="440" t="s">
        <v>105</v>
      </c>
      <c r="H2172" s="441">
        <v>1</v>
      </c>
      <c r="I2172" s="441">
        <v>0</v>
      </c>
      <c r="J2172" s="449">
        <v>111.47</v>
      </c>
      <c r="K2172" s="449">
        <v>111.47</v>
      </c>
    </row>
    <row r="2173" customHeight="1" spans="1:11">
      <c r="A2173" s="434"/>
      <c r="B2173" s="434"/>
      <c r="C2173" s="434"/>
      <c r="D2173" s="434"/>
      <c r="E2173" s="434"/>
      <c r="F2173" s="434" t="s">
        <v>1735</v>
      </c>
      <c r="G2173" s="435">
        <v>16.01</v>
      </c>
      <c r="H2173" s="434" t="s">
        <v>1736</v>
      </c>
      <c r="I2173" s="435">
        <v>14.56</v>
      </c>
      <c r="J2173" s="434" t="s">
        <v>1737</v>
      </c>
      <c r="K2173" s="435">
        <v>30.57</v>
      </c>
    </row>
    <row r="2174" customHeight="1" spans="1:11">
      <c r="A2174" s="434"/>
      <c r="B2174" s="434"/>
      <c r="C2174" s="434"/>
      <c r="D2174" s="434"/>
      <c r="E2174" s="434"/>
      <c r="F2174" s="434" t="s">
        <v>1738</v>
      </c>
      <c r="G2174" s="435">
        <v>71</v>
      </c>
      <c r="H2174" s="434"/>
      <c r="I2174" s="434" t="s">
        <v>1739</v>
      </c>
      <c r="J2174" s="434"/>
      <c r="K2174" s="435">
        <v>358.93</v>
      </c>
    </row>
    <row r="2175" customHeight="1" spans="1:11">
      <c r="A2175" s="436"/>
      <c r="B2175" s="436"/>
      <c r="C2175" s="436"/>
      <c r="D2175" s="436"/>
      <c r="E2175" s="436"/>
      <c r="F2175" s="436"/>
      <c r="G2175" s="436"/>
      <c r="H2175" s="436" t="s">
        <v>1740</v>
      </c>
      <c r="I2175" s="447" t="s">
        <v>2324</v>
      </c>
      <c r="J2175" s="436" t="s">
        <v>1742</v>
      </c>
      <c r="K2175" s="448">
        <v>1435.72</v>
      </c>
    </row>
    <row r="2176" customHeight="1" spans="1:11">
      <c r="A2176" s="437"/>
      <c r="B2176" s="437"/>
      <c r="C2176" s="437"/>
      <c r="D2176" s="437"/>
      <c r="E2176" s="437"/>
      <c r="F2176" s="437"/>
      <c r="G2176" s="437"/>
      <c r="H2176" s="437"/>
      <c r="I2176" s="437"/>
      <c r="J2176" s="437"/>
      <c r="K2176" s="437"/>
    </row>
    <row r="2177" customHeight="1" spans="1:11">
      <c r="A2177" s="423" t="s">
        <v>676</v>
      </c>
      <c r="B2177" s="424" t="s">
        <v>1714</v>
      </c>
      <c r="C2177" s="423" t="s">
        <v>1715</v>
      </c>
      <c r="D2177" s="423" t="s">
        <v>1716</v>
      </c>
      <c r="E2177" s="423" t="s">
        <v>1717</v>
      </c>
      <c r="F2177" s="423"/>
      <c r="G2177" s="425" t="s">
        <v>1718</v>
      </c>
      <c r="H2177" s="424" t="s">
        <v>1719</v>
      </c>
      <c r="I2177" s="424" t="s">
        <v>1720</v>
      </c>
      <c r="J2177" s="424" t="s">
        <v>1721</v>
      </c>
      <c r="K2177" s="424" t="s">
        <v>1722</v>
      </c>
    </row>
    <row r="2178" customHeight="1" spans="1:11">
      <c r="A2178" s="426" t="s">
        <v>1723</v>
      </c>
      <c r="B2178" s="427" t="s">
        <v>677</v>
      </c>
      <c r="C2178" s="426" t="s">
        <v>71</v>
      </c>
      <c r="D2178" s="426" t="s">
        <v>678</v>
      </c>
      <c r="E2178" s="426" t="s">
        <v>1673</v>
      </c>
      <c r="F2178" s="426"/>
      <c r="G2178" s="428" t="s">
        <v>105</v>
      </c>
      <c r="H2178" s="429">
        <v>1</v>
      </c>
      <c r="I2178" s="445"/>
      <c r="J2178" s="445">
        <v>308.46</v>
      </c>
      <c r="K2178" s="445">
        <v>308.46</v>
      </c>
    </row>
    <row r="2179" customHeight="1" spans="1:11">
      <c r="A2179" s="430" t="s">
        <v>1724</v>
      </c>
      <c r="B2179" s="431" t="s">
        <v>1854</v>
      </c>
      <c r="C2179" s="430" t="s">
        <v>71</v>
      </c>
      <c r="D2179" s="430" t="s">
        <v>1855</v>
      </c>
      <c r="E2179" s="430" t="s">
        <v>1708</v>
      </c>
      <c r="F2179" s="430"/>
      <c r="G2179" s="432" t="s">
        <v>82</v>
      </c>
      <c r="H2179" s="433">
        <v>0.9485</v>
      </c>
      <c r="I2179" s="433">
        <v>0</v>
      </c>
      <c r="J2179" s="446">
        <v>35.55</v>
      </c>
      <c r="K2179" s="446">
        <v>33.71</v>
      </c>
    </row>
    <row r="2180" customHeight="1" spans="1:11">
      <c r="A2180" s="430" t="s">
        <v>1724</v>
      </c>
      <c r="B2180" s="431" t="s">
        <v>1745</v>
      </c>
      <c r="C2180" s="430" t="s">
        <v>71</v>
      </c>
      <c r="D2180" s="430" t="s">
        <v>1746</v>
      </c>
      <c r="E2180" s="430" t="s">
        <v>1708</v>
      </c>
      <c r="F2180" s="430"/>
      <c r="G2180" s="432" t="s">
        <v>82</v>
      </c>
      <c r="H2180" s="433">
        <v>0.2988</v>
      </c>
      <c r="I2180" s="433">
        <v>0</v>
      </c>
      <c r="J2180" s="446">
        <v>29.15</v>
      </c>
      <c r="K2180" s="446">
        <v>8.71</v>
      </c>
    </row>
    <row r="2181" customHeight="1" spans="1:11">
      <c r="A2181" s="438" t="s">
        <v>1750</v>
      </c>
      <c r="B2181" s="439" t="s">
        <v>2513</v>
      </c>
      <c r="C2181" s="438" t="s">
        <v>71</v>
      </c>
      <c r="D2181" s="438" t="s">
        <v>2514</v>
      </c>
      <c r="E2181" s="438" t="s">
        <v>1631</v>
      </c>
      <c r="F2181" s="438"/>
      <c r="G2181" s="440" t="s">
        <v>105</v>
      </c>
      <c r="H2181" s="441">
        <v>6</v>
      </c>
      <c r="I2181" s="441">
        <v>0</v>
      </c>
      <c r="J2181" s="449">
        <v>22.34</v>
      </c>
      <c r="K2181" s="449">
        <v>134.04</v>
      </c>
    </row>
    <row r="2182" customHeight="1" spans="1:11">
      <c r="A2182" s="438" t="s">
        <v>1750</v>
      </c>
      <c r="B2182" s="439" t="s">
        <v>2555</v>
      </c>
      <c r="C2182" s="438" t="s">
        <v>71</v>
      </c>
      <c r="D2182" s="438" t="s">
        <v>2556</v>
      </c>
      <c r="E2182" s="438" t="s">
        <v>1631</v>
      </c>
      <c r="F2182" s="438"/>
      <c r="G2182" s="440" t="s">
        <v>105</v>
      </c>
      <c r="H2182" s="441">
        <v>1</v>
      </c>
      <c r="I2182" s="441">
        <v>0</v>
      </c>
      <c r="J2182" s="449">
        <v>132</v>
      </c>
      <c r="K2182" s="449">
        <v>132</v>
      </c>
    </row>
    <row r="2183" customHeight="1" spans="1:11">
      <c r="A2183" s="434"/>
      <c r="B2183" s="434"/>
      <c r="C2183" s="434"/>
      <c r="D2183" s="434"/>
      <c r="E2183" s="434"/>
      <c r="F2183" s="434" t="s">
        <v>1735</v>
      </c>
      <c r="G2183" s="435">
        <v>16.01</v>
      </c>
      <c r="H2183" s="434" t="s">
        <v>1736</v>
      </c>
      <c r="I2183" s="435">
        <v>14.56</v>
      </c>
      <c r="J2183" s="434" t="s">
        <v>1737</v>
      </c>
      <c r="K2183" s="435">
        <v>30.57</v>
      </c>
    </row>
    <row r="2184" customHeight="1" spans="1:11">
      <c r="A2184" s="434"/>
      <c r="B2184" s="434"/>
      <c r="C2184" s="434"/>
      <c r="D2184" s="434"/>
      <c r="E2184" s="434"/>
      <c r="F2184" s="434" t="s">
        <v>1738</v>
      </c>
      <c r="G2184" s="435">
        <v>76.06</v>
      </c>
      <c r="H2184" s="434"/>
      <c r="I2184" s="434" t="s">
        <v>1739</v>
      </c>
      <c r="J2184" s="434"/>
      <c r="K2184" s="435">
        <v>384.52</v>
      </c>
    </row>
    <row r="2185" customHeight="1" spans="1:11">
      <c r="A2185" s="436"/>
      <c r="B2185" s="436"/>
      <c r="C2185" s="436"/>
      <c r="D2185" s="436"/>
      <c r="E2185" s="436"/>
      <c r="F2185" s="436"/>
      <c r="G2185" s="436"/>
      <c r="H2185" s="436" t="s">
        <v>1740</v>
      </c>
      <c r="I2185" s="447" t="s">
        <v>1759</v>
      </c>
      <c r="J2185" s="436" t="s">
        <v>1742</v>
      </c>
      <c r="K2185" s="448">
        <v>2307.12</v>
      </c>
    </row>
    <row r="2186" customHeight="1" spans="1:11">
      <c r="A2186" s="437"/>
      <c r="B2186" s="437"/>
      <c r="C2186" s="437"/>
      <c r="D2186" s="437"/>
      <c r="E2186" s="437"/>
      <c r="F2186" s="437"/>
      <c r="G2186" s="437"/>
      <c r="H2186" s="437"/>
      <c r="I2186" s="437"/>
      <c r="J2186" s="437"/>
      <c r="K2186" s="437"/>
    </row>
    <row r="2187" customHeight="1" spans="1:11">
      <c r="A2187" s="423" t="s">
        <v>679</v>
      </c>
      <c r="B2187" s="424" t="s">
        <v>1714</v>
      </c>
      <c r="C2187" s="423" t="s">
        <v>1715</v>
      </c>
      <c r="D2187" s="423" t="s">
        <v>1716</v>
      </c>
      <c r="E2187" s="423" t="s">
        <v>1717</v>
      </c>
      <c r="F2187" s="423"/>
      <c r="G2187" s="425" t="s">
        <v>1718</v>
      </c>
      <c r="H2187" s="424" t="s">
        <v>1719</v>
      </c>
      <c r="I2187" s="424" t="s">
        <v>1720</v>
      </c>
      <c r="J2187" s="424" t="s">
        <v>1721</v>
      </c>
      <c r="K2187" s="424" t="s">
        <v>1722</v>
      </c>
    </row>
    <row r="2188" customHeight="1" spans="1:11">
      <c r="A2188" s="426" t="s">
        <v>1723</v>
      </c>
      <c r="B2188" s="427" t="s">
        <v>680</v>
      </c>
      <c r="C2188" s="426" t="s">
        <v>71</v>
      </c>
      <c r="D2188" s="426" t="s">
        <v>681</v>
      </c>
      <c r="E2188" s="426" t="s">
        <v>1673</v>
      </c>
      <c r="F2188" s="426"/>
      <c r="G2188" s="428" t="s">
        <v>105</v>
      </c>
      <c r="H2188" s="429">
        <v>1</v>
      </c>
      <c r="I2188" s="445"/>
      <c r="J2188" s="445">
        <v>17.34</v>
      </c>
      <c r="K2188" s="445">
        <v>17.34</v>
      </c>
    </row>
    <row r="2189" customHeight="1" spans="1:11">
      <c r="A2189" s="430" t="s">
        <v>1724</v>
      </c>
      <c r="B2189" s="431" t="s">
        <v>1745</v>
      </c>
      <c r="C2189" s="430" t="s">
        <v>71</v>
      </c>
      <c r="D2189" s="430" t="s">
        <v>1746</v>
      </c>
      <c r="E2189" s="430" t="s">
        <v>1708</v>
      </c>
      <c r="F2189" s="430"/>
      <c r="G2189" s="432" t="s">
        <v>82</v>
      </c>
      <c r="H2189" s="433">
        <v>0.0266</v>
      </c>
      <c r="I2189" s="433">
        <v>0</v>
      </c>
      <c r="J2189" s="446">
        <v>29.15</v>
      </c>
      <c r="K2189" s="446">
        <v>0.77</v>
      </c>
    </row>
    <row r="2190" customHeight="1" spans="1:11">
      <c r="A2190" s="430" t="s">
        <v>1724</v>
      </c>
      <c r="B2190" s="431" t="s">
        <v>1854</v>
      </c>
      <c r="C2190" s="430" t="s">
        <v>71</v>
      </c>
      <c r="D2190" s="430" t="s">
        <v>1855</v>
      </c>
      <c r="E2190" s="430" t="s">
        <v>1708</v>
      </c>
      <c r="F2190" s="430"/>
      <c r="G2190" s="432" t="s">
        <v>82</v>
      </c>
      <c r="H2190" s="433">
        <v>0.0845</v>
      </c>
      <c r="I2190" s="433">
        <v>0</v>
      </c>
      <c r="J2190" s="446">
        <v>35.55</v>
      </c>
      <c r="K2190" s="446">
        <v>3</v>
      </c>
    </row>
    <row r="2191" customHeight="1" spans="1:11">
      <c r="A2191" s="438" t="s">
        <v>1750</v>
      </c>
      <c r="B2191" s="439" t="s">
        <v>2361</v>
      </c>
      <c r="C2191" s="438" t="s">
        <v>71</v>
      </c>
      <c r="D2191" s="438" t="s">
        <v>2362</v>
      </c>
      <c r="E2191" s="438" t="s">
        <v>1631</v>
      </c>
      <c r="F2191" s="438"/>
      <c r="G2191" s="440" t="s">
        <v>105</v>
      </c>
      <c r="H2191" s="441">
        <v>0.0332</v>
      </c>
      <c r="I2191" s="441">
        <v>0</v>
      </c>
      <c r="J2191" s="449">
        <v>3.65</v>
      </c>
      <c r="K2191" s="449">
        <v>0.12</v>
      </c>
    </row>
    <row r="2192" customHeight="1" spans="1:11">
      <c r="A2192" s="438" t="s">
        <v>1750</v>
      </c>
      <c r="B2192" s="439" t="s">
        <v>2557</v>
      </c>
      <c r="C2192" s="438" t="s">
        <v>71</v>
      </c>
      <c r="D2192" s="438" t="s">
        <v>2558</v>
      </c>
      <c r="E2192" s="438" t="s">
        <v>1631</v>
      </c>
      <c r="F2192" s="438"/>
      <c r="G2192" s="440" t="s">
        <v>105</v>
      </c>
      <c r="H2192" s="441">
        <v>1</v>
      </c>
      <c r="I2192" s="441">
        <v>0</v>
      </c>
      <c r="J2192" s="449">
        <v>13.45</v>
      </c>
      <c r="K2192" s="449">
        <v>13.45</v>
      </c>
    </row>
    <row r="2193" customHeight="1" spans="1:11">
      <c r="A2193" s="434"/>
      <c r="B2193" s="434"/>
      <c r="C2193" s="434"/>
      <c r="D2193" s="434"/>
      <c r="E2193" s="434"/>
      <c r="F2193" s="434" t="s">
        <v>1735</v>
      </c>
      <c r="G2193" s="435">
        <v>1.42</v>
      </c>
      <c r="H2193" s="434" t="s">
        <v>1736</v>
      </c>
      <c r="I2193" s="435">
        <v>1.3</v>
      </c>
      <c r="J2193" s="434" t="s">
        <v>1737</v>
      </c>
      <c r="K2193" s="435">
        <v>2.72</v>
      </c>
    </row>
    <row r="2194" customHeight="1" spans="1:11">
      <c r="A2194" s="434"/>
      <c r="B2194" s="434"/>
      <c r="C2194" s="434"/>
      <c r="D2194" s="434"/>
      <c r="E2194" s="434"/>
      <c r="F2194" s="434" t="s">
        <v>1738</v>
      </c>
      <c r="G2194" s="435">
        <v>4.27</v>
      </c>
      <c r="H2194" s="434"/>
      <c r="I2194" s="434" t="s">
        <v>1739</v>
      </c>
      <c r="J2194" s="434"/>
      <c r="K2194" s="435">
        <v>21.61</v>
      </c>
    </row>
    <row r="2195" customHeight="1" spans="1:11">
      <c r="A2195" s="436"/>
      <c r="B2195" s="436"/>
      <c r="C2195" s="436"/>
      <c r="D2195" s="436"/>
      <c r="E2195" s="436"/>
      <c r="F2195" s="436"/>
      <c r="G2195" s="436"/>
      <c r="H2195" s="436" t="s">
        <v>1740</v>
      </c>
      <c r="I2195" s="447" t="s">
        <v>1964</v>
      </c>
      <c r="J2195" s="436" t="s">
        <v>1742</v>
      </c>
      <c r="K2195" s="448">
        <v>216.1</v>
      </c>
    </row>
    <row r="2196" customHeight="1" spans="1:11">
      <c r="A2196" s="437"/>
      <c r="B2196" s="437"/>
      <c r="C2196" s="437"/>
      <c r="D2196" s="437"/>
      <c r="E2196" s="437"/>
      <c r="F2196" s="437"/>
      <c r="G2196" s="437"/>
      <c r="H2196" s="437"/>
      <c r="I2196" s="437"/>
      <c r="J2196" s="437"/>
      <c r="K2196" s="437"/>
    </row>
    <row r="2197" customHeight="1" spans="1:11">
      <c r="A2197" s="423" t="s">
        <v>682</v>
      </c>
      <c r="B2197" s="424" t="s">
        <v>1714</v>
      </c>
      <c r="C2197" s="423" t="s">
        <v>1715</v>
      </c>
      <c r="D2197" s="423" t="s">
        <v>1716</v>
      </c>
      <c r="E2197" s="423" t="s">
        <v>1717</v>
      </c>
      <c r="F2197" s="423"/>
      <c r="G2197" s="425" t="s">
        <v>1718</v>
      </c>
      <c r="H2197" s="424" t="s">
        <v>1719</v>
      </c>
      <c r="I2197" s="424" t="s">
        <v>1720</v>
      </c>
      <c r="J2197" s="424" t="s">
        <v>1721</v>
      </c>
      <c r="K2197" s="424" t="s">
        <v>1722</v>
      </c>
    </row>
    <row r="2198" customHeight="1" spans="1:11">
      <c r="A2198" s="426" t="s">
        <v>1723</v>
      </c>
      <c r="B2198" s="427" t="s">
        <v>683</v>
      </c>
      <c r="C2198" s="426" t="s">
        <v>71</v>
      </c>
      <c r="D2198" s="426" t="s">
        <v>684</v>
      </c>
      <c r="E2198" s="426" t="s">
        <v>1673</v>
      </c>
      <c r="F2198" s="426"/>
      <c r="G2198" s="428" t="s">
        <v>105</v>
      </c>
      <c r="H2198" s="429">
        <v>1</v>
      </c>
      <c r="I2198" s="445"/>
      <c r="J2198" s="445">
        <v>212.24</v>
      </c>
      <c r="K2198" s="445">
        <v>212.24</v>
      </c>
    </row>
    <row r="2199" customHeight="1" spans="1:11">
      <c r="A2199" s="430" t="s">
        <v>1724</v>
      </c>
      <c r="B2199" s="431" t="s">
        <v>1854</v>
      </c>
      <c r="C2199" s="430" t="s">
        <v>71</v>
      </c>
      <c r="D2199" s="430" t="s">
        <v>1855</v>
      </c>
      <c r="E2199" s="430" t="s">
        <v>1708</v>
      </c>
      <c r="F2199" s="430"/>
      <c r="G2199" s="432" t="s">
        <v>82</v>
      </c>
      <c r="H2199" s="433">
        <v>0.2734</v>
      </c>
      <c r="I2199" s="433">
        <v>0</v>
      </c>
      <c r="J2199" s="446">
        <v>35.55</v>
      </c>
      <c r="K2199" s="446">
        <v>9.71</v>
      </c>
    </row>
    <row r="2200" customHeight="1" spans="1:11">
      <c r="A2200" s="430" t="s">
        <v>1724</v>
      </c>
      <c r="B2200" s="431" t="s">
        <v>1745</v>
      </c>
      <c r="C2200" s="430" t="s">
        <v>71</v>
      </c>
      <c r="D2200" s="430" t="s">
        <v>1746</v>
      </c>
      <c r="E2200" s="430" t="s">
        <v>1708</v>
      </c>
      <c r="F2200" s="430"/>
      <c r="G2200" s="432" t="s">
        <v>82</v>
      </c>
      <c r="H2200" s="433">
        <v>0.0862</v>
      </c>
      <c r="I2200" s="433">
        <v>0</v>
      </c>
      <c r="J2200" s="446">
        <v>29.15</v>
      </c>
      <c r="K2200" s="446">
        <v>2.51</v>
      </c>
    </row>
    <row r="2201" customHeight="1" spans="1:11">
      <c r="A2201" s="438" t="s">
        <v>1750</v>
      </c>
      <c r="B2201" s="439" t="s">
        <v>2361</v>
      </c>
      <c r="C2201" s="438" t="s">
        <v>71</v>
      </c>
      <c r="D2201" s="438" t="s">
        <v>2362</v>
      </c>
      <c r="E2201" s="438" t="s">
        <v>1631</v>
      </c>
      <c r="F2201" s="438"/>
      <c r="G2201" s="440" t="s">
        <v>105</v>
      </c>
      <c r="H2201" s="441">
        <v>0.0332</v>
      </c>
      <c r="I2201" s="441">
        <v>0</v>
      </c>
      <c r="J2201" s="449">
        <v>3.65</v>
      </c>
      <c r="K2201" s="449">
        <v>0.12</v>
      </c>
    </row>
    <row r="2202" customHeight="1" spans="1:11">
      <c r="A2202" s="438" t="s">
        <v>1750</v>
      </c>
      <c r="B2202" s="439" t="s">
        <v>2559</v>
      </c>
      <c r="C2202" s="438" t="s">
        <v>71</v>
      </c>
      <c r="D2202" s="438" t="s">
        <v>2560</v>
      </c>
      <c r="E2202" s="438" t="s">
        <v>1631</v>
      </c>
      <c r="F2202" s="438"/>
      <c r="G2202" s="440" t="s">
        <v>105</v>
      </c>
      <c r="H2202" s="441">
        <v>1</v>
      </c>
      <c r="I2202" s="441">
        <v>0</v>
      </c>
      <c r="J2202" s="449">
        <v>199.9</v>
      </c>
      <c r="K2202" s="449">
        <v>199.9</v>
      </c>
    </row>
    <row r="2203" customHeight="1" spans="1:11">
      <c r="A2203" s="434"/>
      <c r="B2203" s="434"/>
      <c r="C2203" s="434"/>
      <c r="D2203" s="434"/>
      <c r="E2203" s="434"/>
      <c r="F2203" s="434" t="s">
        <v>1735</v>
      </c>
      <c r="G2203" s="435">
        <v>4.61</v>
      </c>
      <c r="H2203" s="434" t="s">
        <v>1736</v>
      </c>
      <c r="I2203" s="435">
        <v>4.19</v>
      </c>
      <c r="J2203" s="434" t="s">
        <v>1737</v>
      </c>
      <c r="K2203" s="435">
        <v>8.8</v>
      </c>
    </row>
    <row r="2204" customHeight="1" spans="1:11">
      <c r="A2204" s="434"/>
      <c r="B2204" s="434"/>
      <c r="C2204" s="434"/>
      <c r="D2204" s="434"/>
      <c r="E2204" s="434"/>
      <c r="F2204" s="434" t="s">
        <v>1738</v>
      </c>
      <c r="G2204" s="435">
        <v>52.33</v>
      </c>
      <c r="H2204" s="434"/>
      <c r="I2204" s="434" t="s">
        <v>1739</v>
      </c>
      <c r="J2204" s="434"/>
      <c r="K2204" s="435">
        <v>264.57</v>
      </c>
    </row>
    <row r="2205" customHeight="1" spans="1:11">
      <c r="A2205" s="436"/>
      <c r="B2205" s="436"/>
      <c r="C2205" s="436"/>
      <c r="D2205" s="436"/>
      <c r="E2205" s="436"/>
      <c r="F2205" s="436"/>
      <c r="G2205" s="436"/>
      <c r="H2205" s="436" t="s">
        <v>1740</v>
      </c>
      <c r="I2205" s="447" t="s">
        <v>1971</v>
      </c>
      <c r="J2205" s="436" t="s">
        <v>1742</v>
      </c>
      <c r="K2205" s="448">
        <v>529.14</v>
      </c>
    </row>
    <row r="2206" customHeight="1" spans="1:11">
      <c r="A2206" s="437"/>
      <c r="B2206" s="437"/>
      <c r="C2206" s="437"/>
      <c r="D2206" s="437"/>
      <c r="E2206" s="437"/>
      <c r="F2206" s="437"/>
      <c r="G2206" s="437"/>
      <c r="H2206" s="437"/>
      <c r="I2206" s="437"/>
      <c r="J2206" s="437"/>
      <c r="K2206" s="437"/>
    </row>
    <row r="2207" customHeight="1" spans="1:11">
      <c r="A2207" s="423" t="s">
        <v>685</v>
      </c>
      <c r="B2207" s="424" t="s">
        <v>1714</v>
      </c>
      <c r="C2207" s="423" t="s">
        <v>1715</v>
      </c>
      <c r="D2207" s="423" t="s">
        <v>1716</v>
      </c>
      <c r="E2207" s="423" t="s">
        <v>1717</v>
      </c>
      <c r="F2207" s="423"/>
      <c r="G2207" s="425" t="s">
        <v>1718</v>
      </c>
      <c r="H2207" s="424" t="s">
        <v>1719</v>
      </c>
      <c r="I2207" s="424" t="s">
        <v>1720</v>
      </c>
      <c r="J2207" s="424" t="s">
        <v>1721</v>
      </c>
      <c r="K2207" s="424" t="s">
        <v>1722</v>
      </c>
    </row>
    <row r="2208" customHeight="1" spans="1:11">
      <c r="A2208" s="426" t="s">
        <v>1723</v>
      </c>
      <c r="B2208" s="427" t="s">
        <v>686</v>
      </c>
      <c r="C2208" s="426" t="s">
        <v>65</v>
      </c>
      <c r="D2208" s="426" t="s">
        <v>687</v>
      </c>
      <c r="E2208" s="426" t="s">
        <v>62</v>
      </c>
      <c r="F2208" s="426"/>
      <c r="G2208" s="428" t="s">
        <v>67</v>
      </c>
      <c r="H2208" s="429">
        <v>1</v>
      </c>
      <c r="I2208" s="445"/>
      <c r="J2208" s="445">
        <v>604.61</v>
      </c>
      <c r="K2208" s="445">
        <v>604.61</v>
      </c>
    </row>
    <row r="2209" customHeight="1" spans="1:11">
      <c r="A2209" s="430" t="s">
        <v>1724</v>
      </c>
      <c r="B2209" s="431" t="s">
        <v>2245</v>
      </c>
      <c r="C2209" s="430" t="s">
        <v>71</v>
      </c>
      <c r="D2209" s="430" t="s">
        <v>2246</v>
      </c>
      <c r="E2209" s="430" t="s">
        <v>1708</v>
      </c>
      <c r="F2209" s="430"/>
      <c r="G2209" s="432" t="s">
        <v>82</v>
      </c>
      <c r="H2209" s="433">
        <v>1.949</v>
      </c>
      <c r="I2209" s="433">
        <v>0</v>
      </c>
      <c r="J2209" s="446">
        <v>33.17</v>
      </c>
      <c r="K2209" s="446">
        <v>64.64</v>
      </c>
    </row>
    <row r="2210" customHeight="1" spans="1:11">
      <c r="A2210" s="430" t="s">
        <v>1724</v>
      </c>
      <c r="B2210" s="431" t="s">
        <v>1745</v>
      </c>
      <c r="C2210" s="430" t="s">
        <v>71</v>
      </c>
      <c r="D2210" s="430" t="s">
        <v>1746</v>
      </c>
      <c r="E2210" s="430" t="s">
        <v>1708</v>
      </c>
      <c r="F2210" s="430"/>
      <c r="G2210" s="432" t="s">
        <v>82</v>
      </c>
      <c r="H2210" s="433">
        <v>1.865</v>
      </c>
      <c r="I2210" s="433">
        <v>0</v>
      </c>
      <c r="J2210" s="446">
        <v>29.15</v>
      </c>
      <c r="K2210" s="446">
        <v>54.36</v>
      </c>
    </row>
    <row r="2211" customHeight="1" spans="1:11">
      <c r="A2211" s="438" t="s">
        <v>1750</v>
      </c>
      <c r="B2211" s="439" t="s">
        <v>2561</v>
      </c>
      <c r="C2211" s="438" t="s">
        <v>71</v>
      </c>
      <c r="D2211" s="438" t="s">
        <v>2562</v>
      </c>
      <c r="E2211" s="438" t="s">
        <v>1631</v>
      </c>
      <c r="F2211" s="438"/>
      <c r="G2211" s="440" t="s">
        <v>73</v>
      </c>
      <c r="H2211" s="441">
        <v>1</v>
      </c>
      <c r="I2211" s="441">
        <v>0</v>
      </c>
      <c r="J2211" s="449">
        <v>422.83</v>
      </c>
      <c r="K2211" s="449">
        <v>422.83</v>
      </c>
    </row>
    <row r="2212" customHeight="1" spans="1:11">
      <c r="A2212" s="438" t="s">
        <v>1750</v>
      </c>
      <c r="B2212" s="439" t="s">
        <v>2563</v>
      </c>
      <c r="C2212" s="438" t="s">
        <v>71</v>
      </c>
      <c r="D2212" s="438" t="s">
        <v>2564</v>
      </c>
      <c r="E2212" s="438" t="s">
        <v>1631</v>
      </c>
      <c r="F2212" s="438"/>
      <c r="G2212" s="440" t="s">
        <v>78</v>
      </c>
      <c r="H2212" s="441">
        <v>6.22753</v>
      </c>
      <c r="I2212" s="441">
        <v>0</v>
      </c>
      <c r="J2212" s="449">
        <v>8.4</v>
      </c>
      <c r="K2212" s="449">
        <v>52.31</v>
      </c>
    </row>
    <row r="2213" customHeight="1" spans="1:11">
      <c r="A2213" s="438" t="s">
        <v>1750</v>
      </c>
      <c r="B2213" s="439" t="s">
        <v>2565</v>
      </c>
      <c r="C2213" s="438" t="s">
        <v>71</v>
      </c>
      <c r="D2213" s="438" t="s">
        <v>2566</v>
      </c>
      <c r="E2213" s="438" t="s">
        <v>1631</v>
      </c>
      <c r="F2213" s="438"/>
      <c r="G2213" s="440" t="s">
        <v>105</v>
      </c>
      <c r="H2213" s="441">
        <v>19.391</v>
      </c>
      <c r="I2213" s="441">
        <v>0</v>
      </c>
      <c r="J2213" s="449">
        <v>0.13</v>
      </c>
      <c r="K2213" s="449">
        <v>2.52</v>
      </c>
    </row>
    <row r="2214" customHeight="1" spans="1:11">
      <c r="A2214" s="438" t="s">
        <v>1750</v>
      </c>
      <c r="B2214" s="439" t="s">
        <v>2567</v>
      </c>
      <c r="C2214" s="438" t="s">
        <v>71</v>
      </c>
      <c r="D2214" s="438" t="s">
        <v>2568</v>
      </c>
      <c r="E2214" s="438" t="s">
        <v>1631</v>
      </c>
      <c r="F2214" s="438"/>
      <c r="G2214" s="440" t="s">
        <v>105</v>
      </c>
      <c r="H2214" s="441">
        <v>19.391</v>
      </c>
      <c r="I2214" s="441">
        <v>0</v>
      </c>
      <c r="J2214" s="449">
        <v>0.41</v>
      </c>
      <c r="K2214" s="449">
        <v>7.95</v>
      </c>
    </row>
    <row r="2215" customHeight="1" spans="1:11">
      <c r="A2215" s="434"/>
      <c r="B2215" s="434"/>
      <c r="C2215" s="434"/>
      <c r="D2215" s="434"/>
      <c r="E2215" s="434"/>
      <c r="F2215" s="434" t="s">
        <v>1735</v>
      </c>
      <c r="G2215" s="435">
        <v>42.41</v>
      </c>
      <c r="H2215" s="434" t="s">
        <v>1736</v>
      </c>
      <c r="I2215" s="435">
        <v>38.54</v>
      </c>
      <c r="J2215" s="434" t="s">
        <v>1737</v>
      </c>
      <c r="K2215" s="435">
        <v>80.95</v>
      </c>
    </row>
    <row r="2216" customHeight="1" spans="1:11">
      <c r="A2216" s="434"/>
      <c r="B2216" s="434"/>
      <c r="C2216" s="434"/>
      <c r="D2216" s="434"/>
      <c r="E2216" s="434"/>
      <c r="F2216" s="434" t="s">
        <v>1738</v>
      </c>
      <c r="G2216" s="435">
        <v>149.09</v>
      </c>
      <c r="H2216" s="434"/>
      <c r="I2216" s="434" t="s">
        <v>1739</v>
      </c>
      <c r="J2216" s="434"/>
      <c r="K2216" s="435">
        <v>753.7</v>
      </c>
    </row>
    <row r="2217" customHeight="1" spans="1:11">
      <c r="A2217" s="436"/>
      <c r="B2217" s="436"/>
      <c r="C2217" s="436"/>
      <c r="D2217" s="436"/>
      <c r="E2217" s="436"/>
      <c r="F2217" s="436"/>
      <c r="G2217" s="436"/>
      <c r="H2217" s="436" t="s">
        <v>1740</v>
      </c>
      <c r="I2217" s="447" t="s">
        <v>2569</v>
      </c>
      <c r="J2217" s="436" t="s">
        <v>1742</v>
      </c>
      <c r="K2217" s="448">
        <v>9873.47</v>
      </c>
    </row>
    <row r="2218" customHeight="1" spans="1:11">
      <c r="A2218" s="437"/>
      <c r="B2218" s="437"/>
      <c r="C2218" s="437"/>
      <c r="D2218" s="437"/>
      <c r="E2218" s="437"/>
      <c r="F2218" s="437"/>
      <c r="G2218" s="437"/>
      <c r="H2218" s="437"/>
      <c r="I2218" s="437"/>
      <c r="J2218" s="437"/>
      <c r="K2218" s="437"/>
    </row>
    <row r="2219" customHeight="1" spans="1:11">
      <c r="A2219" s="423" t="s">
        <v>688</v>
      </c>
      <c r="B2219" s="424" t="s">
        <v>1714</v>
      </c>
      <c r="C2219" s="423" t="s">
        <v>1715</v>
      </c>
      <c r="D2219" s="423" t="s">
        <v>1716</v>
      </c>
      <c r="E2219" s="423" t="s">
        <v>1717</v>
      </c>
      <c r="F2219" s="423"/>
      <c r="G2219" s="425" t="s">
        <v>1718</v>
      </c>
      <c r="H2219" s="424" t="s">
        <v>1719</v>
      </c>
      <c r="I2219" s="424" t="s">
        <v>1720</v>
      </c>
      <c r="J2219" s="424" t="s">
        <v>1721</v>
      </c>
      <c r="K2219" s="424" t="s">
        <v>1722</v>
      </c>
    </row>
    <row r="2220" customHeight="1" spans="1:11">
      <c r="A2220" s="426" t="s">
        <v>1723</v>
      </c>
      <c r="B2220" s="427" t="s">
        <v>689</v>
      </c>
      <c r="C2220" s="426" t="s">
        <v>71</v>
      </c>
      <c r="D2220" s="426" t="s">
        <v>690</v>
      </c>
      <c r="E2220" s="426" t="s">
        <v>1673</v>
      </c>
      <c r="F2220" s="426"/>
      <c r="G2220" s="428" t="s">
        <v>105</v>
      </c>
      <c r="H2220" s="429">
        <v>1</v>
      </c>
      <c r="I2220" s="445"/>
      <c r="J2220" s="445">
        <v>64.14</v>
      </c>
      <c r="K2220" s="445">
        <v>64.14</v>
      </c>
    </row>
    <row r="2221" customHeight="1" spans="1:11">
      <c r="A2221" s="430" t="s">
        <v>1724</v>
      </c>
      <c r="B2221" s="431" t="s">
        <v>1854</v>
      </c>
      <c r="C2221" s="430" t="s">
        <v>71</v>
      </c>
      <c r="D2221" s="430" t="s">
        <v>1855</v>
      </c>
      <c r="E2221" s="430" t="s">
        <v>1708</v>
      </c>
      <c r="F2221" s="430"/>
      <c r="G2221" s="432" t="s">
        <v>82</v>
      </c>
      <c r="H2221" s="433">
        <v>0.3162</v>
      </c>
      <c r="I2221" s="433">
        <v>0</v>
      </c>
      <c r="J2221" s="446">
        <v>35.55</v>
      </c>
      <c r="K2221" s="446">
        <v>11.24</v>
      </c>
    </row>
    <row r="2222" customHeight="1" spans="1:11">
      <c r="A2222" s="430" t="s">
        <v>1724</v>
      </c>
      <c r="B2222" s="431" t="s">
        <v>1745</v>
      </c>
      <c r="C2222" s="430" t="s">
        <v>71</v>
      </c>
      <c r="D2222" s="430" t="s">
        <v>1746</v>
      </c>
      <c r="E2222" s="430" t="s">
        <v>1708</v>
      </c>
      <c r="F2222" s="430"/>
      <c r="G2222" s="432" t="s">
        <v>82</v>
      </c>
      <c r="H2222" s="433">
        <v>0.0996</v>
      </c>
      <c r="I2222" s="433">
        <v>0</v>
      </c>
      <c r="J2222" s="446">
        <v>29.15</v>
      </c>
      <c r="K2222" s="446">
        <v>2.9</v>
      </c>
    </row>
    <row r="2223" customHeight="1" spans="1:11">
      <c r="A2223" s="438" t="s">
        <v>1750</v>
      </c>
      <c r="B2223" s="439" t="s">
        <v>2570</v>
      </c>
      <c r="C2223" s="438" t="s">
        <v>71</v>
      </c>
      <c r="D2223" s="438" t="s">
        <v>2571</v>
      </c>
      <c r="E2223" s="438" t="s">
        <v>1631</v>
      </c>
      <c r="F2223" s="438"/>
      <c r="G2223" s="440" t="s">
        <v>105</v>
      </c>
      <c r="H2223" s="441">
        <v>1</v>
      </c>
      <c r="I2223" s="441">
        <v>0</v>
      </c>
      <c r="J2223" s="449">
        <v>50</v>
      </c>
      <c r="K2223" s="449">
        <v>50</v>
      </c>
    </row>
    <row r="2224" customHeight="1" spans="1:11">
      <c r="A2224" s="434"/>
      <c r="B2224" s="434"/>
      <c r="C2224" s="434"/>
      <c r="D2224" s="434"/>
      <c r="E2224" s="434"/>
      <c r="F2224" s="434" t="s">
        <v>1735</v>
      </c>
      <c r="G2224" s="435">
        <v>5.33</v>
      </c>
      <c r="H2224" s="434" t="s">
        <v>1736</v>
      </c>
      <c r="I2224" s="435">
        <v>4.85</v>
      </c>
      <c r="J2224" s="434" t="s">
        <v>1737</v>
      </c>
      <c r="K2224" s="435">
        <v>10.18</v>
      </c>
    </row>
    <row r="2225" customHeight="1" spans="1:11">
      <c r="A2225" s="434"/>
      <c r="B2225" s="434"/>
      <c r="C2225" s="434"/>
      <c r="D2225" s="434"/>
      <c r="E2225" s="434"/>
      <c r="F2225" s="434" t="s">
        <v>1738</v>
      </c>
      <c r="G2225" s="435">
        <v>15.81</v>
      </c>
      <c r="H2225" s="434"/>
      <c r="I2225" s="434" t="s">
        <v>1739</v>
      </c>
      <c r="J2225" s="434"/>
      <c r="K2225" s="435">
        <v>79.95</v>
      </c>
    </row>
    <row r="2226" customHeight="1" spans="1:11">
      <c r="A2226" s="436"/>
      <c r="B2226" s="436"/>
      <c r="C2226" s="436"/>
      <c r="D2226" s="436"/>
      <c r="E2226" s="436"/>
      <c r="F2226" s="436"/>
      <c r="G2226" s="436"/>
      <c r="H2226" s="436" t="s">
        <v>1740</v>
      </c>
      <c r="I2226" s="447" t="s">
        <v>1759</v>
      </c>
      <c r="J2226" s="436" t="s">
        <v>1742</v>
      </c>
      <c r="K2226" s="448">
        <v>479.7</v>
      </c>
    </row>
    <row r="2227" customHeight="1" spans="1:11">
      <c r="A2227" s="437"/>
      <c r="B2227" s="437"/>
      <c r="C2227" s="437"/>
      <c r="D2227" s="437"/>
      <c r="E2227" s="437"/>
      <c r="F2227" s="437"/>
      <c r="G2227" s="437"/>
      <c r="H2227" s="437"/>
      <c r="I2227" s="437"/>
      <c r="J2227" s="437"/>
      <c r="K2227" s="437"/>
    </row>
    <row r="2228" customHeight="1" spans="1:11">
      <c r="A2228" s="423" t="s">
        <v>691</v>
      </c>
      <c r="B2228" s="424" t="s">
        <v>1714</v>
      </c>
      <c r="C2228" s="423" t="s">
        <v>1715</v>
      </c>
      <c r="D2228" s="423" t="s">
        <v>1716</v>
      </c>
      <c r="E2228" s="423" t="s">
        <v>1717</v>
      </c>
      <c r="F2228" s="423"/>
      <c r="G2228" s="425" t="s">
        <v>1718</v>
      </c>
      <c r="H2228" s="424" t="s">
        <v>1719</v>
      </c>
      <c r="I2228" s="424" t="s">
        <v>1720</v>
      </c>
      <c r="J2228" s="424" t="s">
        <v>1721</v>
      </c>
      <c r="K2228" s="424" t="s">
        <v>1722</v>
      </c>
    </row>
    <row r="2229" customHeight="1" spans="1:11">
      <c r="A2229" s="426" t="s">
        <v>1723</v>
      </c>
      <c r="B2229" s="427" t="s">
        <v>692</v>
      </c>
      <c r="C2229" s="426" t="s">
        <v>99</v>
      </c>
      <c r="D2229" s="426" t="s">
        <v>693</v>
      </c>
      <c r="E2229" s="426" t="s">
        <v>1700</v>
      </c>
      <c r="F2229" s="426"/>
      <c r="G2229" s="428" t="s">
        <v>105</v>
      </c>
      <c r="H2229" s="429">
        <v>1</v>
      </c>
      <c r="I2229" s="445"/>
      <c r="J2229" s="445">
        <v>257.82</v>
      </c>
      <c r="K2229" s="445">
        <v>257.82</v>
      </c>
    </row>
    <row r="2230" customHeight="1" spans="1:11">
      <c r="A2230" s="438" t="s">
        <v>1750</v>
      </c>
      <c r="B2230" s="439" t="s">
        <v>1848</v>
      </c>
      <c r="C2230" s="438" t="s">
        <v>99</v>
      </c>
      <c r="D2230" s="438" t="s">
        <v>1849</v>
      </c>
      <c r="E2230" s="438" t="s">
        <v>1764</v>
      </c>
      <c r="F2230" s="438"/>
      <c r="G2230" s="440" t="s">
        <v>82</v>
      </c>
      <c r="H2230" s="441">
        <v>0.34</v>
      </c>
      <c r="I2230" s="441">
        <v>0</v>
      </c>
      <c r="J2230" s="449">
        <v>19.471856</v>
      </c>
      <c r="K2230" s="449">
        <v>6.62</v>
      </c>
    </row>
    <row r="2231" customHeight="1" spans="1:11">
      <c r="A2231" s="438" t="s">
        <v>1750</v>
      </c>
      <c r="B2231" s="439" t="s">
        <v>2572</v>
      </c>
      <c r="C2231" s="438" t="s">
        <v>99</v>
      </c>
      <c r="D2231" s="438" t="s">
        <v>2573</v>
      </c>
      <c r="E2231" s="438" t="s">
        <v>1631</v>
      </c>
      <c r="F2231" s="438"/>
      <c r="G2231" s="440" t="s">
        <v>105</v>
      </c>
      <c r="H2231" s="441">
        <v>1</v>
      </c>
      <c r="I2231" s="441">
        <v>0</v>
      </c>
      <c r="J2231" s="449">
        <v>251.2</v>
      </c>
      <c r="K2231" s="449">
        <v>251.2</v>
      </c>
    </row>
    <row r="2232" customHeight="1" spans="1:11">
      <c r="A2232" s="434"/>
      <c r="B2232" s="434"/>
      <c r="C2232" s="434"/>
      <c r="D2232" s="434"/>
      <c r="E2232" s="434"/>
      <c r="F2232" s="434" t="s">
        <v>1735</v>
      </c>
      <c r="G2232" s="435">
        <v>3.46</v>
      </c>
      <c r="H2232" s="434" t="s">
        <v>1736</v>
      </c>
      <c r="I2232" s="435">
        <v>3.16</v>
      </c>
      <c r="J2232" s="434" t="s">
        <v>1737</v>
      </c>
      <c r="K2232" s="435">
        <v>6.62</v>
      </c>
    </row>
    <row r="2233" customHeight="1" spans="1:11">
      <c r="A2233" s="434"/>
      <c r="B2233" s="434"/>
      <c r="C2233" s="434"/>
      <c r="D2233" s="434"/>
      <c r="E2233" s="434"/>
      <c r="F2233" s="434" t="s">
        <v>1738</v>
      </c>
      <c r="G2233" s="435">
        <v>63.57</v>
      </c>
      <c r="H2233" s="434"/>
      <c r="I2233" s="434" t="s">
        <v>1739</v>
      </c>
      <c r="J2233" s="434"/>
      <c r="K2233" s="435">
        <v>321.39</v>
      </c>
    </row>
    <row r="2234" customHeight="1" spans="1:11">
      <c r="A2234" s="436"/>
      <c r="B2234" s="436"/>
      <c r="C2234" s="436"/>
      <c r="D2234" s="436"/>
      <c r="E2234" s="436"/>
      <c r="F2234" s="436"/>
      <c r="G2234" s="436"/>
      <c r="H2234" s="436" t="s">
        <v>1740</v>
      </c>
      <c r="I2234" s="447" t="s">
        <v>2324</v>
      </c>
      <c r="J2234" s="436" t="s">
        <v>1742</v>
      </c>
      <c r="K2234" s="448">
        <v>1285.56</v>
      </c>
    </row>
    <row r="2235" customHeight="1" spans="1:11">
      <c r="A2235" s="437"/>
      <c r="B2235" s="437"/>
      <c r="C2235" s="437"/>
      <c r="D2235" s="437"/>
      <c r="E2235" s="437"/>
      <c r="F2235" s="437"/>
      <c r="G2235" s="437"/>
      <c r="H2235" s="437"/>
      <c r="I2235" s="437"/>
      <c r="J2235" s="437"/>
      <c r="K2235" s="437"/>
    </row>
    <row r="2236" customHeight="1" spans="1:11">
      <c r="A2236" s="423" t="s">
        <v>694</v>
      </c>
      <c r="B2236" s="424" t="s">
        <v>1714</v>
      </c>
      <c r="C2236" s="423" t="s">
        <v>1715</v>
      </c>
      <c r="D2236" s="423" t="s">
        <v>1716</v>
      </c>
      <c r="E2236" s="423" t="s">
        <v>1717</v>
      </c>
      <c r="F2236" s="423"/>
      <c r="G2236" s="425" t="s">
        <v>1718</v>
      </c>
      <c r="H2236" s="424" t="s">
        <v>1719</v>
      </c>
      <c r="I2236" s="424" t="s">
        <v>1720</v>
      </c>
      <c r="J2236" s="424" t="s">
        <v>1721</v>
      </c>
      <c r="K2236" s="424" t="s">
        <v>1722</v>
      </c>
    </row>
    <row r="2237" customHeight="1" spans="1:11">
      <c r="A2237" s="426" t="s">
        <v>1723</v>
      </c>
      <c r="B2237" s="427" t="s">
        <v>695</v>
      </c>
      <c r="C2237" s="426" t="s">
        <v>65</v>
      </c>
      <c r="D2237" s="426" t="s">
        <v>696</v>
      </c>
      <c r="E2237" s="426" t="s">
        <v>62</v>
      </c>
      <c r="F2237" s="426"/>
      <c r="G2237" s="428" t="s">
        <v>67</v>
      </c>
      <c r="H2237" s="429">
        <v>1</v>
      </c>
      <c r="I2237" s="445"/>
      <c r="J2237" s="445">
        <v>210.84</v>
      </c>
      <c r="K2237" s="445">
        <v>210.84</v>
      </c>
    </row>
    <row r="2238" customHeight="1" spans="1:11">
      <c r="A2238" s="430" t="s">
        <v>1724</v>
      </c>
      <c r="B2238" s="431" t="s">
        <v>1745</v>
      </c>
      <c r="C2238" s="430" t="s">
        <v>71</v>
      </c>
      <c r="D2238" s="430" t="s">
        <v>1746</v>
      </c>
      <c r="E2238" s="430" t="s">
        <v>1708</v>
      </c>
      <c r="F2238" s="430"/>
      <c r="G2238" s="432" t="s">
        <v>82</v>
      </c>
      <c r="H2238" s="433">
        <v>0.34</v>
      </c>
      <c r="I2238" s="433">
        <v>0</v>
      </c>
      <c r="J2238" s="446">
        <v>29.15</v>
      </c>
      <c r="K2238" s="446">
        <v>9.91</v>
      </c>
    </row>
    <row r="2239" customHeight="1" spans="1:11">
      <c r="A2239" s="438" t="s">
        <v>1750</v>
      </c>
      <c r="B2239" s="439" t="s">
        <v>2574</v>
      </c>
      <c r="C2239" s="438" t="s">
        <v>65</v>
      </c>
      <c r="D2239" s="438" t="s">
        <v>2575</v>
      </c>
      <c r="E2239" s="438" t="s">
        <v>1631</v>
      </c>
      <c r="F2239" s="438"/>
      <c r="G2239" s="440" t="s">
        <v>67</v>
      </c>
      <c r="H2239" s="441">
        <v>1</v>
      </c>
      <c r="I2239" s="441">
        <v>0</v>
      </c>
      <c r="J2239" s="449">
        <v>200.93</v>
      </c>
      <c r="K2239" s="449">
        <v>200.93</v>
      </c>
    </row>
    <row r="2240" customHeight="1" spans="1:11">
      <c r="A2240" s="434"/>
      <c r="B2240" s="434"/>
      <c r="C2240" s="434"/>
      <c r="D2240" s="434"/>
      <c r="E2240" s="434"/>
      <c r="F2240" s="434" t="s">
        <v>1735</v>
      </c>
      <c r="G2240" s="435">
        <v>3.42</v>
      </c>
      <c r="H2240" s="434" t="s">
        <v>1736</v>
      </c>
      <c r="I2240" s="435">
        <v>3.11</v>
      </c>
      <c r="J2240" s="434" t="s">
        <v>1737</v>
      </c>
      <c r="K2240" s="435">
        <v>6.53</v>
      </c>
    </row>
    <row r="2241" customHeight="1" spans="1:11">
      <c r="A2241" s="434"/>
      <c r="B2241" s="434"/>
      <c r="C2241" s="434"/>
      <c r="D2241" s="434"/>
      <c r="E2241" s="434"/>
      <c r="F2241" s="434" t="s">
        <v>1738</v>
      </c>
      <c r="G2241" s="435">
        <v>51.99</v>
      </c>
      <c r="H2241" s="434"/>
      <c r="I2241" s="434" t="s">
        <v>1739</v>
      </c>
      <c r="J2241" s="434"/>
      <c r="K2241" s="435">
        <v>262.83</v>
      </c>
    </row>
    <row r="2242" customHeight="1" spans="1:11">
      <c r="A2242" s="436"/>
      <c r="B2242" s="436"/>
      <c r="C2242" s="436"/>
      <c r="D2242" s="436"/>
      <c r="E2242" s="436"/>
      <c r="F2242" s="436"/>
      <c r="G2242" s="436"/>
      <c r="H2242" s="436" t="s">
        <v>1740</v>
      </c>
      <c r="I2242" s="447" t="s">
        <v>2336</v>
      </c>
      <c r="J2242" s="436" t="s">
        <v>1742</v>
      </c>
      <c r="K2242" s="448">
        <v>2102.64</v>
      </c>
    </row>
    <row r="2243" customHeight="1" spans="1:11">
      <c r="A2243" s="437"/>
      <c r="B2243" s="437"/>
      <c r="C2243" s="437"/>
      <c r="D2243" s="437"/>
      <c r="E2243" s="437"/>
      <c r="F2243" s="437"/>
      <c r="G2243" s="437"/>
      <c r="H2243" s="437"/>
      <c r="I2243" s="437"/>
      <c r="J2243" s="437"/>
      <c r="K2243" s="437"/>
    </row>
    <row r="2244" customHeight="1" spans="1:11">
      <c r="A2244" s="423" t="s">
        <v>697</v>
      </c>
      <c r="B2244" s="424" t="s">
        <v>1714</v>
      </c>
      <c r="C2244" s="423" t="s">
        <v>1715</v>
      </c>
      <c r="D2244" s="423" t="s">
        <v>1716</v>
      </c>
      <c r="E2244" s="423" t="s">
        <v>1717</v>
      </c>
      <c r="F2244" s="423"/>
      <c r="G2244" s="425" t="s">
        <v>1718</v>
      </c>
      <c r="H2244" s="424" t="s">
        <v>1719</v>
      </c>
      <c r="I2244" s="424" t="s">
        <v>1720</v>
      </c>
      <c r="J2244" s="424" t="s">
        <v>1721</v>
      </c>
      <c r="K2244" s="424" t="s">
        <v>1722</v>
      </c>
    </row>
    <row r="2245" customHeight="1" spans="1:11">
      <c r="A2245" s="426" t="s">
        <v>1723</v>
      </c>
      <c r="B2245" s="427" t="s">
        <v>698</v>
      </c>
      <c r="C2245" s="426" t="s">
        <v>65</v>
      </c>
      <c r="D2245" s="426" t="s">
        <v>699</v>
      </c>
      <c r="E2245" s="426" t="s">
        <v>62</v>
      </c>
      <c r="F2245" s="426"/>
      <c r="G2245" s="428" t="s">
        <v>67</v>
      </c>
      <c r="H2245" s="429">
        <v>1</v>
      </c>
      <c r="I2245" s="445"/>
      <c r="J2245" s="445">
        <v>1017.93</v>
      </c>
      <c r="K2245" s="445">
        <v>1017.93</v>
      </c>
    </row>
    <row r="2246" customHeight="1" spans="1:11">
      <c r="A2246" s="430" t="s">
        <v>1724</v>
      </c>
      <c r="B2246" s="431" t="s">
        <v>2521</v>
      </c>
      <c r="C2246" s="430" t="s">
        <v>71</v>
      </c>
      <c r="D2246" s="430" t="s">
        <v>2522</v>
      </c>
      <c r="E2246" s="430" t="s">
        <v>1708</v>
      </c>
      <c r="F2246" s="430"/>
      <c r="G2246" s="432" t="s">
        <v>82</v>
      </c>
      <c r="H2246" s="433">
        <v>2</v>
      </c>
      <c r="I2246" s="433">
        <v>0</v>
      </c>
      <c r="J2246" s="446">
        <v>30.79</v>
      </c>
      <c r="K2246" s="446">
        <v>61.58</v>
      </c>
    </row>
    <row r="2247" customHeight="1" spans="1:11">
      <c r="A2247" s="430" t="s">
        <v>1724</v>
      </c>
      <c r="B2247" s="431" t="s">
        <v>2576</v>
      </c>
      <c r="C2247" s="430" t="s">
        <v>76</v>
      </c>
      <c r="D2247" s="430" t="s">
        <v>2577</v>
      </c>
      <c r="E2247" s="430">
        <v>7</v>
      </c>
      <c r="F2247" s="430"/>
      <c r="G2247" s="432" t="s">
        <v>129</v>
      </c>
      <c r="H2247" s="433">
        <v>0.035</v>
      </c>
      <c r="I2247" s="433">
        <v>0</v>
      </c>
      <c r="J2247" s="446">
        <v>444.41</v>
      </c>
      <c r="K2247" s="446">
        <v>15.55</v>
      </c>
    </row>
    <row r="2248" customHeight="1" spans="1:11">
      <c r="A2248" s="430" t="s">
        <v>1724</v>
      </c>
      <c r="B2248" s="431" t="s">
        <v>2578</v>
      </c>
      <c r="C2248" s="430" t="s">
        <v>76</v>
      </c>
      <c r="D2248" s="430" t="s">
        <v>2579</v>
      </c>
      <c r="E2248" s="430">
        <v>7</v>
      </c>
      <c r="F2248" s="430"/>
      <c r="G2248" s="432" t="s">
        <v>129</v>
      </c>
      <c r="H2248" s="433">
        <v>0.003</v>
      </c>
      <c r="I2248" s="433">
        <v>0</v>
      </c>
      <c r="J2248" s="446">
        <v>915.11</v>
      </c>
      <c r="K2248" s="446">
        <v>2.74</v>
      </c>
    </row>
    <row r="2249" customHeight="1" spans="1:11">
      <c r="A2249" s="430" t="s">
        <v>1724</v>
      </c>
      <c r="B2249" s="431" t="s">
        <v>1745</v>
      </c>
      <c r="C2249" s="430" t="s">
        <v>71</v>
      </c>
      <c r="D2249" s="430" t="s">
        <v>1746</v>
      </c>
      <c r="E2249" s="430" t="s">
        <v>1708</v>
      </c>
      <c r="F2249" s="430"/>
      <c r="G2249" s="432" t="s">
        <v>82</v>
      </c>
      <c r="H2249" s="433">
        <v>2</v>
      </c>
      <c r="I2249" s="433">
        <v>0</v>
      </c>
      <c r="J2249" s="446">
        <v>29.15</v>
      </c>
      <c r="K2249" s="446">
        <v>58.3</v>
      </c>
    </row>
    <row r="2250" customHeight="1" spans="1:11">
      <c r="A2250" s="438" t="s">
        <v>1750</v>
      </c>
      <c r="B2250" s="439" t="s">
        <v>2580</v>
      </c>
      <c r="C2250" s="438" t="s">
        <v>71</v>
      </c>
      <c r="D2250" s="438" t="s">
        <v>2581</v>
      </c>
      <c r="E2250" s="438" t="s">
        <v>1631</v>
      </c>
      <c r="F2250" s="438"/>
      <c r="G2250" s="440" t="s">
        <v>158</v>
      </c>
      <c r="H2250" s="441">
        <v>4</v>
      </c>
      <c r="I2250" s="441">
        <v>0</v>
      </c>
      <c r="J2250" s="449">
        <v>3.41</v>
      </c>
      <c r="K2250" s="449">
        <v>13.64</v>
      </c>
    </row>
    <row r="2251" customHeight="1" spans="1:11">
      <c r="A2251" s="438" t="s">
        <v>1750</v>
      </c>
      <c r="B2251" s="439" t="s">
        <v>2582</v>
      </c>
      <c r="C2251" s="438" t="s">
        <v>76</v>
      </c>
      <c r="D2251" s="438" t="s">
        <v>2583</v>
      </c>
      <c r="E2251" s="438" t="s">
        <v>1631</v>
      </c>
      <c r="F2251" s="438"/>
      <c r="G2251" s="440" t="s">
        <v>158</v>
      </c>
      <c r="H2251" s="441">
        <v>0.025</v>
      </c>
      <c r="I2251" s="441">
        <v>0</v>
      </c>
      <c r="J2251" s="449">
        <v>37.16</v>
      </c>
      <c r="K2251" s="449">
        <v>0.92</v>
      </c>
    </row>
    <row r="2252" customHeight="1" spans="1:11">
      <c r="A2252" s="438" t="s">
        <v>1750</v>
      </c>
      <c r="B2252" s="439" t="s">
        <v>2584</v>
      </c>
      <c r="C2252" s="438" t="s">
        <v>76</v>
      </c>
      <c r="D2252" s="438" t="s">
        <v>2585</v>
      </c>
      <c r="E2252" s="438" t="s">
        <v>1631</v>
      </c>
      <c r="F2252" s="438"/>
      <c r="G2252" s="440" t="s">
        <v>73</v>
      </c>
      <c r="H2252" s="441">
        <v>1</v>
      </c>
      <c r="I2252" s="441">
        <v>0</v>
      </c>
      <c r="J2252" s="449">
        <v>865.2</v>
      </c>
      <c r="K2252" s="449">
        <v>865.2</v>
      </c>
    </row>
    <row r="2253" customHeight="1" spans="1:11">
      <c r="A2253" s="434"/>
      <c r="B2253" s="434"/>
      <c r="C2253" s="434"/>
      <c r="D2253" s="434"/>
      <c r="E2253" s="434"/>
      <c r="F2253" s="434" t="s">
        <v>1735</v>
      </c>
      <c r="G2253" s="435">
        <v>43.5</v>
      </c>
      <c r="H2253" s="434" t="s">
        <v>1736</v>
      </c>
      <c r="I2253" s="435">
        <v>39.53</v>
      </c>
      <c r="J2253" s="434" t="s">
        <v>1737</v>
      </c>
      <c r="K2253" s="435">
        <v>83.03</v>
      </c>
    </row>
    <row r="2254" customHeight="1" spans="1:11">
      <c r="A2254" s="434"/>
      <c r="B2254" s="434"/>
      <c r="C2254" s="434"/>
      <c r="D2254" s="434"/>
      <c r="E2254" s="434"/>
      <c r="F2254" s="434" t="s">
        <v>1738</v>
      </c>
      <c r="G2254" s="435">
        <v>251.02</v>
      </c>
      <c r="H2254" s="434"/>
      <c r="I2254" s="434" t="s">
        <v>1739</v>
      </c>
      <c r="J2254" s="434"/>
      <c r="K2254" s="435">
        <v>1268.95</v>
      </c>
    </row>
    <row r="2255" customHeight="1" spans="1:11">
      <c r="A2255" s="436"/>
      <c r="B2255" s="436"/>
      <c r="C2255" s="436"/>
      <c r="D2255" s="436"/>
      <c r="E2255" s="436"/>
      <c r="F2255" s="436"/>
      <c r="G2255" s="436"/>
      <c r="H2255" s="436" t="s">
        <v>1740</v>
      </c>
      <c r="I2255" s="447" t="s">
        <v>2586</v>
      </c>
      <c r="J2255" s="436" t="s">
        <v>1742</v>
      </c>
      <c r="K2255" s="448">
        <v>5887.92</v>
      </c>
    </row>
    <row r="2256" customHeight="1" spans="1:11">
      <c r="A2256" s="437"/>
      <c r="B2256" s="437"/>
      <c r="C2256" s="437"/>
      <c r="D2256" s="437"/>
      <c r="E2256" s="437"/>
      <c r="F2256" s="437"/>
      <c r="G2256" s="437"/>
      <c r="H2256" s="437"/>
      <c r="I2256" s="437"/>
      <c r="J2256" s="437"/>
      <c r="K2256" s="437"/>
    </row>
    <row r="2257" customHeight="1" spans="1:11">
      <c r="A2257" s="422" t="s">
        <v>700</v>
      </c>
      <c r="B2257" s="422"/>
      <c r="C2257" s="422"/>
      <c r="D2257" s="422" t="s">
        <v>30</v>
      </c>
      <c r="E2257" s="422"/>
      <c r="F2257" s="422"/>
      <c r="G2257" s="422"/>
      <c r="H2257" s="422"/>
      <c r="I2257" s="443"/>
      <c r="J2257" s="422"/>
      <c r="K2257" s="444">
        <v>112249.78</v>
      </c>
    </row>
    <row r="2258" customHeight="1" spans="1:11">
      <c r="A2258" s="423" t="s">
        <v>701</v>
      </c>
      <c r="B2258" s="424" t="s">
        <v>1714</v>
      </c>
      <c r="C2258" s="423" t="s">
        <v>1715</v>
      </c>
      <c r="D2258" s="423" t="s">
        <v>1716</v>
      </c>
      <c r="E2258" s="423" t="s">
        <v>1717</v>
      </c>
      <c r="F2258" s="423"/>
      <c r="G2258" s="425" t="s">
        <v>1718</v>
      </c>
      <c r="H2258" s="424" t="s">
        <v>1719</v>
      </c>
      <c r="I2258" s="424" t="s">
        <v>1720</v>
      </c>
      <c r="J2258" s="424" t="s">
        <v>1721</v>
      </c>
      <c r="K2258" s="424" t="s">
        <v>1722</v>
      </c>
    </row>
    <row r="2259" customHeight="1" spans="1:11">
      <c r="A2259" s="426" t="s">
        <v>1723</v>
      </c>
      <c r="B2259" s="427" t="s">
        <v>540</v>
      </c>
      <c r="C2259" s="426" t="s">
        <v>71</v>
      </c>
      <c r="D2259" s="426" t="s">
        <v>541</v>
      </c>
      <c r="E2259" s="426" t="s">
        <v>1649</v>
      </c>
      <c r="F2259" s="426"/>
      <c r="G2259" s="428" t="s">
        <v>78</v>
      </c>
      <c r="H2259" s="429">
        <v>1</v>
      </c>
      <c r="I2259" s="445"/>
      <c r="J2259" s="445">
        <v>33.01</v>
      </c>
      <c r="K2259" s="445">
        <v>33.01</v>
      </c>
    </row>
    <row r="2260" customHeight="1" spans="1:11">
      <c r="A2260" s="430" t="s">
        <v>1724</v>
      </c>
      <c r="B2260" s="431" t="s">
        <v>1854</v>
      </c>
      <c r="C2260" s="430" t="s">
        <v>71</v>
      </c>
      <c r="D2260" s="430" t="s">
        <v>1855</v>
      </c>
      <c r="E2260" s="430" t="s">
        <v>1708</v>
      </c>
      <c r="F2260" s="430"/>
      <c r="G2260" s="432" t="s">
        <v>82</v>
      </c>
      <c r="H2260" s="433">
        <v>0.3182</v>
      </c>
      <c r="I2260" s="433">
        <v>0</v>
      </c>
      <c r="J2260" s="446">
        <v>35.55</v>
      </c>
      <c r="K2260" s="446">
        <v>11.31</v>
      </c>
    </row>
    <row r="2261" customHeight="1" spans="1:11">
      <c r="A2261" s="430" t="s">
        <v>1724</v>
      </c>
      <c r="B2261" s="431" t="s">
        <v>1859</v>
      </c>
      <c r="C2261" s="430" t="s">
        <v>71</v>
      </c>
      <c r="D2261" s="430" t="s">
        <v>1860</v>
      </c>
      <c r="E2261" s="430" t="s">
        <v>1708</v>
      </c>
      <c r="F2261" s="430"/>
      <c r="G2261" s="432" t="s">
        <v>82</v>
      </c>
      <c r="H2261" s="433">
        <v>0.3182</v>
      </c>
      <c r="I2261" s="433">
        <v>0</v>
      </c>
      <c r="J2261" s="446">
        <v>29.54</v>
      </c>
      <c r="K2261" s="446">
        <v>9.39</v>
      </c>
    </row>
    <row r="2262" customHeight="1" spans="1:11">
      <c r="A2262" s="438" t="s">
        <v>1750</v>
      </c>
      <c r="B2262" s="439" t="s">
        <v>2396</v>
      </c>
      <c r="C2262" s="438" t="s">
        <v>71</v>
      </c>
      <c r="D2262" s="438" t="s">
        <v>2397</v>
      </c>
      <c r="E2262" s="438" t="s">
        <v>1631</v>
      </c>
      <c r="F2262" s="438"/>
      <c r="G2262" s="440" t="s">
        <v>78</v>
      </c>
      <c r="H2262" s="441">
        <v>1.0549</v>
      </c>
      <c r="I2262" s="441">
        <v>0</v>
      </c>
      <c r="J2262" s="449">
        <v>11.65</v>
      </c>
      <c r="K2262" s="449">
        <v>12.28</v>
      </c>
    </row>
    <row r="2263" customHeight="1" spans="1:11">
      <c r="A2263" s="438" t="s">
        <v>1750</v>
      </c>
      <c r="B2263" s="439" t="s">
        <v>2284</v>
      </c>
      <c r="C2263" s="438" t="s">
        <v>71</v>
      </c>
      <c r="D2263" s="438" t="s">
        <v>2285</v>
      </c>
      <c r="E2263" s="438" t="s">
        <v>1631</v>
      </c>
      <c r="F2263" s="438"/>
      <c r="G2263" s="440" t="s">
        <v>105</v>
      </c>
      <c r="H2263" s="441">
        <v>0.0177</v>
      </c>
      <c r="I2263" s="441">
        <v>0</v>
      </c>
      <c r="J2263" s="449">
        <v>2.08</v>
      </c>
      <c r="K2263" s="449">
        <v>0.03</v>
      </c>
    </row>
    <row r="2264" customHeight="1" spans="1:11">
      <c r="A2264" s="434"/>
      <c r="B2264" s="434"/>
      <c r="C2264" s="434"/>
      <c r="D2264" s="434"/>
      <c r="E2264" s="434"/>
      <c r="F2264" s="434" t="s">
        <v>1735</v>
      </c>
      <c r="G2264" s="435">
        <v>7.72</v>
      </c>
      <c r="H2264" s="434" t="s">
        <v>1736</v>
      </c>
      <c r="I2264" s="435">
        <v>7.02</v>
      </c>
      <c r="J2264" s="434" t="s">
        <v>1737</v>
      </c>
      <c r="K2264" s="435">
        <v>14.74</v>
      </c>
    </row>
    <row r="2265" customHeight="1" spans="1:11">
      <c r="A2265" s="434"/>
      <c r="B2265" s="434"/>
      <c r="C2265" s="434"/>
      <c r="D2265" s="434"/>
      <c r="E2265" s="434"/>
      <c r="F2265" s="434" t="s">
        <v>1738</v>
      </c>
      <c r="G2265" s="435">
        <v>8.14</v>
      </c>
      <c r="H2265" s="434"/>
      <c r="I2265" s="434" t="s">
        <v>1739</v>
      </c>
      <c r="J2265" s="434"/>
      <c r="K2265" s="435">
        <v>41.15</v>
      </c>
    </row>
    <row r="2266" customHeight="1" spans="1:11">
      <c r="A2266" s="436"/>
      <c r="B2266" s="436"/>
      <c r="C2266" s="436"/>
      <c r="D2266" s="436"/>
      <c r="E2266" s="436"/>
      <c r="F2266" s="436"/>
      <c r="G2266" s="436"/>
      <c r="H2266" s="436" t="s">
        <v>1740</v>
      </c>
      <c r="I2266" s="447" t="s">
        <v>2339</v>
      </c>
      <c r="J2266" s="436" t="s">
        <v>1742</v>
      </c>
      <c r="K2266" s="448">
        <v>123.45</v>
      </c>
    </row>
    <row r="2267" customHeight="1" spans="1:11">
      <c r="A2267" s="437"/>
      <c r="B2267" s="437"/>
      <c r="C2267" s="437"/>
      <c r="D2267" s="437"/>
      <c r="E2267" s="437"/>
      <c r="F2267" s="437"/>
      <c r="G2267" s="437"/>
      <c r="H2267" s="437"/>
      <c r="I2267" s="437"/>
      <c r="J2267" s="437"/>
      <c r="K2267" s="437"/>
    </row>
    <row r="2268" customHeight="1" spans="1:11">
      <c r="A2268" s="423" t="s">
        <v>702</v>
      </c>
      <c r="B2268" s="424" t="s">
        <v>1714</v>
      </c>
      <c r="C2268" s="423" t="s">
        <v>1715</v>
      </c>
      <c r="D2268" s="423" t="s">
        <v>1716</v>
      </c>
      <c r="E2268" s="423" t="s">
        <v>1717</v>
      </c>
      <c r="F2268" s="423"/>
      <c r="G2268" s="425" t="s">
        <v>1718</v>
      </c>
      <c r="H2268" s="424" t="s">
        <v>1719</v>
      </c>
      <c r="I2268" s="424" t="s">
        <v>1720</v>
      </c>
      <c r="J2268" s="424" t="s">
        <v>1721</v>
      </c>
      <c r="K2268" s="424" t="s">
        <v>1722</v>
      </c>
    </row>
    <row r="2269" customHeight="1" spans="1:11">
      <c r="A2269" s="426" t="s">
        <v>1723</v>
      </c>
      <c r="B2269" s="427" t="s">
        <v>703</v>
      </c>
      <c r="C2269" s="426" t="s">
        <v>71</v>
      </c>
      <c r="D2269" s="426" t="s">
        <v>704</v>
      </c>
      <c r="E2269" s="426" t="s">
        <v>1687</v>
      </c>
      <c r="F2269" s="426"/>
      <c r="G2269" s="428" t="s">
        <v>78</v>
      </c>
      <c r="H2269" s="429">
        <v>1</v>
      </c>
      <c r="I2269" s="445"/>
      <c r="J2269" s="445">
        <v>29.25</v>
      </c>
      <c r="K2269" s="445">
        <v>29.25</v>
      </c>
    </row>
    <row r="2270" customHeight="1" spans="1:11">
      <c r="A2270" s="430" t="s">
        <v>1724</v>
      </c>
      <c r="B2270" s="431" t="s">
        <v>1854</v>
      </c>
      <c r="C2270" s="430" t="s">
        <v>71</v>
      </c>
      <c r="D2270" s="430" t="s">
        <v>1855</v>
      </c>
      <c r="E2270" s="430" t="s">
        <v>1708</v>
      </c>
      <c r="F2270" s="430"/>
      <c r="G2270" s="432" t="s">
        <v>82</v>
      </c>
      <c r="H2270" s="433">
        <v>0.0482</v>
      </c>
      <c r="I2270" s="433">
        <v>0</v>
      </c>
      <c r="J2270" s="446">
        <v>35.55</v>
      </c>
      <c r="K2270" s="446">
        <v>1.71</v>
      </c>
    </row>
    <row r="2271" customHeight="1" spans="1:11">
      <c r="A2271" s="430" t="s">
        <v>1724</v>
      </c>
      <c r="B2271" s="431" t="s">
        <v>1859</v>
      </c>
      <c r="C2271" s="430" t="s">
        <v>71</v>
      </c>
      <c r="D2271" s="430" t="s">
        <v>1860</v>
      </c>
      <c r="E2271" s="430" t="s">
        <v>1708</v>
      </c>
      <c r="F2271" s="430"/>
      <c r="G2271" s="432" t="s">
        <v>82</v>
      </c>
      <c r="H2271" s="433">
        <v>0.0482</v>
      </c>
      <c r="I2271" s="433">
        <v>0</v>
      </c>
      <c r="J2271" s="446">
        <v>29.54</v>
      </c>
      <c r="K2271" s="446">
        <v>1.42</v>
      </c>
    </row>
    <row r="2272" customHeight="1" spans="1:11">
      <c r="A2272" s="438" t="s">
        <v>1750</v>
      </c>
      <c r="B2272" s="439" t="s">
        <v>2587</v>
      </c>
      <c r="C2272" s="438" t="s">
        <v>71</v>
      </c>
      <c r="D2272" s="438" t="s">
        <v>2588</v>
      </c>
      <c r="E2272" s="438" t="s">
        <v>1631</v>
      </c>
      <c r="F2272" s="438"/>
      <c r="G2272" s="440" t="s">
        <v>78</v>
      </c>
      <c r="H2272" s="441">
        <v>1.0353</v>
      </c>
      <c r="I2272" s="441">
        <v>0</v>
      </c>
      <c r="J2272" s="449">
        <v>25.19</v>
      </c>
      <c r="K2272" s="449">
        <v>26.07</v>
      </c>
    </row>
    <row r="2273" customHeight="1" spans="1:11">
      <c r="A2273" s="438" t="s">
        <v>1750</v>
      </c>
      <c r="B2273" s="439" t="s">
        <v>2284</v>
      </c>
      <c r="C2273" s="438" t="s">
        <v>71</v>
      </c>
      <c r="D2273" s="438" t="s">
        <v>2285</v>
      </c>
      <c r="E2273" s="438" t="s">
        <v>1631</v>
      </c>
      <c r="F2273" s="438"/>
      <c r="G2273" s="440" t="s">
        <v>105</v>
      </c>
      <c r="H2273" s="441">
        <v>0.027</v>
      </c>
      <c r="I2273" s="441">
        <v>0</v>
      </c>
      <c r="J2273" s="449">
        <v>2.08</v>
      </c>
      <c r="K2273" s="449">
        <v>0.05</v>
      </c>
    </row>
    <row r="2274" customHeight="1" spans="1:11">
      <c r="A2274" s="434"/>
      <c r="B2274" s="434"/>
      <c r="C2274" s="434"/>
      <c r="D2274" s="434"/>
      <c r="E2274" s="434"/>
      <c r="F2274" s="434" t="s">
        <v>1735</v>
      </c>
      <c r="G2274" s="435">
        <v>1.16</v>
      </c>
      <c r="H2274" s="434" t="s">
        <v>1736</v>
      </c>
      <c r="I2274" s="435">
        <v>1.07</v>
      </c>
      <c r="J2274" s="434" t="s">
        <v>1737</v>
      </c>
      <c r="K2274" s="435">
        <v>2.23</v>
      </c>
    </row>
    <row r="2275" customHeight="1" spans="1:11">
      <c r="A2275" s="434"/>
      <c r="B2275" s="434"/>
      <c r="C2275" s="434"/>
      <c r="D2275" s="434"/>
      <c r="E2275" s="434"/>
      <c r="F2275" s="434" t="s">
        <v>1738</v>
      </c>
      <c r="G2275" s="435">
        <v>7.21</v>
      </c>
      <c r="H2275" s="434"/>
      <c r="I2275" s="434" t="s">
        <v>1739</v>
      </c>
      <c r="J2275" s="434"/>
      <c r="K2275" s="435">
        <v>36.46</v>
      </c>
    </row>
    <row r="2276" customHeight="1" spans="1:11">
      <c r="A2276" s="436"/>
      <c r="B2276" s="436"/>
      <c r="C2276" s="436"/>
      <c r="D2276" s="436"/>
      <c r="E2276" s="436"/>
      <c r="F2276" s="436"/>
      <c r="G2276" s="436"/>
      <c r="H2276" s="436" t="s">
        <v>1740</v>
      </c>
      <c r="I2276" s="447" t="s">
        <v>2324</v>
      </c>
      <c r="J2276" s="436" t="s">
        <v>1742</v>
      </c>
      <c r="K2276" s="448">
        <v>145.84</v>
      </c>
    </row>
    <row r="2277" customHeight="1" spans="1:11">
      <c r="A2277" s="437"/>
      <c r="B2277" s="437"/>
      <c r="C2277" s="437"/>
      <c r="D2277" s="437"/>
      <c r="E2277" s="437"/>
      <c r="F2277" s="437"/>
      <c r="G2277" s="437"/>
      <c r="H2277" s="437"/>
      <c r="I2277" s="437"/>
      <c r="J2277" s="437"/>
      <c r="K2277" s="437"/>
    </row>
    <row r="2278" customHeight="1" spans="1:11">
      <c r="A2278" s="423" t="s">
        <v>705</v>
      </c>
      <c r="B2278" s="424" t="s">
        <v>1714</v>
      </c>
      <c r="C2278" s="423" t="s">
        <v>1715</v>
      </c>
      <c r="D2278" s="423" t="s">
        <v>1716</v>
      </c>
      <c r="E2278" s="423" t="s">
        <v>1717</v>
      </c>
      <c r="F2278" s="423"/>
      <c r="G2278" s="425" t="s">
        <v>1718</v>
      </c>
      <c r="H2278" s="424" t="s">
        <v>1719</v>
      </c>
      <c r="I2278" s="424" t="s">
        <v>1720</v>
      </c>
      <c r="J2278" s="424" t="s">
        <v>1721</v>
      </c>
      <c r="K2278" s="424" t="s">
        <v>1722</v>
      </c>
    </row>
    <row r="2279" customHeight="1" spans="1:11">
      <c r="A2279" s="426" t="s">
        <v>1723</v>
      </c>
      <c r="B2279" s="427" t="s">
        <v>546</v>
      </c>
      <c r="C2279" s="426" t="s">
        <v>71</v>
      </c>
      <c r="D2279" s="426" t="s">
        <v>547</v>
      </c>
      <c r="E2279" s="426" t="s">
        <v>1649</v>
      </c>
      <c r="F2279" s="426"/>
      <c r="G2279" s="428" t="s">
        <v>78</v>
      </c>
      <c r="H2279" s="429">
        <v>1</v>
      </c>
      <c r="I2279" s="445"/>
      <c r="J2279" s="445">
        <v>45.99</v>
      </c>
      <c r="K2279" s="445">
        <v>45.99</v>
      </c>
    </row>
    <row r="2280" customHeight="1" spans="1:11">
      <c r="A2280" s="430" t="s">
        <v>1724</v>
      </c>
      <c r="B2280" s="431" t="s">
        <v>1854</v>
      </c>
      <c r="C2280" s="430" t="s">
        <v>71</v>
      </c>
      <c r="D2280" s="430" t="s">
        <v>1855</v>
      </c>
      <c r="E2280" s="430" t="s">
        <v>1708</v>
      </c>
      <c r="F2280" s="430"/>
      <c r="G2280" s="432" t="s">
        <v>82</v>
      </c>
      <c r="H2280" s="433">
        <v>0.4444</v>
      </c>
      <c r="I2280" s="433">
        <v>0</v>
      </c>
      <c r="J2280" s="446">
        <v>35.55</v>
      </c>
      <c r="K2280" s="446">
        <v>15.79</v>
      </c>
    </row>
    <row r="2281" customHeight="1" spans="1:11">
      <c r="A2281" s="430" t="s">
        <v>1724</v>
      </c>
      <c r="B2281" s="431" t="s">
        <v>1859</v>
      </c>
      <c r="C2281" s="430" t="s">
        <v>71</v>
      </c>
      <c r="D2281" s="430" t="s">
        <v>1860</v>
      </c>
      <c r="E2281" s="430" t="s">
        <v>1708</v>
      </c>
      <c r="F2281" s="430"/>
      <c r="G2281" s="432" t="s">
        <v>82</v>
      </c>
      <c r="H2281" s="433">
        <v>0.4444</v>
      </c>
      <c r="I2281" s="433">
        <v>0</v>
      </c>
      <c r="J2281" s="446">
        <v>29.54</v>
      </c>
      <c r="K2281" s="446">
        <v>13.12</v>
      </c>
    </row>
    <row r="2282" customHeight="1" spans="1:11">
      <c r="A2282" s="438" t="s">
        <v>1750</v>
      </c>
      <c r="B2282" s="439" t="s">
        <v>2284</v>
      </c>
      <c r="C2282" s="438" t="s">
        <v>71</v>
      </c>
      <c r="D2282" s="438" t="s">
        <v>2285</v>
      </c>
      <c r="E2282" s="438" t="s">
        <v>1631</v>
      </c>
      <c r="F2282" s="438"/>
      <c r="G2282" s="440" t="s">
        <v>105</v>
      </c>
      <c r="H2282" s="441">
        <v>0.0247</v>
      </c>
      <c r="I2282" s="441">
        <v>0</v>
      </c>
      <c r="J2282" s="449">
        <v>2.08</v>
      </c>
      <c r="K2282" s="449">
        <v>0.05</v>
      </c>
    </row>
    <row r="2283" customHeight="1" spans="1:11">
      <c r="A2283" s="438" t="s">
        <v>1750</v>
      </c>
      <c r="B2283" s="439" t="s">
        <v>2402</v>
      </c>
      <c r="C2283" s="438" t="s">
        <v>71</v>
      </c>
      <c r="D2283" s="438" t="s">
        <v>2403</v>
      </c>
      <c r="E2283" s="438" t="s">
        <v>1631</v>
      </c>
      <c r="F2283" s="438"/>
      <c r="G2283" s="440" t="s">
        <v>78</v>
      </c>
      <c r="H2283" s="441">
        <v>1.0549</v>
      </c>
      <c r="I2283" s="441">
        <v>0</v>
      </c>
      <c r="J2283" s="449">
        <v>16.15</v>
      </c>
      <c r="K2283" s="449">
        <v>17.03</v>
      </c>
    </row>
    <row r="2284" customHeight="1" spans="1:11">
      <c r="A2284" s="434"/>
      <c r="B2284" s="434"/>
      <c r="C2284" s="434"/>
      <c r="D2284" s="434"/>
      <c r="E2284" s="434"/>
      <c r="F2284" s="434" t="s">
        <v>1735</v>
      </c>
      <c r="G2284" s="435">
        <v>10.78</v>
      </c>
      <c r="H2284" s="434" t="s">
        <v>1736</v>
      </c>
      <c r="I2284" s="435">
        <v>9.81</v>
      </c>
      <c r="J2284" s="434" t="s">
        <v>1737</v>
      </c>
      <c r="K2284" s="435">
        <v>20.59</v>
      </c>
    </row>
    <row r="2285" customHeight="1" spans="1:11">
      <c r="A2285" s="434"/>
      <c r="B2285" s="434"/>
      <c r="C2285" s="434"/>
      <c r="D2285" s="434"/>
      <c r="E2285" s="434"/>
      <c r="F2285" s="434" t="s">
        <v>1738</v>
      </c>
      <c r="G2285" s="435">
        <v>11.34</v>
      </c>
      <c r="H2285" s="434"/>
      <c r="I2285" s="434" t="s">
        <v>1739</v>
      </c>
      <c r="J2285" s="434"/>
      <c r="K2285" s="435">
        <v>57.33</v>
      </c>
    </row>
    <row r="2286" customHeight="1" spans="1:11">
      <c r="A2286" s="436"/>
      <c r="B2286" s="436"/>
      <c r="C2286" s="436"/>
      <c r="D2286" s="436"/>
      <c r="E2286" s="436"/>
      <c r="F2286" s="436"/>
      <c r="G2286" s="436"/>
      <c r="H2286" s="436" t="s">
        <v>1740</v>
      </c>
      <c r="I2286" s="447" t="s">
        <v>2589</v>
      </c>
      <c r="J2286" s="436" t="s">
        <v>1742</v>
      </c>
      <c r="K2286" s="448">
        <v>11408.67</v>
      </c>
    </row>
    <row r="2287" customHeight="1" spans="1:11">
      <c r="A2287" s="437"/>
      <c r="B2287" s="437"/>
      <c r="C2287" s="437"/>
      <c r="D2287" s="437"/>
      <c r="E2287" s="437"/>
      <c r="F2287" s="437"/>
      <c r="G2287" s="437"/>
      <c r="H2287" s="437"/>
      <c r="I2287" s="437"/>
      <c r="J2287" s="437"/>
      <c r="K2287" s="437"/>
    </row>
    <row r="2288" customHeight="1" spans="1:11">
      <c r="A2288" s="423" t="s">
        <v>706</v>
      </c>
      <c r="B2288" s="424" t="s">
        <v>1714</v>
      </c>
      <c r="C2288" s="423" t="s">
        <v>1715</v>
      </c>
      <c r="D2288" s="423" t="s">
        <v>1716</v>
      </c>
      <c r="E2288" s="423" t="s">
        <v>1717</v>
      </c>
      <c r="F2288" s="423"/>
      <c r="G2288" s="425" t="s">
        <v>1718</v>
      </c>
      <c r="H2288" s="424" t="s">
        <v>1719</v>
      </c>
      <c r="I2288" s="424" t="s">
        <v>1720</v>
      </c>
      <c r="J2288" s="424" t="s">
        <v>1721</v>
      </c>
      <c r="K2288" s="424" t="s">
        <v>1722</v>
      </c>
    </row>
    <row r="2289" customHeight="1" spans="1:11">
      <c r="A2289" s="426" t="s">
        <v>1723</v>
      </c>
      <c r="B2289" s="427" t="s">
        <v>707</v>
      </c>
      <c r="C2289" s="426" t="s">
        <v>71</v>
      </c>
      <c r="D2289" s="426" t="s">
        <v>708</v>
      </c>
      <c r="E2289" s="426" t="s">
        <v>1649</v>
      </c>
      <c r="F2289" s="426"/>
      <c r="G2289" s="428" t="s">
        <v>78</v>
      </c>
      <c r="H2289" s="429">
        <v>1</v>
      </c>
      <c r="I2289" s="445"/>
      <c r="J2289" s="445">
        <v>64.81</v>
      </c>
      <c r="K2289" s="445">
        <v>64.81</v>
      </c>
    </row>
    <row r="2290" customHeight="1" spans="1:11">
      <c r="A2290" s="430" t="s">
        <v>1724</v>
      </c>
      <c r="B2290" s="431" t="s">
        <v>1854</v>
      </c>
      <c r="C2290" s="430" t="s">
        <v>71</v>
      </c>
      <c r="D2290" s="430" t="s">
        <v>1855</v>
      </c>
      <c r="E2290" s="430" t="s">
        <v>1708</v>
      </c>
      <c r="F2290" s="430"/>
      <c r="G2290" s="432" t="s">
        <v>82</v>
      </c>
      <c r="H2290" s="433">
        <v>0.3114</v>
      </c>
      <c r="I2290" s="433">
        <v>0</v>
      </c>
      <c r="J2290" s="446">
        <v>35.55</v>
      </c>
      <c r="K2290" s="446">
        <v>11.07</v>
      </c>
    </row>
    <row r="2291" customHeight="1" spans="1:11">
      <c r="A2291" s="430" t="s">
        <v>1724</v>
      </c>
      <c r="B2291" s="431" t="s">
        <v>1859</v>
      </c>
      <c r="C2291" s="430" t="s">
        <v>71</v>
      </c>
      <c r="D2291" s="430" t="s">
        <v>1860</v>
      </c>
      <c r="E2291" s="430" t="s">
        <v>1708</v>
      </c>
      <c r="F2291" s="430"/>
      <c r="G2291" s="432" t="s">
        <v>82</v>
      </c>
      <c r="H2291" s="433">
        <v>0.3114</v>
      </c>
      <c r="I2291" s="433">
        <v>0</v>
      </c>
      <c r="J2291" s="446">
        <v>29.54</v>
      </c>
      <c r="K2291" s="446">
        <v>9.19</v>
      </c>
    </row>
    <row r="2292" customHeight="1" spans="1:11">
      <c r="A2292" s="438" t="s">
        <v>1750</v>
      </c>
      <c r="B2292" s="439" t="s">
        <v>1877</v>
      </c>
      <c r="C2292" s="438" t="s">
        <v>71</v>
      </c>
      <c r="D2292" s="438" t="s">
        <v>1878</v>
      </c>
      <c r="E2292" s="438" t="s">
        <v>1631</v>
      </c>
      <c r="F2292" s="438"/>
      <c r="G2292" s="440" t="s">
        <v>78</v>
      </c>
      <c r="H2292" s="441">
        <v>1.0549</v>
      </c>
      <c r="I2292" s="441">
        <v>0</v>
      </c>
      <c r="J2292" s="449">
        <v>42.21</v>
      </c>
      <c r="K2292" s="449">
        <v>44.52</v>
      </c>
    </row>
    <row r="2293" customHeight="1" spans="1:11">
      <c r="A2293" s="438" t="s">
        <v>1750</v>
      </c>
      <c r="B2293" s="439" t="s">
        <v>2284</v>
      </c>
      <c r="C2293" s="438" t="s">
        <v>71</v>
      </c>
      <c r="D2293" s="438" t="s">
        <v>2285</v>
      </c>
      <c r="E2293" s="438" t="s">
        <v>1631</v>
      </c>
      <c r="F2293" s="438"/>
      <c r="G2293" s="440" t="s">
        <v>105</v>
      </c>
      <c r="H2293" s="441">
        <v>0.0173</v>
      </c>
      <c r="I2293" s="441">
        <v>0</v>
      </c>
      <c r="J2293" s="449">
        <v>2.08</v>
      </c>
      <c r="K2293" s="449">
        <v>0.03</v>
      </c>
    </row>
    <row r="2294" customHeight="1" spans="1:11">
      <c r="A2294" s="434"/>
      <c r="B2294" s="434"/>
      <c r="C2294" s="434"/>
      <c r="D2294" s="434"/>
      <c r="E2294" s="434"/>
      <c r="F2294" s="434" t="s">
        <v>1735</v>
      </c>
      <c r="G2294" s="435">
        <v>7.56</v>
      </c>
      <c r="H2294" s="434" t="s">
        <v>1736</v>
      </c>
      <c r="I2294" s="435">
        <v>6.87</v>
      </c>
      <c r="J2294" s="434" t="s">
        <v>1737</v>
      </c>
      <c r="K2294" s="435">
        <v>14.43</v>
      </c>
    </row>
    <row r="2295" customHeight="1" spans="1:11">
      <c r="A2295" s="434"/>
      <c r="B2295" s="434"/>
      <c r="C2295" s="434"/>
      <c r="D2295" s="434"/>
      <c r="E2295" s="434"/>
      <c r="F2295" s="434" t="s">
        <v>1738</v>
      </c>
      <c r="G2295" s="435">
        <v>15.98</v>
      </c>
      <c r="H2295" s="434"/>
      <c r="I2295" s="434" t="s">
        <v>1739</v>
      </c>
      <c r="J2295" s="434"/>
      <c r="K2295" s="435">
        <v>80.79</v>
      </c>
    </row>
    <row r="2296" customHeight="1" spans="1:11">
      <c r="A2296" s="436"/>
      <c r="B2296" s="436"/>
      <c r="C2296" s="436"/>
      <c r="D2296" s="436"/>
      <c r="E2296" s="436"/>
      <c r="F2296" s="436"/>
      <c r="G2296" s="436"/>
      <c r="H2296" s="436" t="s">
        <v>1740</v>
      </c>
      <c r="I2296" s="447" t="s">
        <v>2590</v>
      </c>
      <c r="J2296" s="436" t="s">
        <v>1742</v>
      </c>
      <c r="K2296" s="448">
        <v>18177.75</v>
      </c>
    </row>
    <row r="2297" customHeight="1" spans="1:11">
      <c r="A2297" s="437"/>
      <c r="B2297" s="437"/>
      <c r="C2297" s="437"/>
      <c r="D2297" s="437"/>
      <c r="E2297" s="437"/>
      <c r="F2297" s="437"/>
      <c r="G2297" s="437"/>
      <c r="H2297" s="437"/>
      <c r="I2297" s="437"/>
      <c r="J2297" s="437"/>
      <c r="K2297" s="437"/>
    </row>
    <row r="2298" customHeight="1" spans="1:11">
      <c r="A2298" s="423" t="s">
        <v>709</v>
      </c>
      <c r="B2298" s="424" t="s">
        <v>1714</v>
      </c>
      <c r="C2298" s="423" t="s">
        <v>1715</v>
      </c>
      <c r="D2298" s="423" t="s">
        <v>1716</v>
      </c>
      <c r="E2298" s="423" t="s">
        <v>1717</v>
      </c>
      <c r="F2298" s="423"/>
      <c r="G2298" s="425" t="s">
        <v>1718</v>
      </c>
      <c r="H2298" s="424" t="s">
        <v>1719</v>
      </c>
      <c r="I2298" s="424" t="s">
        <v>1720</v>
      </c>
      <c r="J2298" s="424" t="s">
        <v>1721</v>
      </c>
      <c r="K2298" s="424" t="s">
        <v>1722</v>
      </c>
    </row>
    <row r="2299" customHeight="1" spans="1:11">
      <c r="A2299" s="426" t="s">
        <v>1723</v>
      </c>
      <c r="B2299" s="427" t="s">
        <v>710</v>
      </c>
      <c r="C2299" s="426" t="s">
        <v>76</v>
      </c>
      <c r="D2299" s="426" t="s">
        <v>711</v>
      </c>
      <c r="E2299" s="426">
        <v>6</v>
      </c>
      <c r="F2299" s="426"/>
      <c r="G2299" s="428" t="s">
        <v>78</v>
      </c>
      <c r="H2299" s="429">
        <v>1</v>
      </c>
      <c r="I2299" s="445"/>
      <c r="J2299" s="445">
        <v>96.12</v>
      </c>
      <c r="K2299" s="445">
        <v>96.12</v>
      </c>
    </row>
    <row r="2300" customHeight="1" spans="1:11">
      <c r="A2300" s="438" t="s">
        <v>1750</v>
      </c>
      <c r="B2300" s="439" t="s">
        <v>2591</v>
      </c>
      <c r="C2300" s="438" t="s">
        <v>76</v>
      </c>
      <c r="D2300" s="438" t="s">
        <v>2592</v>
      </c>
      <c r="E2300" s="438" t="s">
        <v>1631</v>
      </c>
      <c r="F2300" s="438"/>
      <c r="G2300" s="440" t="s">
        <v>78</v>
      </c>
      <c r="H2300" s="441">
        <v>1</v>
      </c>
      <c r="I2300" s="441">
        <v>0</v>
      </c>
      <c r="J2300" s="449">
        <v>96.12</v>
      </c>
      <c r="K2300" s="449">
        <v>96.12</v>
      </c>
    </row>
    <row r="2301" customHeight="1" spans="1:11">
      <c r="A2301" s="434"/>
      <c r="B2301" s="434"/>
      <c r="C2301" s="434"/>
      <c r="D2301" s="434"/>
      <c r="E2301" s="434"/>
      <c r="F2301" s="434" t="s">
        <v>1735</v>
      </c>
      <c r="G2301" s="435">
        <v>0</v>
      </c>
      <c r="H2301" s="434" t="s">
        <v>1736</v>
      </c>
      <c r="I2301" s="435">
        <v>0</v>
      </c>
      <c r="J2301" s="434" t="s">
        <v>1737</v>
      </c>
      <c r="K2301" s="435">
        <v>0</v>
      </c>
    </row>
    <row r="2302" customHeight="1" spans="1:11">
      <c r="A2302" s="434"/>
      <c r="B2302" s="434"/>
      <c r="C2302" s="434"/>
      <c r="D2302" s="434"/>
      <c r="E2302" s="434"/>
      <c r="F2302" s="434" t="s">
        <v>1738</v>
      </c>
      <c r="G2302" s="435">
        <v>23.7</v>
      </c>
      <c r="H2302" s="434"/>
      <c r="I2302" s="434" t="s">
        <v>1739</v>
      </c>
      <c r="J2302" s="434"/>
      <c r="K2302" s="435">
        <v>119.82</v>
      </c>
    </row>
    <row r="2303" customHeight="1" spans="1:11">
      <c r="A2303" s="436"/>
      <c r="B2303" s="436"/>
      <c r="C2303" s="436"/>
      <c r="D2303" s="436"/>
      <c r="E2303" s="436"/>
      <c r="F2303" s="436"/>
      <c r="G2303" s="436"/>
      <c r="H2303" s="436" t="s">
        <v>1740</v>
      </c>
      <c r="I2303" s="447" t="s">
        <v>2593</v>
      </c>
      <c r="J2303" s="436" t="s">
        <v>1742</v>
      </c>
      <c r="K2303" s="448">
        <v>5391.9</v>
      </c>
    </row>
    <row r="2304" customHeight="1" spans="1:11">
      <c r="A2304" s="437"/>
      <c r="B2304" s="437"/>
      <c r="C2304" s="437"/>
      <c r="D2304" s="437"/>
      <c r="E2304" s="437"/>
      <c r="F2304" s="437"/>
      <c r="G2304" s="437"/>
      <c r="H2304" s="437"/>
      <c r="I2304" s="437"/>
      <c r="J2304" s="437"/>
      <c r="K2304" s="437"/>
    </row>
    <row r="2305" customHeight="1" spans="1:11">
      <c r="A2305" s="423" t="s">
        <v>712</v>
      </c>
      <c r="B2305" s="424" t="s">
        <v>1714</v>
      </c>
      <c r="C2305" s="423" t="s">
        <v>1715</v>
      </c>
      <c r="D2305" s="423" t="s">
        <v>1716</v>
      </c>
      <c r="E2305" s="423" t="s">
        <v>1717</v>
      </c>
      <c r="F2305" s="423"/>
      <c r="G2305" s="425" t="s">
        <v>1718</v>
      </c>
      <c r="H2305" s="424" t="s">
        <v>1719</v>
      </c>
      <c r="I2305" s="424" t="s">
        <v>1720</v>
      </c>
      <c r="J2305" s="424" t="s">
        <v>1721</v>
      </c>
      <c r="K2305" s="424" t="s">
        <v>1722</v>
      </c>
    </row>
    <row r="2306" customHeight="1" spans="1:11">
      <c r="A2306" s="426" t="s">
        <v>1723</v>
      </c>
      <c r="B2306" s="427" t="s">
        <v>597</v>
      </c>
      <c r="C2306" s="426" t="s">
        <v>71</v>
      </c>
      <c r="D2306" s="426" t="s">
        <v>598</v>
      </c>
      <c r="E2306" s="426" t="s">
        <v>1649</v>
      </c>
      <c r="F2306" s="426"/>
      <c r="G2306" s="428" t="s">
        <v>105</v>
      </c>
      <c r="H2306" s="429">
        <v>1</v>
      </c>
      <c r="I2306" s="445"/>
      <c r="J2306" s="445">
        <v>12.48</v>
      </c>
      <c r="K2306" s="445">
        <v>12.48</v>
      </c>
    </row>
    <row r="2307" customHeight="1" spans="1:11">
      <c r="A2307" s="430" t="s">
        <v>1724</v>
      </c>
      <c r="B2307" s="431" t="s">
        <v>1854</v>
      </c>
      <c r="C2307" s="430" t="s">
        <v>71</v>
      </c>
      <c r="D2307" s="430" t="s">
        <v>1855</v>
      </c>
      <c r="E2307" s="430" t="s">
        <v>1708</v>
      </c>
      <c r="F2307" s="430"/>
      <c r="G2307" s="432" t="s">
        <v>82</v>
      </c>
      <c r="H2307" s="433">
        <v>0.08825</v>
      </c>
      <c r="I2307" s="433">
        <v>0</v>
      </c>
      <c r="J2307" s="446">
        <v>35.55</v>
      </c>
      <c r="K2307" s="446">
        <v>3.13</v>
      </c>
    </row>
    <row r="2308" customHeight="1" spans="1:11">
      <c r="A2308" s="430" t="s">
        <v>1724</v>
      </c>
      <c r="B2308" s="431" t="s">
        <v>1859</v>
      </c>
      <c r="C2308" s="430" t="s">
        <v>71</v>
      </c>
      <c r="D2308" s="430" t="s">
        <v>1860</v>
      </c>
      <c r="E2308" s="430" t="s">
        <v>1708</v>
      </c>
      <c r="F2308" s="430"/>
      <c r="G2308" s="432" t="s">
        <v>82</v>
      </c>
      <c r="H2308" s="433">
        <v>0.08825</v>
      </c>
      <c r="I2308" s="433">
        <v>0</v>
      </c>
      <c r="J2308" s="446">
        <v>29.54</v>
      </c>
      <c r="K2308" s="446">
        <v>2.6</v>
      </c>
    </row>
    <row r="2309" customHeight="1" spans="1:11">
      <c r="A2309" s="438" t="s">
        <v>1750</v>
      </c>
      <c r="B2309" s="439" t="s">
        <v>2294</v>
      </c>
      <c r="C2309" s="438" t="s">
        <v>71</v>
      </c>
      <c r="D2309" s="438" t="s">
        <v>2295</v>
      </c>
      <c r="E2309" s="438" t="s">
        <v>1631</v>
      </c>
      <c r="F2309" s="438"/>
      <c r="G2309" s="440" t="s">
        <v>105</v>
      </c>
      <c r="H2309" s="441">
        <v>0.0075</v>
      </c>
      <c r="I2309" s="441">
        <v>0</v>
      </c>
      <c r="J2309" s="449">
        <v>82.38</v>
      </c>
      <c r="K2309" s="449">
        <v>0.61</v>
      </c>
    </row>
    <row r="2310" customHeight="1" spans="1:11">
      <c r="A2310" s="438" t="s">
        <v>1750</v>
      </c>
      <c r="B2310" s="439" t="s">
        <v>2284</v>
      </c>
      <c r="C2310" s="438" t="s">
        <v>71</v>
      </c>
      <c r="D2310" s="438" t="s">
        <v>2285</v>
      </c>
      <c r="E2310" s="438" t="s">
        <v>1631</v>
      </c>
      <c r="F2310" s="438"/>
      <c r="G2310" s="440" t="s">
        <v>105</v>
      </c>
      <c r="H2310" s="441">
        <v>0.0074</v>
      </c>
      <c r="I2310" s="441">
        <v>0</v>
      </c>
      <c r="J2310" s="449">
        <v>2.08</v>
      </c>
      <c r="K2310" s="449">
        <v>0.01</v>
      </c>
    </row>
    <row r="2311" customHeight="1" spans="1:11">
      <c r="A2311" s="438" t="s">
        <v>1750</v>
      </c>
      <c r="B2311" s="439" t="s">
        <v>2452</v>
      </c>
      <c r="C2311" s="438" t="s">
        <v>71</v>
      </c>
      <c r="D2311" s="438" t="s">
        <v>2453</v>
      </c>
      <c r="E2311" s="438" t="s">
        <v>1631</v>
      </c>
      <c r="F2311" s="438"/>
      <c r="G2311" s="440" t="s">
        <v>105</v>
      </c>
      <c r="H2311" s="441">
        <v>1</v>
      </c>
      <c r="I2311" s="441">
        <v>0</v>
      </c>
      <c r="J2311" s="449">
        <v>3.34</v>
      </c>
      <c r="K2311" s="449">
        <v>3.34</v>
      </c>
    </row>
    <row r="2312" customHeight="1" spans="1:11">
      <c r="A2312" s="438" t="s">
        <v>1750</v>
      </c>
      <c r="B2312" s="439" t="s">
        <v>2419</v>
      </c>
      <c r="C2312" s="438" t="s">
        <v>71</v>
      </c>
      <c r="D2312" s="438" t="s">
        <v>2420</v>
      </c>
      <c r="E2312" s="438" t="s">
        <v>1631</v>
      </c>
      <c r="F2312" s="438"/>
      <c r="G2312" s="440" t="s">
        <v>105</v>
      </c>
      <c r="H2312" s="441">
        <v>1</v>
      </c>
      <c r="I2312" s="441">
        <v>0</v>
      </c>
      <c r="J2312" s="449">
        <v>1.69</v>
      </c>
      <c r="K2312" s="449">
        <v>1.69</v>
      </c>
    </row>
    <row r="2313" customHeight="1" spans="1:11">
      <c r="A2313" s="438" t="s">
        <v>1750</v>
      </c>
      <c r="B2313" s="439" t="s">
        <v>2411</v>
      </c>
      <c r="C2313" s="438" t="s">
        <v>71</v>
      </c>
      <c r="D2313" s="438" t="s">
        <v>2412</v>
      </c>
      <c r="E2313" s="438" t="s">
        <v>1631</v>
      </c>
      <c r="F2313" s="438"/>
      <c r="G2313" s="440" t="s">
        <v>105</v>
      </c>
      <c r="H2313" s="441">
        <v>0.025</v>
      </c>
      <c r="I2313" s="441">
        <v>0</v>
      </c>
      <c r="J2313" s="449">
        <v>30.01</v>
      </c>
      <c r="K2313" s="449">
        <v>0.75</v>
      </c>
    </row>
    <row r="2314" customHeight="1" spans="1:11">
      <c r="A2314" s="438" t="s">
        <v>1750</v>
      </c>
      <c r="B2314" s="439" t="s">
        <v>2296</v>
      </c>
      <c r="C2314" s="438" t="s">
        <v>71</v>
      </c>
      <c r="D2314" s="438" t="s">
        <v>2297</v>
      </c>
      <c r="E2314" s="438" t="s">
        <v>1631</v>
      </c>
      <c r="F2314" s="438"/>
      <c r="G2314" s="440" t="s">
        <v>105</v>
      </c>
      <c r="H2314" s="441">
        <v>0.0049</v>
      </c>
      <c r="I2314" s="441">
        <v>0</v>
      </c>
      <c r="J2314" s="449">
        <v>72.71</v>
      </c>
      <c r="K2314" s="449">
        <v>0.35</v>
      </c>
    </row>
    <row r="2315" customHeight="1" spans="1:11">
      <c r="A2315" s="434"/>
      <c r="B2315" s="434"/>
      <c r="C2315" s="434"/>
      <c r="D2315" s="434"/>
      <c r="E2315" s="434"/>
      <c r="F2315" s="434" t="s">
        <v>1735</v>
      </c>
      <c r="G2315" s="435">
        <v>2.14</v>
      </c>
      <c r="H2315" s="434" t="s">
        <v>1736</v>
      </c>
      <c r="I2315" s="435">
        <v>1.95</v>
      </c>
      <c r="J2315" s="434" t="s">
        <v>1737</v>
      </c>
      <c r="K2315" s="435">
        <v>4.09</v>
      </c>
    </row>
    <row r="2316" customHeight="1" spans="1:11">
      <c r="A2316" s="434"/>
      <c r="B2316" s="434"/>
      <c r="C2316" s="434"/>
      <c r="D2316" s="434"/>
      <c r="E2316" s="434"/>
      <c r="F2316" s="434" t="s">
        <v>1738</v>
      </c>
      <c r="G2316" s="435">
        <v>3.07</v>
      </c>
      <c r="H2316" s="434"/>
      <c r="I2316" s="434" t="s">
        <v>1739</v>
      </c>
      <c r="J2316" s="434"/>
      <c r="K2316" s="435">
        <v>15.55</v>
      </c>
    </row>
    <row r="2317" customHeight="1" spans="1:11">
      <c r="A2317" s="436"/>
      <c r="B2317" s="436"/>
      <c r="C2317" s="436"/>
      <c r="D2317" s="436"/>
      <c r="E2317" s="436"/>
      <c r="F2317" s="436"/>
      <c r="G2317" s="436"/>
      <c r="H2317" s="436" t="s">
        <v>1740</v>
      </c>
      <c r="I2317" s="447" t="s">
        <v>1971</v>
      </c>
      <c r="J2317" s="436" t="s">
        <v>1742</v>
      </c>
      <c r="K2317" s="448">
        <v>31.1</v>
      </c>
    </row>
    <row r="2318" customHeight="1" spans="1:11">
      <c r="A2318" s="437"/>
      <c r="B2318" s="437"/>
      <c r="C2318" s="437"/>
      <c r="D2318" s="437"/>
      <c r="E2318" s="437"/>
      <c r="F2318" s="437"/>
      <c r="G2318" s="437"/>
      <c r="H2318" s="437"/>
      <c r="I2318" s="437"/>
      <c r="J2318" s="437"/>
      <c r="K2318" s="437"/>
    </row>
    <row r="2319" customHeight="1" spans="1:11">
      <c r="A2319" s="423" t="s">
        <v>713</v>
      </c>
      <c r="B2319" s="424" t="s">
        <v>1714</v>
      </c>
      <c r="C2319" s="423" t="s">
        <v>1715</v>
      </c>
      <c r="D2319" s="423" t="s">
        <v>1716</v>
      </c>
      <c r="E2319" s="423" t="s">
        <v>1717</v>
      </c>
      <c r="F2319" s="423"/>
      <c r="G2319" s="425" t="s">
        <v>1718</v>
      </c>
      <c r="H2319" s="424" t="s">
        <v>1719</v>
      </c>
      <c r="I2319" s="424" t="s">
        <v>1720</v>
      </c>
      <c r="J2319" s="424" t="s">
        <v>1721</v>
      </c>
      <c r="K2319" s="424" t="s">
        <v>1722</v>
      </c>
    </row>
    <row r="2320" customHeight="1" spans="1:11">
      <c r="A2320" s="426" t="s">
        <v>1723</v>
      </c>
      <c r="B2320" s="427" t="s">
        <v>549</v>
      </c>
      <c r="C2320" s="426" t="s">
        <v>71</v>
      </c>
      <c r="D2320" s="426" t="s">
        <v>550</v>
      </c>
      <c r="E2320" s="426" t="s">
        <v>1649</v>
      </c>
      <c r="F2320" s="426"/>
      <c r="G2320" s="428" t="s">
        <v>105</v>
      </c>
      <c r="H2320" s="429">
        <v>1</v>
      </c>
      <c r="I2320" s="445"/>
      <c r="J2320" s="445">
        <v>11.06</v>
      </c>
      <c r="K2320" s="445">
        <v>11.06</v>
      </c>
    </row>
    <row r="2321" customHeight="1" spans="1:11">
      <c r="A2321" s="430" t="s">
        <v>1724</v>
      </c>
      <c r="B2321" s="431" t="s">
        <v>1859</v>
      </c>
      <c r="C2321" s="430" t="s">
        <v>71</v>
      </c>
      <c r="D2321" s="430" t="s">
        <v>1860</v>
      </c>
      <c r="E2321" s="430" t="s">
        <v>1708</v>
      </c>
      <c r="F2321" s="430"/>
      <c r="G2321" s="432" t="s">
        <v>82</v>
      </c>
      <c r="H2321" s="433">
        <v>0.0919</v>
      </c>
      <c r="I2321" s="433">
        <v>0</v>
      </c>
      <c r="J2321" s="446">
        <v>29.54</v>
      </c>
      <c r="K2321" s="446">
        <v>2.71</v>
      </c>
    </row>
    <row r="2322" customHeight="1" spans="1:11">
      <c r="A2322" s="430" t="s">
        <v>1724</v>
      </c>
      <c r="B2322" s="431" t="s">
        <v>1854</v>
      </c>
      <c r="C2322" s="430" t="s">
        <v>71</v>
      </c>
      <c r="D2322" s="430" t="s">
        <v>1855</v>
      </c>
      <c r="E2322" s="430" t="s">
        <v>1708</v>
      </c>
      <c r="F2322" s="430"/>
      <c r="G2322" s="432" t="s">
        <v>82</v>
      </c>
      <c r="H2322" s="433">
        <v>0.0919</v>
      </c>
      <c r="I2322" s="433">
        <v>0</v>
      </c>
      <c r="J2322" s="446">
        <v>35.55</v>
      </c>
      <c r="K2322" s="446">
        <v>3.26</v>
      </c>
    </row>
    <row r="2323" customHeight="1" spans="1:11">
      <c r="A2323" s="438" t="s">
        <v>1750</v>
      </c>
      <c r="B2323" s="439" t="s">
        <v>2405</v>
      </c>
      <c r="C2323" s="438" t="s">
        <v>71</v>
      </c>
      <c r="D2323" s="438" t="s">
        <v>2406</v>
      </c>
      <c r="E2323" s="438" t="s">
        <v>1631</v>
      </c>
      <c r="F2323" s="438"/>
      <c r="G2323" s="440" t="s">
        <v>105</v>
      </c>
      <c r="H2323" s="441">
        <v>1</v>
      </c>
      <c r="I2323" s="441">
        <v>0</v>
      </c>
      <c r="J2323" s="449">
        <v>3.58</v>
      </c>
      <c r="K2323" s="449">
        <v>3.58</v>
      </c>
    </row>
    <row r="2324" customHeight="1" spans="1:11">
      <c r="A2324" s="438" t="s">
        <v>1750</v>
      </c>
      <c r="B2324" s="439" t="s">
        <v>2296</v>
      </c>
      <c r="C2324" s="438" t="s">
        <v>71</v>
      </c>
      <c r="D2324" s="438" t="s">
        <v>2297</v>
      </c>
      <c r="E2324" s="438" t="s">
        <v>1631</v>
      </c>
      <c r="F2324" s="438"/>
      <c r="G2324" s="440" t="s">
        <v>105</v>
      </c>
      <c r="H2324" s="441">
        <v>0.0073</v>
      </c>
      <c r="I2324" s="441">
        <v>0</v>
      </c>
      <c r="J2324" s="449">
        <v>72.71</v>
      </c>
      <c r="K2324" s="449">
        <v>0.53</v>
      </c>
    </row>
    <row r="2325" customHeight="1" spans="1:11">
      <c r="A2325" s="438" t="s">
        <v>1750</v>
      </c>
      <c r="B2325" s="439" t="s">
        <v>2294</v>
      </c>
      <c r="C2325" s="438" t="s">
        <v>71</v>
      </c>
      <c r="D2325" s="438" t="s">
        <v>2295</v>
      </c>
      <c r="E2325" s="438" t="s">
        <v>1631</v>
      </c>
      <c r="F2325" s="438"/>
      <c r="G2325" s="440" t="s">
        <v>105</v>
      </c>
      <c r="H2325" s="441">
        <v>0.011</v>
      </c>
      <c r="I2325" s="441">
        <v>0</v>
      </c>
      <c r="J2325" s="449">
        <v>82.38</v>
      </c>
      <c r="K2325" s="449">
        <v>0.9</v>
      </c>
    </row>
    <row r="2326" customHeight="1" spans="1:11">
      <c r="A2326" s="438" t="s">
        <v>1750</v>
      </c>
      <c r="B2326" s="439" t="s">
        <v>2284</v>
      </c>
      <c r="C2326" s="438" t="s">
        <v>71</v>
      </c>
      <c r="D2326" s="438" t="s">
        <v>2285</v>
      </c>
      <c r="E2326" s="438" t="s">
        <v>1631</v>
      </c>
      <c r="F2326" s="438"/>
      <c r="G2326" s="440" t="s">
        <v>105</v>
      </c>
      <c r="H2326" s="441">
        <v>0.039</v>
      </c>
      <c r="I2326" s="441">
        <v>0</v>
      </c>
      <c r="J2326" s="449">
        <v>2.08</v>
      </c>
      <c r="K2326" s="449">
        <v>0.08</v>
      </c>
    </row>
    <row r="2327" customHeight="1" spans="1:11">
      <c r="A2327" s="434"/>
      <c r="B2327" s="434"/>
      <c r="C2327" s="434"/>
      <c r="D2327" s="434"/>
      <c r="E2327" s="434"/>
      <c r="F2327" s="434" t="s">
        <v>1735</v>
      </c>
      <c r="G2327" s="435">
        <v>2.22</v>
      </c>
      <c r="H2327" s="434" t="s">
        <v>1736</v>
      </c>
      <c r="I2327" s="435">
        <v>2.03</v>
      </c>
      <c r="J2327" s="434" t="s">
        <v>1737</v>
      </c>
      <c r="K2327" s="435">
        <v>4.25</v>
      </c>
    </row>
    <row r="2328" customHeight="1" spans="1:11">
      <c r="A2328" s="434"/>
      <c r="B2328" s="434"/>
      <c r="C2328" s="434"/>
      <c r="D2328" s="434"/>
      <c r="E2328" s="434"/>
      <c r="F2328" s="434" t="s">
        <v>1738</v>
      </c>
      <c r="G2328" s="435">
        <v>2.72</v>
      </c>
      <c r="H2328" s="434"/>
      <c r="I2328" s="434" t="s">
        <v>1739</v>
      </c>
      <c r="J2328" s="434"/>
      <c r="K2328" s="435">
        <v>13.78</v>
      </c>
    </row>
    <row r="2329" customHeight="1" spans="1:11">
      <c r="A2329" s="436"/>
      <c r="B2329" s="436"/>
      <c r="C2329" s="436"/>
      <c r="D2329" s="436"/>
      <c r="E2329" s="436"/>
      <c r="F2329" s="436"/>
      <c r="G2329" s="436"/>
      <c r="H2329" s="436" t="s">
        <v>1740</v>
      </c>
      <c r="I2329" s="447" t="s">
        <v>2236</v>
      </c>
      <c r="J2329" s="436" t="s">
        <v>1742</v>
      </c>
      <c r="K2329" s="448">
        <v>68.9</v>
      </c>
    </row>
    <row r="2330" customHeight="1" spans="1:11">
      <c r="A2330" s="437"/>
      <c r="B2330" s="437"/>
      <c r="C2330" s="437"/>
      <c r="D2330" s="437"/>
      <c r="E2330" s="437"/>
      <c r="F2330" s="437"/>
      <c r="G2330" s="437"/>
      <c r="H2330" s="437"/>
      <c r="I2330" s="437"/>
      <c r="J2330" s="437"/>
      <c r="K2330" s="437"/>
    </row>
    <row r="2331" customHeight="1" spans="1:11">
      <c r="A2331" s="423" t="s">
        <v>714</v>
      </c>
      <c r="B2331" s="424" t="s">
        <v>1714</v>
      </c>
      <c r="C2331" s="423" t="s">
        <v>1715</v>
      </c>
      <c r="D2331" s="423" t="s">
        <v>1716</v>
      </c>
      <c r="E2331" s="423" t="s">
        <v>1717</v>
      </c>
      <c r="F2331" s="423"/>
      <c r="G2331" s="425" t="s">
        <v>1718</v>
      </c>
      <c r="H2331" s="424" t="s">
        <v>1719</v>
      </c>
      <c r="I2331" s="424" t="s">
        <v>1720</v>
      </c>
      <c r="J2331" s="424" t="s">
        <v>1721</v>
      </c>
      <c r="K2331" s="424" t="s">
        <v>1722</v>
      </c>
    </row>
    <row r="2332" customHeight="1" spans="1:11">
      <c r="A2332" s="426" t="s">
        <v>1723</v>
      </c>
      <c r="B2332" s="427" t="s">
        <v>555</v>
      </c>
      <c r="C2332" s="426" t="s">
        <v>71</v>
      </c>
      <c r="D2332" s="426" t="s">
        <v>556</v>
      </c>
      <c r="E2332" s="426" t="s">
        <v>1649</v>
      </c>
      <c r="F2332" s="426"/>
      <c r="G2332" s="428" t="s">
        <v>105</v>
      </c>
      <c r="H2332" s="429">
        <v>1</v>
      </c>
      <c r="I2332" s="445"/>
      <c r="J2332" s="445">
        <v>37.79</v>
      </c>
      <c r="K2332" s="445">
        <v>37.79</v>
      </c>
    </row>
    <row r="2333" customHeight="1" spans="1:11">
      <c r="A2333" s="430" t="s">
        <v>1724</v>
      </c>
      <c r="B2333" s="431" t="s">
        <v>1859</v>
      </c>
      <c r="C2333" s="430" t="s">
        <v>71</v>
      </c>
      <c r="D2333" s="430" t="s">
        <v>1860</v>
      </c>
      <c r="E2333" s="430" t="s">
        <v>1708</v>
      </c>
      <c r="F2333" s="430"/>
      <c r="G2333" s="432" t="s">
        <v>82</v>
      </c>
      <c r="H2333" s="433">
        <v>0.1284</v>
      </c>
      <c r="I2333" s="433">
        <v>0</v>
      </c>
      <c r="J2333" s="446">
        <v>29.54</v>
      </c>
      <c r="K2333" s="446">
        <v>3.79</v>
      </c>
    </row>
    <row r="2334" customHeight="1" spans="1:11">
      <c r="A2334" s="430" t="s">
        <v>1724</v>
      </c>
      <c r="B2334" s="431" t="s">
        <v>1854</v>
      </c>
      <c r="C2334" s="430" t="s">
        <v>71</v>
      </c>
      <c r="D2334" s="430" t="s">
        <v>1855</v>
      </c>
      <c r="E2334" s="430" t="s">
        <v>1708</v>
      </c>
      <c r="F2334" s="430"/>
      <c r="G2334" s="432" t="s">
        <v>82</v>
      </c>
      <c r="H2334" s="433">
        <v>0.1284</v>
      </c>
      <c r="I2334" s="433">
        <v>0</v>
      </c>
      <c r="J2334" s="446">
        <v>35.55</v>
      </c>
      <c r="K2334" s="446">
        <v>4.56</v>
      </c>
    </row>
    <row r="2335" customHeight="1" spans="1:11">
      <c r="A2335" s="438" t="s">
        <v>1750</v>
      </c>
      <c r="B2335" s="439" t="s">
        <v>2411</v>
      </c>
      <c r="C2335" s="438" t="s">
        <v>71</v>
      </c>
      <c r="D2335" s="438" t="s">
        <v>2412</v>
      </c>
      <c r="E2335" s="438" t="s">
        <v>1631</v>
      </c>
      <c r="F2335" s="438"/>
      <c r="G2335" s="440" t="s">
        <v>105</v>
      </c>
      <c r="H2335" s="441">
        <v>0.115</v>
      </c>
      <c r="I2335" s="441">
        <v>0</v>
      </c>
      <c r="J2335" s="449">
        <v>30.01</v>
      </c>
      <c r="K2335" s="449">
        <v>3.45</v>
      </c>
    </row>
    <row r="2336" customHeight="1" spans="1:11">
      <c r="A2336" s="438" t="s">
        <v>1750</v>
      </c>
      <c r="B2336" s="439" t="s">
        <v>2413</v>
      </c>
      <c r="C2336" s="438" t="s">
        <v>71</v>
      </c>
      <c r="D2336" s="438" t="s">
        <v>2414</v>
      </c>
      <c r="E2336" s="438" t="s">
        <v>1631</v>
      </c>
      <c r="F2336" s="438"/>
      <c r="G2336" s="440" t="s">
        <v>105</v>
      </c>
      <c r="H2336" s="441">
        <v>2</v>
      </c>
      <c r="I2336" s="441">
        <v>0</v>
      </c>
      <c r="J2336" s="449">
        <v>3</v>
      </c>
      <c r="K2336" s="449">
        <v>6</v>
      </c>
    </row>
    <row r="2337" customHeight="1" spans="1:11">
      <c r="A2337" s="438" t="s">
        <v>1750</v>
      </c>
      <c r="B2337" s="439" t="s">
        <v>2415</v>
      </c>
      <c r="C2337" s="438" t="s">
        <v>71</v>
      </c>
      <c r="D2337" s="438" t="s">
        <v>2416</v>
      </c>
      <c r="E2337" s="438" t="s">
        <v>1631</v>
      </c>
      <c r="F2337" s="438"/>
      <c r="G2337" s="440" t="s">
        <v>105</v>
      </c>
      <c r="H2337" s="441">
        <v>1</v>
      </c>
      <c r="I2337" s="441">
        <v>0</v>
      </c>
      <c r="J2337" s="449">
        <v>19.99</v>
      </c>
      <c r="K2337" s="449">
        <v>19.99</v>
      </c>
    </row>
    <row r="2338" customHeight="1" spans="1:11">
      <c r="A2338" s="434"/>
      <c r="B2338" s="434"/>
      <c r="C2338" s="434"/>
      <c r="D2338" s="434"/>
      <c r="E2338" s="434"/>
      <c r="F2338" s="434" t="s">
        <v>1735</v>
      </c>
      <c r="G2338" s="435">
        <v>3.11</v>
      </c>
      <c r="H2338" s="434" t="s">
        <v>1736</v>
      </c>
      <c r="I2338" s="435">
        <v>2.83</v>
      </c>
      <c r="J2338" s="434" t="s">
        <v>1737</v>
      </c>
      <c r="K2338" s="435">
        <v>5.94</v>
      </c>
    </row>
    <row r="2339" customHeight="1" spans="1:11">
      <c r="A2339" s="434"/>
      <c r="B2339" s="434"/>
      <c r="C2339" s="434"/>
      <c r="D2339" s="434"/>
      <c r="E2339" s="434"/>
      <c r="F2339" s="434" t="s">
        <v>1738</v>
      </c>
      <c r="G2339" s="435">
        <v>9.31</v>
      </c>
      <c r="H2339" s="434"/>
      <c r="I2339" s="434" t="s">
        <v>1739</v>
      </c>
      <c r="J2339" s="434"/>
      <c r="K2339" s="435">
        <v>47.1</v>
      </c>
    </row>
    <row r="2340" customHeight="1" spans="1:11">
      <c r="A2340" s="436"/>
      <c r="B2340" s="436"/>
      <c r="C2340" s="436"/>
      <c r="D2340" s="436"/>
      <c r="E2340" s="436"/>
      <c r="F2340" s="436"/>
      <c r="G2340" s="436"/>
      <c r="H2340" s="436" t="s">
        <v>1740</v>
      </c>
      <c r="I2340" s="447" t="s">
        <v>2594</v>
      </c>
      <c r="J2340" s="436" t="s">
        <v>1742</v>
      </c>
      <c r="K2340" s="448">
        <v>2402.1</v>
      </c>
    </row>
    <row r="2341" customHeight="1" spans="1:11">
      <c r="A2341" s="437"/>
      <c r="B2341" s="437"/>
      <c r="C2341" s="437"/>
      <c r="D2341" s="437"/>
      <c r="E2341" s="437"/>
      <c r="F2341" s="437"/>
      <c r="G2341" s="437"/>
      <c r="H2341" s="437"/>
      <c r="I2341" s="437"/>
      <c r="J2341" s="437"/>
      <c r="K2341" s="437"/>
    </row>
    <row r="2342" customHeight="1" spans="1:11">
      <c r="A2342" s="423" t="s">
        <v>715</v>
      </c>
      <c r="B2342" s="424" t="s">
        <v>1714</v>
      </c>
      <c r="C2342" s="423" t="s">
        <v>1715</v>
      </c>
      <c r="D2342" s="423" t="s">
        <v>1716</v>
      </c>
      <c r="E2342" s="423" t="s">
        <v>1717</v>
      </c>
      <c r="F2342" s="423"/>
      <c r="G2342" s="425" t="s">
        <v>1718</v>
      </c>
      <c r="H2342" s="424" t="s">
        <v>1719</v>
      </c>
      <c r="I2342" s="424" t="s">
        <v>1720</v>
      </c>
      <c r="J2342" s="424" t="s">
        <v>1721</v>
      </c>
      <c r="K2342" s="424" t="s">
        <v>1722</v>
      </c>
    </row>
    <row r="2343" customHeight="1" spans="1:11">
      <c r="A2343" s="426" t="s">
        <v>1723</v>
      </c>
      <c r="B2343" s="427" t="s">
        <v>716</v>
      </c>
      <c r="C2343" s="426" t="s">
        <v>71</v>
      </c>
      <c r="D2343" s="426" t="s">
        <v>717</v>
      </c>
      <c r="E2343" s="426" t="s">
        <v>1687</v>
      </c>
      <c r="F2343" s="426"/>
      <c r="G2343" s="428" t="s">
        <v>105</v>
      </c>
      <c r="H2343" s="429">
        <v>1</v>
      </c>
      <c r="I2343" s="445"/>
      <c r="J2343" s="445">
        <v>102.87</v>
      </c>
      <c r="K2343" s="445">
        <v>102.87</v>
      </c>
    </row>
    <row r="2344" customHeight="1" spans="1:11">
      <c r="A2344" s="430" t="s">
        <v>1724</v>
      </c>
      <c r="B2344" s="431" t="s">
        <v>1854</v>
      </c>
      <c r="C2344" s="430" t="s">
        <v>71</v>
      </c>
      <c r="D2344" s="430" t="s">
        <v>1855</v>
      </c>
      <c r="E2344" s="430" t="s">
        <v>1708</v>
      </c>
      <c r="F2344" s="430"/>
      <c r="G2344" s="432" t="s">
        <v>82</v>
      </c>
      <c r="H2344" s="433">
        <v>0.1734</v>
      </c>
      <c r="I2344" s="433">
        <v>0</v>
      </c>
      <c r="J2344" s="446">
        <v>35.55</v>
      </c>
      <c r="K2344" s="446">
        <v>6.16</v>
      </c>
    </row>
    <row r="2345" customHeight="1" spans="1:11">
      <c r="A2345" s="430" t="s">
        <v>1724</v>
      </c>
      <c r="B2345" s="431" t="s">
        <v>1859</v>
      </c>
      <c r="C2345" s="430" t="s">
        <v>71</v>
      </c>
      <c r="D2345" s="430" t="s">
        <v>1860</v>
      </c>
      <c r="E2345" s="430" t="s">
        <v>1708</v>
      </c>
      <c r="F2345" s="430"/>
      <c r="G2345" s="432" t="s">
        <v>82</v>
      </c>
      <c r="H2345" s="433">
        <v>0.1734</v>
      </c>
      <c r="I2345" s="433">
        <v>0</v>
      </c>
      <c r="J2345" s="446">
        <v>29.54</v>
      </c>
      <c r="K2345" s="446">
        <v>5.12</v>
      </c>
    </row>
    <row r="2346" customHeight="1" spans="1:11">
      <c r="A2346" s="438" t="s">
        <v>1750</v>
      </c>
      <c r="B2346" s="439" t="s">
        <v>2448</v>
      </c>
      <c r="C2346" s="438" t="s">
        <v>71</v>
      </c>
      <c r="D2346" s="438" t="s">
        <v>2449</v>
      </c>
      <c r="E2346" s="438" t="s">
        <v>1631</v>
      </c>
      <c r="F2346" s="438"/>
      <c r="G2346" s="440" t="s">
        <v>105</v>
      </c>
      <c r="H2346" s="441">
        <v>2</v>
      </c>
      <c r="I2346" s="441">
        <v>0</v>
      </c>
      <c r="J2346" s="449">
        <v>3.52</v>
      </c>
      <c r="K2346" s="449">
        <v>7.04</v>
      </c>
    </row>
    <row r="2347" customHeight="1" spans="1:11">
      <c r="A2347" s="438" t="s">
        <v>1750</v>
      </c>
      <c r="B2347" s="439" t="s">
        <v>2595</v>
      </c>
      <c r="C2347" s="438" t="s">
        <v>71</v>
      </c>
      <c r="D2347" s="438" t="s">
        <v>2596</v>
      </c>
      <c r="E2347" s="438" t="s">
        <v>1631</v>
      </c>
      <c r="F2347" s="438"/>
      <c r="G2347" s="440" t="s">
        <v>105</v>
      </c>
      <c r="H2347" s="441">
        <v>1</v>
      </c>
      <c r="I2347" s="441">
        <v>0</v>
      </c>
      <c r="J2347" s="449">
        <v>81.1</v>
      </c>
      <c r="K2347" s="449">
        <v>81.1</v>
      </c>
    </row>
    <row r="2348" customHeight="1" spans="1:11">
      <c r="A2348" s="438" t="s">
        <v>1750</v>
      </c>
      <c r="B2348" s="439" t="s">
        <v>2411</v>
      </c>
      <c r="C2348" s="438" t="s">
        <v>71</v>
      </c>
      <c r="D2348" s="438" t="s">
        <v>2412</v>
      </c>
      <c r="E2348" s="438" t="s">
        <v>1631</v>
      </c>
      <c r="F2348" s="438"/>
      <c r="G2348" s="440" t="s">
        <v>105</v>
      </c>
      <c r="H2348" s="441">
        <v>0.115</v>
      </c>
      <c r="I2348" s="441">
        <v>0</v>
      </c>
      <c r="J2348" s="449">
        <v>30.01</v>
      </c>
      <c r="K2348" s="449">
        <v>3.45</v>
      </c>
    </row>
    <row r="2349" customHeight="1" spans="1:11">
      <c r="A2349" s="434"/>
      <c r="B2349" s="434"/>
      <c r="C2349" s="434"/>
      <c r="D2349" s="434"/>
      <c r="E2349" s="434"/>
      <c r="F2349" s="434" t="s">
        <v>1735</v>
      </c>
      <c r="G2349" s="435">
        <v>4.2</v>
      </c>
      <c r="H2349" s="434" t="s">
        <v>1736</v>
      </c>
      <c r="I2349" s="435">
        <v>3.82</v>
      </c>
      <c r="J2349" s="434" t="s">
        <v>1737</v>
      </c>
      <c r="K2349" s="435">
        <v>8.02</v>
      </c>
    </row>
    <row r="2350" customHeight="1" spans="1:11">
      <c r="A2350" s="434"/>
      <c r="B2350" s="434"/>
      <c r="C2350" s="434"/>
      <c r="D2350" s="434"/>
      <c r="E2350" s="434"/>
      <c r="F2350" s="434" t="s">
        <v>1738</v>
      </c>
      <c r="G2350" s="435">
        <v>25.36</v>
      </c>
      <c r="H2350" s="434"/>
      <c r="I2350" s="434" t="s">
        <v>1739</v>
      </c>
      <c r="J2350" s="434"/>
      <c r="K2350" s="435">
        <v>128.23</v>
      </c>
    </row>
    <row r="2351" customHeight="1" spans="1:11">
      <c r="A2351" s="436"/>
      <c r="B2351" s="436"/>
      <c r="C2351" s="436"/>
      <c r="D2351" s="436"/>
      <c r="E2351" s="436"/>
      <c r="F2351" s="436"/>
      <c r="G2351" s="436"/>
      <c r="H2351" s="436" t="s">
        <v>1740</v>
      </c>
      <c r="I2351" s="447" t="s">
        <v>2597</v>
      </c>
      <c r="J2351" s="436" t="s">
        <v>1742</v>
      </c>
      <c r="K2351" s="448">
        <v>3205.75</v>
      </c>
    </row>
    <row r="2352" customHeight="1" spans="1:11">
      <c r="A2352" s="437"/>
      <c r="B2352" s="437"/>
      <c r="C2352" s="437"/>
      <c r="D2352" s="437"/>
      <c r="E2352" s="437"/>
      <c r="F2352" s="437"/>
      <c r="G2352" s="437"/>
      <c r="H2352" s="437"/>
      <c r="I2352" s="437"/>
      <c r="J2352" s="437"/>
      <c r="K2352" s="437"/>
    </row>
    <row r="2353" customHeight="1" spans="1:11">
      <c r="A2353" s="423" t="s">
        <v>718</v>
      </c>
      <c r="B2353" s="424" t="s">
        <v>1714</v>
      </c>
      <c r="C2353" s="423" t="s">
        <v>1715</v>
      </c>
      <c r="D2353" s="423" t="s">
        <v>1716</v>
      </c>
      <c r="E2353" s="423" t="s">
        <v>1717</v>
      </c>
      <c r="F2353" s="423"/>
      <c r="G2353" s="425" t="s">
        <v>1718</v>
      </c>
      <c r="H2353" s="424" t="s">
        <v>1719</v>
      </c>
      <c r="I2353" s="424" t="s">
        <v>1720</v>
      </c>
      <c r="J2353" s="424" t="s">
        <v>1721</v>
      </c>
      <c r="K2353" s="424" t="s">
        <v>1722</v>
      </c>
    </row>
    <row r="2354" customHeight="1" spans="1:11">
      <c r="A2354" s="426" t="s">
        <v>1723</v>
      </c>
      <c r="B2354" s="427" t="s">
        <v>719</v>
      </c>
      <c r="C2354" s="426" t="s">
        <v>71</v>
      </c>
      <c r="D2354" s="426" t="s">
        <v>720</v>
      </c>
      <c r="E2354" s="426" t="s">
        <v>1649</v>
      </c>
      <c r="F2354" s="426"/>
      <c r="G2354" s="428" t="s">
        <v>105</v>
      </c>
      <c r="H2354" s="429">
        <v>1</v>
      </c>
      <c r="I2354" s="445"/>
      <c r="J2354" s="445">
        <v>11.2</v>
      </c>
      <c r="K2354" s="445">
        <v>11.2</v>
      </c>
    </row>
    <row r="2355" customHeight="1" spans="1:11">
      <c r="A2355" s="430" t="s">
        <v>1724</v>
      </c>
      <c r="B2355" s="431" t="s">
        <v>1854</v>
      </c>
      <c r="C2355" s="430" t="s">
        <v>71</v>
      </c>
      <c r="D2355" s="430" t="s">
        <v>1855</v>
      </c>
      <c r="E2355" s="430" t="s">
        <v>1708</v>
      </c>
      <c r="F2355" s="430"/>
      <c r="G2355" s="432" t="s">
        <v>82</v>
      </c>
      <c r="H2355" s="433">
        <v>0.0343</v>
      </c>
      <c r="I2355" s="433">
        <v>0</v>
      </c>
      <c r="J2355" s="446">
        <v>35.55</v>
      </c>
      <c r="K2355" s="446">
        <v>1.21</v>
      </c>
    </row>
    <row r="2356" customHeight="1" spans="1:11">
      <c r="A2356" s="430" t="s">
        <v>1724</v>
      </c>
      <c r="B2356" s="431" t="s">
        <v>1859</v>
      </c>
      <c r="C2356" s="430" t="s">
        <v>71</v>
      </c>
      <c r="D2356" s="430" t="s">
        <v>1860</v>
      </c>
      <c r="E2356" s="430" t="s">
        <v>1708</v>
      </c>
      <c r="F2356" s="430"/>
      <c r="G2356" s="432" t="s">
        <v>82</v>
      </c>
      <c r="H2356" s="433">
        <v>0.0343</v>
      </c>
      <c r="I2356" s="433">
        <v>0</v>
      </c>
      <c r="J2356" s="446">
        <v>29.54</v>
      </c>
      <c r="K2356" s="446">
        <v>1.01</v>
      </c>
    </row>
    <row r="2357" customHeight="1" spans="1:11">
      <c r="A2357" s="438" t="s">
        <v>1750</v>
      </c>
      <c r="B2357" s="439" t="s">
        <v>2411</v>
      </c>
      <c r="C2357" s="438" t="s">
        <v>71</v>
      </c>
      <c r="D2357" s="438" t="s">
        <v>2412</v>
      </c>
      <c r="E2357" s="438" t="s">
        <v>1631</v>
      </c>
      <c r="F2357" s="438"/>
      <c r="G2357" s="440" t="s">
        <v>105</v>
      </c>
      <c r="H2357" s="441">
        <v>0.05</v>
      </c>
      <c r="I2357" s="441">
        <v>0</v>
      </c>
      <c r="J2357" s="449">
        <v>30.01</v>
      </c>
      <c r="K2357" s="449">
        <v>1.5</v>
      </c>
    </row>
    <row r="2358" customHeight="1" spans="1:11">
      <c r="A2358" s="438" t="s">
        <v>1750</v>
      </c>
      <c r="B2358" s="439" t="s">
        <v>2417</v>
      </c>
      <c r="C2358" s="438" t="s">
        <v>71</v>
      </c>
      <c r="D2358" s="438" t="s">
        <v>2418</v>
      </c>
      <c r="E2358" s="438" t="s">
        <v>1631</v>
      </c>
      <c r="F2358" s="438"/>
      <c r="G2358" s="440" t="s">
        <v>105</v>
      </c>
      <c r="H2358" s="441">
        <v>1</v>
      </c>
      <c r="I2358" s="441">
        <v>0</v>
      </c>
      <c r="J2358" s="449">
        <v>4.1</v>
      </c>
      <c r="K2358" s="449">
        <v>4.1</v>
      </c>
    </row>
    <row r="2359" customHeight="1" spans="1:11">
      <c r="A2359" s="438" t="s">
        <v>1750</v>
      </c>
      <c r="B2359" s="439" t="s">
        <v>2419</v>
      </c>
      <c r="C2359" s="438" t="s">
        <v>71</v>
      </c>
      <c r="D2359" s="438" t="s">
        <v>2420</v>
      </c>
      <c r="E2359" s="438" t="s">
        <v>1631</v>
      </c>
      <c r="F2359" s="438"/>
      <c r="G2359" s="440" t="s">
        <v>105</v>
      </c>
      <c r="H2359" s="441">
        <v>2</v>
      </c>
      <c r="I2359" s="441">
        <v>0</v>
      </c>
      <c r="J2359" s="449">
        <v>1.69</v>
      </c>
      <c r="K2359" s="449">
        <v>3.38</v>
      </c>
    </row>
    <row r="2360" customHeight="1" spans="1:11">
      <c r="A2360" s="434"/>
      <c r="B2360" s="434"/>
      <c r="C2360" s="434"/>
      <c r="D2360" s="434"/>
      <c r="E2360" s="434"/>
      <c r="F2360" s="434" t="s">
        <v>1735</v>
      </c>
      <c r="G2360" s="435">
        <v>0.82</v>
      </c>
      <c r="H2360" s="434" t="s">
        <v>1736</v>
      </c>
      <c r="I2360" s="435">
        <v>0.76</v>
      </c>
      <c r="J2360" s="434" t="s">
        <v>1737</v>
      </c>
      <c r="K2360" s="435">
        <v>1.58</v>
      </c>
    </row>
    <row r="2361" customHeight="1" spans="1:11">
      <c r="A2361" s="434"/>
      <c r="B2361" s="434"/>
      <c r="C2361" s="434"/>
      <c r="D2361" s="434"/>
      <c r="E2361" s="434"/>
      <c r="F2361" s="434" t="s">
        <v>1738</v>
      </c>
      <c r="G2361" s="435">
        <v>2.76</v>
      </c>
      <c r="H2361" s="434"/>
      <c r="I2361" s="434" t="s">
        <v>1739</v>
      </c>
      <c r="J2361" s="434"/>
      <c r="K2361" s="435">
        <v>13.96</v>
      </c>
    </row>
    <row r="2362" customHeight="1" spans="1:11">
      <c r="A2362" s="436"/>
      <c r="B2362" s="436"/>
      <c r="C2362" s="436"/>
      <c r="D2362" s="436"/>
      <c r="E2362" s="436"/>
      <c r="F2362" s="436"/>
      <c r="G2362" s="436"/>
      <c r="H2362" s="436" t="s">
        <v>1740</v>
      </c>
      <c r="I2362" s="447" t="s">
        <v>2339</v>
      </c>
      <c r="J2362" s="436" t="s">
        <v>1742</v>
      </c>
      <c r="K2362" s="448">
        <v>41.88</v>
      </c>
    </row>
    <row r="2363" customHeight="1" spans="1:11">
      <c r="A2363" s="437"/>
      <c r="B2363" s="437"/>
      <c r="C2363" s="437"/>
      <c r="D2363" s="437"/>
      <c r="E2363" s="437"/>
      <c r="F2363" s="437"/>
      <c r="G2363" s="437"/>
      <c r="H2363" s="437"/>
      <c r="I2363" s="437"/>
      <c r="J2363" s="437"/>
      <c r="K2363" s="437"/>
    </row>
    <row r="2364" customHeight="1" spans="1:11">
      <c r="A2364" s="423" t="s">
        <v>721</v>
      </c>
      <c r="B2364" s="424" t="s">
        <v>1714</v>
      </c>
      <c r="C2364" s="423" t="s">
        <v>1715</v>
      </c>
      <c r="D2364" s="423" t="s">
        <v>1716</v>
      </c>
      <c r="E2364" s="423" t="s">
        <v>1717</v>
      </c>
      <c r="F2364" s="423"/>
      <c r="G2364" s="425" t="s">
        <v>1718</v>
      </c>
      <c r="H2364" s="424" t="s">
        <v>1719</v>
      </c>
      <c r="I2364" s="424" t="s">
        <v>1720</v>
      </c>
      <c r="J2364" s="424" t="s">
        <v>1721</v>
      </c>
      <c r="K2364" s="424" t="s">
        <v>1722</v>
      </c>
    </row>
    <row r="2365" customHeight="1" spans="1:11">
      <c r="A2365" s="426" t="s">
        <v>1723</v>
      </c>
      <c r="B2365" s="427" t="s">
        <v>722</v>
      </c>
      <c r="C2365" s="426" t="s">
        <v>71</v>
      </c>
      <c r="D2365" s="426" t="s">
        <v>723</v>
      </c>
      <c r="E2365" s="426" t="s">
        <v>1687</v>
      </c>
      <c r="F2365" s="426"/>
      <c r="G2365" s="428" t="s">
        <v>105</v>
      </c>
      <c r="H2365" s="429">
        <v>1</v>
      </c>
      <c r="I2365" s="445"/>
      <c r="J2365" s="445">
        <v>49.28</v>
      </c>
      <c r="K2365" s="445">
        <v>49.28</v>
      </c>
    </row>
    <row r="2366" customHeight="1" spans="1:11">
      <c r="A2366" s="430" t="s">
        <v>1724</v>
      </c>
      <c r="B2366" s="431" t="s">
        <v>1854</v>
      </c>
      <c r="C2366" s="430" t="s">
        <v>71</v>
      </c>
      <c r="D2366" s="430" t="s">
        <v>1855</v>
      </c>
      <c r="E2366" s="430" t="s">
        <v>1708</v>
      </c>
      <c r="F2366" s="430"/>
      <c r="G2366" s="432" t="s">
        <v>82</v>
      </c>
      <c r="H2366" s="433">
        <v>0.2729</v>
      </c>
      <c r="I2366" s="433">
        <v>0</v>
      </c>
      <c r="J2366" s="446">
        <v>35.55</v>
      </c>
      <c r="K2366" s="446">
        <v>9.7</v>
      </c>
    </row>
    <row r="2367" customHeight="1" spans="1:11">
      <c r="A2367" s="430" t="s">
        <v>1724</v>
      </c>
      <c r="B2367" s="431" t="s">
        <v>1859</v>
      </c>
      <c r="C2367" s="430" t="s">
        <v>71</v>
      </c>
      <c r="D2367" s="430" t="s">
        <v>1860</v>
      </c>
      <c r="E2367" s="430" t="s">
        <v>1708</v>
      </c>
      <c r="F2367" s="430"/>
      <c r="G2367" s="432" t="s">
        <v>82</v>
      </c>
      <c r="H2367" s="433">
        <v>0.2729</v>
      </c>
      <c r="I2367" s="433">
        <v>0</v>
      </c>
      <c r="J2367" s="446">
        <v>29.54</v>
      </c>
      <c r="K2367" s="446">
        <v>8.06</v>
      </c>
    </row>
    <row r="2368" customHeight="1" spans="1:11">
      <c r="A2368" s="438" t="s">
        <v>1750</v>
      </c>
      <c r="B2368" s="439" t="s">
        <v>2411</v>
      </c>
      <c r="C2368" s="438" t="s">
        <v>71</v>
      </c>
      <c r="D2368" s="438" t="s">
        <v>2412</v>
      </c>
      <c r="E2368" s="438" t="s">
        <v>1631</v>
      </c>
      <c r="F2368" s="438"/>
      <c r="G2368" s="440" t="s">
        <v>105</v>
      </c>
      <c r="H2368" s="441">
        <v>0.115</v>
      </c>
      <c r="I2368" s="441">
        <v>0</v>
      </c>
      <c r="J2368" s="449">
        <v>30.01</v>
      </c>
      <c r="K2368" s="449">
        <v>3.45</v>
      </c>
    </row>
    <row r="2369" customHeight="1" spans="1:11">
      <c r="A2369" s="438" t="s">
        <v>1750</v>
      </c>
      <c r="B2369" s="439" t="s">
        <v>2598</v>
      </c>
      <c r="C2369" s="438" t="s">
        <v>71</v>
      </c>
      <c r="D2369" s="438" t="s">
        <v>2599</v>
      </c>
      <c r="E2369" s="438" t="s">
        <v>1631</v>
      </c>
      <c r="F2369" s="438"/>
      <c r="G2369" s="440" t="s">
        <v>105</v>
      </c>
      <c r="H2369" s="441">
        <v>1</v>
      </c>
      <c r="I2369" s="441">
        <v>0</v>
      </c>
      <c r="J2369" s="449">
        <v>21.03</v>
      </c>
      <c r="K2369" s="449">
        <v>21.03</v>
      </c>
    </row>
    <row r="2370" customHeight="1" spans="1:11">
      <c r="A2370" s="438" t="s">
        <v>1750</v>
      </c>
      <c r="B2370" s="439" t="s">
        <v>2448</v>
      </c>
      <c r="C2370" s="438" t="s">
        <v>71</v>
      </c>
      <c r="D2370" s="438" t="s">
        <v>2449</v>
      </c>
      <c r="E2370" s="438" t="s">
        <v>1631</v>
      </c>
      <c r="F2370" s="438"/>
      <c r="G2370" s="440" t="s">
        <v>105</v>
      </c>
      <c r="H2370" s="441">
        <v>2</v>
      </c>
      <c r="I2370" s="441">
        <v>0</v>
      </c>
      <c r="J2370" s="449">
        <v>3.52</v>
      </c>
      <c r="K2370" s="449">
        <v>7.04</v>
      </c>
    </row>
    <row r="2371" customHeight="1" spans="1:11">
      <c r="A2371" s="434"/>
      <c r="B2371" s="434"/>
      <c r="C2371" s="434"/>
      <c r="D2371" s="434"/>
      <c r="E2371" s="434"/>
      <c r="F2371" s="434" t="s">
        <v>1735</v>
      </c>
      <c r="G2371" s="435">
        <v>6.62</v>
      </c>
      <c r="H2371" s="434" t="s">
        <v>1736</v>
      </c>
      <c r="I2371" s="435">
        <v>6.02</v>
      </c>
      <c r="J2371" s="434" t="s">
        <v>1737</v>
      </c>
      <c r="K2371" s="435">
        <v>12.64</v>
      </c>
    </row>
    <row r="2372" customHeight="1" spans="1:11">
      <c r="A2372" s="434"/>
      <c r="B2372" s="434"/>
      <c r="C2372" s="434"/>
      <c r="D2372" s="434"/>
      <c r="E2372" s="434"/>
      <c r="F2372" s="434" t="s">
        <v>1738</v>
      </c>
      <c r="G2372" s="435">
        <v>12.15</v>
      </c>
      <c r="H2372" s="434"/>
      <c r="I2372" s="434" t="s">
        <v>1739</v>
      </c>
      <c r="J2372" s="434"/>
      <c r="K2372" s="435">
        <v>61.43</v>
      </c>
    </row>
    <row r="2373" customHeight="1" spans="1:11">
      <c r="A2373" s="436"/>
      <c r="B2373" s="436"/>
      <c r="C2373" s="436"/>
      <c r="D2373" s="436"/>
      <c r="E2373" s="436"/>
      <c r="F2373" s="436"/>
      <c r="G2373" s="436"/>
      <c r="H2373" s="436" t="s">
        <v>1740</v>
      </c>
      <c r="I2373" s="447" t="s">
        <v>1741</v>
      </c>
      <c r="J2373" s="436" t="s">
        <v>1742</v>
      </c>
      <c r="K2373" s="448">
        <v>61.43</v>
      </c>
    </row>
    <row r="2374" customHeight="1" spans="1:11">
      <c r="A2374" s="437"/>
      <c r="B2374" s="437"/>
      <c r="C2374" s="437"/>
      <c r="D2374" s="437"/>
      <c r="E2374" s="437"/>
      <c r="F2374" s="437"/>
      <c r="G2374" s="437"/>
      <c r="H2374" s="437"/>
      <c r="I2374" s="437"/>
      <c r="J2374" s="437"/>
      <c r="K2374" s="437"/>
    </row>
    <row r="2375" customHeight="1" spans="1:11">
      <c r="A2375" s="423" t="s">
        <v>724</v>
      </c>
      <c r="B2375" s="424" t="s">
        <v>1714</v>
      </c>
      <c r="C2375" s="423" t="s">
        <v>1715</v>
      </c>
      <c r="D2375" s="423" t="s">
        <v>1716</v>
      </c>
      <c r="E2375" s="423" t="s">
        <v>1717</v>
      </c>
      <c r="F2375" s="423"/>
      <c r="G2375" s="425" t="s">
        <v>1718</v>
      </c>
      <c r="H2375" s="424" t="s">
        <v>1719</v>
      </c>
      <c r="I2375" s="424" t="s">
        <v>1720</v>
      </c>
      <c r="J2375" s="424" t="s">
        <v>1721</v>
      </c>
      <c r="K2375" s="424" t="s">
        <v>1722</v>
      </c>
    </row>
    <row r="2376" customHeight="1" spans="1:11">
      <c r="A2376" s="426" t="s">
        <v>1723</v>
      </c>
      <c r="B2376" s="427" t="s">
        <v>725</v>
      </c>
      <c r="C2376" s="426" t="s">
        <v>71</v>
      </c>
      <c r="D2376" s="426" t="s">
        <v>726</v>
      </c>
      <c r="E2376" s="426" t="s">
        <v>1649</v>
      </c>
      <c r="F2376" s="426"/>
      <c r="G2376" s="428" t="s">
        <v>105</v>
      </c>
      <c r="H2376" s="429">
        <v>1</v>
      </c>
      <c r="I2376" s="445"/>
      <c r="J2376" s="445">
        <v>33.49</v>
      </c>
      <c r="K2376" s="445">
        <v>33.49</v>
      </c>
    </row>
    <row r="2377" customHeight="1" spans="1:11">
      <c r="A2377" s="430" t="s">
        <v>1724</v>
      </c>
      <c r="B2377" s="431" t="s">
        <v>1854</v>
      </c>
      <c r="C2377" s="430" t="s">
        <v>71</v>
      </c>
      <c r="D2377" s="430" t="s">
        <v>1855</v>
      </c>
      <c r="E2377" s="430" t="s">
        <v>1708</v>
      </c>
      <c r="F2377" s="430"/>
      <c r="G2377" s="432" t="s">
        <v>82</v>
      </c>
      <c r="H2377" s="433">
        <v>0.2172</v>
      </c>
      <c r="I2377" s="433">
        <v>0</v>
      </c>
      <c r="J2377" s="446">
        <v>35.55</v>
      </c>
      <c r="K2377" s="446">
        <v>7.72</v>
      </c>
    </row>
    <row r="2378" customHeight="1" spans="1:11">
      <c r="A2378" s="430" t="s">
        <v>1724</v>
      </c>
      <c r="B2378" s="431" t="s">
        <v>1859</v>
      </c>
      <c r="C2378" s="430" t="s">
        <v>71</v>
      </c>
      <c r="D2378" s="430" t="s">
        <v>1860</v>
      </c>
      <c r="E2378" s="430" t="s">
        <v>1708</v>
      </c>
      <c r="F2378" s="430"/>
      <c r="G2378" s="432" t="s">
        <v>82</v>
      </c>
      <c r="H2378" s="433">
        <v>0.2172</v>
      </c>
      <c r="I2378" s="433">
        <v>0</v>
      </c>
      <c r="J2378" s="446">
        <v>29.54</v>
      </c>
      <c r="K2378" s="446">
        <v>6.41</v>
      </c>
    </row>
    <row r="2379" customHeight="1" spans="1:11">
      <c r="A2379" s="438" t="s">
        <v>1750</v>
      </c>
      <c r="B2379" s="439" t="s">
        <v>2411</v>
      </c>
      <c r="C2379" s="438" t="s">
        <v>71</v>
      </c>
      <c r="D2379" s="438" t="s">
        <v>2412</v>
      </c>
      <c r="E2379" s="438" t="s">
        <v>1631</v>
      </c>
      <c r="F2379" s="438"/>
      <c r="G2379" s="440" t="s">
        <v>105</v>
      </c>
      <c r="H2379" s="441">
        <v>0.115</v>
      </c>
      <c r="I2379" s="441">
        <v>0</v>
      </c>
      <c r="J2379" s="449">
        <v>30.01</v>
      </c>
      <c r="K2379" s="449">
        <v>3.45</v>
      </c>
    </row>
    <row r="2380" customHeight="1" spans="1:11">
      <c r="A2380" s="438" t="s">
        <v>1750</v>
      </c>
      <c r="B2380" s="439" t="s">
        <v>2413</v>
      </c>
      <c r="C2380" s="438" t="s">
        <v>71</v>
      </c>
      <c r="D2380" s="438" t="s">
        <v>2414</v>
      </c>
      <c r="E2380" s="438" t="s">
        <v>1631</v>
      </c>
      <c r="F2380" s="438"/>
      <c r="G2380" s="440" t="s">
        <v>105</v>
      </c>
      <c r="H2380" s="441">
        <v>2</v>
      </c>
      <c r="I2380" s="441">
        <v>0</v>
      </c>
      <c r="J2380" s="449">
        <v>3</v>
      </c>
      <c r="K2380" s="449">
        <v>6</v>
      </c>
    </row>
    <row r="2381" customHeight="1" spans="1:11">
      <c r="A2381" s="438" t="s">
        <v>1750</v>
      </c>
      <c r="B2381" s="439" t="s">
        <v>2421</v>
      </c>
      <c r="C2381" s="438" t="s">
        <v>71</v>
      </c>
      <c r="D2381" s="438" t="s">
        <v>2422</v>
      </c>
      <c r="E2381" s="438" t="s">
        <v>1631</v>
      </c>
      <c r="F2381" s="438"/>
      <c r="G2381" s="440" t="s">
        <v>105</v>
      </c>
      <c r="H2381" s="441">
        <v>1</v>
      </c>
      <c r="I2381" s="441">
        <v>0</v>
      </c>
      <c r="J2381" s="449">
        <v>9.91</v>
      </c>
      <c r="K2381" s="449">
        <v>9.91</v>
      </c>
    </row>
    <row r="2382" customHeight="1" spans="1:11">
      <c r="A2382" s="434"/>
      <c r="B2382" s="434"/>
      <c r="C2382" s="434"/>
      <c r="D2382" s="434"/>
      <c r="E2382" s="434"/>
      <c r="F2382" s="434" t="s">
        <v>1735</v>
      </c>
      <c r="G2382" s="435">
        <v>5.27</v>
      </c>
      <c r="H2382" s="434" t="s">
        <v>1736</v>
      </c>
      <c r="I2382" s="435">
        <v>4.79</v>
      </c>
      <c r="J2382" s="434" t="s">
        <v>1737</v>
      </c>
      <c r="K2382" s="435">
        <v>10.06</v>
      </c>
    </row>
    <row r="2383" customHeight="1" spans="1:11">
      <c r="A2383" s="434"/>
      <c r="B2383" s="434"/>
      <c r="C2383" s="434"/>
      <c r="D2383" s="434"/>
      <c r="E2383" s="434"/>
      <c r="F2383" s="434" t="s">
        <v>1738</v>
      </c>
      <c r="G2383" s="435">
        <v>8.25</v>
      </c>
      <c r="H2383" s="434"/>
      <c r="I2383" s="434" t="s">
        <v>1739</v>
      </c>
      <c r="J2383" s="434"/>
      <c r="K2383" s="435">
        <v>41.74</v>
      </c>
    </row>
    <row r="2384" customHeight="1" spans="1:11">
      <c r="A2384" s="436"/>
      <c r="B2384" s="436"/>
      <c r="C2384" s="436"/>
      <c r="D2384" s="436"/>
      <c r="E2384" s="436"/>
      <c r="F2384" s="436"/>
      <c r="G2384" s="436"/>
      <c r="H2384" s="436" t="s">
        <v>1740</v>
      </c>
      <c r="I2384" s="447" t="s">
        <v>2600</v>
      </c>
      <c r="J2384" s="436" t="s">
        <v>1742</v>
      </c>
      <c r="K2384" s="448">
        <v>3506.16</v>
      </c>
    </row>
    <row r="2385" customHeight="1" spans="1:11">
      <c r="A2385" s="437"/>
      <c r="B2385" s="437"/>
      <c r="C2385" s="437"/>
      <c r="D2385" s="437"/>
      <c r="E2385" s="437"/>
      <c r="F2385" s="437"/>
      <c r="G2385" s="437"/>
      <c r="H2385" s="437"/>
      <c r="I2385" s="437"/>
      <c r="J2385" s="437"/>
      <c r="K2385" s="437"/>
    </row>
    <row r="2386" customHeight="1" spans="1:11">
      <c r="A2386" s="423" t="s">
        <v>727</v>
      </c>
      <c r="B2386" s="424" t="s">
        <v>1714</v>
      </c>
      <c r="C2386" s="423" t="s">
        <v>1715</v>
      </c>
      <c r="D2386" s="423" t="s">
        <v>1716</v>
      </c>
      <c r="E2386" s="423" t="s">
        <v>1717</v>
      </c>
      <c r="F2386" s="423"/>
      <c r="G2386" s="425" t="s">
        <v>1718</v>
      </c>
      <c r="H2386" s="424" t="s">
        <v>1719</v>
      </c>
      <c r="I2386" s="424" t="s">
        <v>1720</v>
      </c>
      <c r="J2386" s="424" t="s">
        <v>1721</v>
      </c>
      <c r="K2386" s="424" t="s">
        <v>1722</v>
      </c>
    </row>
    <row r="2387" customHeight="1" spans="1:11">
      <c r="A2387" s="426" t="s">
        <v>1723</v>
      </c>
      <c r="B2387" s="427" t="s">
        <v>728</v>
      </c>
      <c r="C2387" s="426" t="s">
        <v>71</v>
      </c>
      <c r="D2387" s="426" t="s">
        <v>729</v>
      </c>
      <c r="E2387" s="426" t="s">
        <v>1649</v>
      </c>
      <c r="F2387" s="426"/>
      <c r="G2387" s="428" t="s">
        <v>105</v>
      </c>
      <c r="H2387" s="429">
        <v>1</v>
      </c>
      <c r="I2387" s="445"/>
      <c r="J2387" s="445">
        <v>41.4</v>
      </c>
      <c r="K2387" s="445">
        <v>41.4</v>
      </c>
    </row>
    <row r="2388" customHeight="1" spans="1:11">
      <c r="A2388" s="430" t="s">
        <v>1724</v>
      </c>
      <c r="B2388" s="431" t="s">
        <v>1854</v>
      </c>
      <c r="C2388" s="430" t="s">
        <v>71</v>
      </c>
      <c r="D2388" s="430" t="s">
        <v>1855</v>
      </c>
      <c r="E2388" s="430" t="s">
        <v>1708</v>
      </c>
      <c r="F2388" s="430"/>
      <c r="G2388" s="432" t="s">
        <v>82</v>
      </c>
      <c r="H2388" s="433">
        <v>0.1257</v>
      </c>
      <c r="I2388" s="433">
        <v>0</v>
      </c>
      <c r="J2388" s="446">
        <v>35.55</v>
      </c>
      <c r="K2388" s="446">
        <v>4.46</v>
      </c>
    </row>
    <row r="2389" customHeight="1" spans="1:11">
      <c r="A2389" s="430" t="s">
        <v>1724</v>
      </c>
      <c r="B2389" s="431" t="s">
        <v>1859</v>
      </c>
      <c r="C2389" s="430" t="s">
        <v>71</v>
      </c>
      <c r="D2389" s="430" t="s">
        <v>1860</v>
      </c>
      <c r="E2389" s="430" t="s">
        <v>1708</v>
      </c>
      <c r="F2389" s="430"/>
      <c r="G2389" s="432" t="s">
        <v>82</v>
      </c>
      <c r="H2389" s="433">
        <v>0.1257</v>
      </c>
      <c r="I2389" s="433">
        <v>0</v>
      </c>
      <c r="J2389" s="446">
        <v>29.54</v>
      </c>
      <c r="K2389" s="446">
        <v>3.71</v>
      </c>
    </row>
    <row r="2390" customHeight="1" spans="1:11">
      <c r="A2390" s="438" t="s">
        <v>1750</v>
      </c>
      <c r="B2390" s="439" t="s">
        <v>2601</v>
      </c>
      <c r="C2390" s="438" t="s">
        <v>71</v>
      </c>
      <c r="D2390" s="438" t="s">
        <v>2602</v>
      </c>
      <c r="E2390" s="438" t="s">
        <v>1631</v>
      </c>
      <c r="F2390" s="438"/>
      <c r="G2390" s="440" t="s">
        <v>105</v>
      </c>
      <c r="H2390" s="441">
        <v>1</v>
      </c>
      <c r="I2390" s="441">
        <v>0</v>
      </c>
      <c r="J2390" s="449">
        <v>26</v>
      </c>
      <c r="K2390" s="449">
        <v>26</v>
      </c>
    </row>
    <row r="2391" customHeight="1" spans="1:11">
      <c r="A2391" s="438" t="s">
        <v>1750</v>
      </c>
      <c r="B2391" s="439" t="s">
        <v>2430</v>
      </c>
      <c r="C2391" s="438" t="s">
        <v>71</v>
      </c>
      <c r="D2391" s="438" t="s">
        <v>2431</v>
      </c>
      <c r="E2391" s="438" t="s">
        <v>1631</v>
      </c>
      <c r="F2391" s="438"/>
      <c r="G2391" s="440" t="s">
        <v>105</v>
      </c>
      <c r="H2391" s="441">
        <v>2</v>
      </c>
      <c r="I2391" s="441">
        <v>0</v>
      </c>
      <c r="J2391" s="449">
        <v>2.49</v>
      </c>
      <c r="K2391" s="449">
        <v>4.98</v>
      </c>
    </row>
    <row r="2392" customHeight="1" spans="1:11">
      <c r="A2392" s="438" t="s">
        <v>1750</v>
      </c>
      <c r="B2392" s="439" t="s">
        <v>2411</v>
      </c>
      <c r="C2392" s="438" t="s">
        <v>71</v>
      </c>
      <c r="D2392" s="438" t="s">
        <v>2412</v>
      </c>
      <c r="E2392" s="438" t="s">
        <v>1631</v>
      </c>
      <c r="F2392" s="438"/>
      <c r="G2392" s="440" t="s">
        <v>105</v>
      </c>
      <c r="H2392" s="441">
        <v>0.075</v>
      </c>
      <c r="I2392" s="441">
        <v>0</v>
      </c>
      <c r="J2392" s="449">
        <v>30.01</v>
      </c>
      <c r="K2392" s="449">
        <v>2.25</v>
      </c>
    </row>
    <row r="2393" customHeight="1" spans="1:11">
      <c r="A2393" s="434"/>
      <c r="B2393" s="434"/>
      <c r="C2393" s="434"/>
      <c r="D2393" s="434"/>
      <c r="E2393" s="434"/>
      <c r="F2393" s="434" t="s">
        <v>1735</v>
      </c>
      <c r="G2393" s="435">
        <v>3.04</v>
      </c>
      <c r="H2393" s="434" t="s">
        <v>1736</v>
      </c>
      <c r="I2393" s="435">
        <v>2.78</v>
      </c>
      <c r="J2393" s="434" t="s">
        <v>1737</v>
      </c>
      <c r="K2393" s="435">
        <v>5.82</v>
      </c>
    </row>
    <row r="2394" customHeight="1" spans="1:11">
      <c r="A2394" s="434"/>
      <c r="B2394" s="434"/>
      <c r="C2394" s="434"/>
      <c r="D2394" s="434"/>
      <c r="E2394" s="434"/>
      <c r="F2394" s="434" t="s">
        <v>1738</v>
      </c>
      <c r="G2394" s="435">
        <v>10.2</v>
      </c>
      <c r="H2394" s="434"/>
      <c r="I2394" s="434" t="s">
        <v>1739</v>
      </c>
      <c r="J2394" s="434"/>
      <c r="K2394" s="435">
        <v>51.6</v>
      </c>
    </row>
    <row r="2395" customHeight="1" spans="1:11">
      <c r="A2395" s="436"/>
      <c r="B2395" s="436"/>
      <c r="C2395" s="436"/>
      <c r="D2395" s="436"/>
      <c r="E2395" s="436"/>
      <c r="F2395" s="436"/>
      <c r="G2395" s="436"/>
      <c r="H2395" s="436" t="s">
        <v>1740</v>
      </c>
      <c r="I2395" s="447" t="s">
        <v>1741</v>
      </c>
      <c r="J2395" s="436" t="s">
        <v>1742</v>
      </c>
      <c r="K2395" s="448">
        <v>51.6</v>
      </c>
    </row>
    <row r="2396" customHeight="1" spans="1:11">
      <c r="A2396" s="437"/>
      <c r="B2396" s="437"/>
      <c r="C2396" s="437"/>
      <c r="D2396" s="437"/>
      <c r="E2396" s="437"/>
      <c r="F2396" s="437"/>
      <c r="G2396" s="437"/>
      <c r="H2396" s="437"/>
      <c r="I2396" s="437"/>
      <c r="J2396" s="437"/>
      <c r="K2396" s="437"/>
    </row>
    <row r="2397" customHeight="1" spans="1:11">
      <c r="A2397" s="423" t="s">
        <v>730</v>
      </c>
      <c r="B2397" s="424" t="s">
        <v>1714</v>
      </c>
      <c r="C2397" s="423" t="s">
        <v>1715</v>
      </c>
      <c r="D2397" s="423" t="s">
        <v>1716</v>
      </c>
      <c r="E2397" s="423" t="s">
        <v>1717</v>
      </c>
      <c r="F2397" s="423"/>
      <c r="G2397" s="425" t="s">
        <v>1718</v>
      </c>
      <c r="H2397" s="424" t="s">
        <v>1719</v>
      </c>
      <c r="I2397" s="424" t="s">
        <v>1720</v>
      </c>
      <c r="J2397" s="424" t="s">
        <v>1721</v>
      </c>
      <c r="K2397" s="424" t="s">
        <v>1722</v>
      </c>
    </row>
    <row r="2398" customHeight="1" spans="1:11">
      <c r="A2398" s="426" t="s">
        <v>1723</v>
      </c>
      <c r="B2398" s="427" t="s">
        <v>731</v>
      </c>
      <c r="C2398" s="426" t="s">
        <v>71</v>
      </c>
      <c r="D2398" s="426" t="s">
        <v>732</v>
      </c>
      <c r="E2398" s="426" t="s">
        <v>1649</v>
      </c>
      <c r="F2398" s="426"/>
      <c r="G2398" s="428" t="s">
        <v>105</v>
      </c>
      <c r="H2398" s="429">
        <v>1</v>
      </c>
      <c r="I2398" s="445"/>
      <c r="J2398" s="445">
        <v>48.85</v>
      </c>
      <c r="K2398" s="445">
        <v>48.85</v>
      </c>
    </row>
    <row r="2399" customHeight="1" spans="1:11">
      <c r="A2399" s="430" t="s">
        <v>1724</v>
      </c>
      <c r="B2399" s="431" t="s">
        <v>1859</v>
      </c>
      <c r="C2399" s="430" t="s">
        <v>71</v>
      </c>
      <c r="D2399" s="430" t="s">
        <v>1860</v>
      </c>
      <c r="E2399" s="430" t="s">
        <v>1708</v>
      </c>
      <c r="F2399" s="430"/>
      <c r="G2399" s="432" t="s">
        <v>82</v>
      </c>
      <c r="H2399" s="433">
        <v>0.2172</v>
      </c>
      <c r="I2399" s="433">
        <v>0</v>
      </c>
      <c r="J2399" s="446">
        <v>29.54</v>
      </c>
      <c r="K2399" s="446">
        <v>6.41</v>
      </c>
    </row>
    <row r="2400" customHeight="1" spans="1:11">
      <c r="A2400" s="430" t="s">
        <v>1724</v>
      </c>
      <c r="B2400" s="431" t="s">
        <v>1854</v>
      </c>
      <c r="C2400" s="430" t="s">
        <v>71</v>
      </c>
      <c r="D2400" s="430" t="s">
        <v>1855</v>
      </c>
      <c r="E2400" s="430" t="s">
        <v>1708</v>
      </c>
      <c r="F2400" s="430"/>
      <c r="G2400" s="432" t="s">
        <v>82</v>
      </c>
      <c r="H2400" s="433">
        <v>0.2172</v>
      </c>
      <c r="I2400" s="433">
        <v>0</v>
      </c>
      <c r="J2400" s="446">
        <v>35.55</v>
      </c>
      <c r="K2400" s="446">
        <v>7.72</v>
      </c>
    </row>
    <row r="2401" customHeight="1" spans="1:11">
      <c r="A2401" s="438" t="s">
        <v>1750</v>
      </c>
      <c r="B2401" s="439" t="s">
        <v>2411</v>
      </c>
      <c r="C2401" s="438" t="s">
        <v>71</v>
      </c>
      <c r="D2401" s="438" t="s">
        <v>2412</v>
      </c>
      <c r="E2401" s="438" t="s">
        <v>1631</v>
      </c>
      <c r="F2401" s="438"/>
      <c r="G2401" s="440" t="s">
        <v>105</v>
      </c>
      <c r="H2401" s="441">
        <v>0.115</v>
      </c>
      <c r="I2401" s="441">
        <v>0</v>
      </c>
      <c r="J2401" s="449">
        <v>30.01</v>
      </c>
      <c r="K2401" s="449">
        <v>3.45</v>
      </c>
    </row>
    <row r="2402" customHeight="1" spans="1:11">
      <c r="A2402" s="438" t="s">
        <v>1750</v>
      </c>
      <c r="B2402" s="439" t="s">
        <v>2603</v>
      </c>
      <c r="C2402" s="438" t="s">
        <v>71</v>
      </c>
      <c r="D2402" s="438" t="s">
        <v>2604</v>
      </c>
      <c r="E2402" s="438" t="s">
        <v>1631</v>
      </c>
      <c r="F2402" s="438"/>
      <c r="G2402" s="440" t="s">
        <v>105</v>
      </c>
      <c r="H2402" s="441">
        <v>1</v>
      </c>
      <c r="I2402" s="441">
        <v>0</v>
      </c>
      <c r="J2402" s="449">
        <v>25.27</v>
      </c>
      <c r="K2402" s="449">
        <v>25.27</v>
      </c>
    </row>
    <row r="2403" customHeight="1" spans="1:11">
      <c r="A2403" s="438" t="s">
        <v>1750</v>
      </c>
      <c r="B2403" s="439" t="s">
        <v>2413</v>
      </c>
      <c r="C2403" s="438" t="s">
        <v>71</v>
      </c>
      <c r="D2403" s="438" t="s">
        <v>2414</v>
      </c>
      <c r="E2403" s="438" t="s">
        <v>1631</v>
      </c>
      <c r="F2403" s="438"/>
      <c r="G2403" s="440" t="s">
        <v>105</v>
      </c>
      <c r="H2403" s="441">
        <v>2</v>
      </c>
      <c r="I2403" s="441">
        <v>0</v>
      </c>
      <c r="J2403" s="449">
        <v>3</v>
      </c>
      <c r="K2403" s="449">
        <v>6</v>
      </c>
    </row>
    <row r="2404" customHeight="1" spans="1:11">
      <c r="A2404" s="434"/>
      <c r="B2404" s="434"/>
      <c r="C2404" s="434"/>
      <c r="D2404" s="434"/>
      <c r="E2404" s="434"/>
      <c r="F2404" s="434" t="s">
        <v>1735</v>
      </c>
      <c r="G2404" s="435">
        <v>5.27</v>
      </c>
      <c r="H2404" s="434" t="s">
        <v>1736</v>
      </c>
      <c r="I2404" s="435">
        <v>4.79</v>
      </c>
      <c r="J2404" s="434" t="s">
        <v>1737</v>
      </c>
      <c r="K2404" s="435">
        <v>10.06</v>
      </c>
    </row>
    <row r="2405" customHeight="1" spans="1:11">
      <c r="A2405" s="434"/>
      <c r="B2405" s="434"/>
      <c r="C2405" s="434"/>
      <c r="D2405" s="434"/>
      <c r="E2405" s="434"/>
      <c r="F2405" s="434" t="s">
        <v>1738</v>
      </c>
      <c r="G2405" s="435">
        <v>12.04</v>
      </c>
      <c r="H2405" s="434"/>
      <c r="I2405" s="434" t="s">
        <v>1739</v>
      </c>
      <c r="J2405" s="434"/>
      <c r="K2405" s="435">
        <v>60.89</v>
      </c>
    </row>
    <row r="2406" customHeight="1" spans="1:11">
      <c r="A2406" s="436"/>
      <c r="B2406" s="436"/>
      <c r="C2406" s="436"/>
      <c r="D2406" s="436"/>
      <c r="E2406" s="436"/>
      <c r="F2406" s="436"/>
      <c r="G2406" s="436"/>
      <c r="H2406" s="436" t="s">
        <v>1740</v>
      </c>
      <c r="I2406" s="447" t="s">
        <v>2605</v>
      </c>
      <c r="J2406" s="436" t="s">
        <v>1742</v>
      </c>
      <c r="K2406" s="448">
        <v>1035.13</v>
      </c>
    </row>
    <row r="2407" customHeight="1" spans="1:11">
      <c r="A2407" s="437"/>
      <c r="B2407" s="437"/>
      <c r="C2407" s="437"/>
      <c r="D2407" s="437"/>
      <c r="E2407" s="437"/>
      <c r="F2407" s="437"/>
      <c r="G2407" s="437"/>
      <c r="H2407" s="437"/>
      <c r="I2407" s="437"/>
      <c r="J2407" s="437"/>
      <c r="K2407" s="437"/>
    </row>
    <row r="2408" customHeight="1" spans="1:11">
      <c r="A2408" s="423" t="s">
        <v>733</v>
      </c>
      <c r="B2408" s="424" t="s">
        <v>1714</v>
      </c>
      <c r="C2408" s="423" t="s">
        <v>1715</v>
      </c>
      <c r="D2408" s="423" t="s">
        <v>1716</v>
      </c>
      <c r="E2408" s="423" t="s">
        <v>1717</v>
      </c>
      <c r="F2408" s="423"/>
      <c r="G2408" s="425" t="s">
        <v>1718</v>
      </c>
      <c r="H2408" s="424" t="s">
        <v>1719</v>
      </c>
      <c r="I2408" s="424" t="s">
        <v>1720</v>
      </c>
      <c r="J2408" s="424" t="s">
        <v>1721</v>
      </c>
      <c r="K2408" s="424" t="s">
        <v>1722</v>
      </c>
    </row>
    <row r="2409" customHeight="1" spans="1:11">
      <c r="A2409" s="426" t="s">
        <v>1723</v>
      </c>
      <c r="B2409" s="427" t="s">
        <v>734</v>
      </c>
      <c r="C2409" s="426" t="s">
        <v>71</v>
      </c>
      <c r="D2409" s="426" t="s">
        <v>735</v>
      </c>
      <c r="E2409" s="426" t="s">
        <v>1687</v>
      </c>
      <c r="F2409" s="426"/>
      <c r="G2409" s="428" t="s">
        <v>105</v>
      </c>
      <c r="H2409" s="429">
        <v>1</v>
      </c>
      <c r="I2409" s="445"/>
      <c r="J2409" s="445">
        <v>86.83</v>
      </c>
      <c r="K2409" s="445">
        <v>86.83</v>
      </c>
    </row>
    <row r="2410" customHeight="1" spans="1:11">
      <c r="A2410" s="430" t="s">
        <v>1724</v>
      </c>
      <c r="B2410" s="431" t="s">
        <v>1859</v>
      </c>
      <c r="C2410" s="430" t="s">
        <v>71</v>
      </c>
      <c r="D2410" s="430" t="s">
        <v>1860</v>
      </c>
      <c r="E2410" s="430" t="s">
        <v>1708</v>
      </c>
      <c r="F2410" s="430"/>
      <c r="G2410" s="432" t="s">
        <v>82</v>
      </c>
      <c r="H2410" s="433">
        <v>0.3638</v>
      </c>
      <c r="I2410" s="433">
        <v>0</v>
      </c>
      <c r="J2410" s="446">
        <v>29.54</v>
      </c>
      <c r="K2410" s="446">
        <v>10.74</v>
      </c>
    </row>
    <row r="2411" customHeight="1" spans="1:11">
      <c r="A2411" s="430" t="s">
        <v>1724</v>
      </c>
      <c r="B2411" s="431" t="s">
        <v>1854</v>
      </c>
      <c r="C2411" s="430" t="s">
        <v>71</v>
      </c>
      <c r="D2411" s="430" t="s">
        <v>1855</v>
      </c>
      <c r="E2411" s="430" t="s">
        <v>1708</v>
      </c>
      <c r="F2411" s="430"/>
      <c r="G2411" s="432" t="s">
        <v>82</v>
      </c>
      <c r="H2411" s="433">
        <v>0.3638</v>
      </c>
      <c r="I2411" s="433">
        <v>0</v>
      </c>
      <c r="J2411" s="446">
        <v>35.55</v>
      </c>
      <c r="K2411" s="446">
        <v>12.93</v>
      </c>
    </row>
    <row r="2412" customHeight="1" spans="1:11">
      <c r="A2412" s="438" t="s">
        <v>1750</v>
      </c>
      <c r="B2412" s="439" t="s">
        <v>2606</v>
      </c>
      <c r="C2412" s="438" t="s">
        <v>71</v>
      </c>
      <c r="D2412" s="438" t="s">
        <v>2607</v>
      </c>
      <c r="E2412" s="438" t="s">
        <v>1631</v>
      </c>
      <c r="F2412" s="438"/>
      <c r="G2412" s="440" t="s">
        <v>105</v>
      </c>
      <c r="H2412" s="441">
        <v>1</v>
      </c>
      <c r="I2412" s="441">
        <v>0</v>
      </c>
      <c r="J2412" s="449">
        <v>47.43</v>
      </c>
      <c r="K2412" s="449">
        <v>47.43</v>
      </c>
    </row>
    <row r="2413" customHeight="1" spans="1:11">
      <c r="A2413" s="438" t="s">
        <v>1750</v>
      </c>
      <c r="B2413" s="439" t="s">
        <v>2411</v>
      </c>
      <c r="C2413" s="438" t="s">
        <v>71</v>
      </c>
      <c r="D2413" s="438" t="s">
        <v>2412</v>
      </c>
      <c r="E2413" s="438" t="s">
        <v>1631</v>
      </c>
      <c r="F2413" s="438"/>
      <c r="G2413" s="440" t="s">
        <v>105</v>
      </c>
      <c r="H2413" s="441">
        <v>0.1725</v>
      </c>
      <c r="I2413" s="441">
        <v>0</v>
      </c>
      <c r="J2413" s="449">
        <v>30.01</v>
      </c>
      <c r="K2413" s="449">
        <v>5.17</v>
      </c>
    </row>
    <row r="2414" customHeight="1" spans="1:11">
      <c r="A2414" s="438" t="s">
        <v>1750</v>
      </c>
      <c r="B2414" s="439" t="s">
        <v>2448</v>
      </c>
      <c r="C2414" s="438" t="s">
        <v>71</v>
      </c>
      <c r="D2414" s="438" t="s">
        <v>2449</v>
      </c>
      <c r="E2414" s="438" t="s">
        <v>1631</v>
      </c>
      <c r="F2414" s="438"/>
      <c r="G2414" s="440" t="s">
        <v>105</v>
      </c>
      <c r="H2414" s="441">
        <v>3</v>
      </c>
      <c r="I2414" s="441">
        <v>0</v>
      </c>
      <c r="J2414" s="449">
        <v>3.52</v>
      </c>
      <c r="K2414" s="449">
        <v>10.56</v>
      </c>
    </row>
    <row r="2415" customHeight="1" spans="1:11">
      <c r="A2415" s="434"/>
      <c r="B2415" s="434"/>
      <c r="C2415" s="434"/>
      <c r="D2415" s="434"/>
      <c r="E2415" s="434"/>
      <c r="F2415" s="434" t="s">
        <v>1735</v>
      </c>
      <c r="G2415" s="435">
        <v>8.82</v>
      </c>
      <c r="H2415" s="434" t="s">
        <v>1736</v>
      </c>
      <c r="I2415" s="435">
        <v>8.03</v>
      </c>
      <c r="J2415" s="434" t="s">
        <v>1737</v>
      </c>
      <c r="K2415" s="435">
        <v>16.85</v>
      </c>
    </row>
    <row r="2416" customHeight="1" spans="1:11">
      <c r="A2416" s="434"/>
      <c r="B2416" s="434"/>
      <c r="C2416" s="434"/>
      <c r="D2416" s="434"/>
      <c r="E2416" s="434"/>
      <c r="F2416" s="434" t="s">
        <v>1738</v>
      </c>
      <c r="G2416" s="435">
        <v>21.41</v>
      </c>
      <c r="H2416" s="434"/>
      <c r="I2416" s="434" t="s">
        <v>1739</v>
      </c>
      <c r="J2416" s="434"/>
      <c r="K2416" s="435">
        <v>108.24</v>
      </c>
    </row>
    <row r="2417" customHeight="1" spans="1:11">
      <c r="A2417" s="436"/>
      <c r="B2417" s="436"/>
      <c r="C2417" s="436"/>
      <c r="D2417" s="436"/>
      <c r="E2417" s="436"/>
      <c r="F2417" s="436"/>
      <c r="G2417" s="436"/>
      <c r="H2417" s="436" t="s">
        <v>1740</v>
      </c>
      <c r="I2417" s="447" t="s">
        <v>1741</v>
      </c>
      <c r="J2417" s="436" t="s">
        <v>1742</v>
      </c>
      <c r="K2417" s="448">
        <v>108.24</v>
      </c>
    </row>
    <row r="2418" customHeight="1" spans="1:11">
      <c r="A2418" s="437"/>
      <c r="B2418" s="437"/>
      <c r="C2418" s="437"/>
      <c r="D2418" s="437"/>
      <c r="E2418" s="437"/>
      <c r="F2418" s="437"/>
      <c r="G2418" s="437"/>
      <c r="H2418" s="437"/>
      <c r="I2418" s="437"/>
      <c r="J2418" s="437"/>
      <c r="K2418" s="437"/>
    </row>
    <row r="2419" customHeight="1" spans="1:11">
      <c r="A2419" s="423" t="s">
        <v>736</v>
      </c>
      <c r="B2419" s="424" t="s">
        <v>1714</v>
      </c>
      <c r="C2419" s="423" t="s">
        <v>1715</v>
      </c>
      <c r="D2419" s="423" t="s">
        <v>1716</v>
      </c>
      <c r="E2419" s="423" t="s">
        <v>1717</v>
      </c>
      <c r="F2419" s="423"/>
      <c r="G2419" s="425" t="s">
        <v>1718</v>
      </c>
      <c r="H2419" s="424" t="s">
        <v>1719</v>
      </c>
      <c r="I2419" s="424" t="s">
        <v>1720</v>
      </c>
      <c r="J2419" s="424" t="s">
        <v>1721</v>
      </c>
      <c r="K2419" s="424" t="s">
        <v>1722</v>
      </c>
    </row>
    <row r="2420" customHeight="1" spans="1:11">
      <c r="A2420" s="426" t="s">
        <v>1723</v>
      </c>
      <c r="B2420" s="427" t="s">
        <v>737</v>
      </c>
      <c r="C2420" s="426" t="s">
        <v>71</v>
      </c>
      <c r="D2420" s="426" t="s">
        <v>738</v>
      </c>
      <c r="E2420" s="426" t="s">
        <v>1687</v>
      </c>
      <c r="F2420" s="426"/>
      <c r="G2420" s="428" t="s">
        <v>105</v>
      </c>
      <c r="H2420" s="429">
        <v>1</v>
      </c>
      <c r="I2420" s="445"/>
      <c r="J2420" s="445">
        <v>98.11</v>
      </c>
      <c r="K2420" s="445">
        <v>98.11</v>
      </c>
    </row>
    <row r="2421" customHeight="1" spans="1:11">
      <c r="A2421" s="430" t="s">
        <v>1724</v>
      </c>
      <c r="B2421" s="431" t="s">
        <v>1859</v>
      </c>
      <c r="C2421" s="430" t="s">
        <v>71</v>
      </c>
      <c r="D2421" s="430" t="s">
        <v>1860</v>
      </c>
      <c r="E2421" s="430" t="s">
        <v>1708</v>
      </c>
      <c r="F2421" s="430"/>
      <c r="G2421" s="432" t="s">
        <v>82</v>
      </c>
      <c r="H2421" s="433">
        <v>0.3638</v>
      </c>
      <c r="I2421" s="433">
        <v>0</v>
      </c>
      <c r="J2421" s="446">
        <v>29.54</v>
      </c>
      <c r="K2421" s="446">
        <v>10.74</v>
      </c>
    </row>
    <row r="2422" customHeight="1" spans="1:11">
      <c r="A2422" s="430" t="s">
        <v>1724</v>
      </c>
      <c r="B2422" s="431" t="s">
        <v>1854</v>
      </c>
      <c r="C2422" s="430" t="s">
        <v>71</v>
      </c>
      <c r="D2422" s="430" t="s">
        <v>1855</v>
      </c>
      <c r="E2422" s="430" t="s">
        <v>1708</v>
      </c>
      <c r="F2422" s="430"/>
      <c r="G2422" s="432" t="s">
        <v>82</v>
      </c>
      <c r="H2422" s="433">
        <v>0.3638</v>
      </c>
      <c r="I2422" s="433">
        <v>0</v>
      </c>
      <c r="J2422" s="446">
        <v>35.55</v>
      </c>
      <c r="K2422" s="446">
        <v>12.93</v>
      </c>
    </row>
    <row r="2423" customHeight="1" spans="1:11">
      <c r="A2423" s="438" t="s">
        <v>1750</v>
      </c>
      <c r="B2423" s="439" t="s">
        <v>2411</v>
      </c>
      <c r="C2423" s="438" t="s">
        <v>71</v>
      </c>
      <c r="D2423" s="438" t="s">
        <v>2412</v>
      </c>
      <c r="E2423" s="438" t="s">
        <v>1631</v>
      </c>
      <c r="F2423" s="438"/>
      <c r="G2423" s="440" t="s">
        <v>105</v>
      </c>
      <c r="H2423" s="441">
        <v>0.1725</v>
      </c>
      <c r="I2423" s="441">
        <v>0</v>
      </c>
      <c r="J2423" s="449">
        <v>30.01</v>
      </c>
      <c r="K2423" s="449">
        <v>5.17</v>
      </c>
    </row>
    <row r="2424" customHeight="1" spans="1:11">
      <c r="A2424" s="438" t="s">
        <v>1750</v>
      </c>
      <c r="B2424" s="439" t="s">
        <v>2608</v>
      </c>
      <c r="C2424" s="438" t="s">
        <v>71</v>
      </c>
      <c r="D2424" s="438" t="s">
        <v>2609</v>
      </c>
      <c r="E2424" s="438" t="s">
        <v>1631</v>
      </c>
      <c r="F2424" s="438"/>
      <c r="G2424" s="440" t="s">
        <v>105</v>
      </c>
      <c r="H2424" s="441">
        <v>1</v>
      </c>
      <c r="I2424" s="441">
        <v>0</v>
      </c>
      <c r="J2424" s="449">
        <v>58.71</v>
      </c>
      <c r="K2424" s="449">
        <v>58.71</v>
      </c>
    </row>
    <row r="2425" customHeight="1" spans="1:11">
      <c r="A2425" s="438" t="s">
        <v>1750</v>
      </c>
      <c r="B2425" s="439" t="s">
        <v>2448</v>
      </c>
      <c r="C2425" s="438" t="s">
        <v>71</v>
      </c>
      <c r="D2425" s="438" t="s">
        <v>2449</v>
      </c>
      <c r="E2425" s="438" t="s">
        <v>1631</v>
      </c>
      <c r="F2425" s="438"/>
      <c r="G2425" s="440" t="s">
        <v>105</v>
      </c>
      <c r="H2425" s="441">
        <v>3</v>
      </c>
      <c r="I2425" s="441">
        <v>0</v>
      </c>
      <c r="J2425" s="449">
        <v>3.52</v>
      </c>
      <c r="K2425" s="449">
        <v>10.56</v>
      </c>
    </row>
    <row r="2426" customHeight="1" spans="1:11">
      <c r="A2426" s="434"/>
      <c r="B2426" s="434"/>
      <c r="C2426" s="434"/>
      <c r="D2426" s="434"/>
      <c r="E2426" s="434"/>
      <c r="F2426" s="434" t="s">
        <v>1735</v>
      </c>
      <c r="G2426" s="435">
        <v>8.82</v>
      </c>
      <c r="H2426" s="434" t="s">
        <v>1736</v>
      </c>
      <c r="I2426" s="435">
        <v>8.03</v>
      </c>
      <c r="J2426" s="434" t="s">
        <v>1737</v>
      </c>
      <c r="K2426" s="435">
        <v>16.85</v>
      </c>
    </row>
    <row r="2427" customHeight="1" spans="1:11">
      <c r="A2427" s="434"/>
      <c r="B2427" s="434"/>
      <c r="C2427" s="434"/>
      <c r="D2427" s="434"/>
      <c r="E2427" s="434"/>
      <c r="F2427" s="434" t="s">
        <v>1738</v>
      </c>
      <c r="G2427" s="435">
        <v>24.19</v>
      </c>
      <c r="H2427" s="434"/>
      <c r="I2427" s="434" t="s">
        <v>1739</v>
      </c>
      <c r="J2427" s="434"/>
      <c r="K2427" s="435">
        <v>122.3</v>
      </c>
    </row>
    <row r="2428" customHeight="1" spans="1:11">
      <c r="A2428" s="436"/>
      <c r="B2428" s="436"/>
      <c r="C2428" s="436"/>
      <c r="D2428" s="436"/>
      <c r="E2428" s="436"/>
      <c r="F2428" s="436"/>
      <c r="G2428" s="436"/>
      <c r="H2428" s="436" t="s">
        <v>1740</v>
      </c>
      <c r="I2428" s="447" t="s">
        <v>1741</v>
      </c>
      <c r="J2428" s="436" t="s">
        <v>1742</v>
      </c>
      <c r="K2428" s="448">
        <v>122.3</v>
      </c>
    </row>
    <row r="2429" customHeight="1" spans="1:11">
      <c r="A2429" s="437"/>
      <c r="B2429" s="437"/>
      <c r="C2429" s="437"/>
      <c r="D2429" s="437"/>
      <c r="E2429" s="437"/>
      <c r="F2429" s="437"/>
      <c r="G2429" s="437"/>
      <c r="H2429" s="437"/>
      <c r="I2429" s="437"/>
      <c r="J2429" s="437"/>
      <c r="K2429" s="437"/>
    </row>
    <row r="2430" customHeight="1" spans="1:11">
      <c r="A2430" s="423" t="s">
        <v>739</v>
      </c>
      <c r="B2430" s="424" t="s">
        <v>1714</v>
      </c>
      <c r="C2430" s="423" t="s">
        <v>1715</v>
      </c>
      <c r="D2430" s="423" t="s">
        <v>1716</v>
      </c>
      <c r="E2430" s="423" t="s">
        <v>1717</v>
      </c>
      <c r="F2430" s="423"/>
      <c r="G2430" s="425" t="s">
        <v>1718</v>
      </c>
      <c r="H2430" s="424" t="s">
        <v>1719</v>
      </c>
      <c r="I2430" s="424" t="s">
        <v>1720</v>
      </c>
      <c r="J2430" s="424" t="s">
        <v>1721</v>
      </c>
      <c r="K2430" s="424" t="s">
        <v>1722</v>
      </c>
    </row>
    <row r="2431" customHeight="1" spans="1:11">
      <c r="A2431" s="426" t="s">
        <v>1723</v>
      </c>
      <c r="B2431" s="427" t="s">
        <v>740</v>
      </c>
      <c r="C2431" s="426" t="s">
        <v>65</v>
      </c>
      <c r="D2431" s="426" t="s">
        <v>741</v>
      </c>
      <c r="E2431" s="426" t="s">
        <v>62</v>
      </c>
      <c r="F2431" s="426"/>
      <c r="G2431" s="428" t="s">
        <v>67</v>
      </c>
      <c r="H2431" s="429">
        <v>1</v>
      </c>
      <c r="I2431" s="445"/>
      <c r="J2431" s="445">
        <v>47.28</v>
      </c>
      <c r="K2431" s="445">
        <v>47.28</v>
      </c>
    </row>
    <row r="2432" customHeight="1" spans="1:11">
      <c r="A2432" s="430" t="s">
        <v>1724</v>
      </c>
      <c r="B2432" s="431" t="s">
        <v>1854</v>
      </c>
      <c r="C2432" s="430" t="s">
        <v>71</v>
      </c>
      <c r="D2432" s="430" t="s">
        <v>1855</v>
      </c>
      <c r="E2432" s="430" t="s">
        <v>1708</v>
      </c>
      <c r="F2432" s="430"/>
      <c r="G2432" s="432" t="s">
        <v>82</v>
      </c>
      <c r="H2432" s="433">
        <v>0.2325</v>
      </c>
      <c r="I2432" s="433">
        <v>0</v>
      </c>
      <c r="J2432" s="446">
        <v>35.55</v>
      </c>
      <c r="K2432" s="446">
        <v>8.26</v>
      </c>
    </row>
    <row r="2433" customHeight="1" spans="1:11">
      <c r="A2433" s="430" t="s">
        <v>1724</v>
      </c>
      <c r="B2433" s="431" t="s">
        <v>1859</v>
      </c>
      <c r="C2433" s="430" t="s">
        <v>71</v>
      </c>
      <c r="D2433" s="430" t="s">
        <v>1860</v>
      </c>
      <c r="E2433" s="430" t="s">
        <v>1708</v>
      </c>
      <c r="F2433" s="430"/>
      <c r="G2433" s="432" t="s">
        <v>82</v>
      </c>
      <c r="H2433" s="433">
        <v>0.2325</v>
      </c>
      <c r="I2433" s="433">
        <v>0</v>
      </c>
      <c r="J2433" s="446">
        <v>29.54</v>
      </c>
      <c r="K2433" s="446">
        <v>6.86</v>
      </c>
    </row>
    <row r="2434" customHeight="1" spans="1:11">
      <c r="A2434" s="438" t="s">
        <v>1750</v>
      </c>
      <c r="B2434" s="439" t="s">
        <v>2411</v>
      </c>
      <c r="C2434" s="438" t="s">
        <v>71</v>
      </c>
      <c r="D2434" s="438" t="s">
        <v>2412</v>
      </c>
      <c r="E2434" s="438" t="s">
        <v>1631</v>
      </c>
      <c r="F2434" s="438"/>
      <c r="G2434" s="440" t="s">
        <v>105</v>
      </c>
      <c r="H2434" s="441">
        <v>0.14</v>
      </c>
      <c r="I2434" s="441">
        <v>0</v>
      </c>
      <c r="J2434" s="449">
        <v>30.01</v>
      </c>
      <c r="K2434" s="449">
        <v>4.2</v>
      </c>
    </row>
    <row r="2435" customHeight="1" spans="1:11">
      <c r="A2435" s="438" t="s">
        <v>1750</v>
      </c>
      <c r="B2435" s="439" t="s">
        <v>2610</v>
      </c>
      <c r="C2435" s="438" t="s">
        <v>71</v>
      </c>
      <c r="D2435" s="438" t="s">
        <v>2611</v>
      </c>
      <c r="E2435" s="438" t="s">
        <v>1631</v>
      </c>
      <c r="F2435" s="438"/>
      <c r="G2435" s="440" t="s">
        <v>105</v>
      </c>
      <c r="H2435" s="441">
        <v>1</v>
      </c>
      <c r="I2435" s="441">
        <v>0</v>
      </c>
      <c r="J2435" s="449">
        <v>20.27</v>
      </c>
      <c r="K2435" s="449">
        <v>20.27</v>
      </c>
    </row>
    <row r="2436" customHeight="1" spans="1:11">
      <c r="A2436" s="438" t="s">
        <v>1750</v>
      </c>
      <c r="B2436" s="439" t="s">
        <v>2419</v>
      </c>
      <c r="C2436" s="438" t="s">
        <v>71</v>
      </c>
      <c r="D2436" s="438" t="s">
        <v>2420</v>
      </c>
      <c r="E2436" s="438" t="s">
        <v>1631</v>
      </c>
      <c r="F2436" s="438"/>
      <c r="G2436" s="440" t="s">
        <v>105</v>
      </c>
      <c r="H2436" s="441">
        <v>1</v>
      </c>
      <c r="I2436" s="441">
        <v>0</v>
      </c>
      <c r="J2436" s="449">
        <v>1.69</v>
      </c>
      <c r="K2436" s="449">
        <v>1.69</v>
      </c>
    </row>
    <row r="2437" customHeight="1" spans="1:11">
      <c r="A2437" s="438" t="s">
        <v>1750</v>
      </c>
      <c r="B2437" s="439" t="s">
        <v>2413</v>
      </c>
      <c r="C2437" s="438" t="s">
        <v>71</v>
      </c>
      <c r="D2437" s="438" t="s">
        <v>2414</v>
      </c>
      <c r="E2437" s="438" t="s">
        <v>1631</v>
      </c>
      <c r="F2437" s="438"/>
      <c r="G2437" s="440" t="s">
        <v>105</v>
      </c>
      <c r="H2437" s="441">
        <v>2</v>
      </c>
      <c r="I2437" s="441">
        <v>0</v>
      </c>
      <c r="J2437" s="449">
        <v>3</v>
      </c>
      <c r="K2437" s="449">
        <v>6</v>
      </c>
    </row>
    <row r="2438" customHeight="1" spans="1:11">
      <c r="A2438" s="434"/>
      <c r="B2438" s="434"/>
      <c r="C2438" s="434"/>
      <c r="D2438" s="434"/>
      <c r="E2438" s="434"/>
      <c r="F2438" s="434" t="s">
        <v>1735</v>
      </c>
      <c r="G2438" s="435">
        <v>5.63</v>
      </c>
      <c r="H2438" s="434" t="s">
        <v>1736</v>
      </c>
      <c r="I2438" s="435">
        <v>5.13</v>
      </c>
      <c r="J2438" s="434" t="s">
        <v>1737</v>
      </c>
      <c r="K2438" s="435">
        <v>10.76</v>
      </c>
    </row>
    <row r="2439" customHeight="1" spans="1:11">
      <c r="A2439" s="434"/>
      <c r="B2439" s="434"/>
      <c r="C2439" s="434"/>
      <c r="D2439" s="434"/>
      <c r="E2439" s="434"/>
      <c r="F2439" s="434" t="s">
        <v>1738</v>
      </c>
      <c r="G2439" s="435">
        <v>11.65</v>
      </c>
      <c r="H2439" s="434"/>
      <c r="I2439" s="434" t="s">
        <v>1739</v>
      </c>
      <c r="J2439" s="434"/>
      <c r="K2439" s="435">
        <v>58.93</v>
      </c>
    </row>
    <row r="2440" customHeight="1" spans="1:11">
      <c r="A2440" s="436"/>
      <c r="B2440" s="436"/>
      <c r="C2440" s="436"/>
      <c r="D2440" s="436"/>
      <c r="E2440" s="436"/>
      <c r="F2440" s="436"/>
      <c r="G2440" s="436"/>
      <c r="H2440" s="436" t="s">
        <v>1740</v>
      </c>
      <c r="I2440" s="447" t="s">
        <v>1741</v>
      </c>
      <c r="J2440" s="436" t="s">
        <v>1742</v>
      </c>
      <c r="K2440" s="448">
        <v>58.93</v>
      </c>
    </row>
    <row r="2441" customHeight="1" spans="1:11">
      <c r="A2441" s="437"/>
      <c r="B2441" s="437"/>
      <c r="C2441" s="437"/>
      <c r="D2441" s="437"/>
      <c r="E2441" s="437"/>
      <c r="F2441" s="437"/>
      <c r="G2441" s="437"/>
      <c r="H2441" s="437"/>
      <c r="I2441" s="437"/>
      <c r="J2441" s="437"/>
      <c r="K2441" s="437"/>
    </row>
    <row r="2442" customHeight="1" spans="1:11">
      <c r="A2442" s="423" t="s">
        <v>742</v>
      </c>
      <c r="B2442" s="424" t="s">
        <v>1714</v>
      </c>
      <c r="C2442" s="423" t="s">
        <v>1715</v>
      </c>
      <c r="D2442" s="423" t="s">
        <v>1716</v>
      </c>
      <c r="E2442" s="423" t="s">
        <v>1717</v>
      </c>
      <c r="F2442" s="423"/>
      <c r="G2442" s="425" t="s">
        <v>1718</v>
      </c>
      <c r="H2442" s="424" t="s">
        <v>1719</v>
      </c>
      <c r="I2442" s="424" t="s">
        <v>1720</v>
      </c>
      <c r="J2442" s="424" t="s">
        <v>1721</v>
      </c>
      <c r="K2442" s="424" t="s">
        <v>1722</v>
      </c>
    </row>
    <row r="2443" customHeight="1" spans="1:11">
      <c r="A2443" s="426" t="s">
        <v>1723</v>
      </c>
      <c r="B2443" s="427" t="s">
        <v>743</v>
      </c>
      <c r="C2443" s="426" t="s">
        <v>512</v>
      </c>
      <c r="D2443" s="426" t="s">
        <v>744</v>
      </c>
      <c r="E2443" s="426" t="s">
        <v>1648</v>
      </c>
      <c r="F2443" s="426"/>
      <c r="G2443" s="428" t="s">
        <v>67</v>
      </c>
      <c r="H2443" s="429">
        <v>1</v>
      </c>
      <c r="I2443" s="445"/>
      <c r="J2443" s="445">
        <v>77.98</v>
      </c>
      <c r="K2443" s="445">
        <v>77.98</v>
      </c>
    </row>
    <row r="2444" customHeight="1" spans="1:11">
      <c r="A2444" s="438" t="s">
        <v>1750</v>
      </c>
      <c r="B2444" s="439" t="s">
        <v>2373</v>
      </c>
      <c r="C2444" s="438" t="s">
        <v>512</v>
      </c>
      <c r="D2444" s="438" t="s">
        <v>2374</v>
      </c>
      <c r="E2444" s="438" t="s">
        <v>1764</v>
      </c>
      <c r="F2444" s="438"/>
      <c r="G2444" s="440" t="s">
        <v>2367</v>
      </c>
      <c r="H2444" s="441">
        <v>0.9</v>
      </c>
      <c r="I2444" s="441">
        <v>0</v>
      </c>
      <c r="J2444" s="449">
        <v>23.89</v>
      </c>
      <c r="K2444" s="449">
        <v>21.5</v>
      </c>
    </row>
    <row r="2445" customHeight="1" spans="1:11">
      <c r="A2445" s="438" t="s">
        <v>1750</v>
      </c>
      <c r="B2445" s="439" t="s">
        <v>2365</v>
      </c>
      <c r="C2445" s="438" t="s">
        <v>512</v>
      </c>
      <c r="D2445" s="438" t="s">
        <v>2366</v>
      </c>
      <c r="E2445" s="438" t="s">
        <v>1764</v>
      </c>
      <c r="F2445" s="438"/>
      <c r="G2445" s="440" t="s">
        <v>2367</v>
      </c>
      <c r="H2445" s="441">
        <v>1</v>
      </c>
      <c r="I2445" s="441">
        <v>0</v>
      </c>
      <c r="J2445" s="449">
        <v>33.83</v>
      </c>
      <c r="K2445" s="449">
        <v>33.83</v>
      </c>
    </row>
    <row r="2446" customHeight="1" spans="1:11">
      <c r="A2446" s="438" t="s">
        <v>1750</v>
      </c>
      <c r="B2446" s="439" t="s">
        <v>2370</v>
      </c>
      <c r="C2446" s="438" t="s">
        <v>512</v>
      </c>
      <c r="D2446" s="438" t="s">
        <v>2371</v>
      </c>
      <c r="E2446" s="438" t="s">
        <v>2372</v>
      </c>
      <c r="F2446" s="438"/>
      <c r="G2446" s="440" t="s">
        <v>1617</v>
      </c>
      <c r="H2446" s="441">
        <v>55.33</v>
      </c>
      <c r="I2446" s="441">
        <v>3</v>
      </c>
      <c r="J2446" s="449">
        <v>1</v>
      </c>
      <c r="K2446" s="449">
        <v>1.65</v>
      </c>
    </row>
    <row r="2447" customHeight="1" spans="1:11">
      <c r="A2447" s="438" t="s">
        <v>1750</v>
      </c>
      <c r="B2447" s="439" t="s">
        <v>2612</v>
      </c>
      <c r="C2447" s="438" t="s">
        <v>512</v>
      </c>
      <c r="D2447" s="438" t="s">
        <v>2613</v>
      </c>
      <c r="E2447" s="438" t="s">
        <v>1631</v>
      </c>
      <c r="F2447" s="438"/>
      <c r="G2447" s="440" t="s">
        <v>67</v>
      </c>
      <c r="H2447" s="441">
        <v>1</v>
      </c>
      <c r="I2447" s="441">
        <v>0</v>
      </c>
      <c r="J2447" s="449">
        <v>21</v>
      </c>
      <c r="K2447" s="449">
        <v>21</v>
      </c>
    </row>
    <row r="2448" customHeight="1" spans="1:11">
      <c r="A2448" s="434"/>
      <c r="B2448" s="434"/>
      <c r="C2448" s="434"/>
      <c r="D2448" s="434"/>
      <c r="E2448" s="434"/>
      <c r="F2448" s="434" t="s">
        <v>1735</v>
      </c>
      <c r="G2448" s="435">
        <v>28.99</v>
      </c>
      <c r="H2448" s="434" t="s">
        <v>1736</v>
      </c>
      <c r="I2448" s="435">
        <v>26.34</v>
      </c>
      <c r="J2448" s="434" t="s">
        <v>1737</v>
      </c>
      <c r="K2448" s="435">
        <v>55.33</v>
      </c>
    </row>
    <row r="2449" customHeight="1" spans="1:11">
      <c r="A2449" s="434"/>
      <c r="B2449" s="434"/>
      <c r="C2449" s="434"/>
      <c r="D2449" s="434"/>
      <c r="E2449" s="434"/>
      <c r="F2449" s="434" t="s">
        <v>1738</v>
      </c>
      <c r="G2449" s="435">
        <v>19.22</v>
      </c>
      <c r="H2449" s="434"/>
      <c r="I2449" s="434" t="s">
        <v>1739</v>
      </c>
      <c r="J2449" s="434"/>
      <c r="K2449" s="435">
        <v>97.2</v>
      </c>
    </row>
    <row r="2450" customHeight="1" spans="1:11">
      <c r="A2450" s="436"/>
      <c r="B2450" s="436"/>
      <c r="C2450" s="436"/>
      <c r="D2450" s="436"/>
      <c r="E2450" s="436"/>
      <c r="F2450" s="436"/>
      <c r="G2450" s="436"/>
      <c r="H2450" s="436" t="s">
        <v>1740</v>
      </c>
      <c r="I2450" s="447" t="s">
        <v>1741</v>
      </c>
      <c r="J2450" s="436" t="s">
        <v>1742</v>
      </c>
      <c r="K2450" s="448">
        <v>97.2</v>
      </c>
    </row>
    <row r="2451" customHeight="1" spans="1:11">
      <c r="A2451" s="437"/>
      <c r="B2451" s="437"/>
      <c r="C2451" s="437"/>
      <c r="D2451" s="437"/>
      <c r="E2451" s="437"/>
      <c r="F2451" s="437"/>
      <c r="G2451" s="437"/>
      <c r="H2451" s="437"/>
      <c r="I2451" s="437"/>
      <c r="J2451" s="437"/>
      <c r="K2451" s="437"/>
    </row>
    <row r="2452" customHeight="1" spans="1:11">
      <c r="A2452" s="423" t="s">
        <v>745</v>
      </c>
      <c r="B2452" s="424" t="s">
        <v>1714</v>
      </c>
      <c r="C2452" s="423" t="s">
        <v>1715</v>
      </c>
      <c r="D2452" s="423" t="s">
        <v>1716</v>
      </c>
      <c r="E2452" s="423" t="s">
        <v>1717</v>
      </c>
      <c r="F2452" s="423"/>
      <c r="G2452" s="425" t="s">
        <v>1718</v>
      </c>
      <c r="H2452" s="424" t="s">
        <v>1719</v>
      </c>
      <c r="I2452" s="424" t="s">
        <v>1720</v>
      </c>
      <c r="J2452" s="424" t="s">
        <v>1721</v>
      </c>
      <c r="K2452" s="424" t="s">
        <v>1722</v>
      </c>
    </row>
    <row r="2453" customHeight="1" spans="1:11">
      <c r="A2453" s="426" t="s">
        <v>1723</v>
      </c>
      <c r="B2453" s="427" t="s">
        <v>746</v>
      </c>
      <c r="C2453" s="426" t="s">
        <v>512</v>
      </c>
      <c r="D2453" s="426" t="s">
        <v>747</v>
      </c>
      <c r="E2453" s="426" t="s">
        <v>1648</v>
      </c>
      <c r="F2453" s="426"/>
      <c r="G2453" s="428" t="s">
        <v>67</v>
      </c>
      <c r="H2453" s="429">
        <v>1</v>
      </c>
      <c r="I2453" s="445"/>
      <c r="J2453" s="445">
        <v>67.06</v>
      </c>
      <c r="K2453" s="445">
        <v>67.06</v>
      </c>
    </row>
    <row r="2454" customHeight="1" spans="1:11">
      <c r="A2454" s="438" t="s">
        <v>1750</v>
      </c>
      <c r="B2454" s="439" t="s">
        <v>2365</v>
      </c>
      <c r="C2454" s="438" t="s">
        <v>512</v>
      </c>
      <c r="D2454" s="438" t="s">
        <v>2366</v>
      </c>
      <c r="E2454" s="438" t="s">
        <v>1764</v>
      </c>
      <c r="F2454" s="438"/>
      <c r="G2454" s="440" t="s">
        <v>2367</v>
      </c>
      <c r="H2454" s="441">
        <v>1</v>
      </c>
      <c r="I2454" s="441">
        <v>0</v>
      </c>
      <c r="J2454" s="449">
        <v>33.83</v>
      </c>
      <c r="K2454" s="449">
        <v>33.83</v>
      </c>
    </row>
    <row r="2455" customHeight="1" spans="1:11">
      <c r="A2455" s="438" t="s">
        <v>1750</v>
      </c>
      <c r="B2455" s="439" t="s">
        <v>2614</v>
      </c>
      <c r="C2455" s="438" t="s">
        <v>512</v>
      </c>
      <c r="D2455" s="438" t="s">
        <v>2615</v>
      </c>
      <c r="E2455" s="438" t="s">
        <v>1631</v>
      </c>
      <c r="F2455" s="438"/>
      <c r="G2455" s="440" t="s">
        <v>67</v>
      </c>
      <c r="H2455" s="441">
        <v>1</v>
      </c>
      <c r="I2455" s="441">
        <v>0</v>
      </c>
      <c r="J2455" s="449">
        <v>15</v>
      </c>
      <c r="K2455" s="449">
        <v>15</v>
      </c>
    </row>
    <row r="2456" customHeight="1" spans="1:11">
      <c r="A2456" s="438" t="s">
        <v>1750</v>
      </c>
      <c r="B2456" s="439" t="s">
        <v>2370</v>
      </c>
      <c r="C2456" s="438" t="s">
        <v>512</v>
      </c>
      <c r="D2456" s="438" t="s">
        <v>2371</v>
      </c>
      <c r="E2456" s="438" t="s">
        <v>2372</v>
      </c>
      <c r="F2456" s="438"/>
      <c r="G2456" s="440" t="s">
        <v>1617</v>
      </c>
      <c r="H2456" s="441">
        <v>50.55</v>
      </c>
      <c r="I2456" s="441">
        <v>3</v>
      </c>
      <c r="J2456" s="449">
        <v>1</v>
      </c>
      <c r="K2456" s="449">
        <v>1.51</v>
      </c>
    </row>
    <row r="2457" customHeight="1" spans="1:11">
      <c r="A2457" s="438" t="s">
        <v>1750</v>
      </c>
      <c r="B2457" s="439" t="s">
        <v>2373</v>
      </c>
      <c r="C2457" s="438" t="s">
        <v>512</v>
      </c>
      <c r="D2457" s="438" t="s">
        <v>2374</v>
      </c>
      <c r="E2457" s="438" t="s">
        <v>1764</v>
      </c>
      <c r="F2457" s="438"/>
      <c r="G2457" s="440" t="s">
        <v>2367</v>
      </c>
      <c r="H2457" s="441">
        <v>0.7</v>
      </c>
      <c r="I2457" s="441">
        <v>0</v>
      </c>
      <c r="J2457" s="449">
        <v>23.89</v>
      </c>
      <c r="K2457" s="449">
        <v>16.72</v>
      </c>
    </row>
    <row r="2458" customHeight="1" spans="1:11">
      <c r="A2458" s="434"/>
      <c r="B2458" s="434"/>
      <c r="C2458" s="434"/>
      <c r="D2458" s="434"/>
      <c r="E2458" s="434"/>
      <c r="F2458" s="434" t="s">
        <v>1735</v>
      </c>
      <c r="G2458" s="435">
        <v>26.48</v>
      </c>
      <c r="H2458" s="434" t="s">
        <v>1736</v>
      </c>
      <c r="I2458" s="435">
        <v>24.07</v>
      </c>
      <c r="J2458" s="434" t="s">
        <v>1737</v>
      </c>
      <c r="K2458" s="435">
        <v>50.55</v>
      </c>
    </row>
    <row r="2459" customHeight="1" spans="1:11">
      <c r="A2459" s="434"/>
      <c r="B2459" s="434"/>
      <c r="C2459" s="434"/>
      <c r="D2459" s="434"/>
      <c r="E2459" s="434"/>
      <c r="F2459" s="434" t="s">
        <v>1738</v>
      </c>
      <c r="G2459" s="435">
        <v>16.53</v>
      </c>
      <c r="H2459" s="434"/>
      <c r="I2459" s="434" t="s">
        <v>1739</v>
      </c>
      <c r="J2459" s="434"/>
      <c r="K2459" s="435">
        <v>83.59</v>
      </c>
    </row>
    <row r="2460" customHeight="1" spans="1:11">
      <c r="A2460" s="436"/>
      <c r="B2460" s="436"/>
      <c r="C2460" s="436"/>
      <c r="D2460" s="436"/>
      <c r="E2460" s="436"/>
      <c r="F2460" s="436"/>
      <c r="G2460" s="436"/>
      <c r="H2460" s="436" t="s">
        <v>1740</v>
      </c>
      <c r="I2460" s="447" t="s">
        <v>1741</v>
      </c>
      <c r="J2460" s="436" t="s">
        <v>1742</v>
      </c>
      <c r="K2460" s="448">
        <v>83.59</v>
      </c>
    </row>
    <row r="2461" customHeight="1" spans="1:11">
      <c r="A2461" s="437"/>
      <c r="B2461" s="437"/>
      <c r="C2461" s="437"/>
      <c r="D2461" s="437"/>
      <c r="E2461" s="437"/>
      <c r="F2461" s="437"/>
      <c r="G2461" s="437"/>
      <c r="H2461" s="437"/>
      <c r="I2461" s="437"/>
      <c r="J2461" s="437"/>
      <c r="K2461" s="437"/>
    </row>
    <row r="2462" customHeight="1" spans="1:11">
      <c r="A2462" s="423" t="s">
        <v>748</v>
      </c>
      <c r="B2462" s="424" t="s">
        <v>1714</v>
      </c>
      <c r="C2462" s="423" t="s">
        <v>1715</v>
      </c>
      <c r="D2462" s="423" t="s">
        <v>1716</v>
      </c>
      <c r="E2462" s="423" t="s">
        <v>1717</v>
      </c>
      <c r="F2462" s="423"/>
      <c r="G2462" s="425" t="s">
        <v>1718</v>
      </c>
      <c r="H2462" s="424" t="s">
        <v>1719</v>
      </c>
      <c r="I2462" s="424" t="s">
        <v>1720</v>
      </c>
      <c r="J2462" s="424" t="s">
        <v>1721</v>
      </c>
      <c r="K2462" s="424" t="s">
        <v>1722</v>
      </c>
    </row>
    <row r="2463" customHeight="1" spans="1:11">
      <c r="A2463" s="426" t="s">
        <v>1723</v>
      </c>
      <c r="B2463" s="427" t="s">
        <v>636</v>
      </c>
      <c r="C2463" s="426" t="s">
        <v>76</v>
      </c>
      <c r="D2463" s="426" t="s">
        <v>637</v>
      </c>
      <c r="E2463" s="426">
        <v>6</v>
      </c>
      <c r="F2463" s="426"/>
      <c r="G2463" s="428" t="s">
        <v>105</v>
      </c>
      <c r="H2463" s="429">
        <v>1</v>
      </c>
      <c r="I2463" s="445"/>
      <c r="J2463" s="445">
        <v>1144.41</v>
      </c>
      <c r="K2463" s="445">
        <v>1144.41</v>
      </c>
    </row>
    <row r="2464" customHeight="1" spans="1:11">
      <c r="A2464" s="430" t="s">
        <v>1724</v>
      </c>
      <c r="B2464" s="431" t="s">
        <v>2485</v>
      </c>
      <c r="C2464" s="430" t="s">
        <v>76</v>
      </c>
      <c r="D2464" s="430" t="s">
        <v>2486</v>
      </c>
      <c r="E2464" s="430">
        <v>11</v>
      </c>
      <c r="F2464" s="430"/>
      <c r="G2464" s="432" t="s">
        <v>129</v>
      </c>
      <c r="H2464" s="433">
        <v>0.17</v>
      </c>
      <c r="I2464" s="433">
        <v>0</v>
      </c>
      <c r="J2464" s="446">
        <v>359.88</v>
      </c>
      <c r="K2464" s="446">
        <v>61.17</v>
      </c>
    </row>
    <row r="2465" customHeight="1" spans="1:11">
      <c r="A2465" s="430" t="s">
        <v>1724</v>
      </c>
      <c r="B2465" s="431" t="s">
        <v>2487</v>
      </c>
      <c r="C2465" s="430" t="s">
        <v>76</v>
      </c>
      <c r="D2465" s="430" t="s">
        <v>2488</v>
      </c>
      <c r="E2465" s="430">
        <v>12</v>
      </c>
      <c r="F2465" s="430"/>
      <c r="G2465" s="432" t="s">
        <v>73</v>
      </c>
      <c r="H2465" s="433">
        <v>2.56</v>
      </c>
      <c r="I2465" s="433">
        <v>0</v>
      </c>
      <c r="J2465" s="446">
        <v>319.76</v>
      </c>
      <c r="K2465" s="446">
        <v>818.58</v>
      </c>
    </row>
    <row r="2466" customHeight="1" spans="1:11">
      <c r="A2466" s="430" t="s">
        <v>1724</v>
      </c>
      <c r="B2466" s="431" t="s">
        <v>2489</v>
      </c>
      <c r="C2466" s="430" t="s">
        <v>76</v>
      </c>
      <c r="D2466" s="430" t="s">
        <v>2490</v>
      </c>
      <c r="E2466" s="430">
        <v>13</v>
      </c>
      <c r="F2466" s="430"/>
      <c r="G2466" s="432" t="s">
        <v>73</v>
      </c>
      <c r="H2466" s="433">
        <v>2.02</v>
      </c>
      <c r="I2466" s="433">
        <v>0</v>
      </c>
      <c r="J2466" s="446">
        <v>33.44</v>
      </c>
      <c r="K2466" s="446">
        <v>67.54</v>
      </c>
    </row>
    <row r="2467" customHeight="1" spans="1:11">
      <c r="A2467" s="438" t="s">
        <v>1750</v>
      </c>
      <c r="B2467" s="439" t="s">
        <v>2149</v>
      </c>
      <c r="C2467" s="438" t="s">
        <v>76</v>
      </c>
      <c r="D2467" s="438" t="s">
        <v>2150</v>
      </c>
      <c r="E2467" s="438" t="s">
        <v>1764</v>
      </c>
      <c r="F2467" s="438"/>
      <c r="G2467" s="440" t="s">
        <v>82</v>
      </c>
      <c r="H2467" s="441">
        <v>4.11</v>
      </c>
      <c r="I2467" s="441">
        <v>3</v>
      </c>
      <c r="J2467" s="449">
        <v>26.52</v>
      </c>
      <c r="K2467" s="449">
        <v>112.26</v>
      </c>
    </row>
    <row r="2468" customHeight="1" spans="1:11">
      <c r="A2468" s="438" t="s">
        <v>1750</v>
      </c>
      <c r="B2468" s="439" t="s">
        <v>1762</v>
      </c>
      <c r="C2468" s="438" t="s">
        <v>76</v>
      </c>
      <c r="D2468" s="438" t="s">
        <v>1763</v>
      </c>
      <c r="E2468" s="438" t="s">
        <v>1764</v>
      </c>
      <c r="F2468" s="438"/>
      <c r="G2468" s="440" t="s">
        <v>82</v>
      </c>
      <c r="H2468" s="441">
        <v>0.5</v>
      </c>
      <c r="I2468" s="441">
        <v>3</v>
      </c>
      <c r="J2468" s="449">
        <v>26.52</v>
      </c>
      <c r="K2468" s="449">
        <v>13.65</v>
      </c>
    </row>
    <row r="2469" customHeight="1" spans="1:11">
      <c r="A2469" s="438" t="s">
        <v>1750</v>
      </c>
      <c r="B2469" s="439" t="s">
        <v>1767</v>
      </c>
      <c r="C2469" s="438" t="s">
        <v>76</v>
      </c>
      <c r="D2469" s="438" t="s">
        <v>1768</v>
      </c>
      <c r="E2469" s="438" t="s">
        <v>1764</v>
      </c>
      <c r="F2469" s="438"/>
      <c r="G2469" s="440" t="s">
        <v>82</v>
      </c>
      <c r="H2469" s="441">
        <v>2.71</v>
      </c>
      <c r="I2469" s="441">
        <v>3</v>
      </c>
      <c r="J2469" s="449">
        <v>19.16</v>
      </c>
      <c r="K2469" s="449">
        <v>53.48</v>
      </c>
    </row>
    <row r="2470" customHeight="1" spans="1:11">
      <c r="A2470" s="438" t="s">
        <v>1750</v>
      </c>
      <c r="B2470" s="439" t="s">
        <v>1773</v>
      </c>
      <c r="C2470" s="438" t="s">
        <v>76</v>
      </c>
      <c r="D2470" s="438" t="s">
        <v>1774</v>
      </c>
      <c r="E2470" s="438" t="s">
        <v>1631</v>
      </c>
      <c r="F2470" s="438"/>
      <c r="G2470" s="440" t="s">
        <v>78</v>
      </c>
      <c r="H2470" s="441">
        <v>1.4</v>
      </c>
      <c r="I2470" s="441">
        <v>0</v>
      </c>
      <c r="J2470" s="449">
        <v>12.67</v>
      </c>
      <c r="K2470" s="449">
        <v>17.73</v>
      </c>
    </row>
    <row r="2471" customHeight="1" spans="1:11">
      <c r="A2471" s="434"/>
      <c r="B2471" s="434"/>
      <c r="C2471" s="434"/>
      <c r="D2471" s="434"/>
      <c r="E2471" s="434"/>
      <c r="F2471" s="434" t="s">
        <v>1735</v>
      </c>
      <c r="G2471" s="435">
        <v>273.38</v>
      </c>
      <c r="H2471" s="434" t="s">
        <v>1736</v>
      </c>
      <c r="I2471" s="435">
        <v>248.33</v>
      </c>
      <c r="J2471" s="434" t="s">
        <v>1737</v>
      </c>
      <c r="K2471" s="435">
        <v>521.71</v>
      </c>
    </row>
    <row r="2472" customHeight="1" spans="1:11">
      <c r="A2472" s="434"/>
      <c r="B2472" s="434"/>
      <c r="C2472" s="434"/>
      <c r="D2472" s="434"/>
      <c r="E2472" s="434"/>
      <c r="F2472" s="434" t="s">
        <v>1738</v>
      </c>
      <c r="G2472" s="435">
        <v>282.21</v>
      </c>
      <c r="H2472" s="434"/>
      <c r="I2472" s="434" t="s">
        <v>1739</v>
      </c>
      <c r="J2472" s="434"/>
      <c r="K2472" s="435">
        <v>1426.62</v>
      </c>
    </row>
    <row r="2473" customHeight="1" spans="1:11">
      <c r="A2473" s="436"/>
      <c r="B2473" s="436"/>
      <c r="C2473" s="436"/>
      <c r="D2473" s="436"/>
      <c r="E2473" s="436"/>
      <c r="F2473" s="436"/>
      <c r="G2473" s="436"/>
      <c r="H2473" s="436" t="s">
        <v>1740</v>
      </c>
      <c r="I2473" s="447" t="s">
        <v>2410</v>
      </c>
      <c r="J2473" s="436" t="s">
        <v>1742</v>
      </c>
      <c r="K2473" s="448">
        <v>34238.88</v>
      </c>
    </row>
    <row r="2474" customHeight="1" spans="1:11">
      <c r="A2474" s="437"/>
      <c r="B2474" s="437"/>
      <c r="C2474" s="437"/>
      <c r="D2474" s="437"/>
      <c r="E2474" s="437"/>
      <c r="F2474" s="437"/>
      <c r="G2474" s="437"/>
      <c r="H2474" s="437"/>
      <c r="I2474" s="437"/>
      <c r="J2474" s="437"/>
      <c r="K2474" s="437"/>
    </row>
    <row r="2475" customHeight="1" spans="1:11">
      <c r="A2475" s="423" t="s">
        <v>749</v>
      </c>
      <c r="B2475" s="424" t="s">
        <v>1714</v>
      </c>
      <c r="C2475" s="423" t="s">
        <v>1715</v>
      </c>
      <c r="D2475" s="423" t="s">
        <v>1716</v>
      </c>
      <c r="E2475" s="423" t="s">
        <v>1717</v>
      </c>
      <c r="F2475" s="423"/>
      <c r="G2475" s="425" t="s">
        <v>1718</v>
      </c>
      <c r="H2475" s="424" t="s">
        <v>1719</v>
      </c>
      <c r="I2475" s="424" t="s">
        <v>1720</v>
      </c>
      <c r="J2475" s="424" t="s">
        <v>1721</v>
      </c>
      <c r="K2475" s="424" t="s">
        <v>1722</v>
      </c>
    </row>
    <row r="2476" customHeight="1" spans="1:11">
      <c r="A2476" s="426" t="s">
        <v>1723</v>
      </c>
      <c r="B2476" s="427" t="s">
        <v>750</v>
      </c>
      <c r="C2476" s="426" t="s">
        <v>71</v>
      </c>
      <c r="D2476" s="426" t="s">
        <v>751</v>
      </c>
      <c r="E2476" s="426" t="s">
        <v>1639</v>
      </c>
      <c r="F2476" s="426"/>
      <c r="G2476" s="428" t="s">
        <v>105</v>
      </c>
      <c r="H2476" s="429">
        <v>1</v>
      </c>
      <c r="I2476" s="445"/>
      <c r="J2476" s="445">
        <v>209.39</v>
      </c>
      <c r="K2476" s="445">
        <v>209.39</v>
      </c>
    </row>
    <row r="2477" customHeight="1" spans="1:11">
      <c r="A2477" s="430" t="s">
        <v>1724</v>
      </c>
      <c r="B2477" s="431" t="s">
        <v>2232</v>
      </c>
      <c r="C2477" s="430" t="s">
        <v>71</v>
      </c>
      <c r="D2477" s="430" t="s">
        <v>2233</v>
      </c>
      <c r="E2477" s="430" t="s">
        <v>2095</v>
      </c>
      <c r="F2477" s="430"/>
      <c r="G2477" s="432" t="s">
        <v>129</v>
      </c>
      <c r="H2477" s="433">
        <v>0.0050429</v>
      </c>
      <c r="I2477" s="433">
        <v>0</v>
      </c>
      <c r="J2477" s="446">
        <v>655.2</v>
      </c>
      <c r="K2477" s="446">
        <v>3.3</v>
      </c>
    </row>
    <row r="2478" customHeight="1" spans="1:11">
      <c r="A2478" s="430" t="s">
        <v>1724</v>
      </c>
      <c r="B2478" s="431" t="s">
        <v>1936</v>
      </c>
      <c r="C2478" s="430" t="s">
        <v>71</v>
      </c>
      <c r="D2478" s="430" t="s">
        <v>1937</v>
      </c>
      <c r="E2478" s="430" t="s">
        <v>1708</v>
      </c>
      <c r="F2478" s="430"/>
      <c r="G2478" s="432" t="s">
        <v>82</v>
      </c>
      <c r="H2478" s="433">
        <v>0.2472797</v>
      </c>
      <c r="I2478" s="433">
        <v>0</v>
      </c>
      <c r="J2478" s="446">
        <v>36.96</v>
      </c>
      <c r="K2478" s="446">
        <v>9.13</v>
      </c>
    </row>
    <row r="2479" customHeight="1" spans="1:11">
      <c r="A2479" s="430" t="s">
        <v>1724</v>
      </c>
      <c r="B2479" s="431" t="s">
        <v>1745</v>
      </c>
      <c r="C2479" s="430" t="s">
        <v>71</v>
      </c>
      <c r="D2479" s="430" t="s">
        <v>1746</v>
      </c>
      <c r="E2479" s="430" t="s">
        <v>1708</v>
      </c>
      <c r="F2479" s="430"/>
      <c r="G2479" s="432" t="s">
        <v>82</v>
      </c>
      <c r="H2479" s="433">
        <v>0.2472797</v>
      </c>
      <c r="I2479" s="433">
        <v>0</v>
      </c>
      <c r="J2479" s="446">
        <v>29.15</v>
      </c>
      <c r="K2479" s="446">
        <v>7.2</v>
      </c>
    </row>
    <row r="2480" customHeight="1" spans="1:11">
      <c r="A2480" s="438" t="s">
        <v>1750</v>
      </c>
      <c r="B2480" s="439" t="s">
        <v>2616</v>
      </c>
      <c r="C2480" s="438" t="s">
        <v>71</v>
      </c>
      <c r="D2480" s="438" t="s">
        <v>2617</v>
      </c>
      <c r="E2480" s="438" t="s">
        <v>1631</v>
      </c>
      <c r="F2480" s="438"/>
      <c r="G2480" s="440" t="s">
        <v>105</v>
      </c>
      <c r="H2480" s="441">
        <v>1</v>
      </c>
      <c r="I2480" s="441">
        <v>0</v>
      </c>
      <c r="J2480" s="449">
        <v>189.76</v>
      </c>
      <c r="K2480" s="449">
        <v>189.76</v>
      </c>
    </row>
    <row r="2481" customHeight="1" spans="1:11">
      <c r="A2481" s="434"/>
      <c r="B2481" s="434"/>
      <c r="C2481" s="434"/>
      <c r="D2481" s="434"/>
      <c r="E2481" s="434"/>
      <c r="F2481" s="434" t="s">
        <v>1735</v>
      </c>
      <c r="G2481" s="435">
        <v>6.41</v>
      </c>
      <c r="H2481" s="434" t="s">
        <v>1736</v>
      </c>
      <c r="I2481" s="435">
        <v>5.83</v>
      </c>
      <c r="J2481" s="434" t="s">
        <v>1737</v>
      </c>
      <c r="K2481" s="435">
        <v>12.24</v>
      </c>
    </row>
    <row r="2482" customHeight="1" spans="1:11">
      <c r="A2482" s="434"/>
      <c r="B2482" s="434"/>
      <c r="C2482" s="434"/>
      <c r="D2482" s="434"/>
      <c r="E2482" s="434"/>
      <c r="F2482" s="434" t="s">
        <v>1738</v>
      </c>
      <c r="G2482" s="435">
        <v>51.63</v>
      </c>
      <c r="H2482" s="434"/>
      <c r="I2482" s="434" t="s">
        <v>1739</v>
      </c>
      <c r="J2482" s="434"/>
      <c r="K2482" s="435">
        <v>261.02</v>
      </c>
    </row>
    <row r="2483" customHeight="1" spans="1:11">
      <c r="A2483" s="436"/>
      <c r="B2483" s="436"/>
      <c r="C2483" s="436"/>
      <c r="D2483" s="436"/>
      <c r="E2483" s="436"/>
      <c r="F2483" s="436"/>
      <c r="G2483" s="436"/>
      <c r="H2483" s="436" t="s">
        <v>1740</v>
      </c>
      <c r="I2483" s="447" t="s">
        <v>2618</v>
      </c>
      <c r="J2483" s="436" t="s">
        <v>1742</v>
      </c>
      <c r="K2483" s="448">
        <v>31844.44</v>
      </c>
    </row>
    <row r="2484" customHeight="1" spans="1:11">
      <c r="A2484" s="437"/>
      <c r="B2484" s="437"/>
      <c r="C2484" s="437"/>
      <c r="D2484" s="437"/>
      <c r="E2484" s="437"/>
      <c r="F2484" s="437"/>
      <c r="G2484" s="437"/>
      <c r="H2484" s="437"/>
      <c r="I2484" s="437"/>
      <c r="J2484" s="437"/>
      <c r="K2484" s="437"/>
    </row>
    <row r="2485" customHeight="1" spans="1:11">
      <c r="A2485" s="423" t="s">
        <v>752</v>
      </c>
      <c r="B2485" s="424" t="s">
        <v>1714</v>
      </c>
      <c r="C2485" s="423" t="s">
        <v>1715</v>
      </c>
      <c r="D2485" s="423" t="s">
        <v>1716</v>
      </c>
      <c r="E2485" s="423" t="s">
        <v>1717</v>
      </c>
      <c r="F2485" s="423"/>
      <c r="G2485" s="425" t="s">
        <v>1718</v>
      </c>
      <c r="H2485" s="424" t="s">
        <v>1719</v>
      </c>
      <c r="I2485" s="424" t="s">
        <v>1720</v>
      </c>
      <c r="J2485" s="424" t="s">
        <v>1721</v>
      </c>
      <c r="K2485" s="424" t="s">
        <v>1722</v>
      </c>
    </row>
    <row r="2486" customHeight="1" spans="1:11">
      <c r="A2486" s="426" t="s">
        <v>1723</v>
      </c>
      <c r="B2486" s="427" t="s">
        <v>552</v>
      </c>
      <c r="C2486" s="426" t="s">
        <v>71</v>
      </c>
      <c r="D2486" s="426" t="s">
        <v>553</v>
      </c>
      <c r="E2486" s="426" t="s">
        <v>1649</v>
      </c>
      <c r="F2486" s="426"/>
      <c r="G2486" s="428" t="s">
        <v>105</v>
      </c>
      <c r="H2486" s="429">
        <v>1</v>
      </c>
      <c r="I2486" s="445"/>
      <c r="J2486" s="445">
        <v>17.87</v>
      </c>
      <c r="K2486" s="445">
        <v>17.87</v>
      </c>
    </row>
    <row r="2487" customHeight="1" spans="1:11">
      <c r="A2487" s="430" t="s">
        <v>1724</v>
      </c>
      <c r="B2487" s="431" t="s">
        <v>1859</v>
      </c>
      <c r="C2487" s="430" t="s">
        <v>71</v>
      </c>
      <c r="D2487" s="430" t="s">
        <v>1860</v>
      </c>
      <c r="E2487" s="430" t="s">
        <v>1708</v>
      </c>
      <c r="F2487" s="430"/>
      <c r="G2487" s="432" t="s">
        <v>82</v>
      </c>
      <c r="H2487" s="433">
        <v>0.1102</v>
      </c>
      <c r="I2487" s="433">
        <v>0</v>
      </c>
      <c r="J2487" s="446">
        <v>29.54</v>
      </c>
      <c r="K2487" s="446">
        <v>3.25</v>
      </c>
    </row>
    <row r="2488" customHeight="1" spans="1:11">
      <c r="A2488" s="430" t="s">
        <v>1724</v>
      </c>
      <c r="B2488" s="431" t="s">
        <v>1854</v>
      </c>
      <c r="C2488" s="430" t="s">
        <v>71</v>
      </c>
      <c r="D2488" s="430" t="s">
        <v>1855</v>
      </c>
      <c r="E2488" s="430" t="s">
        <v>1708</v>
      </c>
      <c r="F2488" s="430"/>
      <c r="G2488" s="432" t="s">
        <v>82</v>
      </c>
      <c r="H2488" s="433">
        <v>0.1102</v>
      </c>
      <c r="I2488" s="433">
        <v>0</v>
      </c>
      <c r="J2488" s="446">
        <v>35.55</v>
      </c>
      <c r="K2488" s="446">
        <v>3.91</v>
      </c>
    </row>
    <row r="2489" customHeight="1" spans="1:11">
      <c r="A2489" s="438" t="s">
        <v>1750</v>
      </c>
      <c r="B2489" s="439" t="s">
        <v>2296</v>
      </c>
      <c r="C2489" s="438" t="s">
        <v>71</v>
      </c>
      <c r="D2489" s="438" t="s">
        <v>2297</v>
      </c>
      <c r="E2489" s="438" t="s">
        <v>1631</v>
      </c>
      <c r="F2489" s="438"/>
      <c r="G2489" s="440" t="s">
        <v>105</v>
      </c>
      <c r="H2489" s="441">
        <v>0.0167</v>
      </c>
      <c r="I2489" s="441">
        <v>0</v>
      </c>
      <c r="J2489" s="449">
        <v>72.71</v>
      </c>
      <c r="K2489" s="449">
        <v>1.21</v>
      </c>
    </row>
    <row r="2490" customHeight="1" spans="1:11">
      <c r="A2490" s="438" t="s">
        <v>1750</v>
      </c>
      <c r="B2490" s="439" t="s">
        <v>2284</v>
      </c>
      <c r="C2490" s="438" t="s">
        <v>71</v>
      </c>
      <c r="D2490" s="438" t="s">
        <v>2285</v>
      </c>
      <c r="E2490" s="438" t="s">
        <v>1631</v>
      </c>
      <c r="F2490" s="438"/>
      <c r="G2490" s="440" t="s">
        <v>105</v>
      </c>
      <c r="H2490" s="441">
        <v>0.046</v>
      </c>
      <c r="I2490" s="441">
        <v>0</v>
      </c>
      <c r="J2490" s="449">
        <v>2.08</v>
      </c>
      <c r="K2490" s="449">
        <v>0.09</v>
      </c>
    </row>
    <row r="2491" customHeight="1" spans="1:11">
      <c r="A2491" s="438" t="s">
        <v>1750</v>
      </c>
      <c r="B2491" s="439" t="s">
        <v>2294</v>
      </c>
      <c r="C2491" s="438" t="s">
        <v>71</v>
      </c>
      <c r="D2491" s="438" t="s">
        <v>2295</v>
      </c>
      <c r="E2491" s="438" t="s">
        <v>1631</v>
      </c>
      <c r="F2491" s="438"/>
      <c r="G2491" s="440" t="s">
        <v>105</v>
      </c>
      <c r="H2491" s="441">
        <v>0.026</v>
      </c>
      <c r="I2491" s="441">
        <v>0</v>
      </c>
      <c r="J2491" s="449">
        <v>82.38</v>
      </c>
      <c r="K2491" s="449">
        <v>2.14</v>
      </c>
    </row>
    <row r="2492" customHeight="1" spans="1:11">
      <c r="A2492" s="438" t="s">
        <v>1750</v>
      </c>
      <c r="B2492" s="439" t="s">
        <v>2408</v>
      </c>
      <c r="C2492" s="438" t="s">
        <v>71</v>
      </c>
      <c r="D2492" s="438" t="s">
        <v>2409</v>
      </c>
      <c r="E2492" s="438" t="s">
        <v>1631</v>
      </c>
      <c r="F2492" s="438"/>
      <c r="G2492" s="440" t="s">
        <v>105</v>
      </c>
      <c r="H2492" s="441">
        <v>1</v>
      </c>
      <c r="I2492" s="441">
        <v>0</v>
      </c>
      <c r="J2492" s="449">
        <v>7.27</v>
      </c>
      <c r="K2492" s="449">
        <v>7.27</v>
      </c>
    </row>
    <row r="2493" customHeight="1" spans="1:11">
      <c r="A2493" s="434"/>
      <c r="B2493" s="434"/>
      <c r="C2493" s="434"/>
      <c r="D2493" s="434"/>
      <c r="E2493" s="434"/>
      <c r="F2493" s="434" t="s">
        <v>1735</v>
      </c>
      <c r="G2493" s="435">
        <v>2.67</v>
      </c>
      <c r="H2493" s="434" t="s">
        <v>1736</v>
      </c>
      <c r="I2493" s="435">
        <v>2.43</v>
      </c>
      <c r="J2493" s="434" t="s">
        <v>1737</v>
      </c>
      <c r="K2493" s="435">
        <v>5.1</v>
      </c>
    </row>
    <row r="2494" customHeight="1" spans="1:11">
      <c r="A2494" s="434"/>
      <c r="B2494" s="434"/>
      <c r="C2494" s="434"/>
      <c r="D2494" s="434"/>
      <c r="E2494" s="434"/>
      <c r="F2494" s="434" t="s">
        <v>1738</v>
      </c>
      <c r="G2494" s="435">
        <v>4.4</v>
      </c>
      <c r="H2494" s="434"/>
      <c r="I2494" s="434" t="s">
        <v>1739</v>
      </c>
      <c r="J2494" s="434"/>
      <c r="K2494" s="435">
        <v>22.27</v>
      </c>
    </row>
    <row r="2495" customHeight="1" spans="1:11">
      <c r="A2495" s="436"/>
      <c r="B2495" s="436"/>
      <c r="C2495" s="436"/>
      <c r="D2495" s="436"/>
      <c r="E2495" s="436"/>
      <c r="F2495" s="436"/>
      <c r="G2495" s="436"/>
      <c r="H2495" s="436" t="s">
        <v>1740</v>
      </c>
      <c r="I2495" s="447" t="s">
        <v>1971</v>
      </c>
      <c r="J2495" s="436" t="s">
        <v>1742</v>
      </c>
      <c r="K2495" s="448">
        <v>44.54</v>
      </c>
    </row>
    <row r="2496" customHeight="1" spans="1:11">
      <c r="A2496" s="437"/>
      <c r="B2496" s="437"/>
      <c r="C2496" s="437"/>
      <c r="D2496" s="437"/>
      <c r="E2496" s="437"/>
      <c r="F2496" s="437"/>
      <c r="G2496" s="437"/>
      <c r="H2496" s="437"/>
      <c r="I2496" s="437"/>
      <c r="J2496" s="437"/>
      <c r="K2496" s="437"/>
    </row>
    <row r="2497" customHeight="1" spans="1:11">
      <c r="A2497" s="422" t="s">
        <v>753</v>
      </c>
      <c r="B2497" s="422"/>
      <c r="C2497" s="422"/>
      <c r="D2497" s="422" t="s">
        <v>31</v>
      </c>
      <c r="E2497" s="422"/>
      <c r="F2497" s="422"/>
      <c r="G2497" s="422"/>
      <c r="H2497" s="422"/>
      <c r="I2497" s="443"/>
      <c r="J2497" s="422"/>
      <c r="K2497" s="444">
        <v>540535.09</v>
      </c>
    </row>
    <row r="2498" customHeight="1" spans="1:11">
      <c r="A2498" s="422" t="s">
        <v>754</v>
      </c>
      <c r="B2498" s="422"/>
      <c r="C2498" s="422"/>
      <c r="D2498" s="422" t="s">
        <v>755</v>
      </c>
      <c r="E2498" s="422"/>
      <c r="F2498" s="422"/>
      <c r="G2498" s="422"/>
      <c r="H2498" s="422"/>
      <c r="I2498" s="443"/>
      <c r="J2498" s="422"/>
      <c r="K2498" s="444">
        <v>237624.5</v>
      </c>
    </row>
    <row r="2499" customHeight="1" spans="1:11">
      <c r="A2499" s="423" t="s">
        <v>756</v>
      </c>
      <c r="B2499" s="424" t="s">
        <v>1714</v>
      </c>
      <c r="C2499" s="423" t="s">
        <v>1715</v>
      </c>
      <c r="D2499" s="423" t="s">
        <v>1716</v>
      </c>
      <c r="E2499" s="423" t="s">
        <v>1717</v>
      </c>
      <c r="F2499" s="423"/>
      <c r="G2499" s="425" t="s">
        <v>1718</v>
      </c>
      <c r="H2499" s="424" t="s">
        <v>1719</v>
      </c>
      <c r="I2499" s="424" t="s">
        <v>1720</v>
      </c>
      <c r="J2499" s="424" t="s">
        <v>1721</v>
      </c>
      <c r="K2499" s="424" t="s">
        <v>1722</v>
      </c>
    </row>
    <row r="2500" customHeight="1" spans="1:11">
      <c r="A2500" s="426" t="s">
        <v>1723</v>
      </c>
      <c r="B2500" s="427" t="s">
        <v>757</v>
      </c>
      <c r="C2500" s="426" t="s">
        <v>99</v>
      </c>
      <c r="D2500" s="426" t="s">
        <v>758</v>
      </c>
      <c r="E2500" s="426" t="s">
        <v>1704</v>
      </c>
      <c r="F2500" s="426"/>
      <c r="G2500" s="428" t="s">
        <v>78</v>
      </c>
      <c r="H2500" s="429">
        <v>1</v>
      </c>
      <c r="I2500" s="445"/>
      <c r="J2500" s="445">
        <v>7.84</v>
      </c>
      <c r="K2500" s="445">
        <v>7.84</v>
      </c>
    </row>
    <row r="2501" customHeight="1" spans="1:11">
      <c r="A2501" s="438" t="s">
        <v>1750</v>
      </c>
      <c r="B2501" s="439" t="s">
        <v>2619</v>
      </c>
      <c r="C2501" s="438" t="s">
        <v>99</v>
      </c>
      <c r="D2501" s="438" t="s">
        <v>2620</v>
      </c>
      <c r="E2501" s="438" t="s">
        <v>1631</v>
      </c>
      <c r="F2501" s="438"/>
      <c r="G2501" s="440" t="s">
        <v>78</v>
      </c>
      <c r="H2501" s="441">
        <v>1.1</v>
      </c>
      <c r="I2501" s="441">
        <v>0</v>
      </c>
      <c r="J2501" s="449">
        <v>4.99</v>
      </c>
      <c r="K2501" s="449">
        <v>5.48</v>
      </c>
    </row>
    <row r="2502" customHeight="1" spans="1:11">
      <c r="A2502" s="438" t="s">
        <v>1750</v>
      </c>
      <c r="B2502" s="439" t="s">
        <v>1832</v>
      </c>
      <c r="C2502" s="438" t="s">
        <v>99</v>
      </c>
      <c r="D2502" s="438" t="s">
        <v>1833</v>
      </c>
      <c r="E2502" s="438" t="s">
        <v>1764</v>
      </c>
      <c r="F2502" s="438"/>
      <c r="G2502" s="440" t="s">
        <v>82</v>
      </c>
      <c r="H2502" s="441">
        <v>0.05</v>
      </c>
      <c r="I2502" s="441">
        <v>0</v>
      </c>
      <c r="J2502" s="449">
        <v>26.928256</v>
      </c>
      <c r="K2502" s="449">
        <v>1.34</v>
      </c>
    </row>
    <row r="2503" customHeight="1" spans="1:11">
      <c r="A2503" s="438" t="s">
        <v>1750</v>
      </c>
      <c r="B2503" s="439" t="s">
        <v>1824</v>
      </c>
      <c r="C2503" s="438" t="s">
        <v>99</v>
      </c>
      <c r="D2503" s="438" t="s">
        <v>1825</v>
      </c>
      <c r="E2503" s="438" t="s">
        <v>1764</v>
      </c>
      <c r="F2503" s="438"/>
      <c r="G2503" s="440" t="s">
        <v>82</v>
      </c>
      <c r="H2503" s="441">
        <v>0.05</v>
      </c>
      <c r="I2503" s="441">
        <v>0</v>
      </c>
      <c r="J2503" s="449">
        <v>20.515752</v>
      </c>
      <c r="K2503" s="449">
        <v>1.02</v>
      </c>
    </row>
    <row r="2504" customHeight="1" spans="1:11">
      <c r="A2504" s="434"/>
      <c r="B2504" s="434"/>
      <c r="C2504" s="434"/>
      <c r="D2504" s="434"/>
      <c r="E2504" s="434"/>
      <c r="F2504" s="434" t="s">
        <v>1735</v>
      </c>
      <c r="G2504" s="435">
        <v>1.23</v>
      </c>
      <c r="H2504" s="434" t="s">
        <v>1736</v>
      </c>
      <c r="I2504" s="435">
        <v>1.13</v>
      </c>
      <c r="J2504" s="434" t="s">
        <v>1737</v>
      </c>
      <c r="K2504" s="435">
        <v>2.36</v>
      </c>
    </row>
    <row r="2505" customHeight="1" spans="1:11">
      <c r="A2505" s="434"/>
      <c r="B2505" s="434"/>
      <c r="C2505" s="434"/>
      <c r="D2505" s="434"/>
      <c r="E2505" s="434"/>
      <c r="F2505" s="434" t="s">
        <v>1738</v>
      </c>
      <c r="G2505" s="435">
        <v>1.93</v>
      </c>
      <c r="H2505" s="434"/>
      <c r="I2505" s="434" t="s">
        <v>1739</v>
      </c>
      <c r="J2505" s="434"/>
      <c r="K2505" s="435">
        <v>9.77</v>
      </c>
    </row>
    <row r="2506" customHeight="1" spans="1:11">
      <c r="A2506" s="436"/>
      <c r="B2506" s="436"/>
      <c r="C2506" s="436"/>
      <c r="D2506" s="436"/>
      <c r="E2506" s="436"/>
      <c r="F2506" s="436"/>
      <c r="G2506" s="436"/>
      <c r="H2506" s="436" t="s">
        <v>1740</v>
      </c>
      <c r="I2506" s="447" t="s">
        <v>2621</v>
      </c>
      <c r="J2506" s="436" t="s">
        <v>1742</v>
      </c>
      <c r="K2506" s="448">
        <v>977</v>
      </c>
    </row>
    <row r="2507" customHeight="1" spans="1:11">
      <c r="A2507" s="437"/>
      <c r="B2507" s="437"/>
      <c r="C2507" s="437"/>
      <c r="D2507" s="437"/>
      <c r="E2507" s="437"/>
      <c r="F2507" s="437"/>
      <c r="G2507" s="437"/>
      <c r="H2507" s="437"/>
      <c r="I2507" s="437"/>
      <c r="J2507" s="437"/>
      <c r="K2507" s="437"/>
    </row>
    <row r="2508" customHeight="1" spans="1:11">
      <c r="A2508" s="423" t="s">
        <v>759</v>
      </c>
      <c r="B2508" s="424" t="s">
        <v>1714</v>
      </c>
      <c r="C2508" s="423" t="s">
        <v>1715</v>
      </c>
      <c r="D2508" s="423" t="s">
        <v>1716</v>
      </c>
      <c r="E2508" s="423" t="s">
        <v>1717</v>
      </c>
      <c r="F2508" s="423"/>
      <c r="G2508" s="425" t="s">
        <v>1718</v>
      </c>
      <c r="H2508" s="424" t="s">
        <v>1719</v>
      </c>
      <c r="I2508" s="424" t="s">
        <v>1720</v>
      </c>
      <c r="J2508" s="424" t="s">
        <v>1721</v>
      </c>
      <c r="K2508" s="424" t="s">
        <v>1722</v>
      </c>
    </row>
    <row r="2509" customHeight="1" spans="1:11">
      <c r="A2509" s="426" t="s">
        <v>1723</v>
      </c>
      <c r="B2509" s="427" t="s">
        <v>760</v>
      </c>
      <c r="C2509" s="426" t="s">
        <v>71</v>
      </c>
      <c r="D2509" s="426" t="s">
        <v>761</v>
      </c>
      <c r="E2509" s="426" t="s">
        <v>1636</v>
      </c>
      <c r="F2509" s="426"/>
      <c r="G2509" s="428" t="s">
        <v>78</v>
      </c>
      <c r="H2509" s="429">
        <v>1</v>
      </c>
      <c r="I2509" s="445"/>
      <c r="J2509" s="445">
        <v>4.98</v>
      </c>
      <c r="K2509" s="445">
        <v>4.98</v>
      </c>
    </row>
    <row r="2510" customHeight="1" spans="1:11">
      <c r="A2510" s="430" t="s">
        <v>1724</v>
      </c>
      <c r="B2510" s="431" t="s">
        <v>2387</v>
      </c>
      <c r="C2510" s="430" t="s">
        <v>71</v>
      </c>
      <c r="D2510" s="430" t="s">
        <v>2388</v>
      </c>
      <c r="E2510" s="430" t="s">
        <v>1708</v>
      </c>
      <c r="F2510" s="430"/>
      <c r="G2510" s="432" t="s">
        <v>82</v>
      </c>
      <c r="H2510" s="433">
        <v>0.029</v>
      </c>
      <c r="I2510" s="433">
        <v>0</v>
      </c>
      <c r="J2510" s="446">
        <v>36.82</v>
      </c>
      <c r="K2510" s="446">
        <v>1.06</v>
      </c>
    </row>
    <row r="2511" customHeight="1" spans="1:11">
      <c r="A2511" s="430" t="s">
        <v>1724</v>
      </c>
      <c r="B2511" s="431" t="s">
        <v>2385</v>
      </c>
      <c r="C2511" s="430" t="s">
        <v>71</v>
      </c>
      <c r="D2511" s="430" t="s">
        <v>2386</v>
      </c>
      <c r="E2511" s="430" t="s">
        <v>1708</v>
      </c>
      <c r="F2511" s="430"/>
      <c r="G2511" s="432" t="s">
        <v>82</v>
      </c>
      <c r="H2511" s="433">
        <v>0.029</v>
      </c>
      <c r="I2511" s="433">
        <v>0</v>
      </c>
      <c r="J2511" s="446">
        <v>30.6</v>
      </c>
      <c r="K2511" s="446">
        <v>0.88</v>
      </c>
    </row>
    <row r="2512" customHeight="1" spans="1:11">
      <c r="A2512" s="438" t="s">
        <v>1750</v>
      </c>
      <c r="B2512" s="439" t="s">
        <v>2622</v>
      </c>
      <c r="C2512" s="438" t="s">
        <v>71</v>
      </c>
      <c r="D2512" s="438" t="s">
        <v>2623</v>
      </c>
      <c r="E2512" s="438" t="s">
        <v>1631</v>
      </c>
      <c r="F2512" s="438"/>
      <c r="G2512" s="440" t="s">
        <v>78</v>
      </c>
      <c r="H2512" s="441">
        <v>1.2434</v>
      </c>
      <c r="I2512" s="441">
        <v>0</v>
      </c>
      <c r="J2512" s="449">
        <v>2.38</v>
      </c>
      <c r="K2512" s="449">
        <v>2.95</v>
      </c>
    </row>
    <row r="2513" customHeight="1" spans="1:11">
      <c r="A2513" s="438" t="s">
        <v>1750</v>
      </c>
      <c r="B2513" s="439" t="s">
        <v>2624</v>
      </c>
      <c r="C2513" s="438" t="s">
        <v>71</v>
      </c>
      <c r="D2513" s="438" t="s">
        <v>2625</v>
      </c>
      <c r="E2513" s="438" t="s">
        <v>1631</v>
      </c>
      <c r="F2513" s="438"/>
      <c r="G2513" s="440" t="s">
        <v>105</v>
      </c>
      <c r="H2513" s="441">
        <v>0.0094</v>
      </c>
      <c r="I2513" s="441">
        <v>0</v>
      </c>
      <c r="J2513" s="449">
        <v>10.55</v>
      </c>
      <c r="K2513" s="449">
        <v>0.09</v>
      </c>
    </row>
    <row r="2514" customHeight="1" spans="1:11">
      <c r="A2514" s="434"/>
      <c r="B2514" s="434"/>
      <c r="C2514" s="434"/>
      <c r="D2514" s="434"/>
      <c r="E2514" s="434"/>
      <c r="F2514" s="434" t="s">
        <v>1735</v>
      </c>
      <c r="G2514" s="435">
        <v>0.71</v>
      </c>
      <c r="H2514" s="434" t="s">
        <v>1736</v>
      </c>
      <c r="I2514" s="435">
        <v>0.65</v>
      </c>
      <c r="J2514" s="434" t="s">
        <v>1737</v>
      </c>
      <c r="K2514" s="435">
        <v>1.36</v>
      </c>
    </row>
    <row r="2515" customHeight="1" spans="1:11">
      <c r="A2515" s="434"/>
      <c r="B2515" s="434"/>
      <c r="C2515" s="434"/>
      <c r="D2515" s="434"/>
      <c r="E2515" s="434"/>
      <c r="F2515" s="434" t="s">
        <v>1738</v>
      </c>
      <c r="G2515" s="435">
        <v>1.22</v>
      </c>
      <c r="H2515" s="434"/>
      <c r="I2515" s="434" t="s">
        <v>1739</v>
      </c>
      <c r="J2515" s="434"/>
      <c r="K2515" s="435">
        <v>6.2</v>
      </c>
    </row>
    <row r="2516" customHeight="1" spans="1:11">
      <c r="A2516" s="436"/>
      <c r="B2516" s="436"/>
      <c r="C2516" s="436"/>
      <c r="D2516" s="436"/>
      <c r="E2516" s="436"/>
      <c r="F2516" s="436"/>
      <c r="G2516" s="436"/>
      <c r="H2516" s="436" t="s">
        <v>1740</v>
      </c>
      <c r="I2516" s="447" t="s">
        <v>2626</v>
      </c>
      <c r="J2516" s="436" t="s">
        <v>1742</v>
      </c>
      <c r="K2516" s="448">
        <v>44640</v>
      </c>
    </row>
    <row r="2517" customHeight="1" spans="1:11">
      <c r="A2517" s="437"/>
      <c r="B2517" s="437"/>
      <c r="C2517" s="437"/>
      <c r="D2517" s="437"/>
      <c r="E2517" s="437"/>
      <c r="F2517" s="437"/>
      <c r="G2517" s="437"/>
      <c r="H2517" s="437"/>
      <c r="I2517" s="437"/>
      <c r="J2517" s="437"/>
      <c r="K2517" s="437"/>
    </row>
    <row r="2518" customHeight="1" spans="1:11">
      <c r="A2518" s="423" t="s">
        <v>762</v>
      </c>
      <c r="B2518" s="424" t="s">
        <v>1714</v>
      </c>
      <c r="C2518" s="423" t="s">
        <v>1715</v>
      </c>
      <c r="D2518" s="423" t="s">
        <v>1716</v>
      </c>
      <c r="E2518" s="423" t="s">
        <v>1717</v>
      </c>
      <c r="F2518" s="423"/>
      <c r="G2518" s="425" t="s">
        <v>1718</v>
      </c>
      <c r="H2518" s="424" t="s">
        <v>1719</v>
      </c>
      <c r="I2518" s="424" t="s">
        <v>1720</v>
      </c>
      <c r="J2518" s="424" t="s">
        <v>1721</v>
      </c>
      <c r="K2518" s="424" t="s">
        <v>1722</v>
      </c>
    </row>
    <row r="2519" customHeight="1" spans="1:11">
      <c r="A2519" s="426" t="s">
        <v>1723</v>
      </c>
      <c r="B2519" s="427" t="s">
        <v>763</v>
      </c>
      <c r="C2519" s="426" t="s">
        <v>71</v>
      </c>
      <c r="D2519" s="426" t="s">
        <v>764</v>
      </c>
      <c r="E2519" s="426" t="s">
        <v>1636</v>
      </c>
      <c r="F2519" s="426"/>
      <c r="G2519" s="428" t="s">
        <v>78</v>
      </c>
      <c r="H2519" s="429">
        <v>1</v>
      </c>
      <c r="I2519" s="445"/>
      <c r="J2519" s="445">
        <v>7.62</v>
      </c>
      <c r="K2519" s="445">
        <v>7.62</v>
      </c>
    </row>
    <row r="2520" customHeight="1" spans="1:11">
      <c r="A2520" s="430" t="s">
        <v>1724</v>
      </c>
      <c r="B2520" s="431" t="s">
        <v>2385</v>
      </c>
      <c r="C2520" s="430" t="s">
        <v>71</v>
      </c>
      <c r="D2520" s="430" t="s">
        <v>2386</v>
      </c>
      <c r="E2520" s="430" t="s">
        <v>1708</v>
      </c>
      <c r="F2520" s="430"/>
      <c r="G2520" s="432" t="s">
        <v>82</v>
      </c>
      <c r="H2520" s="433">
        <v>0.039</v>
      </c>
      <c r="I2520" s="433">
        <v>0</v>
      </c>
      <c r="J2520" s="446">
        <v>30.6</v>
      </c>
      <c r="K2520" s="446">
        <v>1.19</v>
      </c>
    </row>
    <row r="2521" customHeight="1" spans="1:11">
      <c r="A2521" s="430" t="s">
        <v>1724</v>
      </c>
      <c r="B2521" s="431" t="s">
        <v>2387</v>
      </c>
      <c r="C2521" s="430" t="s">
        <v>71</v>
      </c>
      <c r="D2521" s="430" t="s">
        <v>2388</v>
      </c>
      <c r="E2521" s="430" t="s">
        <v>1708</v>
      </c>
      <c r="F2521" s="430"/>
      <c r="G2521" s="432" t="s">
        <v>82</v>
      </c>
      <c r="H2521" s="433">
        <v>0.039</v>
      </c>
      <c r="I2521" s="433">
        <v>0</v>
      </c>
      <c r="J2521" s="446">
        <v>36.82</v>
      </c>
      <c r="K2521" s="446">
        <v>1.43</v>
      </c>
    </row>
    <row r="2522" customHeight="1" spans="1:11">
      <c r="A2522" s="438" t="s">
        <v>1750</v>
      </c>
      <c r="B2522" s="439" t="s">
        <v>2627</v>
      </c>
      <c r="C2522" s="438" t="s">
        <v>71</v>
      </c>
      <c r="D2522" s="438" t="s">
        <v>2628</v>
      </c>
      <c r="E2522" s="438" t="s">
        <v>1631</v>
      </c>
      <c r="F2522" s="438"/>
      <c r="G2522" s="440" t="s">
        <v>78</v>
      </c>
      <c r="H2522" s="441">
        <v>1.2434</v>
      </c>
      <c r="I2522" s="441">
        <v>0</v>
      </c>
      <c r="J2522" s="449">
        <v>3.95</v>
      </c>
      <c r="K2522" s="449">
        <v>4.91</v>
      </c>
    </row>
    <row r="2523" customHeight="1" spans="1:11">
      <c r="A2523" s="438" t="s">
        <v>1750</v>
      </c>
      <c r="B2523" s="439" t="s">
        <v>2624</v>
      </c>
      <c r="C2523" s="438" t="s">
        <v>71</v>
      </c>
      <c r="D2523" s="438" t="s">
        <v>2625</v>
      </c>
      <c r="E2523" s="438" t="s">
        <v>1631</v>
      </c>
      <c r="F2523" s="438"/>
      <c r="G2523" s="440" t="s">
        <v>105</v>
      </c>
      <c r="H2523" s="441">
        <v>0.0094</v>
      </c>
      <c r="I2523" s="441">
        <v>0</v>
      </c>
      <c r="J2523" s="449">
        <v>10.55</v>
      </c>
      <c r="K2523" s="449">
        <v>0.09</v>
      </c>
    </row>
    <row r="2524" customHeight="1" spans="1:11">
      <c r="A2524" s="434"/>
      <c r="B2524" s="434"/>
      <c r="C2524" s="434"/>
      <c r="D2524" s="434"/>
      <c r="E2524" s="434"/>
      <c r="F2524" s="434" t="s">
        <v>1735</v>
      </c>
      <c r="G2524" s="435">
        <v>0.96</v>
      </c>
      <c r="H2524" s="434" t="s">
        <v>1736</v>
      </c>
      <c r="I2524" s="435">
        <v>0.88</v>
      </c>
      <c r="J2524" s="434" t="s">
        <v>1737</v>
      </c>
      <c r="K2524" s="435">
        <v>1.84</v>
      </c>
    </row>
    <row r="2525" customHeight="1" spans="1:11">
      <c r="A2525" s="434"/>
      <c r="B2525" s="434"/>
      <c r="C2525" s="434"/>
      <c r="D2525" s="434"/>
      <c r="E2525" s="434"/>
      <c r="F2525" s="434" t="s">
        <v>1738</v>
      </c>
      <c r="G2525" s="435">
        <v>1.87</v>
      </c>
      <c r="H2525" s="434"/>
      <c r="I2525" s="434" t="s">
        <v>1739</v>
      </c>
      <c r="J2525" s="434"/>
      <c r="K2525" s="435">
        <v>9.49</v>
      </c>
    </row>
    <row r="2526" customHeight="1" spans="1:11">
      <c r="A2526" s="436"/>
      <c r="B2526" s="436"/>
      <c r="C2526" s="436"/>
      <c r="D2526" s="436"/>
      <c r="E2526" s="436"/>
      <c r="F2526" s="436"/>
      <c r="G2526" s="436"/>
      <c r="H2526" s="436" t="s">
        <v>1740</v>
      </c>
      <c r="I2526" s="447" t="s">
        <v>2629</v>
      </c>
      <c r="J2526" s="436" t="s">
        <v>1742</v>
      </c>
      <c r="K2526" s="448">
        <v>52195</v>
      </c>
    </row>
    <row r="2527" customHeight="1" spans="1:11">
      <c r="A2527" s="437"/>
      <c r="B2527" s="437"/>
      <c r="C2527" s="437"/>
      <c r="D2527" s="437"/>
      <c r="E2527" s="437"/>
      <c r="F2527" s="437"/>
      <c r="G2527" s="437"/>
      <c r="H2527" s="437"/>
      <c r="I2527" s="437"/>
      <c r="J2527" s="437"/>
      <c r="K2527" s="437"/>
    </row>
    <row r="2528" customHeight="1" spans="1:11">
      <c r="A2528" s="423" t="s">
        <v>765</v>
      </c>
      <c r="B2528" s="424" t="s">
        <v>1714</v>
      </c>
      <c r="C2528" s="423" t="s">
        <v>1715</v>
      </c>
      <c r="D2528" s="423" t="s">
        <v>1716</v>
      </c>
      <c r="E2528" s="423" t="s">
        <v>1717</v>
      </c>
      <c r="F2528" s="423"/>
      <c r="G2528" s="425" t="s">
        <v>1718</v>
      </c>
      <c r="H2528" s="424" t="s">
        <v>1719</v>
      </c>
      <c r="I2528" s="424" t="s">
        <v>1720</v>
      </c>
      <c r="J2528" s="424" t="s">
        <v>1721</v>
      </c>
      <c r="K2528" s="424" t="s">
        <v>1722</v>
      </c>
    </row>
    <row r="2529" customHeight="1" spans="1:11">
      <c r="A2529" s="426" t="s">
        <v>1723</v>
      </c>
      <c r="B2529" s="427" t="s">
        <v>766</v>
      </c>
      <c r="C2529" s="426" t="s">
        <v>71</v>
      </c>
      <c r="D2529" s="426" t="s">
        <v>767</v>
      </c>
      <c r="E2529" s="426" t="s">
        <v>1636</v>
      </c>
      <c r="F2529" s="426"/>
      <c r="G2529" s="428" t="s">
        <v>78</v>
      </c>
      <c r="H2529" s="429">
        <v>1</v>
      </c>
      <c r="I2529" s="445"/>
      <c r="J2529" s="445">
        <v>5.54</v>
      </c>
      <c r="K2529" s="445">
        <v>5.54</v>
      </c>
    </row>
    <row r="2530" customHeight="1" spans="1:11">
      <c r="A2530" s="430" t="s">
        <v>1724</v>
      </c>
      <c r="B2530" s="431" t="s">
        <v>2385</v>
      </c>
      <c r="C2530" s="430" t="s">
        <v>71</v>
      </c>
      <c r="D2530" s="430" t="s">
        <v>2386</v>
      </c>
      <c r="E2530" s="430" t="s">
        <v>1708</v>
      </c>
      <c r="F2530" s="430"/>
      <c r="G2530" s="432" t="s">
        <v>82</v>
      </c>
      <c r="H2530" s="433">
        <v>0.029</v>
      </c>
      <c r="I2530" s="433">
        <v>0</v>
      </c>
      <c r="J2530" s="446">
        <v>30.6</v>
      </c>
      <c r="K2530" s="446">
        <v>0.88</v>
      </c>
    </row>
    <row r="2531" customHeight="1" spans="1:11">
      <c r="A2531" s="430" t="s">
        <v>1724</v>
      </c>
      <c r="B2531" s="431" t="s">
        <v>2387</v>
      </c>
      <c r="C2531" s="430" t="s">
        <v>71</v>
      </c>
      <c r="D2531" s="430" t="s">
        <v>2388</v>
      </c>
      <c r="E2531" s="430" t="s">
        <v>1708</v>
      </c>
      <c r="F2531" s="430"/>
      <c r="G2531" s="432" t="s">
        <v>82</v>
      </c>
      <c r="H2531" s="433">
        <v>0.029</v>
      </c>
      <c r="I2531" s="433">
        <v>0</v>
      </c>
      <c r="J2531" s="446">
        <v>36.82</v>
      </c>
      <c r="K2531" s="446">
        <v>1.06</v>
      </c>
    </row>
    <row r="2532" customHeight="1" spans="1:11">
      <c r="A2532" s="438" t="s">
        <v>1750</v>
      </c>
      <c r="B2532" s="439" t="s">
        <v>2630</v>
      </c>
      <c r="C2532" s="438" t="s">
        <v>71</v>
      </c>
      <c r="D2532" s="438" t="s">
        <v>2631</v>
      </c>
      <c r="E2532" s="438" t="s">
        <v>1631</v>
      </c>
      <c r="F2532" s="438"/>
      <c r="G2532" s="440" t="s">
        <v>78</v>
      </c>
      <c r="H2532" s="441">
        <v>1.2434</v>
      </c>
      <c r="I2532" s="441">
        <v>0</v>
      </c>
      <c r="J2532" s="449">
        <v>2.83</v>
      </c>
      <c r="K2532" s="449">
        <v>3.51</v>
      </c>
    </row>
    <row r="2533" customHeight="1" spans="1:11">
      <c r="A2533" s="438" t="s">
        <v>1750</v>
      </c>
      <c r="B2533" s="439" t="s">
        <v>2624</v>
      </c>
      <c r="C2533" s="438" t="s">
        <v>71</v>
      </c>
      <c r="D2533" s="438" t="s">
        <v>2625</v>
      </c>
      <c r="E2533" s="438" t="s">
        <v>1631</v>
      </c>
      <c r="F2533" s="438"/>
      <c r="G2533" s="440" t="s">
        <v>105</v>
      </c>
      <c r="H2533" s="441">
        <v>0.0094</v>
      </c>
      <c r="I2533" s="441">
        <v>0</v>
      </c>
      <c r="J2533" s="449">
        <v>10.55</v>
      </c>
      <c r="K2533" s="449">
        <v>0.09</v>
      </c>
    </row>
    <row r="2534" customHeight="1" spans="1:11">
      <c r="A2534" s="434"/>
      <c r="B2534" s="434"/>
      <c r="C2534" s="434"/>
      <c r="D2534" s="434"/>
      <c r="E2534" s="434"/>
      <c r="F2534" s="434" t="s">
        <v>1735</v>
      </c>
      <c r="G2534" s="435">
        <v>0.71</v>
      </c>
      <c r="H2534" s="434" t="s">
        <v>1736</v>
      </c>
      <c r="I2534" s="435">
        <v>0.65</v>
      </c>
      <c r="J2534" s="434" t="s">
        <v>1737</v>
      </c>
      <c r="K2534" s="435">
        <v>1.36</v>
      </c>
    </row>
    <row r="2535" customHeight="1" spans="1:11">
      <c r="A2535" s="434"/>
      <c r="B2535" s="434"/>
      <c r="C2535" s="434"/>
      <c r="D2535" s="434"/>
      <c r="E2535" s="434"/>
      <c r="F2535" s="434" t="s">
        <v>1738</v>
      </c>
      <c r="G2535" s="435">
        <v>1.36</v>
      </c>
      <c r="H2535" s="434"/>
      <c r="I2535" s="434" t="s">
        <v>1739</v>
      </c>
      <c r="J2535" s="434"/>
      <c r="K2535" s="435">
        <v>6.9</v>
      </c>
    </row>
    <row r="2536" customHeight="1" spans="1:11">
      <c r="A2536" s="436"/>
      <c r="B2536" s="436"/>
      <c r="C2536" s="436"/>
      <c r="D2536" s="436"/>
      <c r="E2536" s="436"/>
      <c r="F2536" s="436"/>
      <c r="G2536" s="436"/>
      <c r="H2536" s="436" t="s">
        <v>1740</v>
      </c>
      <c r="I2536" s="447" t="s">
        <v>2632</v>
      </c>
      <c r="J2536" s="436" t="s">
        <v>1742</v>
      </c>
      <c r="K2536" s="448">
        <v>1380</v>
      </c>
    </row>
    <row r="2537" customHeight="1" spans="1:11">
      <c r="A2537" s="437"/>
      <c r="B2537" s="437"/>
      <c r="C2537" s="437"/>
      <c r="D2537" s="437"/>
      <c r="E2537" s="437"/>
      <c r="F2537" s="437"/>
      <c r="G2537" s="437"/>
      <c r="H2537" s="437"/>
      <c r="I2537" s="437"/>
      <c r="J2537" s="437"/>
      <c r="K2537" s="437"/>
    </row>
    <row r="2538" customHeight="1" spans="1:11">
      <c r="A2538" s="423" t="s">
        <v>768</v>
      </c>
      <c r="B2538" s="424" t="s">
        <v>1714</v>
      </c>
      <c r="C2538" s="423" t="s">
        <v>1715</v>
      </c>
      <c r="D2538" s="423" t="s">
        <v>1716</v>
      </c>
      <c r="E2538" s="423" t="s">
        <v>1717</v>
      </c>
      <c r="F2538" s="423"/>
      <c r="G2538" s="425" t="s">
        <v>1718</v>
      </c>
      <c r="H2538" s="424" t="s">
        <v>1719</v>
      </c>
      <c r="I2538" s="424" t="s">
        <v>1720</v>
      </c>
      <c r="J2538" s="424" t="s">
        <v>1721</v>
      </c>
      <c r="K2538" s="424" t="s">
        <v>1722</v>
      </c>
    </row>
    <row r="2539" customHeight="1" spans="1:11">
      <c r="A2539" s="426" t="s">
        <v>1723</v>
      </c>
      <c r="B2539" s="427" t="s">
        <v>769</v>
      </c>
      <c r="C2539" s="426" t="s">
        <v>71</v>
      </c>
      <c r="D2539" s="426" t="s">
        <v>770</v>
      </c>
      <c r="E2539" s="426" t="s">
        <v>1636</v>
      </c>
      <c r="F2539" s="426"/>
      <c r="G2539" s="428" t="s">
        <v>78</v>
      </c>
      <c r="H2539" s="429">
        <v>1</v>
      </c>
      <c r="I2539" s="445"/>
      <c r="J2539" s="445">
        <v>8.1</v>
      </c>
      <c r="K2539" s="445">
        <v>8.1</v>
      </c>
    </row>
    <row r="2540" customHeight="1" spans="1:11">
      <c r="A2540" s="430" t="s">
        <v>1724</v>
      </c>
      <c r="B2540" s="431" t="s">
        <v>2387</v>
      </c>
      <c r="C2540" s="430" t="s">
        <v>71</v>
      </c>
      <c r="D2540" s="430" t="s">
        <v>2388</v>
      </c>
      <c r="E2540" s="430" t="s">
        <v>1708</v>
      </c>
      <c r="F2540" s="430"/>
      <c r="G2540" s="432" t="s">
        <v>82</v>
      </c>
      <c r="H2540" s="433">
        <v>0.039</v>
      </c>
      <c r="I2540" s="433">
        <v>0</v>
      </c>
      <c r="J2540" s="446">
        <v>36.82</v>
      </c>
      <c r="K2540" s="446">
        <v>1.43</v>
      </c>
    </row>
    <row r="2541" customHeight="1" spans="1:11">
      <c r="A2541" s="430" t="s">
        <v>1724</v>
      </c>
      <c r="B2541" s="431" t="s">
        <v>2385</v>
      </c>
      <c r="C2541" s="430" t="s">
        <v>71</v>
      </c>
      <c r="D2541" s="430" t="s">
        <v>2386</v>
      </c>
      <c r="E2541" s="430" t="s">
        <v>1708</v>
      </c>
      <c r="F2541" s="430"/>
      <c r="G2541" s="432" t="s">
        <v>82</v>
      </c>
      <c r="H2541" s="433">
        <v>0.039</v>
      </c>
      <c r="I2541" s="433">
        <v>0</v>
      </c>
      <c r="J2541" s="446">
        <v>30.6</v>
      </c>
      <c r="K2541" s="446">
        <v>1.19</v>
      </c>
    </row>
    <row r="2542" customHeight="1" spans="1:11">
      <c r="A2542" s="438" t="s">
        <v>1750</v>
      </c>
      <c r="B2542" s="439" t="s">
        <v>2624</v>
      </c>
      <c r="C2542" s="438" t="s">
        <v>71</v>
      </c>
      <c r="D2542" s="438" t="s">
        <v>2625</v>
      </c>
      <c r="E2542" s="438" t="s">
        <v>1631</v>
      </c>
      <c r="F2542" s="438"/>
      <c r="G2542" s="440" t="s">
        <v>105</v>
      </c>
      <c r="H2542" s="441">
        <v>0.0094</v>
      </c>
      <c r="I2542" s="441">
        <v>0</v>
      </c>
      <c r="J2542" s="449">
        <v>10.55</v>
      </c>
      <c r="K2542" s="449">
        <v>0.09</v>
      </c>
    </row>
    <row r="2543" customHeight="1" spans="1:11">
      <c r="A2543" s="438" t="s">
        <v>1750</v>
      </c>
      <c r="B2543" s="439" t="s">
        <v>2633</v>
      </c>
      <c r="C2543" s="438" t="s">
        <v>71</v>
      </c>
      <c r="D2543" s="438" t="s">
        <v>2634</v>
      </c>
      <c r="E2543" s="438" t="s">
        <v>1631</v>
      </c>
      <c r="F2543" s="438"/>
      <c r="G2543" s="440" t="s">
        <v>78</v>
      </c>
      <c r="H2543" s="441">
        <v>1.2434</v>
      </c>
      <c r="I2543" s="441">
        <v>0</v>
      </c>
      <c r="J2543" s="449">
        <v>4.34</v>
      </c>
      <c r="K2543" s="449">
        <v>5.39</v>
      </c>
    </row>
    <row r="2544" customHeight="1" spans="1:11">
      <c r="A2544" s="434"/>
      <c r="B2544" s="434"/>
      <c r="C2544" s="434"/>
      <c r="D2544" s="434"/>
      <c r="E2544" s="434"/>
      <c r="F2544" s="434" t="s">
        <v>1735</v>
      </c>
      <c r="G2544" s="435">
        <v>0.96</v>
      </c>
      <c r="H2544" s="434" t="s">
        <v>1736</v>
      </c>
      <c r="I2544" s="435">
        <v>0.88</v>
      </c>
      <c r="J2544" s="434" t="s">
        <v>1737</v>
      </c>
      <c r="K2544" s="435">
        <v>1.84</v>
      </c>
    </row>
    <row r="2545" customHeight="1" spans="1:11">
      <c r="A2545" s="434"/>
      <c r="B2545" s="434"/>
      <c r="C2545" s="434"/>
      <c r="D2545" s="434"/>
      <c r="E2545" s="434"/>
      <c r="F2545" s="434" t="s">
        <v>1738</v>
      </c>
      <c r="G2545" s="435">
        <v>1.99</v>
      </c>
      <c r="H2545" s="434"/>
      <c r="I2545" s="434" t="s">
        <v>1739</v>
      </c>
      <c r="J2545" s="434"/>
      <c r="K2545" s="435">
        <v>10.09</v>
      </c>
    </row>
    <row r="2546" customHeight="1" spans="1:11">
      <c r="A2546" s="436"/>
      <c r="B2546" s="436"/>
      <c r="C2546" s="436"/>
      <c r="D2546" s="436"/>
      <c r="E2546" s="436"/>
      <c r="F2546" s="436"/>
      <c r="G2546" s="436"/>
      <c r="H2546" s="436" t="s">
        <v>1740</v>
      </c>
      <c r="I2546" s="447" t="s">
        <v>2635</v>
      </c>
      <c r="J2546" s="436" t="s">
        <v>1742</v>
      </c>
      <c r="K2546" s="448">
        <v>11099</v>
      </c>
    </row>
    <row r="2547" customHeight="1" spans="1:11">
      <c r="A2547" s="437"/>
      <c r="B2547" s="437"/>
      <c r="C2547" s="437"/>
      <c r="D2547" s="437"/>
      <c r="E2547" s="437"/>
      <c r="F2547" s="437"/>
      <c r="G2547" s="437"/>
      <c r="H2547" s="437"/>
      <c r="I2547" s="437"/>
      <c r="J2547" s="437"/>
      <c r="K2547" s="437"/>
    </row>
    <row r="2548" customHeight="1" spans="1:11">
      <c r="A2548" s="423" t="s">
        <v>771</v>
      </c>
      <c r="B2548" s="424" t="s">
        <v>1714</v>
      </c>
      <c r="C2548" s="423" t="s">
        <v>1715</v>
      </c>
      <c r="D2548" s="423" t="s">
        <v>1716</v>
      </c>
      <c r="E2548" s="423" t="s">
        <v>1717</v>
      </c>
      <c r="F2548" s="423"/>
      <c r="G2548" s="425" t="s">
        <v>1718</v>
      </c>
      <c r="H2548" s="424" t="s">
        <v>1719</v>
      </c>
      <c r="I2548" s="424" t="s">
        <v>1720</v>
      </c>
      <c r="J2548" s="424" t="s">
        <v>1721</v>
      </c>
      <c r="K2548" s="424" t="s">
        <v>1722</v>
      </c>
    </row>
    <row r="2549" customHeight="1" spans="1:11">
      <c r="A2549" s="426" t="s">
        <v>1723</v>
      </c>
      <c r="B2549" s="427" t="s">
        <v>772</v>
      </c>
      <c r="C2549" s="426" t="s">
        <v>71</v>
      </c>
      <c r="D2549" s="426" t="s">
        <v>773</v>
      </c>
      <c r="E2549" s="426" t="s">
        <v>1636</v>
      </c>
      <c r="F2549" s="426"/>
      <c r="G2549" s="428" t="s">
        <v>78</v>
      </c>
      <c r="H2549" s="429">
        <v>1</v>
      </c>
      <c r="I2549" s="445"/>
      <c r="J2549" s="445">
        <v>11.36</v>
      </c>
      <c r="K2549" s="445">
        <v>11.36</v>
      </c>
    </row>
    <row r="2550" customHeight="1" spans="1:11">
      <c r="A2550" s="430" t="s">
        <v>1724</v>
      </c>
      <c r="B2550" s="431" t="s">
        <v>2385</v>
      </c>
      <c r="C2550" s="430" t="s">
        <v>71</v>
      </c>
      <c r="D2550" s="430" t="s">
        <v>2386</v>
      </c>
      <c r="E2550" s="430" t="s">
        <v>1708</v>
      </c>
      <c r="F2550" s="430"/>
      <c r="G2550" s="432" t="s">
        <v>82</v>
      </c>
      <c r="H2550" s="433">
        <v>0.051</v>
      </c>
      <c r="I2550" s="433">
        <v>0</v>
      </c>
      <c r="J2550" s="446">
        <v>30.6</v>
      </c>
      <c r="K2550" s="446">
        <v>1.56</v>
      </c>
    </row>
    <row r="2551" customHeight="1" spans="1:11">
      <c r="A2551" s="430" t="s">
        <v>1724</v>
      </c>
      <c r="B2551" s="431" t="s">
        <v>2387</v>
      </c>
      <c r="C2551" s="430" t="s">
        <v>71</v>
      </c>
      <c r="D2551" s="430" t="s">
        <v>2388</v>
      </c>
      <c r="E2551" s="430" t="s">
        <v>1708</v>
      </c>
      <c r="F2551" s="430"/>
      <c r="G2551" s="432" t="s">
        <v>82</v>
      </c>
      <c r="H2551" s="433">
        <v>0.051</v>
      </c>
      <c r="I2551" s="433">
        <v>0</v>
      </c>
      <c r="J2551" s="446">
        <v>36.82</v>
      </c>
      <c r="K2551" s="446">
        <v>1.87</v>
      </c>
    </row>
    <row r="2552" customHeight="1" spans="1:11">
      <c r="A2552" s="438" t="s">
        <v>1750</v>
      </c>
      <c r="B2552" s="439" t="s">
        <v>2636</v>
      </c>
      <c r="C2552" s="438" t="s">
        <v>71</v>
      </c>
      <c r="D2552" s="438" t="s">
        <v>2637</v>
      </c>
      <c r="E2552" s="438" t="s">
        <v>1631</v>
      </c>
      <c r="F2552" s="438"/>
      <c r="G2552" s="440" t="s">
        <v>78</v>
      </c>
      <c r="H2552" s="441">
        <v>1.2434</v>
      </c>
      <c r="I2552" s="441">
        <v>0</v>
      </c>
      <c r="J2552" s="449">
        <v>6.31</v>
      </c>
      <c r="K2552" s="449">
        <v>7.84</v>
      </c>
    </row>
    <row r="2553" customHeight="1" spans="1:11">
      <c r="A2553" s="438" t="s">
        <v>1750</v>
      </c>
      <c r="B2553" s="439" t="s">
        <v>2624</v>
      </c>
      <c r="C2553" s="438" t="s">
        <v>71</v>
      </c>
      <c r="D2553" s="438" t="s">
        <v>2625</v>
      </c>
      <c r="E2553" s="438" t="s">
        <v>1631</v>
      </c>
      <c r="F2553" s="438"/>
      <c r="G2553" s="440" t="s">
        <v>105</v>
      </c>
      <c r="H2553" s="441">
        <v>0.0094</v>
      </c>
      <c r="I2553" s="441">
        <v>0</v>
      </c>
      <c r="J2553" s="449">
        <v>10.55</v>
      </c>
      <c r="K2553" s="449">
        <v>0.09</v>
      </c>
    </row>
    <row r="2554" customHeight="1" spans="1:11">
      <c r="A2554" s="434"/>
      <c r="B2554" s="434"/>
      <c r="C2554" s="434"/>
      <c r="D2554" s="434"/>
      <c r="E2554" s="434"/>
      <c r="F2554" s="434" t="s">
        <v>1735</v>
      </c>
      <c r="G2554" s="435">
        <v>1.25</v>
      </c>
      <c r="H2554" s="434" t="s">
        <v>1736</v>
      </c>
      <c r="I2554" s="435">
        <v>1.15</v>
      </c>
      <c r="J2554" s="434" t="s">
        <v>1737</v>
      </c>
      <c r="K2554" s="435">
        <v>2.4</v>
      </c>
    </row>
    <row r="2555" customHeight="1" spans="1:11">
      <c r="A2555" s="434"/>
      <c r="B2555" s="434"/>
      <c r="C2555" s="434"/>
      <c r="D2555" s="434"/>
      <c r="E2555" s="434"/>
      <c r="F2555" s="434" t="s">
        <v>1738</v>
      </c>
      <c r="G2555" s="435">
        <v>2.8</v>
      </c>
      <c r="H2555" s="434"/>
      <c r="I2555" s="434" t="s">
        <v>1739</v>
      </c>
      <c r="J2555" s="434"/>
      <c r="K2555" s="435">
        <v>14.16</v>
      </c>
    </row>
    <row r="2556" customHeight="1" spans="1:11">
      <c r="A2556" s="436"/>
      <c r="B2556" s="436"/>
      <c r="C2556" s="436"/>
      <c r="D2556" s="436"/>
      <c r="E2556" s="436"/>
      <c r="F2556" s="436"/>
      <c r="G2556" s="436"/>
      <c r="H2556" s="436" t="s">
        <v>1740</v>
      </c>
      <c r="I2556" s="447" t="s">
        <v>2638</v>
      </c>
      <c r="J2556" s="436" t="s">
        <v>1742</v>
      </c>
      <c r="K2556" s="448">
        <v>2124</v>
      </c>
    </row>
    <row r="2557" customHeight="1" spans="1:11">
      <c r="A2557" s="437"/>
      <c r="B2557" s="437"/>
      <c r="C2557" s="437"/>
      <c r="D2557" s="437"/>
      <c r="E2557" s="437"/>
      <c r="F2557" s="437"/>
      <c r="G2557" s="437"/>
      <c r="H2557" s="437"/>
      <c r="I2557" s="437"/>
      <c r="J2557" s="437"/>
      <c r="K2557" s="437"/>
    </row>
    <row r="2558" customHeight="1" spans="1:11">
      <c r="A2558" s="423" t="s">
        <v>774</v>
      </c>
      <c r="B2558" s="424" t="s">
        <v>1714</v>
      </c>
      <c r="C2558" s="423" t="s">
        <v>1715</v>
      </c>
      <c r="D2558" s="423" t="s">
        <v>1716</v>
      </c>
      <c r="E2558" s="423" t="s">
        <v>1717</v>
      </c>
      <c r="F2558" s="423"/>
      <c r="G2558" s="425" t="s">
        <v>1718</v>
      </c>
      <c r="H2558" s="424" t="s">
        <v>1719</v>
      </c>
      <c r="I2558" s="424" t="s">
        <v>1720</v>
      </c>
      <c r="J2558" s="424" t="s">
        <v>1721</v>
      </c>
      <c r="K2558" s="424" t="s">
        <v>1722</v>
      </c>
    </row>
    <row r="2559" customHeight="1" spans="1:11">
      <c r="A2559" s="426" t="s">
        <v>1723</v>
      </c>
      <c r="B2559" s="427" t="s">
        <v>775</v>
      </c>
      <c r="C2559" s="426" t="s">
        <v>71</v>
      </c>
      <c r="D2559" s="426" t="s">
        <v>776</v>
      </c>
      <c r="E2559" s="426" t="s">
        <v>1636</v>
      </c>
      <c r="F2559" s="426"/>
      <c r="G2559" s="428" t="s">
        <v>78</v>
      </c>
      <c r="H2559" s="429">
        <v>1</v>
      </c>
      <c r="I2559" s="445"/>
      <c r="J2559" s="445">
        <v>28.25</v>
      </c>
      <c r="K2559" s="445">
        <v>28.25</v>
      </c>
    </row>
    <row r="2560" customHeight="1" spans="1:11">
      <c r="A2560" s="430" t="s">
        <v>1724</v>
      </c>
      <c r="B2560" s="431" t="s">
        <v>2387</v>
      </c>
      <c r="C2560" s="430" t="s">
        <v>71</v>
      </c>
      <c r="D2560" s="430" t="s">
        <v>2388</v>
      </c>
      <c r="E2560" s="430" t="s">
        <v>1708</v>
      </c>
      <c r="F2560" s="430"/>
      <c r="G2560" s="432" t="s">
        <v>82</v>
      </c>
      <c r="H2560" s="433">
        <v>0.114</v>
      </c>
      <c r="I2560" s="433">
        <v>0</v>
      </c>
      <c r="J2560" s="446">
        <v>36.82</v>
      </c>
      <c r="K2560" s="446">
        <v>4.19</v>
      </c>
    </row>
    <row r="2561" customHeight="1" spans="1:11">
      <c r="A2561" s="430" t="s">
        <v>1724</v>
      </c>
      <c r="B2561" s="431" t="s">
        <v>2385</v>
      </c>
      <c r="C2561" s="430" t="s">
        <v>71</v>
      </c>
      <c r="D2561" s="430" t="s">
        <v>2386</v>
      </c>
      <c r="E2561" s="430" t="s">
        <v>1708</v>
      </c>
      <c r="F2561" s="430"/>
      <c r="G2561" s="432" t="s">
        <v>82</v>
      </c>
      <c r="H2561" s="433">
        <v>0.114</v>
      </c>
      <c r="I2561" s="433">
        <v>0</v>
      </c>
      <c r="J2561" s="446">
        <v>30.6</v>
      </c>
      <c r="K2561" s="446">
        <v>3.48</v>
      </c>
    </row>
    <row r="2562" customHeight="1" spans="1:11">
      <c r="A2562" s="438" t="s">
        <v>1750</v>
      </c>
      <c r="B2562" s="439" t="s">
        <v>2624</v>
      </c>
      <c r="C2562" s="438" t="s">
        <v>71</v>
      </c>
      <c r="D2562" s="438" t="s">
        <v>2625</v>
      </c>
      <c r="E2562" s="438" t="s">
        <v>1631</v>
      </c>
      <c r="F2562" s="438"/>
      <c r="G2562" s="440" t="s">
        <v>105</v>
      </c>
      <c r="H2562" s="441">
        <v>0.0094</v>
      </c>
      <c r="I2562" s="441">
        <v>0</v>
      </c>
      <c r="J2562" s="449">
        <v>10.55</v>
      </c>
      <c r="K2562" s="449">
        <v>0.09</v>
      </c>
    </row>
    <row r="2563" customHeight="1" spans="1:11">
      <c r="A2563" s="438" t="s">
        <v>1750</v>
      </c>
      <c r="B2563" s="439" t="s">
        <v>2639</v>
      </c>
      <c r="C2563" s="438" t="s">
        <v>71</v>
      </c>
      <c r="D2563" s="438" t="s">
        <v>2640</v>
      </c>
      <c r="E2563" s="438" t="s">
        <v>1631</v>
      </c>
      <c r="F2563" s="438"/>
      <c r="G2563" s="440" t="s">
        <v>78</v>
      </c>
      <c r="H2563" s="441">
        <v>1.2434</v>
      </c>
      <c r="I2563" s="441">
        <v>0</v>
      </c>
      <c r="J2563" s="449">
        <v>16.48</v>
      </c>
      <c r="K2563" s="449">
        <v>20.49</v>
      </c>
    </row>
    <row r="2564" customHeight="1" spans="1:11">
      <c r="A2564" s="434"/>
      <c r="B2564" s="434"/>
      <c r="C2564" s="434"/>
      <c r="D2564" s="434"/>
      <c r="E2564" s="434"/>
      <c r="F2564" s="434" t="s">
        <v>1735</v>
      </c>
      <c r="G2564" s="435">
        <v>2.82</v>
      </c>
      <c r="H2564" s="434" t="s">
        <v>1736</v>
      </c>
      <c r="I2564" s="435">
        <v>2.57</v>
      </c>
      <c r="J2564" s="434" t="s">
        <v>1737</v>
      </c>
      <c r="K2564" s="435">
        <v>5.39</v>
      </c>
    </row>
    <row r="2565" customHeight="1" spans="1:11">
      <c r="A2565" s="434"/>
      <c r="B2565" s="434"/>
      <c r="C2565" s="434"/>
      <c r="D2565" s="434"/>
      <c r="E2565" s="434"/>
      <c r="F2565" s="434" t="s">
        <v>1738</v>
      </c>
      <c r="G2565" s="435">
        <v>6.96</v>
      </c>
      <c r="H2565" s="434"/>
      <c r="I2565" s="434" t="s">
        <v>1739</v>
      </c>
      <c r="J2565" s="434"/>
      <c r="K2565" s="435">
        <v>35.21</v>
      </c>
    </row>
    <row r="2566" customHeight="1" spans="1:11">
      <c r="A2566" s="436"/>
      <c r="B2566" s="436"/>
      <c r="C2566" s="436"/>
      <c r="D2566" s="436"/>
      <c r="E2566" s="436"/>
      <c r="F2566" s="436"/>
      <c r="G2566" s="436"/>
      <c r="H2566" s="436" t="s">
        <v>1740</v>
      </c>
      <c r="I2566" s="447" t="s">
        <v>2254</v>
      </c>
      <c r="J2566" s="436" t="s">
        <v>1742</v>
      </c>
      <c r="K2566" s="448">
        <v>1056.3</v>
      </c>
    </row>
    <row r="2567" customHeight="1" spans="1:11">
      <c r="A2567" s="437"/>
      <c r="B2567" s="437"/>
      <c r="C2567" s="437"/>
      <c r="D2567" s="437"/>
      <c r="E2567" s="437"/>
      <c r="F2567" s="437"/>
      <c r="G2567" s="437"/>
      <c r="H2567" s="437"/>
      <c r="I2567" s="437"/>
      <c r="J2567" s="437"/>
      <c r="K2567" s="437"/>
    </row>
    <row r="2568" customHeight="1" spans="1:11">
      <c r="A2568" s="423" t="s">
        <v>777</v>
      </c>
      <c r="B2568" s="424" t="s">
        <v>1714</v>
      </c>
      <c r="C2568" s="423" t="s">
        <v>1715</v>
      </c>
      <c r="D2568" s="423" t="s">
        <v>1716</v>
      </c>
      <c r="E2568" s="423" t="s">
        <v>1717</v>
      </c>
      <c r="F2568" s="423"/>
      <c r="G2568" s="425" t="s">
        <v>1718</v>
      </c>
      <c r="H2568" s="424" t="s">
        <v>1719</v>
      </c>
      <c r="I2568" s="424" t="s">
        <v>1720</v>
      </c>
      <c r="J2568" s="424" t="s">
        <v>1721</v>
      </c>
      <c r="K2568" s="424" t="s">
        <v>1722</v>
      </c>
    </row>
    <row r="2569" customHeight="1" spans="1:11">
      <c r="A2569" s="426" t="s">
        <v>1723</v>
      </c>
      <c r="B2569" s="427" t="s">
        <v>778</v>
      </c>
      <c r="C2569" s="426" t="s">
        <v>71</v>
      </c>
      <c r="D2569" s="426" t="s">
        <v>779</v>
      </c>
      <c r="E2569" s="426" t="s">
        <v>1638</v>
      </c>
      <c r="F2569" s="426"/>
      <c r="G2569" s="428" t="s">
        <v>78</v>
      </c>
      <c r="H2569" s="429">
        <v>1</v>
      </c>
      <c r="I2569" s="445"/>
      <c r="J2569" s="445">
        <v>30.11</v>
      </c>
      <c r="K2569" s="445">
        <v>30.11</v>
      </c>
    </row>
    <row r="2570" customHeight="1" spans="1:11">
      <c r="A2570" s="430" t="s">
        <v>1724</v>
      </c>
      <c r="B2570" s="431" t="s">
        <v>2387</v>
      </c>
      <c r="C2570" s="430" t="s">
        <v>71</v>
      </c>
      <c r="D2570" s="430" t="s">
        <v>2388</v>
      </c>
      <c r="E2570" s="430" t="s">
        <v>1708</v>
      </c>
      <c r="F2570" s="430"/>
      <c r="G2570" s="432" t="s">
        <v>82</v>
      </c>
      <c r="H2570" s="433">
        <v>0.0608</v>
      </c>
      <c r="I2570" s="433">
        <v>0</v>
      </c>
      <c r="J2570" s="446">
        <v>36.82</v>
      </c>
      <c r="K2570" s="446">
        <v>2.23</v>
      </c>
    </row>
    <row r="2571" customHeight="1" spans="1:11">
      <c r="A2571" s="430" t="s">
        <v>1724</v>
      </c>
      <c r="B2571" s="431" t="s">
        <v>2385</v>
      </c>
      <c r="C2571" s="430" t="s">
        <v>71</v>
      </c>
      <c r="D2571" s="430" t="s">
        <v>2386</v>
      </c>
      <c r="E2571" s="430" t="s">
        <v>1708</v>
      </c>
      <c r="F2571" s="430"/>
      <c r="G2571" s="432" t="s">
        <v>82</v>
      </c>
      <c r="H2571" s="433">
        <v>0.0608</v>
      </c>
      <c r="I2571" s="433">
        <v>0</v>
      </c>
      <c r="J2571" s="446">
        <v>30.6</v>
      </c>
      <c r="K2571" s="446">
        <v>1.86</v>
      </c>
    </row>
    <row r="2572" customHeight="1" spans="1:11">
      <c r="A2572" s="438" t="s">
        <v>1750</v>
      </c>
      <c r="B2572" s="439" t="s">
        <v>2641</v>
      </c>
      <c r="C2572" s="438" t="s">
        <v>71</v>
      </c>
      <c r="D2572" s="438" t="s">
        <v>2642</v>
      </c>
      <c r="E2572" s="438" t="s">
        <v>1631</v>
      </c>
      <c r="F2572" s="438"/>
      <c r="G2572" s="440" t="s">
        <v>78</v>
      </c>
      <c r="H2572" s="441">
        <v>1.015</v>
      </c>
      <c r="I2572" s="441">
        <v>0</v>
      </c>
      <c r="J2572" s="449">
        <v>25.55</v>
      </c>
      <c r="K2572" s="449">
        <v>25.93</v>
      </c>
    </row>
    <row r="2573" customHeight="1" spans="1:11">
      <c r="A2573" s="438" t="s">
        <v>1750</v>
      </c>
      <c r="B2573" s="439" t="s">
        <v>2624</v>
      </c>
      <c r="C2573" s="438" t="s">
        <v>71</v>
      </c>
      <c r="D2573" s="438" t="s">
        <v>2625</v>
      </c>
      <c r="E2573" s="438" t="s">
        <v>1631</v>
      </c>
      <c r="F2573" s="438"/>
      <c r="G2573" s="440" t="s">
        <v>105</v>
      </c>
      <c r="H2573" s="441">
        <v>0.009</v>
      </c>
      <c r="I2573" s="441">
        <v>0</v>
      </c>
      <c r="J2573" s="449">
        <v>10.55</v>
      </c>
      <c r="K2573" s="449">
        <v>0.09</v>
      </c>
    </row>
    <row r="2574" customHeight="1" spans="1:11">
      <c r="A2574" s="434"/>
      <c r="B2574" s="434"/>
      <c r="C2574" s="434"/>
      <c r="D2574" s="434"/>
      <c r="E2574" s="434"/>
      <c r="F2574" s="434" t="s">
        <v>1735</v>
      </c>
      <c r="G2574" s="435">
        <v>1.49</v>
      </c>
      <c r="H2574" s="434" t="s">
        <v>1736</v>
      </c>
      <c r="I2574" s="435">
        <v>1.37</v>
      </c>
      <c r="J2574" s="434" t="s">
        <v>1737</v>
      </c>
      <c r="K2574" s="435">
        <v>2.86</v>
      </c>
    </row>
    <row r="2575" customHeight="1" spans="1:11">
      <c r="A2575" s="434"/>
      <c r="B2575" s="434"/>
      <c r="C2575" s="434"/>
      <c r="D2575" s="434"/>
      <c r="E2575" s="434"/>
      <c r="F2575" s="434" t="s">
        <v>1738</v>
      </c>
      <c r="G2575" s="435">
        <v>7.42</v>
      </c>
      <c r="H2575" s="434"/>
      <c r="I2575" s="434" t="s">
        <v>1739</v>
      </c>
      <c r="J2575" s="434"/>
      <c r="K2575" s="435">
        <v>37.53</v>
      </c>
    </row>
    <row r="2576" customHeight="1" spans="1:11">
      <c r="A2576" s="436"/>
      <c r="B2576" s="436"/>
      <c r="C2576" s="436"/>
      <c r="D2576" s="436"/>
      <c r="E2576" s="436"/>
      <c r="F2576" s="436"/>
      <c r="G2576" s="436"/>
      <c r="H2576" s="436" t="s">
        <v>1740</v>
      </c>
      <c r="I2576" s="447" t="s">
        <v>2632</v>
      </c>
      <c r="J2576" s="436" t="s">
        <v>1742</v>
      </c>
      <c r="K2576" s="448">
        <v>7506</v>
      </c>
    </row>
    <row r="2577" customHeight="1" spans="1:11">
      <c r="A2577" s="437"/>
      <c r="B2577" s="437"/>
      <c r="C2577" s="437"/>
      <c r="D2577" s="437"/>
      <c r="E2577" s="437"/>
      <c r="F2577" s="437"/>
      <c r="G2577" s="437"/>
      <c r="H2577" s="437"/>
      <c r="I2577" s="437"/>
      <c r="J2577" s="437"/>
      <c r="K2577" s="437"/>
    </row>
    <row r="2578" customHeight="1" spans="1:11">
      <c r="A2578" s="423" t="s">
        <v>780</v>
      </c>
      <c r="B2578" s="424" t="s">
        <v>1714</v>
      </c>
      <c r="C2578" s="423" t="s">
        <v>1715</v>
      </c>
      <c r="D2578" s="423" t="s">
        <v>1716</v>
      </c>
      <c r="E2578" s="423" t="s">
        <v>1717</v>
      </c>
      <c r="F2578" s="423"/>
      <c r="G2578" s="425" t="s">
        <v>1718</v>
      </c>
      <c r="H2578" s="424" t="s">
        <v>1719</v>
      </c>
      <c r="I2578" s="424" t="s">
        <v>1720</v>
      </c>
      <c r="J2578" s="424" t="s">
        <v>1721</v>
      </c>
      <c r="K2578" s="424" t="s">
        <v>1722</v>
      </c>
    </row>
    <row r="2579" customHeight="1" spans="1:11">
      <c r="A2579" s="426" t="s">
        <v>1723</v>
      </c>
      <c r="B2579" s="427" t="s">
        <v>781</v>
      </c>
      <c r="C2579" s="426" t="s">
        <v>71</v>
      </c>
      <c r="D2579" s="426" t="s">
        <v>782</v>
      </c>
      <c r="E2579" s="426" t="s">
        <v>1638</v>
      </c>
      <c r="F2579" s="426"/>
      <c r="G2579" s="428" t="s">
        <v>78</v>
      </c>
      <c r="H2579" s="429">
        <v>1</v>
      </c>
      <c r="I2579" s="445"/>
      <c r="J2579" s="445">
        <v>59.86</v>
      </c>
      <c r="K2579" s="445">
        <v>59.86</v>
      </c>
    </row>
    <row r="2580" customHeight="1" spans="1:11">
      <c r="A2580" s="430" t="s">
        <v>1724</v>
      </c>
      <c r="B2580" s="431" t="s">
        <v>2387</v>
      </c>
      <c r="C2580" s="430" t="s">
        <v>71</v>
      </c>
      <c r="D2580" s="430" t="s">
        <v>2388</v>
      </c>
      <c r="E2580" s="430" t="s">
        <v>1708</v>
      </c>
      <c r="F2580" s="430"/>
      <c r="G2580" s="432" t="s">
        <v>82</v>
      </c>
      <c r="H2580" s="433">
        <v>0.083</v>
      </c>
      <c r="I2580" s="433">
        <v>0</v>
      </c>
      <c r="J2580" s="446">
        <v>36.82</v>
      </c>
      <c r="K2580" s="446">
        <v>3.05</v>
      </c>
    </row>
    <row r="2581" customHeight="1" spans="1:11">
      <c r="A2581" s="430" t="s">
        <v>1724</v>
      </c>
      <c r="B2581" s="431" t="s">
        <v>2385</v>
      </c>
      <c r="C2581" s="430" t="s">
        <v>71</v>
      </c>
      <c r="D2581" s="430" t="s">
        <v>2386</v>
      </c>
      <c r="E2581" s="430" t="s">
        <v>1708</v>
      </c>
      <c r="F2581" s="430"/>
      <c r="G2581" s="432" t="s">
        <v>82</v>
      </c>
      <c r="H2581" s="433">
        <v>0.083</v>
      </c>
      <c r="I2581" s="433">
        <v>0</v>
      </c>
      <c r="J2581" s="446">
        <v>30.6</v>
      </c>
      <c r="K2581" s="446">
        <v>2.53</v>
      </c>
    </row>
    <row r="2582" customHeight="1" spans="1:11">
      <c r="A2582" s="438" t="s">
        <v>1750</v>
      </c>
      <c r="B2582" s="439" t="s">
        <v>2624</v>
      </c>
      <c r="C2582" s="438" t="s">
        <v>71</v>
      </c>
      <c r="D2582" s="438" t="s">
        <v>2625</v>
      </c>
      <c r="E2582" s="438" t="s">
        <v>1631</v>
      </c>
      <c r="F2582" s="438"/>
      <c r="G2582" s="440" t="s">
        <v>105</v>
      </c>
      <c r="H2582" s="441">
        <v>0.009</v>
      </c>
      <c r="I2582" s="441">
        <v>0</v>
      </c>
      <c r="J2582" s="449">
        <v>10.55</v>
      </c>
      <c r="K2582" s="449">
        <v>0.09</v>
      </c>
    </row>
    <row r="2583" customHeight="1" spans="1:11">
      <c r="A2583" s="438" t="s">
        <v>1750</v>
      </c>
      <c r="B2583" s="439" t="s">
        <v>2643</v>
      </c>
      <c r="C2583" s="438" t="s">
        <v>71</v>
      </c>
      <c r="D2583" s="438" t="s">
        <v>2644</v>
      </c>
      <c r="E2583" s="438" t="s">
        <v>1631</v>
      </c>
      <c r="F2583" s="438"/>
      <c r="G2583" s="440" t="s">
        <v>78</v>
      </c>
      <c r="H2583" s="441">
        <v>1.015</v>
      </c>
      <c r="I2583" s="441">
        <v>0</v>
      </c>
      <c r="J2583" s="449">
        <v>53.39</v>
      </c>
      <c r="K2583" s="449">
        <v>54.19</v>
      </c>
    </row>
    <row r="2584" customHeight="1" spans="1:11">
      <c r="A2584" s="434"/>
      <c r="B2584" s="434"/>
      <c r="C2584" s="434"/>
      <c r="D2584" s="434"/>
      <c r="E2584" s="434"/>
      <c r="F2584" s="434" t="s">
        <v>1735</v>
      </c>
      <c r="G2584" s="435">
        <v>2.05</v>
      </c>
      <c r="H2584" s="434" t="s">
        <v>1736</v>
      </c>
      <c r="I2584" s="435">
        <v>1.87</v>
      </c>
      <c r="J2584" s="434" t="s">
        <v>1737</v>
      </c>
      <c r="K2584" s="435">
        <v>3.92</v>
      </c>
    </row>
    <row r="2585" customHeight="1" spans="1:11">
      <c r="A2585" s="434"/>
      <c r="B2585" s="434"/>
      <c r="C2585" s="434"/>
      <c r="D2585" s="434"/>
      <c r="E2585" s="434"/>
      <c r="F2585" s="434" t="s">
        <v>1738</v>
      </c>
      <c r="G2585" s="435">
        <v>14.76</v>
      </c>
      <c r="H2585" s="434"/>
      <c r="I2585" s="434" t="s">
        <v>1739</v>
      </c>
      <c r="J2585" s="434"/>
      <c r="K2585" s="435">
        <v>74.62</v>
      </c>
    </row>
    <row r="2586" customHeight="1" spans="1:11">
      <c r="A2586" s="436"/>
      <c r="B2586" s="436"/>
      <c r="C2586" s="436"/>
      <c r="D2586" s="436"/>
      <c r="E2586" s="436"/>
      <c r="F2586" s="436"/>
      <c r="G2586" s="436"/>
      <c r="H2586" s="436" t="s">
        <v>1740</v>
      </c>
      <c r="I2586" s="447" t="s">
        <v>2645</v>
      </c>
      <c r="J2586" s="436" t="s">
        <v>1742</v>
      </c>
      <c r="K2586" s="448">
        <v>25743.9</v>
      </c>
    </row>
    <row r="2587" customHeight="1" spans="1:11">
      <c r="A2587" s="437"/>
      <c r="B2587" s="437"/>
      <c r="C2587" s="437"/>
      <c r="D2587" s="437"/>
      <c r="E2587" s="437"/>
      <c r="F2587" s="437"/>
      <c r="G2587" s="437"/>
      <c r="H2587" s="437"/>
      <c r="I2587" s="437"/>
      <c r="J2587" s="437"/>
      <c r="K2587" s="437"/>
    </row>
    <row r="2588" customHeight="1" spans="1:11">
      <c r="A2588" s="423" t="s">
        <v>783</v>
      </c>
      <c r="B2588" s="424" t="s">
        <v>1714</v>
      </c>
      <c r="C2588" s="423" t="s">
        <v>1715</v>
      </c>
      <c r="D2588" s="423" t="s">
        <v>1716</v>
      </c>
      <c r="E2588" s="423" t="s">
        <v>1717</v>
      </c>
      <c r="F2588" s="423"/>
      <c r="G2588" s="425" t="s">
        <v>1718</v>
      </c>
      <c r="H2588" s="424" t="s">
        <v>1719</v>
      </c>
      <c r="I2588" s="424" t="s">
        <v>1720</v>
      </c>
      <c r="J2588" s="424" t="s">
        <v>1721</v>
      </c>
      <c r="K2588" s="424" t="s">
        <v>1722</v>
      </c>
    </row>
    <row r="2589" customHeight="1" spans="1:11">
      <c r="A2589" s="426" t="s">
        <v>1723</v>
      </c>
      <c r="B2589" s="427" t="s">
        <v>784</v>
      </c>
      <c r="C2589" s="426" t="s">
        <v>71</v>
      </c>
      <c r="D2589" s="426" t="s">
        <v>785</v>
      </c>
      <c r="E2589" s="426" t="s">
        <v>1638</v>
      </c>
      <c r="F2589" s="426"/>
      <c r="G2589" s="428" t="s">
        <v>78</v>
      </c>
      <c r="H2589" s="429">
        <v>1</v>
      </c>
      <c r="I2589" s="445"/>
      <c r="J2589" s="445">
        <v>106.78</v>
      </c>
      <c r="K2589" s="445">
        <v>106.78</v>
      </c>
    </row>
    <row r="2590" customHeight="1" spans="1:11">
      <c r="A2590" s="430" t="s">
        <v>1724</v>
      </c>
      <c r="B2590" s="431" t="s">
        <v>2387</v>
      </c>
      <c r="C2590" s="430" t="s">
        <v>71</v>
      </c>
      <c r="D2590" s="430" t="s">
        <v>2388</v>
      </c>
      <c r="E2590" s="430" t="s">
        <v>1708</v>
      </c>
      <c r="F2590" s="430"/>
      <c r="G2590" s="432" t="s">
        <v>82</v>
      </c>
      <c r="H2590" s="433">
        <v>0.1228</v>
      </c>
      <c r="I2590" s="433">
        <v>0</v>
      </c>
      <c r="J2590" s="446">
        <v>36.82</v>
      </c>
      <c r="K2590" s="446">
        <v>4.52</v>
      </c>
    </row>
    <row r="2591" customHeight="1" spans="1:11">
      <c r="A2591" s="430" t="s">
        <v>1724</v>
      </c>
      <c r="B2591" s="431" t="s">
        <v>2385</v>
      </c>
      <c r="C2591" s="430" t="s">
        <v>71</v>
      </c>
      <c r="D2591" s="430" t="s">
        <v>2386</v>
      </c>
      <c r="E2591" s="430" t="s">
        <v>1708</v>
      </c>
      <c r="F2591" s="430"/>
      <c r="G2591" s="432" t="s">
        <v>82</v>
      </c>
      <c r="H2591" s="433">
        <v>0.1228</v>
      </c>
      <c r="I2591" s="433">
        <v>0</v>
      </c>
      <c r="J2591" s="446">
        <v>30.6</v>
      </c>
      <c r="K2591" s="446">
        <v>3.75</v>
      </c>
    </row>
    <row r="2592" customHeight="1" spans="1:11">
      <c r="A2592" s="438" t="s">
        <v>1750</v>
      </c>
      <c r="B2592" s="439" t="s">
        <v>2624</v>
      </c>
      <c r="C2592" s="438" t="s">
        <v>71</v>
      </c>
      <c r="D2592" s="438" t="s">
        <v>2625</v>
      </c>
      <c r="E2592" s="438" t="s">
        <v>1631</v>
      </c>
      <c r="F2592" s="438"/>
      <c r="G2592" s="440" t="s">
        <v>105</v>
      </c>
      <c r="H2592" s="441">
        <v>0.009</v>
      </c>
      <c r="I2592" s="441">
        <v>0</v>
      </c>
      <c r="J2592" s="449">
        <v>10.55</v>
      </c>
      <c r="K2592" s="449">
        <v>0.09</v>
      </c>
    </row>
    <row r="2593" customHeight="1" spans="1:11">
      <c r="A2593" s="438" t="s">
        <v>1750</v>
      </c>
      <c r="B2593" s="439" t="s">
        <v>2646</v>
      </c>
      <c r="C2593" s="438" t="s">
        <v>71</v>
      </c>
      <c r="D2593" s="438" t="s">
        <v>2647</v>
      </c>
      <c r="E2593" s="438" t="s">
        <v>1631</v>
      </c>
      <c r="F2593" s="438"/>
      <c r="G2593" s="440" t="s">
        <v>78</v>
      </c>
      <c r="H2593" s="441">
        <v>1.015</v>
      </c>
      <c r="I2593" s="441">
        <v>0</v>
      </c>
      <c r="J2593" s="449">
        <v>96.97</v>
      </c>
      <c r="K2593" s="449">
        <v>98.42</v>
      </c>
    </row>
    <row r="2594" customHeight="1" spans="1:11">
      <c r="A2594" s="434"/>
      <c r="B2594" s="434"/>
      <c r="C2594" s="434"/>
      <c r="D2594" s="434"/>
      <c r="E2594" s="434"/>
      <c r="F2594" s="434" t="s">
        <v>1735</v>
      </c>
      <c r="G2594" s="435">
        <v>3.03</v>
      </c>
      <c r="H2594" s="434" t="s">
        <v>1736</v>
      </c>
      <c r="I2594" s="435">
        <v>2.77</v>
      </c>
      <c r="J2594" s="434" t="s">
        <v>1737</v>
      </c>
      <c r="K2594" s="435">
        <v>5.8</v>
      </c>
    </row>
    <row r="2595" customHeight="1" spans="1:11">
      <c r="A2595" s="434"/>
      <c r="B2595" s="434"/>
      <c r="C2595" s="434"/>
      <c r="D2595" s="434"/>
      <c r="E2595" s="434"/>
      <c r="F2595" s="434" t="s">
        <v>1738</v>
      </c>
      <c r="G2595" s="435">
        <v>26.33</v>
      </c>
      <c r="H2595" s="434"/>
      <c r="I2595" s="434" t="s">
        <v>1739</v>
      </c>
      <c r="J2595" s="434"/>
      <c r="K2595" s="435">
        <v>133.11</v>
      </c>
    </row>
    <row r="2596" customHeight="1" spans="1:11">
      <c r="A2596" s="436"/>
      <c r="B2596" s="436"/>
      <c r="C2596" s="436"/>
      <c r="D2596" s="436"/>
      <c r="E2596" s="436"/>
      <c r="F2596" s="436"/>
      <c r="G2596" s="436"/>
      <c r="H2596" s="436" t="s">
        <v>1740</v>
      </c>
      <c r="I2596" s="447" t="s">
        <v>1904</v>
      </c>
      <c r="J2596" s="436" t="s">
        <v>1742</v>
      </c>
      <c r="K2596" s="448">
        <v>5324.4</v>
      </c>
    </row>
    <row r="2597" customHeight="1" spans="1:11">
      <c r="A2597" s="437"/>
      <c r="B2597" s="437"/>
      <c r="C2597" s="437"/>
      <c r="D2597" s="437"/>
      <c r="E2597" s="437"/>
      <c r="F2597" s="437"/>
      <c r="G2597" s="437"/>
      <c r="H2597" s="437"/>
      <c r="I2597" s="437"/>
      <c r="J2597" s="437"/>
      <c r="K2597" s="437"/>
    </row>
    <row r="2598" customHeight="1" spans="1:11">
      <c r="A2598" s="423" t="s">
        <v>786</v>
      </c>
      <c r="B2598" s="424" t="s">
        <v>1714</v>
      </c>
      <c r="C2598" s="423" t="s">
        <v>1715</v>
      </c>
      <c r="D2598" s="423" t="s">
        <v>1716</v>
      </c>
      <c r="E2598" s="423" t="s">
        <v>1717</v>
      </c>
      <c r="F2598" s="423"/>
      <c r="G2598" s="425" t="s">
        <v>1718</v>
      </c>
      <c r="H2598" s="424" t="s">
        <v>1719</v>
      </c>
      <c r="I2598" s="424" t="s">
        <v>1720</v>
      </c>
      <c r="J2598" s="424" t="s">
        <v>1721</v>
      </c>
      <c r="K2598" s="424" t="s">
        <v>1722</v>
      </c>
    </row>
    <row r="2599" customHeight="1" spans="1:11">
      <c r="A2599" s="426" t="s">
        <v>1723</v>
      </c>
      <c r="B2599" s="427" t="s">
        <v>787</v>
      </c>
      <c r="C2599" s="426" t="s">
        <v>71</v>
      </c>
      <c r="D2599" s="426" t="s">
        <v>788</v>
      </c>
      <c r="E2599" s="426" t="s">
        <v>1638</v>
      </c>
      <c r="F2599" s="426"/>
      <c r="G2599" s="428" t="s">
        <v>78</v>
      </c>
      <c r="H2599" s="429">
        <v>1</v>
      </c>
      <c r="I2599" s="445"/>
      <c r="J2599" s="445">
        <v>205.27</v>
      </c>
      <c r="K2599" s="445">
        <v>205.27</v>
      </c>
    </row>
    <row r="2600" customHeight="1" spans="1:11">
      <c r="A2600" s="430" t="s">
        <v>1724</v>
      </c>
      <c r="B2600" s="431" t="s">
        <v>2385</v>
      </c>
      <c r="C2600" s="430" t="s">
        <v>71</v>
      </c>
      <c r="D2600" s="430" t="s">
        <v>2386</v>
      </c>
      <c r="E2600" s="430" t="s">
        <v>1708</v>
      </c>
      <c r="F2600" s="430"/>
      <c r="G2600" s="432" t="s">
        <v>82</v>
      </c>
      <c r="H2600" s="433">
        <v>0.2025</v>
      </c>
      <c r="I2600" s="433">
        <v>0</v>
      </c>
      <c r="J2600" s="446">
        <v>30.6</v>
      </c>
      <c r="K2600" s="446">
        <v>6.19</v>
      </c>
    </row>
    <row r="2601" customHeight="1" spans="1:11">
      <c r="A2601" s="430" t="s">
        <v>1724</v>
      </c>
      <c r="B2601" s="431" t="s">
        <v>2387</v>
      </c>
      <c r="C2601" s="430" t="s">
        <v>71</v>
      </c>
      <c r="D2601" s="430" t="s">
        <v>2388</v>
      </c>
      <c r="E2601" s="430" t="s">
        <v>1708</v>
      </c>
      <c r="F2601" s="430"/>
      <c r="G2601" s="432" t="s">
        <v>82</v>
      </c>
      <c r="H2601" s="433">
        <v>0.2025</v>
      </c>
      <c r="I2601" s="433">
        <v>0</v>
      </c>
      <c r="J2601" s="446">
        <v>36.82</v>
      </c>
      <c r="K2601" s="446">
        <v>7.45</v>
      </c>
    </row>
    <row r="2602" customHeight="1" spans="1:11">
      <c r="A2602" s="438" t="s">
        <v>1750</v>
      </c>
      <c r="B2602" s="439" t="s">
        <v>2624</v>
      </c>
      <c r="C2602" s="438" t="s">
        <v>71</v>
      </c>
      <c r="D2602" s="438" t="s">
        <v>2625</v>
      </c>
      <c r="E2602" s="438" t="s">
        <v>1631</v>
      </c>
      <c r="F2602" s="438"/>
      <c r="G2602" s="440" t="s">
        <v>105</v>
      </c>
      <c r="H2602" s="441">
        <v>0.009</v>
      </c>
      <c r="I2602" s="441">
        <v>0</v>
      </c>
      <c r="J2602" s="449">
        <v>10.55</v>
      </c>
      <c r="K2602" s="449">
        <v>0.09</v>
      </c>
    </row>
    <row r="2603" customHeight="1" spans="1:11">
      <c r="A2603" s="438" t="s">
        <v>1750</v>
      </c>
      <c r="B2603" s="439" t="s">
        <v>2648</v>
      </c>
      <c r="C2603" s="438" t="s">
        <v>71</v>
      </c>
      <c r="D2603" s="438" t="s">
        <v>2649</v>
      </c>
      <c r="E2603" s="438" t="s">
        <v>1631</v>
      </c>
      <c r="F2603" s="438"/>
      <c r="G2603" s="440" t="s">
        <v>78</v>
      </c>
      <c r="H2603" s="441">
        <v>1.015</v>
      </c>
      <c r="I2603" s="441">
        <v>0</v>
      </c>
      <c r="J2603" s="449">
        <v>188.71</v>
      </c>
      <c r="K2603" s="449">
        <v>191.54</v>
      </c>
    </row>
    <row r="2604" customHeight="1" spans="1:11">
      <c r="A2604" s="434"/>
      <c r="B2604" s="434"/>
      <c r="C2604" s="434"/>
      <c r="D2604" s="434"/>
      <c r="E2604" s="434"/>
      <c r="F2604" s="434" t="s">
        <v>1735</v>
      </c>
      <c r="G2604" s="435">
        <v>5.02</v>
      </c>
      <c r="H2604" s="434" t="s">
        <v>1736</v>
      </c>
      <c r="I2604" s="435">
        <v>4.56</v>
      </c>
      <c r="J2604" s="434" t="s">
        <v>1737</v>
      </c>
      <c r="K2604" s="435">
        <v>9.58</v>
      </c>
    </row>
    <row r="2605" customHeight="1" spans="1:11">
      <c r="A2605" s="434"/>
      <c r="B2605" s="434"/>
      <c r="C2605" s="434"/>
      <c r="D2605" s="434"/>
      <c r="E2605" s="434"/>
      <c r="F2605" s="434" t="s">
        <v>1738</v>
      </c>
      <c r="G2605" s="435">
        <v>50.61</v>
      </c>
      <c r="H2605" s="434"/>
      <c r="I2605" s="434" t="s">
        <v>1739</v>
      </c>
      <c r="J2605" s="434"/>
      <c r="K2605" s="435">
        <v>255.88</v>
      </c>
    </row>
    <row r="2606" customHeight="1" spans="1:11">
      <c r="A2606" s="436"/>
      <c r="B2606" s="436"/>
      <c r="C2606" s="436"/>
      <c r="D2606" s="436"/>
      <c r="E2606" s="436"/>
      <c r="F2606" s="436"/>
      <c r="G2606" s="436"/>
      <c r="H2606" s="436" t="s">
        <v>1740</v>
      </c>
      <c r="I2606" s="447" t="s">
        <v>2650</v>
      </c>
      <c r="J2606" s="436" t="s">
        <v>1742</v>
      </c>
      <c r="K2606" s="448">
        <v>17911.6</v>
      </c>
    </row>
    <row r="2607" customHeight="1" spans="1:11">
      <c r="A2607" s="437"/>
      <c r="B2607" s="437"/>
      <c r="C2607" s="437"/>
      <c r="D2607" s="437"/>
      <c r="E2607" s="437"/>
      <c r="F2607" s="437"/>
      <c r="G2607" s="437"/>
      <c r="H2607" s="437"/>
      <c r="I2607" s="437"/>
      <c r="J2607" s="437"/>
      <c r="K2607" s="437"/>
    </row>
    <row r="2608" customHeight="1" spans="1:11">
      <c r="A2608" s="423" t="s">
        <v>789</v>
      </c>
      <c r="B2608" s="424" t="s">
        <v>1714</v>
      </c>
      <c r="C2608" s="423" t="s">
        <v>1715</v>
      </c>
      <c r="D2608" s="423" t="s">
        <v>1716</v>
      </c>
      <c r="E2608" s="423" t="s">
        <v>1717</v>
      </c>
      <c r="F2608" s="423"/>
      <c r="G2608" s="425" t="s">
        <v>1718</v>
      </c>
      <c r="H2608" s="424" t="s">
        <v>1719</v>
      </c>
      <c r="I2608" s="424" t="s">
        <v>1720</v>
      </c>
      <c r="J2608" s="424" t="s">
        <v>1721</v>
      </c>
      <c r="K2608" s="424" t="s">
        <v>1722</v>
      </c>
    </row>
    <row r="2609" customHeight="1" spans="1:11">
      <c r="A2609" s="426" t="s">
        <v>1723</v>
      </c>
      <c r="B2609" s="427" t="s">
        <v>790</v>
      </c>
      <c r="C2609" s="426" t="s">
        <v>65</v>
      </c>
      <c r="D2609" s="426" t="s">
        <v>791</v>
      </c>
      <c r="E2609" s="426" t="s">
        <v>62</v>
      </c>
      <c r="F2609" s="426"/>
      <c r="G2609" s="428" t="s">
        <v>67</v>
      </c>
      <c r="H2609" s="429">
        <v>1</v>
      </c>
      <c r="I2609" s="445"/>
      <c r="J2609" s="445">
        <v>73.92</v>
      </c>
      <c r="K2609" s="445">
        <v>73.92</v>
      </c>
    </row>
    <row r="2610" customHeight="1" spans="1:11">
      <c r="A2610" s="430" t="s">
        <v>1724</v>
      </c>
      <c r="B2610" s="431" t="s">
        <v>2387</v>
      </c>
      <c r="C2610" s="430" t="s">
        <v>71</v>
      </c>
      <c r="D2610" s="430" t="s">
        <v>2388</v>
      </c>
      <c r="E2610" s="430" t="s">
        <v>1708</v>
      </c>
      <c r="F2610" s="430"/>
      <c r="G2610" s="432" t="s">
        <v>82</v>
      </c>
      <c r="H2610" s="433">
        <v>0.0029</v>
      </c>
      <c r="I2610" s="433">
        <v>0</v>
      </c>
      <c r="J2610" s="446">
        <v>36.82</v>
      </c>
      <c r="K2610" s="446">
        <v>0.1</v>
      </c>
    </row>
    <row r="2611" customHeight="1" spans="1:11">
      <c r="A2611" s="438" t="s">
        <v>1750</v>
      </c>
      <c r="B2611" s="439" t="s">
        <v>2651</v>
      </c>
      <c r="C2611" s="438" t="s">
        <v>65</v>
      </c>
      <c r="D2611" s="438" t="s">
        <v>2652</v>
      </c>
      <c r="E2611" s="438" t="s">
        <v>1631</v>
      </c>
      <c r="F2611" s="438"/>
      <c r="G2611" s="440" t="s">
        <v>535</v>
      </c>
      <c r="H2611" s="441">
        <v>1</v>
      </c>
      <c r="I2611" s="441">
        <v>0</v>
      </c>
      <c r="J2611" s="449">
        <v>73.82</v>
      </c>
      <c r="K2611" s="449">
        <v>73.82</v>
      </c>
    </row>
    <row r="2612" customHeight="1" spans="1:11">
      <c r="A2612" s="434"/>
      <c r="B2612" s="434"/>
      <c r="C2612" s="434"/>
      <c r="D2612" s="434"/>
      <c r="E2612" s="434"/>
      <c r="F2612" s="434" t="s">
        <v>1735</v>
      </c>
      <c r="G2612" s="435">
        <v>0.03</v>
      </c>
      <c r="H2612" s="434" t="s">
        <v>1736</v>
      </c>
      <c r="I2612" s="435">
        <v>0.04</v>
      </c>
      <c r="J2612" s="434" t="s">
        <v>1737</v>
      </c>
      <c r="K2612" s="435">
        <v>0.07</v>
      </c>
    </row>
    <row r="2613" customHeight="1" spans="1:11">
      <c r="A2613" s="434"/>
      <c r="B2613" s="434"/>
      <c r="C2613" s="434"/>
      <c r="D2613" s="434"/>
      <c r="E2613" s="434"/>
      <c r="F2613" s="434" t="s">
        <v>1738</v>
      </c>
      <c r="G2613" s="435">
        <v>18.22</v>
      </c>
      <c r="H2613" s="434"/>
      <c r="I2613" s="434" t="s">
        <v>1739</v>
      </c>
      <c r="J2613" s="434"/>
      <c r="K2613" s="435">
        <v>92.14</v>
      </c>
    </row>
    <row r="2614" customHeight="1" spans="1:11">
      <c r="A2614" s="436"/>
      <c r="B2614" s="436"/>
      <c r="C2614" s="436"/>
      <c r="D2614" s="436"/>
      <c r="E2614" s="436"/>
      <c r="F2614" s="436"/>
      <c r="G2614" s="436"/>
      <c r="H2614" s="436" t="s">
        <v>1740</v>
      </c>
      <c r="I2614" s="447" t="s">
        <v>2404</v>
      </c>
      <c r="J2614" s="436" t="s">
        <v>1742</v>
      </c>
      <c r="K2614" s="448">
        <v>11978.2</v>
      </c>
    </row>
    <row r="2615" customHeight="1" spans="1:11">
      <c r="A2615" s="437"/>
      <c r="B2615" s="437"/>
      <c r="C2615" s="437"/>
      <c r="D2615" s="437"/>
      <c r="E2615" s="437"/>
      <c r="F2615" s="437"/>
      <c r="G2615" s="437"/>
      <c r="H2615" s="437"/>
      <c r="I2615" s="437"/>
      <c r="J2615" s="437"/>
      <c r="K2615" s="437"/>
    </row>
    <row r="2616" customHeight="1" spans="1:11">
      <c r="A2616" s="423" t="s">
        <v>792</v>
      </c>
      <c r="B2616" s="424" t="s">
        <v>1714</v>
      </c>
      <c r="C2616" s="423" t="s">
        <v>1715</v>
      </c>
      <c r="D2616" s="423" t="s">
        <v>1716</v>
      </c>
      <c r="E2616" s="423" t="s">
        <v>1717</v>
      </c>
      <c r="F2616" s="423"/>
      <c r="G2616" s="425" t="s">
        <v>1718</v>
      </c>
      <c r="H2616" s="424" t="s">
        <v>1719</v>
      </c>
      <c r="I2616" s="424" t="s">
        <v>1720</v>
      </c>
      <c r="J2616" s="424" t="s">
        <v>1721</v>
      </c>
      <c r="K2616" s="424" t="s">
        <v>1722</v>
      </c>
    </row>
    <row r="2617" customHeight="1" spans="1:11">
      <c r="A2617" s="426" t="s">
        <v>1723</v>
      </c>
      <c r="B2617" s="427" t="s">
        <v>793</v>
      </c>
      <c r="C2617" s="426" t="s">
        <v>65</v>
      </c>
      <c r="D2617" s="426" t="s">
        <v>794</v>
      </c>
      <c r="E2617" s="426" t="s">
        <v>1670</v>
      </c>
      <c r="F2617" s="426"/>
      <c r="G2617" s="428" t="s">
        <v>535</v>
      </c>
      <c r="H2617" s="429">
        <v>1</v>
      </c>
      <c r="I2617" s="445"/>
      <c r="J2617" s="445">
        <v>28.83</v>
      </c>
      <c r="K2617" s="445">
        <v>28.83</v>
      </c>
    </row>
    <row r="2618" customHeight="1" spans="1:11">
      <c r="A2618" s="430" t="s">
        <v>1724</v>
      </c>
      <c r="B2618" s="431" t="s">
        <v>2387</v>
      </c>
      <c r="C2618" s="430" t="s">
        <v>71</v>
      </c>
      <c r="D2618" s="430" t="s">
        <v>2388</v>
      </c>
      <c r="E2618" s="430" t="s">
        <v>1708</v>
      </c>
      <c r="F2618" s="430"/>
      <c r="G2618" s="432" t="s">
        <v>82</v>
      </c>
      <c r="H2618" s="433">
        <v>0.0029</v>
      </c>
      <c r="I2618" s="433">
        <v>0</v>
      </c>
      <c r="J2618" s="446">
        <v>36.82</v>
      </c>
      <c r="K2618" s="446">
        <v>0.1</v>
      </c>
    </row>
    <row r="2619" customHeight="1" spans="1:11">
      <c r="A2619" s="438" t="s">
        <v>1750</v>
      </c>
      <c r="B2619" s="439" t="s">
        <v>2653</v>
      </c>
      <c r="C2619" s="438" t="s">
        <v>65</v>
      </c>
      <c r="D2619" s="438" t="s">
        <v>794</v>
      </c>
      <c r="E2619" s="438" t="s">
        <v>1631</v>
      </c>
      <c r="F2619" s="438"/>
      <c r="G2619" s="440" t="s">
        <v>67</v>
      </c>
      <c r="H2619" s="441">
        <v>1.05</v>
      </c>
      <c r="I2619" s="441">
        <v>0</v>
      </c>
      <c r="J2619" s="449">
        <v>27.37</v>
      </c>
      <c r="K2619" s="449">
        <v>28.73</v>
      </c>
    </row>
    <row r="2620" customHeight="1" spans="1:11">
      <c r="A2620" s="434"/>
      <c r="B2620" s="434"/>
      <c r="C2620" s="434"/>
      <c r="D2620" s="434"/>
      <c r="E2620" s="434"/>
      <c r="F2620" s="434" t="s">
        <v>1735</v>
      </c>
      <c r="G2620" s="435">
        <v>0.03</v>
      </c>
      <c r="H2620" s="434" t="s">
        <v>1736</v>
      </c>
      <c r="I2620" s="435">
        <v>0.04</v>
      </c>
      <c r="J2620" s="434" t="s">
        <v>1737</v>
      </c>
      <c r="K2620" s="435">
        <v>0.07</v>
      </c>
    </row>
    <row r="2621" customHeight="1" spans="1:11">
      <c r="A2621" s="434"/>
      <c r="B2621" s="434"/>
      <c r="C2621" s="434"/>
      <c r="D2621" s="434"/>
      <c r="E2621" s="434"/>
      <c r="F2621" s="434" t="s">
        <v>1738</v>
      </c>
      <c r="G2621" s="435">
        <v>7.1</v>
      </c>
      <c r="H2621" s="434"/>
      <c r="I2621" s="434" t="s">
        <v>1739</v>
      </c>
      <c r="J2621" s="434"/>
      <c r="K2621" s="435">
        <v>35.93</v>
      </c>
    </row>
    <row r="2622" customHeight="1" spans="1:11">
      <c r="A2622" s="436"/>
      <c r="B2622" s="436"/>
      <c r="C2622" s="436"/>
      <c r="D2622" s="436"/>
      <c r="E2622" s="436"/>
      <c r="F2622" s="436"/>
      <c r="G2622" s="436"/>
      <c r="H2622" s="436" t="s">
        <v>1740</v>
      </c>
      <c r="I2622" s="447" t="s">
        <v>2654</v>
      </c>
      <c r="J2622" s="436" t="s">
        <v>1742</v>
      </c>
      <c r="K2622" s="448">
        <v>3233.7</v>
      </c>
    </row>
    <row r="2623" customHeight="1" spans="1:11">
      <c r="A2623" s="437"/>
      <c r="B2623" s="437"/>
      <c r="C2623" s="437"/>
      <c r="D2623" s="437"/>
      <c r="E2623" s="437"/>
      <c r="F2623" s="437"/>
      <c r="G2623" s="437"/>
      <c r="H2623" s="437"/>
      <c r="I2623" s="437"/>
      <c r="J2623" s="437"/>
      <c r="K2623" s="437"/>
    </row>
    <row r="2624" customHeight="1" spans="1:11">
      <c r="A2624" s="423" t="s">
        <v>795</v>
      </c>
      <c r="B2624" s="424" t="s">
        <v>1714</v>
      </c>
      <c r="C2624" s="423" t="s">
        <v>1715</v>
      </c>
      <c r="D2624" s="423" t="s">
        <v>1716</v>
      </c>
      <c r="E2624" s="423" t="s">
        <v>1717</v>
      </c>
      <c r="F2624" s="423"/>
      <c r="G2624" s="425" t="s">
        <v>1718</v>
      </c>
      <c r="H2624" s="424" t="s">
        <v>1719</v>
      </c>
      <c r="I2624" s="424" t="s">
        <v>1720</v>
      </c>
      <c r="J2624" s="424" t="s">
        <v>1721</v>
      </c>
      <c r="K2624" s="424" t="s">
        <v>1722</v>
      </c>
    </row>
    <row r="2625" customHeight="1" spans="1:11">
      <c r="A2625" s="426" t="s">
        <v>1723</v>
      </c>
      <c r="B2625" s="427" t="s">
        <v>796</v>
      </c>
      <c r="C2625" s="426" t="s">
        <v>71</v>
      </c>
      <c r="D2625" s="426" t="s">
        <v>797</v>
      </c>
      <c r="E2625" s="426" t="s">
        <v>1638</v>
      </c>
      <c r="F2625" s="426"/>
      <c r="G2625" s="428" t="s">
        <v>78</v>
      </c>
      <c r="H2625" s="429">
        <v>1</v>
      </c>
      <c r="I2625" s="445"/>
      <c r="J2625" s="445">
        <v>82.68</v>
      </c>
      <c r="K2625" s="445">
        <v>82.68</v>
      </c>
    </row>
    <row r="2626" customHeight="1" spans="1:11">
      <c r="A2626" s="430" t="s">
        <v>1724</v>
      </c>
      <c r="B2626" s="431" t="s">
        <v>2385</v>
      </c>
      <c r="C2626" s="430" t="s">
        <v>71</v>
      </c>
      <c r="D2626" s="430" t="s">
        <v>2386</v>
      </c>
      <c r="E2626" s="430" t="s">
        <v>1708</v>
      </c>
      <c r="F2626" s="430"/>
      <c r="G2626" s="432" t="s">
        <v>82</v>
      </c>
      <c r="H2626" s="433">
        <v>0.1007</v>
      </c>
      <c r="I2626" s="433">
        <v>0</v>
      </c>
      <c r="J2626" s="446">
        <v>30.6</v>
      </c>
      <c r="K2626" s="446">
        <v>3.08</v>
      </c>
    </row>
    <row r="2627" customHeight="1" spans="1:11">
      <c r="A2627" s="430" t="s">
        <v>1724</v>
      </c>
      <c r="B2627" s="431" t="s">
        <v>2387</v>
      </c>
      <c r="C2627" s="430" t="s">
        <v>71</v>
      </c>
      <c r="D2627" s="430" t="s">
        <v>2388</v>
      </c>
      <c r="E2627" s="430" t="s">
        <v>1708</v>
      </c>
      <c r="F2627" s="430"/>
      <c r="G2627" s="432" t="s">
        <v>82</v>
      </c>
      <c r="H2627" s="433">
        <v>0.1007</v>
      </c>
      <c r="I2627" s="433">
        <v>0</v>
      </c>
      <c r="J2627" s="446">
        <v>36.82</v>
      </c>
      <c r="K2627" s="446">
        <v>3.7</v>
      </c>
    </row>
    <row r="2628" customHeight="1" spans="1:11">
      <c r="A2628" s="438" t="s">
        <v>1750</v>
      </c>
      <c r="B2628" s="439" t="s">
        <v>2655</v>
      </c>
      <c r="C2628" s="438" t="s">
        <v>71</v>
      </c>
      <c r="D2628" s="438" t="s">
        <v>2656</v>
      </c>
      <c r="E2628" s="438" t="s">
        <v>1631</v>
      </c>
      <c r="F2628" s="438"/>
      <c r="G2628" s="440" t="s">
        <v>78</v>
      </c>
      <c r="H2628" s="441">
        <v>1.015</v>
      </c>
      <c r="I2628" s="441">
        <v>0</v>
      </c>
      <c r="J2628" s="449">
        <v>74.69</v>
      </c>
      <c r="K2628" s="449">
        <v>75.81</v>
      </c>
    </row>
    <row r="2629" customHeight="1" spans="1:11">
      <c r="A2629" s="438" t="s">
        <v>1750</v>
      </c>
      <c r="B2629" s="439" t="s">
        <v>2624</v>
      </c>
      <c r="C2629" s="438" t="s">
        <v>71</v>
      </c>
      <c r="D2629" s="438" t="s">
        <v>2625</v>
      </c>
      <c r="E2629" s="438" t="s">
        <v>1631</v>
      </c>
      <c r="F2629" s="438"/>
      <c r="G2629" s="440" t="s">
        <v>105</v>
      </c>
      <c r="H2629" s="441">
        <v>0.009</v>
      </c>
      <c r="I2629" s="441">
        <v>0</v>
      </c>
      <c r="J2629" s="449">
        <v>10.55</v>
      </c>
      <c r="K2629" s="449">
        <v>0.09</v>
      </c>
    </row>
    <row r="2630" customHeight="1" spans="1:11">
      <c r="A2630" s="434"/>
      <c r="B2630" s="434"/>
      <c r="C2630" s="434"/>
      <c r="D2630" s="434"/>
      <c r="E2630" s="434"/>
      <c r="F2630" s="434" t="s">
        <v>1735</v>
      </c>
      <c r="G2630" s="435">
        <v>2.48</v>
      </c>
      <c r="H2630" s="434" t="s">
        <v>1736</v>
      </c>
      <c r="I2630" s="435">
        <v>2.27</v>
      </c>
      <c r="J2630" s="434" t="s">
        <v>1737</v>
      </c>
      <c r="K2630" s="435">
        <v>4.75</v>
      </c>
    </row>
    <row r="2631" customHeight="1" spans="1:11">
      <c r="A2631" s="434"/>
      <c r="B2631" s="434"/>
      <c r="C2631" s="434"/>
      <c r="D2631" s="434"/>
      <c r="E2631" s="434"/>
      <c r="F2631" s="434" t="s">
        <v>1738</v>
      </c>
      <c r="G2631" s="435">
        <v>20.38</v>
      </c>
      <c r="H2631" s="434"/>
      <c r="I2631" s="434" t="s">
        <v>1739</v>
      </c>
      <c r="J2631" s="434"/>
      <c r="K2631" s="435">
        <v>103.06</v>
      </c>
    </row>
    <row r="2632" customHeight="1" spans="1:11">
      <c r="A2632" s="436"/>
      <c r="B2632" s="436"/>
      <c r="C2632" s="436"/>
      <c r="D2632" s="436"/>
      <c r="E2632" s="436"/>
      <c r="F2632" s="436"/>
      <c r="G2632" s="436"/>
      <c r="H2632" s="436" t="s">
        <v>1740</v>
      </c>
      <c r="I2632" s="447" t="s">
        <v>2654</v>
      </c>
      <c r="J2632" s="436" t="s">
        <v>1742</v>
      </c>
      <c r="K2632" s="448">
        <v>9275.4</v>
      </c>
    </row>
    <row r="2633" customHeight="1" spans="1:11">
      <c r="A2633" s="437"/>
      <c r="B2633" s="437"/>
      <c r="C2633" s="437"/>
      <c r="D2633" s="437"/>
      <c r="E2633" s="437"/>
      <c r="F2633" s="437"/>
      <c r="G2633" s="437"/>
      <c r="H2633" s="437"/>
      <c r="I2633" s="437"/>
      <c r="J2633" s="437"/>
      <c r="K2633" s="437"/>
    </row>
    <row r="2634" customHeight="1" spans="1:11">
      <c r="A2634" s="423" t="s">
        <v>798</v>
      </c>
      <c r="B2634" s="424" t="s">
        <v>1714</v>
      </c>
      <c r="C2634" s="423" t="s">
        <v>1715</v>
      </c>
      <c r="D2634" s="423" t="s">
        <v>1716</v>
      </c>
      <c r="E2634" s="423" t="s">
        <v>1717</v>
      </c>
      <c r="F2634" s="423"/>
      <c r="G2634" s="425" t="s">
        <v>1718</v>
      </c>
      <c r="H2634" s="424" t="s">
        <v>1719</v>
      </c>
      <c r="I2634" s="424" t="s">
        <v>1720</v>
      </c>
      <c r="J2634" s="424" t="s">
        <v>1721</v>
      </c>
      <c r="K2634" s="424" t="s">
        <v>1722</v>
      </c>
    </row>
    <row r="2635" customHeight="1" spans="1:11">
      <c r="A2635" s="426" t="s">
        <v>1723</v>
      </c>
      <c r="B2635" s="427" t="s">
        <v>799</v>
      </c>
      <c r="C2635" s="426" t="s">
        <v>71</v>
      </c>
      <c r="D2635" s="426" t="s">
        <v>800</v>
      </c>
      <c r="E2635" s="426" t="s">
        <v>1638</v>
      </c>
      <c r="F2635" s="426"/>
      <c r="G2635" s="428" t="s">
        <v>78</v>
      </c>
      <c r="H2635" s="429">
        <v>1</v>
      </c>
      <c r="I2635" s="445"/>
      <c r="J2635" s="445">
        <v>138.56</v>
      </c>
      <c r="K2635" s="445">
        <v>138.56</v>
      </c>
    </row>
    <row r="2636" customHeight="1" spans="1:11">
      <c r="A2636" s="430" t="s">
        <v>1724</v>
      </c>
      <c r="B2636" s="431" t="s">
        <v>2385</v>
      </c>
      <c r="C2636" s="430" t="s">
        <v>71</v>
      </c>
      <c r="D2636" s="430" t="s">
        <v>2386</v>
      </c>
      <c r="E2636" s="430" t="s">
        <v>1708</v>
      </c>
      <c r="F2636" s="430"/>
      <c r="G2636" s="432" t="s">
        <v>82</v>
      </c>
      <c r="H2636" s="433">
        <v>0.145</v>
      </c>
      <c r="I2636" s="433">
        <v>0</v>
      </c>
      <c r="J2636" s="446">
        <v>30.6</v>
      </c>
      <c r="K2636" s="446">
        <v>4.43</v>
      </c>
    </row>
    <row r="2637" customHeight="1" spans="1:11">
      <c r="A2637" s="430" t="s">
        <v>1724</v>
      </c>
      <c r="B2637" s="431" t="s">
        <v>2387</v>
      </c>
      <c r="C2637" s="430" t="s">
        <v>71</v>
      </c>
      <c r="D2637" s="430" t="s">
        <v>2388</v>
      </c>
      <c r="E2637" s="430" t="s">
        <v>1708</v>
      </c>
      <c r="F2637" s="430"/>
      <c r="G2637" s="432" t="s">
        <v>82</v>
      </c>
      <c r="H2637" s="433">
        <v>0.145</v>
      </c>
      <c r="I2637" s="433">
        <v>0</v>
      </c>
      <c r="J2637" s="446">
        <v>36.82</v>
      </c>
      <c r="K2637" s="446">
        <v>5.33</v>
      </c>
    </row>
    <row r="2638" customHeight="1" spans="1:11">
      <c r="A2638" s="438" t="s">
        <v>1750</v>
      </c>
      <c r="B2638" s="439" t="s">
        <v>2657</v>
      </c>
      <c r="C2638" s="438" t="s">
        <v>71</v>
      </c>
      <c r="D2638" s="438" t="s">
        <v>2658</v>
      </c>
      <c r="E2638" s="438" t="s">
        <v>1631</v>
      </c>
      <c r="F2638" s="438"/>
      <c r="G2638" s="440" t="s">
        <v>78</v>
      </c>
      <c r="H2638" s="441">
        <v>1.015</v>
      </c>
      <c r="I2638" s="441">
        <v>0</v>
      </c>
      <c r="J2638" s="449">
        <v>126.81</v>
      </c>
      <c r="K2638" s="449">
        <v>128.71</v>
      </c>
    </row>
    <row r="2639" customHeight="1" spans="1:11">
      <c r="A2639" s="438" t="s">
        <v>1750</v>
      </c>
      <c r="B2639" s="439" t="s">
        <v>2624</v>
      </c>
      <c r="C2639" s="438" t="s">
        <v>71</v>
      </c>
      <c r="D2639" s="438" t="s">
        <v>2625</v>
      </c>
      <c r="E2639" s="438" t="s">
        <v>1631</v>
      </c>
      <c r="F2639" s="438"/>
      <c r="G2639" s="440" t="s">
        <v>105</v>
      </c>
      <c r="H2639" s="441">
        <v>0.009</v>
      </c>
      <c r="I2639" s="441">
        <v>0</v>
      </c>
      <c r="J2639" s="449">
        <v>10.55</v>
      </c>
      <c r="K2639" s="449">
        <v>0.09</v>
      </c>
    </row>
    <row r="2640" customHeight="1" spans="1:11">
      <c r="A2640" s="434"/>
      <c r="B2640" s="434"/>
      <c r="C2640" s="434"/>
      <c r="D2640" s="434"/>
      <c r="E2640" s="434"/>
      <c r="F2640" s="434" t="s">
        <v>1735</v>
      </c>
      <c r="G2640" s="435">
        <v>3.58</v>
      </c>
      <c r="H2640" s="434" t="s">
        <v>1736</v>
      </c>
      <c r="I2640" s="435">
        <v>3.27</v>
      </c>
      <c r="J2640" s="434" t="s">
        <v>1737</v>
      </c>
      <c r="K2640" s="435">
        <v>6.85</v>
      </c>
    </row>
    <row r="2641" customHeight="1" spans="1:11">
      <c r="A2641" s="434"/>
      <c r="B2641" s="434"/>
      <c r="C2641" s="434"/>
      <c r="D2641" s="434"/>
      <c r="E2641" s="434"/>
      <c r="F2641" s="434" t="s">
        <v>1738</v>
      </c>
      <c r="G2641" s="435">
        <v>34.16</v>
      </c>
      <c r="H2641" s="434"/>
      <c r="I2641" s="434" t="s">
        <v>1739</v>
      </c>
      <c r="J2641" s="434"/>
      <c r="K2641" s="435">
        <v>172.72</v>
      </c>
    </row>
    <row r="2642" customHeight="1" spans="1:11">
      <c r="A2642" s="436"/>
      <c r="B2642" s="436"/>
      <c r="C2642" s="436"/>
      <c r="D2642" s="436"/>
      <c r="E2642" s="436"/>
      <c r="F2642" s="436"/>
      <c r="G2642" s="436"/>
      <c r="H2642" s="436" t="s">
        <v>1740</v>
      </c>
      <c r="I2642" s="447" t="s">
        <v>2659</v>
      </c>
      <c r="J2642" s="436" t="s">
        <v>1742</v>
      </c>
      <c r="K2642" s="448">
        <v>43180</v>
      </c>
    </row>
    <row r="2643" customHeight="1" spans="1:11">
      <c r="A2643" s="437"/>
      <c r="B2643" s="437"/>
      <c r="C2643" s="437"/>
      <c r="D2643" s="437"/>
      <c r="E2643" s="437"/>
      <c r="F2643" s="437"/>
      <c r="G2643" s="437"/>
      <c r="H2643" s="437"/>
      <c r="I2643" s="437"/>
      <c r="J2643" s="437"/>
      <c r="K2643" s="437"/>
    </row>
    <row r="2644" customHeight="1" spans="1:11">
      <c r="A2644" s="422" t="s">
        <v>801</v>
      </c>
      <c r="B2644" s="422"/>
      <c r="C2644" s="422"/>
      <c r="D2644" s="422" t="s">
        <v>802</v>
      </c>
      <c r="E2644" s="422"/>
      <c r="F2644" s="422"/>
      <c r="G2644" s="422"/>
      <c r="H2644" s="422"/>
      <c r="I2644" s="443"/>
      <c r="J2644" s="422"/>
      <c r="K2644" s="444">
        <v>11138.74</v>
      </c>
    </row>
    <row r="2645" customHeight="1" spans="1:11">
      <c r="A2645" s="423" t="s">
        <v>803</v>
      </c>
      <c r="B2645" s="424" t="s">
        <v>1714</v>
      </c>
      <c r="C2645" s="423" t="s">
        <v>1715</v>
      </c>
      <c r="D2645" s="423" t="s">
        <v>1716</v>
      </c>
      <c r="E2645" s="423" t="s">
        <v>1717</v>
      </c>
      <c r="F2645" s="423"/>
      <c r="G2645" s="425" t="s">
        <v>1718</v>
      </c>
      <c r="H2645" s="424" t="s">
        <v>1719</v>
      </c>
      <c r="I2645" s="424" t="s">
        <v>1720</v>
      </c>
      <c r="J2645" s="424" t="s">
        <v>1721</v>
      </c>
      <c r="K2645" s="424" t="s">
        <v>1722</v>
      </c>
    </row>
    <row r="2646" customHeight="1" spans="1:11">
      <c r="A2646" s="426" t="s">
        <v>1723</v>
      </c>
      <c r="B2646" s="427" t="s">
        <v>804</v>
      </c>
      <c r="C2646" s="426" t="s">
        <v>76</v>
      </c>
      <c r="D2646" s="426" t="s">
        <v>805</v>
      </c>
      <c r="E2646" s="426">
        <v>15</v>
      </c>
      <c r="F2646" s="426"/>
      <c r="G2646" s="428" t="s">
        <v>78</v>
      </c>
      <c r="H2646" s="429">
        <v>1</v>
      </c>
      <c r="I2646" s="445"/>
      <c r="J2646" s="445">
        <v>24.16</v>
      </c>
      <c r="K2646" s="445">
        <v>24.16</v>
      </c>
    </row>
    <row r="2647" customHeight="1" spans="1:11">
      <c r="A2647" s="438" t="s">
        <v>1750</v>
      </c>
      <c r="B2647" s="439" t="s">
        <v>2660</v>
      </c>
      <c r="C2647" s="438" t="s">
        <v>76</v>
      </c>
      <c r="D2647" s="438" t="s">
        <v>2661</v>
      </c>
      <c r="E2647" s="438" t="s">
        <v>1764</v>
      </c>
      <c r="F2647" s="438"/>
      <c r="G2647" s="440" t="s">
        <v>82</v>
      </c>
      <c r="H2647" s="441">
        <v>0.08</v>
      </c>
      <c r="I2647" s="441">
        <v>3</v>
      </c>
      <c r="J2647" s="449">
        <v>26.52</v>
      </c>
      <c r="K2647" s="449">
        <v>2.18</v>
      </c>
    </row>
    <row r="2648" customHeight="1" spans="1:11">
      <c r="A2648" s="438" t="s">
        <v>1750</v>
      </c>
      <c r="B2648" s="439" t="s">
        <v>2662</v>
      </c>
      <c r="C2648" s="438" t="s">
        <v>76</v>
      </c>
      <c r="D2648" s="438" t="s">
        <v>2663</v>
      </c>
      <c r="E2648" s="438" t="s">
        <v>1631</v>
      </c>
      <c r="F2648" s="438"/>
      <c r="G2648" s="440" t="s">
        <v>158</v>
      </c>
      <c r="H2648" s="441">
        <v>0.2223</v>
      </c>
      <c r="I2648" s="441">
        <v>0</v>
      </c>
      <c r="J2648" s="449">
        <v>91.82</v>
      </c>
      <c r="K2648" s="449">
        <v>20.41</v>
      </c>
    </row>
    <row r="2649" customHeight="1" spans="1:11">
      <c r="A2649" s="438" t="s">
        <v>1750</v>
      </c>
      <c r="B2649" s="439" t="s">
        <v>1767</v>
      </c>
      <c r="C2649" s="438" t="s">
        <v>76</v>
      </c>
      <c r="D2649" s="438" t="s">
        <v>1768</v>
      </c>
      <c r="E2649" s="438" t="s">
        <v>1764</v>
      </c>
      <c r="F2649" s="438"/>
      <c r="G2649" s="440" t="s">
        <v>82</v>
      </c>
      <c r="H2649" s="441">
        <v>0.08</v>
      </c>
      <c r="I2649" s="441">
        <v>3</v>
      </c>
      <c r="J2649" s="449">
        <v>19.16</v>
      </c>
      <c r="K2649" s="449">
        <v>1.57</v>
      </c>
    </row>
    <row r="2650" customHeight="1" spans="1:11">
      <c r="A2650" s="434"/>
      <c r="B2650" s="434"/>
      <c r="C2650" s="434"/>
      <c r="D2650" s="434"/>
      <c r="E2650" s="434"/>
      <c r="F2650" s="434" t="s">
        <v>1735</v>
      </c>
      <c r="G2650" s="435">
        <v>1.96</v>
      </c>
      <c r="H2650" s="434" t="s">
        <v>1736</v>
      </c>
      <c r="I2650" s="435">
        <v>1.79</v>
      </c>
      <c r="J2650" s="434" t="s">
        <v>1737</v>
      </c>
      <c r="K2650" s="435">
        <v>3.75</v>
      </c>
    </row>
    <row r="2651" customHeight="1" spans="1:11">
      <c r="A2651" s="434"/>
      <c r="B2651" s="434"/>
      <c r="C2651" s="434"/>
      <c r="D2651" s="434"/>
      <c r="E2651" s="434"/>
      <c r="F2651" s="434" t="s">
        <v>1738</v>
      </c>
      <c r="G2651" s="435">
        <v>5.95</v>
      </c>
      <c r="H2651" s="434"/>
      <c r="I2651" s="434" t="s">
        <v>1739</v>
      </c>
      <c r="J2651" s="434"/>
      <c r="K2651" s="435">
        <v>30.11</v>
      </c>
    </row>
    <row r="2652" customHeight="1" spans="1:11">
      <c r="A2652" s="436"/>
      <c r="B2652" s="436"/>
      <c r="C2652" s="436"/>
      <c r="D2652" s="436"/>
      <c r="E2652" s="436"/>
      <c r="F2652" s="436"/>
      <c r="G2652" s="436"/>
      <c r="H2652" s="436" t="s">
        <v>1740</v>
      </c>
      <c r="I2652" s="447" t="s">
        <v>2664</v>
      </c>
      <c r="J2652" s="436" t="s">
        <v>1742</v>
      </c>
      <c r="K2652" s="448">
        <v>4215.4</v>
      </c>
    </row>
    <row r="2653" customHeight="1" spans="1:11">
      <c r="A2653" s="437"/>
      <c r="B2653" s="437"/>
      <c r="C2653" s="437"/>
      <c r="D2653" s="437"/>
      <c r="E2653" s="437"/>
      <c r="F2653" s="437"/>
      <c r="G2653" s="437"/>
      <c r="H2653" s="437"/>
      <c r="I2653" s="437"/>
      <c r="J2653" s="437"/>
      <c r="K2653" s="437"/>
    </row>
    <row r="2654" customHeight="1" spans="1:11">
      <c r="A2654" s="423" t="s">
        <v>806</v>
      </c>
      <c r="B2654" s="424" t="s">
        <v>1714</v>
      </c>
      <c r="C2654" s="423" t="s">
        <v>1715</v>
      </c>
      <c r="D2654" s="423" t="s">
        <v>1716</v>
      </c>
      <c r="E2654" s="423" t="s">
        <v>1717</v>
      </c>
      <c r="F2654" s="423"/>
      <c r="G2654" s="425" t="s">
        <v>1718</v>
      </c>
      <c r="H2654" s="424" t="s">
        <v>1719</v>
      </c>
      <c r="I2654" s="424" t="s">
        <v>1720</v>
      </c>
      <c r="J2654" s="424" t="s">
        <v>1721</v>
      </c>
      <c r="K2654" s="424" t="s">
        <v>1722</v>
      </c>
    </row>
    <row r="2655" customHeight="1" spans="1:11">
      <c r="A2655" s="426" t="s">
        <v>1723</v>
      </c>
      <c r="B2655" s="427" t="s">
        <v>807</v>
      </c>
      <c r="C2655" s="426" t="s">
        <v>71</v>
      </c>
      <c r="D2655" s="426" t="s">
        <v>808</v>
      </c>
      <c r="E2655" s="426" t="s">
        <v>1683</v>
      </c>
      <c r="F2655" s="426"/>
      <c r="G2655" s="428" t="s">
        <v>78</v>
      </c>
      <c r="H2655" s="429">
        <v>1</v>
      </c>
      <c r="I2655" s="445"/>
      <c r="J2655" s="445">
        <v>78.29</v>
      </c>
      <c r="K2655" s="445">
        <v>78.29</v>
      </c>
    </row>
    <row r="2656" customHeight="1" spans="1:11">
      <c r="A2656" s="430" t="s">
        <v>1724</v>
      </c>
      <c r="B2656" s="431" t="s">
        <v>2387</v>
      </c>
      <c r="C2656" s="430" t="s">
        <v>71</v>
      </c>
      <c r="D2656" s="430" t="s">
        <v>2388</v>
      </c>
      <c r="E2656" s="430" t="s">
        <v>1708</v>
      </c>
      <c r="F2656" s="430"/>
      <c r="G2656" s="432" t="s">
        <v>82</v>
      </c>
      <c r="H2656" s="433">
        <v>0.2484</v>
      </c>
      <c r="I2656" s="433">
        <v>0</v>
      </c>
      <c r="J2656" s="446">
        <v>36.82</v>
      </c>
      <c r="K2656" s="446">
        <v>9.14</v>
      </c>
    </row>
    <row r="2657" customHeight="1" spans="1:11">
      <c r="A2657" s="430" t="s">
        <v>1724</v>
      </c>
      <c r="B2657" s="431" t="s">
        <v>2385</v>
      </c>
      <c r="C2657" s="430" t="s">
        <v>71</v>
      </c>
      <c r="D2657" s="430" t="s">
        <v>2386</v>
      </c>
      <c r="E2657" s="430" t="s">
        <v>1708</v>
      </c>
      <c r="F2657" s="430"/>
      <c r="G2657" s="432" t="s">
        <v>82</v>
      </c>
      <c r="H2657" s="433">
        <v>0.2484</v>
      </c>
      <c r="I2657" s="433">
        <v>0</v>
      </c>
      <c r="J2657" s="446">
        <v>30.6</v>
      </c>
      <c r="K2657" s="446">
        <v>7.6</v>
      </c>
    </row>
    <row r="2658" customHeight="1" spans="1:11">
      <c r="A2658" s="430" t="s">
        <v>1724</v>
      </c>
      <c r="B2658" s="431" t="s">
        <v>2665</v>
      </c>
      <c r="C2658" s="430" t="s">
        <v>71</v>
      </c>
      <c r="D2658" s="430" t="s">
        <v>2666</v>
      </c>
      <c r="E2658" s="430" t="s">
        <v>1683</v>
      </c>
      <c r="F2658" s="430"/>
      <c r="G2658" s="432" t="s">
        <v>105</v>
      </c>
      <c r="H2658" s="433">
        <v>0.6667</v>
      </c>
      <c r="I2658" s="433">
        <v>0</v>
      </c>
      <c r="J2658" s="446">
        <v>30.28</v>
      </c>
      <c r="K2658" s="446">
        <v>20.18</v>
      </c>
    </row>
    <row r="2659" customHeight="1" spans="1:11">
      <c r="A2659" s="438" t="s">
        <v>1750</v>
      </c>
      <c r="B2659" s="439" t="s">
        <v>2667</v>
      </c>
      <c r="C2659" s="438" t="s">
        <v>71</v>
      </c>
      <c r="D2659" s="438" t="s">
        <v>2668</v>
      </c>
      <c r="E2659" s="438" t="s">
        <v>1631</v>
      </c>
      <c r="F2659" s="438"/>
      <c r="G2659" s="440" t="s">
        <v>78</v>
      </c>
      <c r="H2659" s="441">
        <v>1.05</v>
      </c>
      <c r="I2659" s="441">
        <v>0</v>
      </c>
      <c r="J2659" s="449">
        <v>39.4</v>
      </c>
      <c r="K2659" s="449">
        <v>41.37</v>
      </c>
    </row>
    <row r="2660" customHeight="1" spans="1:11">
      <c r="A2660" s="434"/>
      <c r="B2660" s="434"/>
      <c r="C2660" s="434"/>
      <c r="D2660" s="434"/>
      <c r="E2660" s="434"/>
      <c r="F2660" s="434" t="s">
        <v>1735</v>
      </c>
      <c r="G2660" s="435">
        <v>11.28</v>
      </c>
      <c r="H2660" s="434" t="s">
        <v>1736</v>
      </c>
      <c r="I2660" s="435">
        <v>10.25</v>
      </c>
      <c r="J2660" s="434" t="s">
        <v>1737</v>
      </c>
      <c r="K2660" s="435">
        <v>21.53</v>
      </c>
    </row>
    <row r="2661" customHeight="1" spans="1:11">
      <c r="A2661" s="434"/>
      <c r="B2661" s="434"/>
      <c r="C2661" s="434"/>
      <c r="D2661" s="434"/>
      <c r="E2661" s="434"/>
      <c r="F2661" s="434" t="s">
        <v>1738</v>
      </c>
      <c r="G2661" s="435">
        <v>19.3</v>
      </c>
      <c r="H2661" s="434"/>
      <c r="I2661" s="434" t="s">
        <v>1739</v>
      </c>
      <c r="J2661" s="434"/>
      <c r="K2661" s="435">
        <v>97.59</v>
      </c>
    </row>
    <row r="2662" customHeight="1" spans="1:11">
      <c r="A2662" s="436"/>
      <c r="B2662" s="436"/>
      <c r="C2662" s="436"/>
      <c r="D2662" s="436"/>
      <c r="E2662" s="436"/>
      <c r="F2662" s="436"/>
      <c r="G2662" s="436"/>
      <c r="H2662" s="436" t="s">
        <v>1740</v>
      </c>
      <c r="I2662" s="447" t="s">
        <v>1964</v>
      </c>
      <c r="J2662" s="436" t="s">
        <v>1742</v>
      </c>
      <c r="K2662" s="448">
        <v>975.9</v>
      </c>
    </row>
    <row r="2663" customHeight="1" spans="1:11">
      <c r="A2663" s="437"/>
      <c r="B2663" s="437"/>
      <c r="C2663" s="437"/>
      <c r="D2663" s="437"/>
      <c r="E2663" s="437"/>
      <c r="F2663" s="437"/>
      <c r="G2663" s="437"/>
      <c r="H2663" s="437"/>
      <c r="I2663" s="437"/>
      <c r="J2663" s="437"/>
      <c r="K2663" s="437"/>
    </row>
    <row r="2664" customHeight="1" spans="1:11">
      <c r="A2664" s="423" t="s">
        <v>809</v>
      </c>
      <c r="B2664" s="424" t="s">
        <v>1714</v>
      </c>
      <c r="C2664" s="423" t="s">
        <v>1715</v>
      </c>
      <c r="D2664" s="423" t="s">
        <v>1716</v>
      </c>
      <c r="E2664" s="423" t="s">
        <v>1717</v>
      </c>
      <c r="F2664" s="423"/>
      <c r="G2664" s="425" t="s">
        <v>1718</v>
      </c>
      <c r="H2664" s="424" t="s">
        <v>1719</v>
      </c>
      <c r="I2664" s="424" t="s">
        <v>1720</v>
      </c>
      <c r="J2664" s="424" t="s">
        <v>1721</v>
      </c>
      <c r="K2664" s="424" t="s">
        <v>1722</v>
      </c>
    </row>
    <row r="2665" customHeight="1" spans="1:11">
      <c r="A2665" s="426" t="s">
        <v>1723</v>
      </c>
      <c r="B2665" s="427" t="s">
        <v>810</v>
      </c>
      <c r="C2665" s="426" t="s">
        <v>71</v>
      </c>
      <c r="D2665" s="426" t="s">
        <v>811</v>
      </c>
      <c r="E2665" s="426" t="s">
        <v>1683</v>
      </c>
      <c r="F2665" s="426"/>
      <c r="G2665" s="428" t="s">
        <v>78</v>
      </c>
      <c r="H2665" s="429">
        <v>1</v>
      </c>
      <c r="I2665" s="445"/>
      <c r="J2665" s="445">
        <v>61.15</v>
      </c>
      <c r="K2665" s="445">
        <v>61.15</v>
      </c>
    </row>
    <row r="2666" customHeight="1" spans="1:11">
      <c r="A2666" s="430" t="s">
        <v>1724</v>
      </c>
      <c r="B2666" s="431" t="s">
        <v>2385</v>
      </c>
      <c r="C2666" s="430" t="s">
        <v>71</v>
      </c>
      <c r="D2666" s="430" t="s">
        <v>2386</v>
      </c>
      <c r="E2666" s="430" t="s">
        <v>1708</v>
      </c>
      <c r="F2666" s="430"/>
      <c r="G2666" s="432" t="s">
        <v>82</v>
      </c>
      <c r="H2666" s="433">
        <v>0.0331</v>
      </c>
      <c r="I2666" s="433">
        <v>0</v>
      </c>
      <c r="J2666" s="446">
        <v>30.6</v>
      </c>
      <c r="K2666" s="446">
        <v>1.01</v>
      </c>
    </row>
    <row r="2667" customHeight="1" spans="1:11">
      <c r="A2667" s="430" t="s">
        <v>1724</v>
      </c>
      <c r="B2667" s="431" t="s">
        <v>2387</v>
      </c>
      <c r="C2667" s="430" t="s">
        <v>71</v>
      </c>
      <c r="D2667" s="430" t="s">
        <v>2388</v>
      </c>
      <c r="E2667" s="430" t="s">
        <v>1708</v>
      </c>
      <c r="F2667" s="430"/>
      <c r="G2667" s="432" t="s">
        <v>82</v>
      </c>
      <c r="H2667" s="433">
        <v>0.0331</v>
      </c>
      <c r="I2667" s="433">
        <v>0</v>
      </c>
      <c r="J2667" s="446">
        <v>36.82</v>
      </c>
      <c r="K2667" s="446">
        <v>1.21</v>
      </c>
    </row>
    <row r="2668" customHeight="1" spans="1:11">
      <c r="A2668" s="438" t="s">
        <v>1750</v>
      </c>
      <c r="B2668" s="439" t="s">
        <v>2669</v>
      </c>
      <c r="C2668" s="438" t="s">
        <v>71</v>
      </c>
      <c r="D2668" s="438" t="s">
        <v>2670</v>
      </c>
      <c r="E2668" s="438" t="s">
        <v>1631</v>
      </c>
      <c r="F2668" s="438"/>
      <c r="G2668" s="440" t="s">
        <v>78</v>
      </c>
      <c r="H2668" s="441">
        <v>1.05</v>
      </c>
      <c r="I2668" s="441">
        <v>0</v>
      </c>
      <c r="J2668" s="449">
        <v>56.13</v>
      </c>
      <c r="K2668" s="449">
        <v>58.93</v>
      </c>
    </row>
    <row r="2669" customHeight="1" spans="1:11">
      <c r="A2669" s="434"/>
      <c r="B2669" s="434"/>
      <c r="C2669" s="434"/>
      <c r="D2669" s="434"/>
      <c r="E2669" s="434"/>
      <c r="F2669" s="434" t="s">
        <v>1735</v>
      </c>
      <c r="G2669" s="435">
        <v>0.81</v>
      </c>
      <c r="H2669" s="434" t="s">
        <v>1736</v>
      </c>
      <c r="I2669" s="435">
        <v>0.75</v>
      </c>
      <c r="J2669" s="434" t="s">
        <v>1737</v>
      </c>
      <c r="K2669" s="435">
        <v>1.56</v>
      </c>
    </row>
    <row r="2670" customHeight="1" spans="1:11">
      <c r="A2670" s="434"/>
      <c r="B2670" s="434"/>
      <c r="C2670" s="434"/>
      <c r="D2670" s="434"/>
      <c r="E2670" s="434"/>
      <c r="F2670" s="434" t="s">
        <v>1738</v>
      </c>
      <c r="G2670" s="435">
        <v>15.07</v>
      </c>
      <c r="H2670" s="434"/>
      <c r="I2670" s="434" t="s">
        <v>1739</v>
      </c>
      <c r="J2670" s="434"/>
      <c r="K2670" s="435">
        <v>76.22</v>
      </c>
    </row>
    <row r="2671" customHeight="1" spans="1:11">
      <c r="A2671" s="436"/>
      <c r="B2671" s="436"/>
      <c r="C2671" s="436"/>
      <c r="D2671" s="436"/>
      <c r="E2671" s="436"/>
      <c r="F2671" s="436"/>
      <c r="G2671" s="436"/>
      <c r="H2671" s="436" t="s">
        <v>1740</v>
      </c>
      <c r="I2671" s="447" t="s">
        <v>1904</v>
      </c>
      <c r="J2671" s="436" t="s">
        <v>1742</v>
      </c>
      <c r="K2671" s="448">
        <v>3048.8</v>
      </c>
    </row>
    <row r="2672" customHeight="1" spans="1:11">
      <c r="A2672" s="437"/>
      <c r="B2672" s="437"/>
      <c r="C2672" s="437"/>
      <c r="D2672" s="437"/>
      <c r="E2672" s="437"/>
      <c r="F2672" s="437"/>
      <c r="G2672" s="437"/>
      <c r="H2672" s="437"/>
      <c r="I2672" s="437"/>
      <c r="J2672" s="437"/>
      <c r="K2672" s="437"/>
    </row>
    <row r="2673" customHeight="1" spans="1:11">
      <c r="A2673" s="423" t="s">
        <v>812</v>
      </c>
      <c r="B2673" s="424" t="s">
        <v>1714</v>
      </c>
      <c r="C2673" s="423" t="s">
        <v>1715</v>
      </c>
      <c r="D2673" s="423" t="s">
        <v>1716</v>
      </c>
      <c r="E2673" s="423" t="s">
        <v>1717</v>
      </c>
      <c r="F2673" s="423"/>
      <c r="G2673" s="425" t="s">
        <v>1718</v>
      </c>
      <c r="H2673" s="424" t="s">
        <v>1719</v>
      </c>
      <c r="I2673" s="424" t="s">
        <v>1720</v>
      </c>
      <c r="J2673" s="424" t="s">
        <v>1721</v>
      </c>
      <c r="K2673" s="424" t="s">
        <v>1722</v>
      </c>
    </row>
    <row r="2674" customHeight="1" spans="1:11">
      <c r="A2674" s="426" t="s">
        <v>1723</v>
      </c>
      <c r="B2674" s="427" t="s">
        <v>813</v>
      </c>
      <c r="C2674" s="426" t="s">
        <v>512</v>
      </c>
      <c r="D2674" s="426" t="s">
        <v>814</v>
      </c>
      <c r="E2674" s="426" t="s">
        <v>1648</v>
      </c>
      <c r="F2674" s="426"/>
      <c r="G2674" s="428" t="s">
        <v>535</v>
      </c>
      <c r="H2674" s="429">
        <v>1</v>
      </c>
      <c r="I2674" s="445"/>
      <c r="J2674" s="445">
        <v>26.84</v>
      </c>
      <c r="K2674" s="445">
        <v>26.84</v>
      </c>
    </row>
    <row r="2675" customHeight="1" spans="1:11">
      <c r="A2675" s="438" t="s">
        <v>1750</v>
      </c>
      <c r="B2675" s="439" t="s">
        <v>2671</v>
      </c>
      <c r="C2675" s="438" t="s">
        <v>512</v>
      </c>
      <c r="D2675" s="438" t="s">
        <v>2672</v>
      </c>
      <c r="E2675" s="438" t="s">
        <v>1631</v>
      </c>
      <c r="F2675" s="438"/>
      <c r="G2675" s="440" t="s">
        <v>535</v>
      </c>
      <c r="H2675" s="441">
        <v>1.1</v>
      </c>
      <c r="I2675" s="441">
        <v>0</v>
      </c>
      <c r="J2675" s="449">
        <v>14.22</v>
      </c>
      <c r="K2675" s="449">
        <v>15.64</v>
      </c>
    </row>
    <row r="2676" customHeight="1" spans="1:11">
      <c r="A2676" s="438" t="s">
        <v>1750</v>
      </c>
      <c r="B2676" s="439" t="s">
        <v>2370</v>
      </c>
      <c r="C2676" s="438" t="s">
        <v>512</v>
      </c>
      <c r="D2676" s="438" t="s">
        <v>2371</v>
      </c>
      <c r="E2676" s="438" t="s">
        <v>2372</v>
      </c>
      <c r="F2676" s="438"/>
      <c r="G2676" s="440" t="s">
        <v>1617</v>
      </c>
      <c r="H2676" s="441">
        <v>10.88</v>
      </c>
      <c r="I2676" s="441">
        <v>3</v>
      </c>
      <c r="J2676" s="449">
        <v>1</v>
      </c>
      <c r="K2676" s="449">
        <v>0.32</v>
      </c>
    </row>
    <row r="2677" customHeight="1" spans="1:11">
      <c r="A2677" s="438" t="s">
        <v>1750</v>
      </c>
      <c r="B2677" s="439" t="s">
        <v>2673</v>
      </c>
      <c r="C2677" s="438" t="s">
        <v>512</v>
      </c>
      <c r="D2677" s="438" t="s">
        <v>2674</v>
      </c>
      <c r="E2677" s="438" t="s">
        <v>1764</v>
      </c>
      <c r="F2677" s="438"/>
      <c r="G2677" s="440" t="s">
        <v>2367</v>
      </c>
      <c r="H2677" s="441">
        <v>0.2</v>
      </c>
      <c r="I2677" s="441">
        <v>0</v>
      </c>
      <c r="J2677" s="449">
        <v>30.57</v>
      </c>
      <c r="K2677" s="449">
        <v>6.11</v>
      </c>
    </row>
    <row r="2678" customHeight="1" spans="1:11">
      <c r="A2678" s="438" t="s">
        <v>1750</v>
      </c>
      <c r="B2678" s="439" t="s">
        <v>2373</v>
      </c>
      <c r="C2678" s="438" t="s">
        <v>512</v>
      </c>
      <c r="D2678" s="438" t="s">
        <v>2374</v>
      </c>
      <c r="E2678" s="438" t="s">
        <v>1764</v>
      </c>
      <c r="F2678" s="438"/>
      <c r="G2678" s="440" t="s">
        <v>2367</v>
      </c>
      <c r="H2678" s="441">
        <v>0.2</v>
      </c>
      <c r="I2678" s="441">
        <v>0</v>
      </c>
      <c r="J2678" s="449">
        <v>23.89</v>
      </c>
      <c r="K2678" s="449">
        <v>4.77</v>
      </c>
    </row>
    <row r="2679" customHeight="1" spans="1:11">
      <c r="A2679" s="434"/>
      <c r="B2679" s="434"/>
      <c r="C2679" s="434"/>
      <c r="D2679" s="434"/>
      <c r="E2679" s="434"/>
      <c r="F2679" s="434" t="s">
        <v>1735</v>
      </c>
      <c r="G2679" s="435">
        <v>5.7</v>
      </c>
      <c r="H2679" s="434" t="s">
        <v>1736</v>
      </c>
      <c r="I2679" s="435">
        <v>5.18</v>
      </c>
      <c r="J2679" s="434" t="s">
        <v>1737</v>
      </c>
      <c r="K2679" s="435">
        <v>10.88</v>
      </c>
    </row>
    <row r="2680" customHeight="1" spans="1:11">
      <c r="A2680" s="434"/>
      <c r="B2680" s="434"/>
      <c r="C2680" s="434"/>
      <c r="D2680" s="434"/>
      <c r="E2680" s="434"/>
      <c r="F2680" s="434" t="s">
        <v>1738</v>
      </c>
      <c r="G2680" s="435">
        <v>6.61</v>
      </c>
      <c r="H2680" s="434"/>
      <c r="I2680" s="434" t="s">
        <v>1739</v>
      </c>
      <c r="J2680" s="434"/>
      <c r="K2680" s="435">
        <v>33.45</v>
      </c>
    </row>
    <row r="2681" customHeight="1" spans="1:11">
      <c r="A2681" s="436"/>
      <c r="B2681" s="436"/>
      <c r="C2681" s="436"/>
      <c r="D2681" s="436"/>
      <c r="E2681" s="436"/>
      <c r="F2681" s="436"/>
      <c r="G2681" s="436"/>
      <c r="H2681" s="436" t="s">
        <v>1740</v>
      </c>
      <c r="I2681" s="447" t="s">
        <v>2321</v>
      </c>
      <c r="J2681" s="436" t="s">
        <v>1742</v>
      </c>
      <c r="K2681" s="448">
        <v>669</v>
      </c>
    </row>
    <row r="2682" customHeight="1" spans="1:11">
      <c r="A2682" s="437"/>
      <c r="B2682" s="437"/>
      <c r="C2682" s="437"/>
      <c r="D2682" s="437"/>
      <c r="E2682" s="437"/>
      <c r="F2682" s="437"/>
      <c r="G2682" s="437"/>
      <c r="H2682" s="437"/>
      <c r="I2682" s="437"/>
      <c r="J2682" s="437"/>
      <c r="K2682" s="437"/>
    </row>
    <row r="2683" customHeight="1" spans="1:11">
      <c r="A2683" s="423" t="s">
        <v>815</v>
      </c>
      <c r="B2683" s="424" t="s">
        <v>1714</v>
      </c>
      <c r="C2683" s="423" t="s">
        <v>1715</v>
      </c>
      <c r="D2683" s="423" t="s">
        <v>1716</v>
      </c>
      <c r="E2683" s="423" t="s">
        <v>1717</v>
      </c>
      <c r="F2683" s="423"/>
      <c r="G2683" s="425" t="s">
        <v>1718</v>
      </c>
      <c r="H2683" s="424" t="s">
        <v>1719</v>
      </c>
      <c r="I2683" s="424" t="s">
        <v>1720</v>
      </c>
      <c r="J2683" s="424" t="s">
        <v>1721</v>
      </c>
      <c r="K2683" s="424" t="s">
        <v>1722</v>
      </c>
    </row>
    <row r="2684" customHeight="1" spans="1:11">
      <c r="A2684" s="426" t="s">
        <v>1723</v>
      </c>
      <c r="B2684" s="427" t="s">
        <v>816</v>
      </c>
      <c r="C2684" s="426" t="s">
        <v>99</v>
      </c>
      <c r="D2684" s="426" t="s">
        <v>817</v>
      </c>
      <c r="E2684" s="426" t="s">
        <v>1684</v>
      </c>
      <c r="F2684" s="426"/>
      <c r="G2684" s="428" t="s">
        <v>105</v>
      </c>
      <c r="H2684" s="429">
        <v>1</v>
      </c>
      <c r="I2684" s="445"/>
      <c r="J2684" s="445">
        <v>63.88</v>
      </c>
      <c r="K2684" s="445">
        <v>63.88</v>
      </c>
    </row>
    <row r="2685" customHeight="1" spans="1:11">
      <c r="A2685" s="438" t="s">
        <v>1750</v>
      </c>
      <c r="B2685" s="439" t="s">
        <v>1824</v>
      </c>
      <c r="C2685" s="438" t="s">
        <v>99</v>
      </c>
      <c r="D2685" s="438" t="s">
        <v>1825</v>
      </c>
      <c r="E2685" s="438" t="s">
        <v>1764</v>
      </c>
      <c r="F2685" s="438"/>
      <c r="G2685" s="440" t="s">
        <v>82</v>
      </c>
      <c r="H2685" s="441">
        <v>0.516</v>
      </c>
      <c r="I2685" s="441">
        <v>0</v>
      </c>
      <c r="J2685" s="449">
        <v>20.515752</v>
      </c>
      <c r="K2685" s="449">
        <v>10.58</v>
      </c>
    </row>
    <row r="2686" customHeight="1" spans="1:11">
      <c r="A2686" s="438" t="s">
        <v>1750</v>
      </c>
      <c r="B2686" s="439" t="s">
        <v>2675</v>
      </c>
      <c r="C2686" s="438" t="s">
        <v>99</v>
      </c>
      <c r="D2686" s="438" t="s">
        <v>2676</v>
      </c>
      <c r="E2686" s="438" t="s">
        <v>1631</v>
      </c>
      <c r="F2686" s="438"/>
      <c r="G2686" s="440" t="s">
        <v>105</v>
      </c>
      <c r="H2686" s="441">
        <v>1.031</v>
      </c>
      <c r="I2686" s="441">
        <v>0</v>
      </c>
      <c r="J2686" s="449">
        <v>1.69</v>
      </c>
      <c r="K2686" s="449">
        <v>1.74</v>
      </c>
    </row>
    <row r="2687" customHeight="1" spans="1:11">
      <c r="A2687" s="438" t="s">
        <v>1750</v>
      </c>
      <c r="B2687" s="439" t="s">
        <v>2677</v>
      </c>
      <c r="C2687" s="438" t="s">
        <v>99</v>
      </c>
      <c r="D2687" s="438" t="s">
        <v>2678</v>
      </c>
      <c r="E2687" s="438" t="s">
        <v>1631</v>
      </c>
      <c r="F2687" s="438"/>
      <c r="G2687" s="440" t="s">
        <v>105</v>
      </c>
      <c r="H2687" s="441">
        <v>0.033</v>
      </c>
      <c r="I2687" s="441">
        <v>0</v>
      </c>
      <c r="J2687" s="449">
        <v>120</v>
      </c>
      <c r="K2687" s="449">
        <v>3.96</v>
      </c>
    </row>
    <row r="2688" customHeight="1" spans="1:11">
      <c r="A2688" s="438" t="s">
        <v>1750</v>
      </c>
      <c r="B2688" s="439" t="s">
        <v>2679</v>
      </c>
      <c r="C2688" s="438" t="s">
        <v>99</v>
      </c>
      <c r="D2688" s="438" t="s">
        <v>2680</v>
      </c>
      <c r="E2688" s="438" t="s">
        <v>1631</v>
      </c>
      <c r="F2688" s="438"/>
      <c r="G2688" s="440" t="s">
        <v>105</v>
      </c>
      <c r="H2688" s="441">
        <v>0.04</v>
      </c>
      <c r="I2688" s="441">
        <v>0</v>
      </c>
      <c r="J2688" s="449">
        <v>144.99</v>
      </c>
      <c r="K2688" s="449">
        <v>5.79</v>
      </c>
    </row>
    <row r="2689" customHeight="1" spans="1:11">
      <c r="A2689" s="438" t="s">
        <v>1750</v>
      </c>
      <c r="B2689" s="439" t="s">
        <v>1832</v>
      </c>
      <c r="C2689" s="438" t="s">
        <v>99</v>
      </c>
      <c r="D2689" s="438" t="s">
        <v>1833</v>
      </c>
      <c r="E2689" s="438" t="s">
        <v>1764</v>
      </c>
      <c r="F2689" s="438"/>
      <c r="G2689" s="440" t="s">
        <v>82</v>
      </c>
      <c r="H2689" s="441">
        <v>0.516</v>
      </c>
      <c r="I2689" s="441">
        <v>0</v>
      </c>
      <c r="J2689" s="449">
        <v>26.928256</v>
      </c>
      <c r="K2689" s="449">
        <v>13.89</v>
      </c>
    </row>
    <row r="2690" customHeight="1" spans="1:11">
      <c r="A2690" s="438" t="s">
        <v>1750</v>
      </c>
      <c r="B2690" s="439" t="s">
        <v>2681</v>
      </c>
      <c r="C2690" s="438" t="s">
        <v>99</v>
      </c>
      <c r="D2690" s="438" t="s">
        <v>2682</v>
      </c>
      <c r="E2690" s="438" t="s">
        <v>1631</v>
      </c>
      <c r="F2690" s="438"/>
      <c r="G2690" s="440" t="s">
        <v>105</v>
      </c>
      <c r="H2690" s="441">
        <v>1</v>
      </c>
      <c r="I2690" s="441">
        <v>0</v>
      </c>
      <c r="J2690" s="449">
        <v>27.92</v>
      </c>
      <c r="K2690" s="449">
        <v>27.92</v>
      </c>
    </row>
    <row r="2691" customHeight="1" spans="1:11">
      <c r="A2691" s="434"/>
      <c r="B2691" s="434"/>
      <c r="C2691" s="434"/>
      <c r="D2691" s="434"/>
      <c r="E2691" s="434"/>
      <c r="F2691" s="434" t="s">
        <v>1735</v>
      </c>
      <c r="G2691" s="435">
        <v>12.82</v>
      </c>
      <c r="H2691" s="434" t="s">
        <v>1736</v>
      </c>
      <c r="I2691" s="435">
        <v>11.65</v>
      </c>
      <c r="J2691" s="434" t="s">
        <v>1737</v>
      </c>
      <c r="K2691" s="435">
        <v>24.47</v>
      </c>
    </row>
    <row r="2692" customHeight="1" spans="1:11">
      <c r="A2692" s="434"/>
      <c r="B2692" s="434"/>
      <c r="C2692" s="434"/>
      <c r="D2692" s="434"/>
      <c r="E2692" s="434"/>
      <c r="F2692" s="434" t="s">
        <v>1738</v>
      </c>
      <c r="G2692" s="435">
        <v>15.75</v>
      </c>
      <c r="H2692" s="434"/>
      <c r="I2692" s="434" t="s">
        <v>1739</v>
      </c>
      <c r="J2692" s="434"/>
      <c r="K2692" s="435">
        <v>79.63</v>
      </c>
    </row>
    <row r="2693" customHeight="1" spans="1:11">
      <c r="A2693" s="436"/>
      <c r="B2693" s="436"/>
      <c r="C2693" s="436"/>
      <c r="D2693" s="436"/>
      <c r="E2693" s="436"/>
      <c r="F2693" s="436"/>
      <c r="G2693" s="436"/>
      <c r="H2693" s="436" t="s">
        <v>1740</v>
      </c>
      <c r="I2693" s="447" t="s">
        <v>2429</v>
      </c>
      <c r="J2693" s="436" t="s">
        <v>1742</v>
      </c>
      <c r="K2693" s="448">
        <v>2229.64</v>
      </c>
    </row>
    <row r="2694" customHeight="1" spans="1:11">
      <c r="A2694" s="437"/>
      <c r="B2694" s="437"/>
      <c r="C2694" s="437"/>
      <c r="D2694" s="437"/>
      <c r="E2694" s="437"/>
      <c r="F2694" s="437"/>
      <c r="G2694" s="437"/>
      <c r="H2694" s="437"/>
      <c r="I2694" s="437"/>
      <c r="J2694" s="437"/>
      <c r="K2694" s="437"/>
    </row>
    <row r="2695" customHeight="1" spans="1:11">
      <c r="A2695" s="422" t="s">
        <v>818</v>
      </c>
      <c r="B2695" s="422"/>
      <c r="C2695" s="422"/>
      <c r="D2695" s="422" t="s">
        <v>819</v>
      </c>
      <c r="E2695" s="422"/>
      <c r="F2695" s="422"/>
      <c r="G2695" s="422"/>
      <c r="H2695" s="422"/>
      <c r="I2695" s="443"/>
      <c r="J2695" s="422"/>
      <c r="K2695" s="444">
        <v>46944.62</v>
      </c>
    </row>
    <row r="2696" customHeight="1" spans="1:11">
      <c r="A2696" s="423" t="s">
        <v>820</v>
      </c>
      <c r="B2696" s="424" t="s">
        <v>1714</v>
      </c>
      <c r="C2696" s="423" t="s">
        <v>1715</v>
      </c>
      <c r="D2696" s="423" t="s">
        <v>1716</v>
      </c>
      <c r="E2696" s="423" t="s">
        <v>1717</v>
      </c>
      <c r="F2696" s="423"/>
      <c r="G2696" s="425" t="s">
        <v>1718</v>
      </c>
      <c r="H2696" s="424" t="s">
        <v>1719</v>
      </c>
      <c r="I2696" s="424" t="s">
        <v>1720</v>
      </c>
      <c r="J2696" s="424" t="s">
        <v>1721</v>
      </c>
      <c r="K2696" s="424" t="s">
        <v>1722</v>
      </c>
    </row>
    <row r="2697" customHeight="1" spans="1:11">
      <c r="A2697" s="426" t="s">
        <v>1723</v>
      </c>
      <c r="B2697" s="427" t="s">
        <v>821</v>
      </c>
      <c r="C2697" s="426" t="s">
        <v>71</v>
      </c>
      <c r="D2697" s="426" t="s">
        <v>822</v>
      </c>
      <c r="E2697" s="426" t="s">
        <v>1636</v>
      </c>
      <c r="F2697" s="426"/>
      <c r="G2697" s="428" t="s">
        <v>105</v>
      </c>
      <c r="H2697" s="429">
        <v>1</v>
      </c>
      <c r="I2697" s="445"/>
      <c r="J2697" s="445">
        <v>27.08</v>
      </c>
      <c r="K2697" s="445">
        <v>27.08</v>
      </c>
    </row>
    <row r="2698" customHeight="1" spans="1:11">
      <c r="A2698" s="430" t="s">
        <v>1724</v>
      </c>
      <c r="B2698" s="431" t="s">
        <v>2232</v>
      </c>
      <c r="C2698" s="430" t="s">
        <v>71</v>
      </c>
      <c r="D2698" s="430" t="s">
        <v>2233</v>
      </c>
      <c r="E2698" s="430" t="s">
        <v>2095</v>
      </c>
      <c r="F2698" s="430"/>
      <c r="G2698" s="432" t="s">
        <v>129</v>
      </c>
      <c r="H2698" s="433">
        <v>0.0012</v>
      </c>
      <c r="I2698" s="433">
        <v>0</v>
      </c>
      <c r="J2698" s="446">
        <v>655.2</v>
      </c>
      <c r="K2698" s="446">
        <v>0.78</v>
      </c>
    </row>
    <row r="2699" customHeight="1" spans="1:11">
      <c r="A2699" s="430" t="s">
        <v>1724</v>
      </c>
      <c r="B2699" s="431" t="s">
        <v>2385</v>
      </c>
      <c r="C2699" s="430" t="s">
        <v>71</v>
      </c>
      <c r="D2699" s="430" t="s">
        <v>2386</v>
      </c>
      <c r="E2699" s="430" t="s">
        <v>1708</v>
      </c>
      <c r="F2699" s="430"/>
      <c r="G2699" s="432" t="s">
        <v>82</v>
      </c>
      <c r="H2699" s="433">
        <v>0.301</v>
      </c>
      <c r="I2699" s="433">
        <v>0</v>
      </c>
      <c r="J2699" s="446">
        <v>30.6</v>
      </c>
      <c r="K2699" s="446">
        <v>9.21</v>
      </c>
    </row>
    <row r="2700" customHeight="1" spans="1:11">
      <c r="A2700" s="430" t="s">
        <v>1724</v>
      </c>
      <c r="B2700" s="431" t="s">
        <v>2387</v>
      </c>
      <c r="C2700" s="430" t="s">
        <v>71</v>
      </c>
      <c r="D2700" s="430" t="s">
        <v>2388</v>
      </c>
      <c r="E2700" s="430" t="s">
        <v>1708</v>
      </c>
      <c r="F2700" s="430"/>
      <c r="G2700" s="432" t="s">
        <v>82</v>
      </c>
      <c r="H2700" s="433">
        <v>0.301</v>
      </c>
      <c r="I2700" s="433">
        <v>0</v>
      </c>
      <c r="J2700" s="446">
        <v>36.82</v>
      </c>
      <c r="K2700" s="446">
        <v>11.08</v>
      </c>
    </row>
    <row r="2701" customHeight="1" spans="1:11">
      <c r="A2701" s="438" t="s">
        <v>1750</v>
      </c>
      <c r="B2701" s="439" t="s">
        <v>2683</v>
      </c>
      <c r="C2701" s="438" t="s">
        <v>71</v>
      </c>
      <c r="D2701" s="438" t="s">
        <v>2684</v>
      </c>
      <c r="E2701" s="438" t="s">
        <v>1631</v>
      </c>
      <c r="F2701" s="438"/>
      <c r="G2701" s="440" t="s">
        <v>105</v>
      </c>
      <c r="H2701" s="441">
        <v>1</v>
      </c>
      <c r="I2701" s="441">
        <v>0</v>
      </c>
      <c r="J2701" s="449">
        <v>6.01</v>
      </c>
      <c r="K2701" s="449">
        <v>6.01</v>
      </c>
    </row>
    <row r="2702" customHeight="1" spans="1:11">
      <c r="A2702" s="434"/>
      <c r="B2702" s="434"/>
      <c r="C2702" s="434"/>
      <c r="D2702" s="434"/>
      <c r="E2702" s="434"/>
      <c r="F2702" s="434" t="s">
        <v>1735</v>
      </c>
      <c r="G2702" s="435">
        <v>7.55</v>
      </c>
      <c r="H2702" s="434" t="s">
        <v>1736</v>
      </c>
      <c r="I2702" s="435">
        <v>6.87</v>
      </c>
      <c r="J2702" s="434" t="s">
        <v>1737</v>
      </c>
      <c r="K2702" s="435">
        <v>14.42</v>
      </c>
    </row>
    <row r="2703" customHeight="1" spans="1:11">
      <c r="A2703" s="434"/>
      <c r="B2703" s="434"/>
      <c r="C2703" s="434"/>
      <c r="D2703" s="434"/>
      <c r="E2703" s="434"/>
      <c r="F2703" s="434" t="s">
        <v>1738</v>
      </c>
      <c r="G2703" s="435">
        <v>6.67</v>
      </c>
      <c r="H2703" s="434"/>
      <c r="I2703" s="434" t="s">
        <v>1739</v>
      </c>
      <c r="J2703" s="434"/>
      <c r="K2703" s="435">
        <v>33.75</v>
      </c>
    </row>
    <row r="2704" customHeight="1" spans="1:11">
      <c r="A2704" s="436"/>
      <c r="B2704" s="436"/>
      <c r="C2704" s="436"/>
      <c r="D2704" s="436"/>
      <c r="E2704" s="436"/>
      <c r="F2704" s="436"/>
      <c r="G2704" s="436"/>
      <c r="H2704" s="436" t="s">
        <v>1740</v>
      </c>
      <c r="I2704" s="447" t="s">
        <v>1971</v>
      </c>
      <c r="J2704" s="436" t="s">
        <v>1742</v>
      </c>
      <c r="K2704" s="448">
        <v>67.5</v>
      </c>
    </row>
    <row r="2705" customHeight="1" spans="1:11">
      <c r="A2705" s="437"/>
      <c r="B2705" s="437"/>
      <c r="C2705" s="437"/>
      <c r="D2705" s="437"/>
      <c r="E2705" s="437"/>
      <c r="F2705" s="437"/>
      <c r="G2705" s="437"/>
      <c r="H2705" s="437"/>
      <c r="I2705" s="437"/>
      <c r="J2705" s="437"/>
      <c r="K2705" s="437"/>
    </row>
    <row r="2706" customHeight="1" spans="1:11">
      <c r="A2706" s="423" t="s">
        <v>823</v>
      </c>
      <c r="B2706" s="424" t="s">
        <v>1714</v>
      </c>
      <c r="C2706" s="423" t="s">
        <v>1715</v>
      </c>
      <c r="D2706" s="423" t="s">
        <v>1716</v>
      </c>
      <c r="E2706" s="423" t="s">
        <v>1717</v>
      </c>
      <c r="F2706" s="423"/>
      <c r="G2706" s="425" t="s">
        <v>1718</v>
      </c>
      <c r="H2706" s="424" t="s">
        <v>1719</v>
      </c>
      <c r="I2706" s="424" t="s">
        <v>1720</v>
      </c>
      <c r="J2706" s="424" t="s">
        <v>1721</v>
      </c>
      <c r="K2706" s="424" t="s">
        <v>1722</v>
      </c>
    </row>
    <row r="2707" customHeight="1" spans="1:11">
      <c r="A2707" s="426" t="s">
        <v>1723</v>
      </c>
      <c r="B2707" s="427" t="s">
        <v>824</v>
      </c>
      <c r="C2707" s="426" t="s">
        <v>71</v>
      </c>
      <c r="D2707" s="426" t="s">
        <v>825</v>
      </c>
      <c r="E2707" s="426" t="s">
        <v>1636</v>
      </c>
      <c r="F2707" s="426"/>
      <c r="G2707" s="428" t="s">
        <v>105</v>
      </c>
      <c r="H2707" s="429">
        <v>1</v>
      </c>
      <c r="I2707" s="445"/>
      <c r="J2707" s="445">
        <v>20.37</v>
      </c>
      <c r="K2707" s="445">
        <v>20.37</v>
      </c>
    </row>
    <row r="2708" customHeight="1" spans="1:11">
      <c r="A2708" s="430" t="s">
        <v>1724</v>
      </c>
      <c r="B2708" s="431" t="s">
        <v>2387</v>
      </c>
      <c r="C2708" s="430" t="s">
        <v>71</v>
      </c>
      <c r="D2708" s="430" t="s">
        <v>2388</v>
      </c>
      <c r="E2708" s="430" t="s">
        <v>1708</v>
      </c>
      <c r="F2708" s="430"/>
      <c r="G2708" s="432" t="s">
        <v>82</v>
      </c>
      <c r="H2708" s="433">
        <v>0.222</v>
      </c>
      <c r="I2708" s="433">
        <v>0</v>
      </c>
      <c r="J2708" s="446">
        <v>36.82</v>
      </c>
      <c r="K2708" s="446">
        <v>8.17</v>
      </c>
    </row>
    <row r="2709" customHeight="1" spans="1:11">
      <c r="A2709" s="430" t="s">
        <v>1724</v>
      </c>
      <c r="B2709" s="431" t="s">
        <v>2385</v>
      </c>
      <c r="C2709" s="430" t="s">
        <v>71</v>
      </c>
      <c r="D2709" s="430" t="s">
        <v>2386</v>
      </c>
      <c r="E2709" s="430" t="s">
        <v>1708</v>
      </c>
      <c r="F2709" s="430"/>
      <c r="G2709" s="432" t="s">
        <v>82</v>
      </c>
      <c r="H2709" s="433">
        <v>0.222</v>
      </c>
      <c r="I2709" s="433">
        <v>0</v>
      </c>
      <c r="J2709" s="446">
        <v>30.6</v>
      </c>
      <c r="K2709" s="446">
        <v>6.79</v>
      </c>
    </row>
    <row r="2710" customHeight="1" spans="1:11">
      <c r="A2710" s="438" t="s">
        <v>1750</v>
      </c>
      <c r="B2710" s="439" t="s">
        <v>2685</v>
      </c>
      <c r="C2710" s="438" t="s">
        <v>71</v>
      </c>
      <c r="D2710" s="438" t="s">
        <v>2686</v>
      </c>
      <c r="E2710" s="438" t="s">
        <v>1631</v>
      </c>
      <c r="F2710" s="438"/>
      <c r="G2710" s="440" t="s">
        <v>105</v>
      </c>
      <c r="H2710" s="441">
        <v>1</v>
      </c>
      <c r="I2710" s="441">
        <v>0</v>
      </c>
      <c r="J2710" s="449">
        <v>5.41</v>
      </c>
      <c r="K2710" s="449">
        <v>5.41</v>
      </c>
    </row>
    <row r="2711" customHeight="1" spans="1:11">
      <c r="A2711" s="434"/>
      <c r="B2711" s="434"/>
      <c r="C2711" s="434"/>
      <c r="D2711" s="434"/>
      <c r="E2711" s="434"/>
      <c r="F2711" s="434" t="s">
        <v>1735</v>
      </c>
      <c r="G2711" s="435">
        <v>5.5</v>
      </c>
      <c r="H2711" s="434" t="s">
        <v>1736</v>
      </c>
      <c r="I2711" s="435">
        <v>5</v>
      </c>
      <c r="J2711" s="434" t="s">
        <v>1737</v>
      </c>
      <c r="K2711" s="435">
        <v>10.5</v>
      </c>
    </row>
    <row r="2712" customHeight="1" spans="1:11">
      <c r="A2712" s="434"/>
      <c r="B2712" s="434"/>
      <c r="C2712" s="434"/>
      <c r="D2712" s="434"/>
      <c r="E2712" s="434"/>
      <c r="F2712" s="434" t="s">
        <v>1738</v>
      </c>
      <c r="G2712" s="435">
        <v>5.02</v>
      </c>
      <c r="H2712" s="434"/>
      <c r="I2712" s="434" t="s">
        <v>1739</v>
      </c>
      <c r="J2712" s="434"/>
      <c r="K2712" s="435">
        <v>25.39</v>
      </c>
    </row>
    <row r="2713" customHeight="1" spans="1:11">
      <c r="A2713" s="436"/>
      <c r="B2713" s="436"/>
      <c r="C2713" s="436"/>
      <c r="D2713" s="436"/>
      <c r="E2713" s="436"/>
      <c r="F2713" s="436"/>
      <c r="G2713" s="436"/>
      <c r="H2713" s="436" t="s">
        <v>1740</v>
      </c>
      <c r="I2713" s="447" t="s">
        <v>2339</v>
      </c>
      <c r="J2713" s="436" t="s">
        <v>1742</v>
      </c>
      <c r="K2713" s="448">
        <v>76.17</v>
      </c>
    </row>
    <row r="2714" customHeight="1" spans="1:11">
      <c r="A2714" s="437"/>
      <c r="B2714" s="437"/>
      <c r="C2714" s="437"/>
      <c r="D2714" s="437"/>
      <c r="E2714" s="437"/>
      <c r="F2714" s="437"/>
      <c r="G2714" s="437"/>
      <c r="H2714" s="437"/>
      <c r="I2714" s="437"/>
      <c r="J2714" s="437"/>
      <c r="K2714" s="437"/>
    </row>
    <row r="2715" customHeight="1" spans="1:11">
      <c r="A2715" s="423" t="s">
        <v>826</v>
      </c>
      <c r="B2715" s="424" t="s">
        <v>1714</v>
      </c>
      <c r="C2715" s="423" t="s">
        <v>1715</v>
      </c>
      <c r="D2715" s="423" t="s">
        <v>1716</v>
      </c>
      <c r="E2715" s="423" t="s">
        <v>1717</v>
      </c>
      <c r="F2715" s="423"/>
      <c r="G2715" s="425" t="s">
        <v>1718</v>
      </c>
      <c r="H2715" s="424" t="s">
        <v>1719</v>
      </c>
      <c r="I2715" s="424" t="s">
        <v>1720</v>
      </c>
      <c r="J2715" s="424" t="s">
        <v>1721</v>
      </c>
      <c r="K2715" s="424" t="s">
        <v>1722</v>
      </c>
    </row>
    <row r="2716" customHeight="1" spans="1:11">
      <c r="A2716" s="426" t="s">
        <v>1723</v>
      </c>
      <c r="B2716" s="427" t="s">
        <v>827</v>
      </c>
      <c r="C2716" s="426" t="s">
        <v>512</v>
      </c>
      <c r="D2716" s="426" t="s">
        <v>828</v>
      </c>
      <c r="E2716" s="426" t="s">
        <v>1648</v>
      </c>
      <c r="F2716" s="426"/>
      <c r="G2716" s="428" t="s">
        <v>67</v>
      </c>
      <c r="H2716" s="429">
        <v>1</v>
      </c>
      <c r="I2716" s="445"/>
      <c r="J2716" s="445">
        <v>130.75</v>
      </c>
      <c r="K2716" s="445">
        <v>130.75</v>
      </c>
    </row>
    <row r="2717" customHeight="1" spans="1:11">
      <c r="A2717" s="438" t="s">
        <v>1750</v>
      </c>
      <c r="B2717" s="439" t="s">
        <v>2370</v>
      </c>
      <c r="C2717" s="438" t="s">
        <v>512</v>
      </c>
      <c r="D2717" s="438" t="s">
        <v>2371</v>
      </c>
      <c r="E2717" s="438" t="s">
        <v>2372</v>
      </c>
      <c r="F2717" s="438"/>
      <c r="G2717" s="440" t="s">
        <v>1617</v>
      </c>
      <c r="H2717" s="441">
        <v>21.39</v>
      </c>
      <c r="I2717" s="441">
        <v>3</v>
      </c>
      <c r="J2717" s="449">
        <v>1</v>
      </c>
      <c r="K2717" s="449">
        <v>0.64</v>
      </c>
    </row>
    <row r="2718" customHeight="1" spans="1:11">
      <c r="A2718" s="438" t="s">
        <v>1750</v>
      </c>
      <c r="B2718" s="439" t="s">
        <v>2673</v>
      </c>
      <c r="C2718" s="438" t="s">
        <v>512</v>
      </c>
      <c r="D2718" s="438" t="s">
        <v>2674</v>
      </c>
      <c r="E2718" s="438" t="s">
        <v>1764</v>
      </c>
      <c r="F2718" s="438"/>
      <c r="G2718" s="440" t="s">
        <v>2367</v>
      </c>
      <c r="H2718" s="441">
        <v>0.7</v>
      </c>
      <c r="I2718" s="441">
        <v>0</v>
      </c>
      <c r="J2718" s="449">
        <v>30.57</v>
      </c>
      <c r="K2718" s="449">
        <v>21.39</v>
      </c>
    </row>
    <row r="2719" customHeight="1" spans="1:11">
      <c r="A2719" s="438" t="s">
        <v>1750</v>
      </c>
      <c r="B2719" s="439" t="s">
        <v>2687</v>
      </c>
      <c r="C2719" s="438" t="s">
        <v>512</v>
      </c>
      <c r="D2719" s="438" t="s">
        <v>2688</v>
      </c>
      <c r="E2719" s="438" t="s">
        <v>1631</v>
      </c>
      <c r="F2719" s="438"/>
      <c r="G2719" s="440" t="s">
        <v>67</v>
      </c>
      <c r="H2719" s="441">
        <v>1</v>
      </c>
      <c r="I2719" s="441">
        <v>0</v>
      </c>
      <c r="J2719" s="449">
        <v>108.72</v>
      </c>
      <c r="K2719" s="449">
        <v>108.72</v>
      </c>
    </row>
    <row r="2720" customHeight="1" spans="1:11">
      <c r="A2720" s="434"/>
      <c r="B2720" s="434"/>
      <c r="C2720" s="434"/>
      <c r="D2720" s="434"/>
      <c r="E2720" s="434"/>
      <c r="F2720" s="434" t="s">
        <v>1735</v>
      </c>
      <c r="G2720" s="435">
        <v>11.2</v>
      </c>
      <c r="H2720" s="434" t="s">
        <v>1736</v>
      </c>
      <c r="I2720" s="435">
        <v>10.19</v>
      </c>
      <c r="J2720" s="434" t="s">
        <v>1737</v>
      </c>
      <c r="K2720" s="435">
        <v>21.39</v>
      </c>
    </row>
    <row r="2721" customHeight="1" spans="1:11">
      <c r="A2721" s="434"/>
      <c r="B2721" s="434"/>
      <c r="C2721" s="434"/>
      <c r="D2721" s="434"/>
      <c r="E2721" s="434"/>
      <c r="F2721" s="434" t="s">
        <v>1738</v>
      </c>
      <c r="G2721" s="435">
        <v>32.24</v>
      </c>
      <c r="H2721" s="434"/>
      <c r="I2721" s="434" t="s">
        <v>1739</v>
      </c>
      <c r="J2721" s="434"/>
      <c r="K2721" s="435">
        <v>162.99</v>
      </c>
    </row>
    <row r="2722" customHeight="1" spans="1:11">
      <c r="A2722" s="436"/>
      <c r="B2722" s="436"/>
      <c r="C2722" s="436"/>
      <c r="D2722" s="436"/>
      <c r="E2722" s="436"/>
      <c r="F2722" s="436"/>
      <c r="G2722" s="436"/>
      <c r="H2722" s="436" t="s">
        <v>1740</v>
      </c>
      <c r="I2722" s="447" t="s">
        <v>2020</v>
      </c>
      <c r="J2722" s="436" t="s">
        <v>1742</v>
      </c>
      <c r="K2722" s="448">
        <v>1955.88</v>
      </c>
    </row>
    <row r="2723" customHeight="1" spans="1:11">
      <c r="A2723" s="437"/>
      <c r="B2723" s="437"/>
      <c r="C2723" s="437"/>
      <c r="D2723" s="437"/>
      <c r="E2723" s="437"/>
      <c r="F2723" s="437"/>
      <c r="G2723" s="437"/>
      <c r="H2723" s="437"/>
      <c r="I2723" s="437"/>
      <c r="J2723" s="437"/>
      <c r="K2723" s="437"/>
    </row>
    <row r="2724" customHeight="1" spans="1:11">
      <c r="A2724" s="423" t="s">
        <v>829</v>
      </c>
      <c r="B2724" s="424" t="s">
        <v>1714</v>
      </c>
      <c r="C2724" s="423" t="s">
        <v>1715</v>
      </c>
      <c r="D2724" s="423" t="s">
        <v>1716</v>
      </c>
      <c r="E2724" s="423" t="s">
        <v>1717</v>
      </c>
      <c r="F2724" s="423"/>
      <c r="G2724" s="425" t="s">
        <v>1718</v>
      </c>
      <c r="H2724" s="424" t="s">
        <v>1719</v>
      </c>
      <c r="I2724" s="424" t="s">
        <v>1720</v>
      </c>
      <c r="J2724" s="424" t="s">
        <v>1721</v>
      </c>
      <c r="K2724" s="424" t="s">
        <v>1722</v>
      </c>
    </row>
    <row r="2725" customHeight="1" spans="1:11">
      <c r="A2725" s="426" t="s">
        <v>1723</v>
      </c>
      <c r="B2725" s="427" t="s">
        <v>830</v>
      </c>
      <c r="C2725" s="426" t="s">
        <v>512</v>
      </c>
      <c r="D2725" s="426" t="s">
        <v>831</v>
      </c>
      <c r="E2725" s="426" t="s">
        <v>1648</v>
      </c>
      <c r="F2725" s="426"/>
      <c r="G2725" s="428" t="s">
        <v>67</v>
      </c>
      <c r="H2725" s="429">
        <v>1</v>
      </c>
      <c r="I2725" s="445"/>
      <c r="J2725" s="445">
        <v>132.79</v>
      </c>
      <c r="K2725" s="445">
        <v>132.79</v>
      </c>
    </row>
    <row r="2726" customHeight="1" spans="1:11">
      <c r="A2726" s="438" t="s">
        <v>1750</v>
      </c>
      <c r="B2726" s="439" t="s">
        <v>2370</v>
      </c>
      <c r="C2726" s="438" t="s">
        <v>512</v>
      </c>
      <c r="D2726" s="438" t="s">
        <v>2371</v>
      </c>
      <c r="E2726" s="438" t="s">
        <v>2372</v>
      </c>
      <c r="F2726" s="438"/>
      <c r="G2726" s="440" t="s">
        <v>1617</v>
      </c>
      <c r="H2726" s="441">
        <v>23.37</v>
      </c>
      <c r="I2726" s="441">
        <v>3</v>
      </c>
      <c r="J2726" s="449">
        <v>1</v>
      </c>
      <c r="K2726" s="449">
        <v>0.7</v>
      </c>
    </row>
    <row r="2727" customHeight="1" spans="1:11">
      <c r="A2727" s="438" t="s">
        <v>1750</v>
      </c>
      <c r="B2727" s="439" t="s">
        <v>2687</v>
      </c>
      <c r="C2727" s="438" t="s">
        <v>512</v>
      </c>
      <c r="D2727" s="438" t="s">
        <v>2688</v>
      </c>
      <c r="E2727" s="438" t="s">
        <v>1631</v>
      </c>
      <c r="F2727" s="438"/>
      <c r="G2727" s="440" t="s">
        <v>67</v>
      </c>
      <c r="H2727" s="441">
        <v>1</v>
      </c>
      <c r="I2727" s="441">
        <v>0</v>
      </c>
      <c r="J2727" s="449">
        <v>108.72</v>
      </c>
      <c r="K2727" s="449">
        <v>108.72</v>
      </c>
    </row>
    <row r="2728" customHeight="1" spans="1:11">
      <c r="A2728" s="438" t="s">
        <v>1750</v>
      </c>
      <c r="B2728" s="439" t="s">
        <v>2689</v>
      </c>
      <c r="C2728" s="438" t="s">
        <v>512</v>
      </c>
      <c r="D2728" s="438" t="s">
        <v>2690</v>
      </c>
      <c r="E2728" s="438" t="s">
        <v>1764</v>
      </c>
      <c r="F2728" s="438"/>
      <c r="G2728" s="440" t="s">
        <v>2367</v>
      </c>
      <c r="H2728" s="441">
        <v>0.7</v>
      </c>
      <c r="I2728" s="441">
        <v>0</v>
      </c>
      <c r="J2728" s="449">
        <v>33.39</v>
      </c>
      <c r="K2728" s="449">
        <v>23.37</v>
      </c>
    </row>
    <row r="2729" customHeight="1" spans="1:11">
      <c r="A2729" s="434"/>
      <c r="B2729" s="434"/>
      <c r="C2729" s="434"/>
      <c r="D2729" s="434"/>
      <c r="E2729" s="434"/>
      <c r="F2729" s="434" t="s">
        <v>1735</v>
      </c>
      <c r="G2729" s="435">
        <v>12.24</v>
      </c>
      <c r="H2729" s="434" t="s">
        <v>1736</v>
      </c>
      <c r="I2729" s="435">
        <v>11.13</v>
      </c>
      <c r="J2729" s="434" t="s">
        <v>1737</v>
      </c>
      <c r="K2729" s="435">
        <v>23.37</v>
      </c>
    </row>
    <row r="2730" customHeight="1" spans="1:11">
      <c r="A2730" s="434"/>
      <c r="B2730" s="434"/>
      <c r="C2730" s="434"/>
      <c r="D2730" s="434"/>
      <c r="E2730" s="434"/>
      <c r="F2730" s="434" t="s">
        <v>1738</v>
      </c>
      <c r="G2730" s="435">
        <v>32.74</v>
      </c>
      <c r="H2730" s="434"/>
      <c r="I2730" s="434" t="s">
        <v>1739</v>
      </c>
      <c r="J2730" s="434"/>
      <c r="K2730" s="435">
        <v>165.53</v>
      </c>
    </row>
    <row r="2731" customHeight="1" spans="1:11">
      <c r="A2731" s="436"/>
      <c r="B2731" s="436"/>
      <c r="C2731" s="436"/>
      <c r="D2731" s="436"/>
      <c r="E2731" s="436"/>
      <c r="F2731" s="436"/>
      <c r="G2731" s="436"/>
      <c r="H2731" s="436" t="s">
        <v>1740</v>
      </c>
      <c r="I2731" s="447" t="s">
        <v>1741</v>
      </c>
      <c r="J2731" s="436" t="s">
        <v>1742</v>
      </c>
      <c r="K2731" s="448">
        <v>165.53</v>
      </c>
    </row>
    <row r="2732" customHeight="1" spans="1:11">
      <c r="A2732" s="437"/>
      <c r="B2732" s="437"/>
      <c r="C2732" s="437"/>
      <c r="D2732" s="437"/>
      <c r="E2732" s="437"/>
      <c r="F2732" s="437"/>
      <c r="G2732" s="437"/>
      <c r="H2732" s="437"/>
      <c r="I2732" s="437"/>
      <c r="J2732" s="437"/>
      <c r="K2732" s="437"/>
    </row>
    <row r="2733" customHeight="1" spans="1:11">
      <c r="A2733" s="423" t="s">
        <v>832</v>
      </c>
      <c r="B2733" s="424" t="s">
        <v>1714</v>
      </c>
      <c r="C2733" s="423" t="s">
        <v>1715</v>
      </c>
      <c r="D2733" s="423" t="s">
        <v>1716</v>
      </c>
      <c r="E2733" s="423" t="s">
        <v>1717</v>
      </c>
      <c r="F2733" s="423"/>
      <c r="G2733" s="425" t="s">
        <v>1718</v>
      </c>
      <c r="H2733" s="424" t="s">
        <v>1719</v>
      </c>
      <c r="I2733" s="424" t="s">
        <v>1720</v>
      </c>
      <c r="J2733" s="424" t="s">
        <v>1721</v>
      </c>
      <c r="K2733" s="424" t="s">
        <v>1722</v>
      </c>
    </row>
    <row r="2734" customHeight="1" spans="1:11">
      <c r="A2734" s="426" t="s">
        <v>1723</v>
      </c>
      <c r="B2734" s="427" t="s">
        <v>833</v>
      </c>
      <c r="C2734" s="426" t="s">
        <v>76</v>
      </c>
      <c r="D2734" s="426" t="s">
        <v>834</v>
      </c>
      <c r="E2734" s="426">
        <v>6</v>
      </c>
      <c r="F2734" s="426"/>
      <c r="G2734" s="428" t="s">
        <v>105</v>
      </c>
      <c r="H2734" s="429">
        <v>1</v>
      </c>
      <c r="I2734" s="445"/>
      <c r="J2734" s="445">
        <v>772.54</v>
      </c>
      <c r="K2734" s="445">
        <v>772.54</v>
      </c>
    </row>
    <row r="2735" customHeight="1" spans="1:11">
      <c r="A2735" s="430" t="s">
        <v>1724</v>
      </c>
      <c r="B2735" s="431" t="s">
        <v>2485</v>
      </c>
      <c r="C2735" s="430" t="s">
        <v>76</v>
      </c>
      <c r="D2735" s="430" t="s">
        <v>2486</v>
      </c>
      <c r="E2735" s="430">
        <v>11</v>
      </c>
      <c r="F2735" s="430"/>
      <c r="G2735" s="432" t="s">
        <v>129</v>
      </c>
      <c r="H2735" s="433">
        <v>0.102</v>
      </c>
      <c r="I2735" s="433">
        <v>0</v>
      </c>
      <c r="J2735" s="446">
        <v>359.88</v>
      </c>
      <c r="K2735" s="446">
        <v>36.7</v>
      </c>
    </row>
    <row r="2736" customHeight="1" spans="1:11">
      <c r="A2736" s="430" t="s">
        <v>1724</v>
      </c>
      <c r="B2736" s="431" t="s">
        <v>2487</v>
      </c>
      <c r="C2736" s="430" t="s">
        <v>76</v>
      </c>
      <c r="D2736" s="430" t="s">
        <v>2488</v>
      </c>
      <c r="E2736" s="430">
        <v>12</v>
      </c>
      <c r="F2736" s="430"/>
      <c r="G2736" s="432" t="s">
        <v>73</v>
      </c>
      <c r="H2736" s="433">
        <v>1.44</v>
      </c>
      <c r="I2736" s="433">
        <v>0</v>
      </c>
      <c r="J2736" s="446">
        <v>319.76</v>
      </c>
      <c r="K2736" s="446">
        <v>460.45</v>
      </c>
    </row>
    <row r="2737" customHeight="1" spans="1:11">
      <c r="A2737" s="430" t="s">
        <v>1724</v>
      </c>
      <c r="B2737" s="431" t="s">
        <v>2489</v>
      </c>
      <c r="C2737" s="430" t="s">
        <v>76</v>
      </c>
      <c r="D2737" s="430" t="s">
        <v>2490</v>
      </c>
      <c r="E2737" s="430">
        <v>13</v>
      </c>
      <c r="F2737" s="430"/>
      <c r="G2737" s="432" t="s">
        <v>73</v>
      </c>
      <c r="H2737" s="433">
        <v>1.01</v>
      </c>
      <c r="I2737" s="433">
        <v>0</v>
      </c>
      <c r="J2737" s="446">
        <v>33.44</v>
      </c>
      <c r="K2737" s="446">
        <v>33.77</v>
      </c>
    </row>
    <row r="2738" customHeight="1" spans="1:11">
      <c r="A2738" s="430" t="s">
        <v>1724</v>
      </c>
      <c r="B2738" s="431" t="s">
        <v>2691</v>
      </c>
      <c r="C2738" s="430" t="s">
        <v>76</v>
      </c>
      <c r="D2738" s="430" t="s">
        <v>2692</v>
      </c>
      <c r="E2738" s="430">
        <v>11</v>
      </c>
      <c r="F2738" s="430"/>
      <c r="G2738" s="432" t="s">
        <v>129</v>
      </c>
      <c r="H2738" s="433">
        <v>0.072</v>
      </c>
      <c r="I2738" s="433">
        <v>0</v>
      </c>
      <c r="J2738" s="446">
        <v>382.58</v>
      </c>
      <c r="K2738" s="446">
        <v>27.54</v>
      </c>
    </row>
    <row r="2739" customHeight="1" spans="1:11">
      <c r="A2739" s="438" t="s">
        <v>1750</v>
      </c>
      <c r="B2739" s="439" t="s">
        <v>1773</v>
      </c>
      <c r="C2739" s="438" t="s">
        <v>76</v>
      </c>
      <c r="D2739" s="438" t="s">
        <v>1774</v>
      </c>
      <c r="E2739" s="438" t="s">
        <v>1631</v>
      </c>
      <c r="F2739" s="438"/>
      <c r="G2739" s="440" t="s">
        <v>78</v>
      </c>
      <c r="H2739" s="441">
        <v>1.2</v>
      </c>
      <c r="I2739" s="441">
        <v>0</v>
      </c>
      <c r="J2739" s="449">
        <v>12.67</v>
      </c>
      <c r="K2739" s="449">
        <v>15.2</v>
      </c>
    </row>
    <row r="2740" customHeight="1" spans="1:11">
      <c r="A2740" s="438" t="s">
        <v>1750</v>
      </c>
      <c r="B2740" s="439" t="s">
        <v>1769</v>
      </c>
      <c r="C2740" s="438" t="s">
        <v>76</v>
      </c>
      <c r="D2740" s="438" t="s">
        <v>1770</v>
      </c>
      <c r="E2740" s="438" t="s">
        <v>1631</v>
      </c>
      <c r="F2740" s="438"/>
      <c r="G2740" s="440" t="s">
        <v>158</v>
      </c>
      <c r="H2740" s="441">
        <v>0.05</v>
      </c>
      <c r="I2740" s="441">
        <v>0</v>
      </c>
      <c r="J2740" s="449">
        <v>15.35</v>
      </c>
      <c r="K2740" s="449">
        <v>0.76</v>
      </c>
    </row>
    <row r="2741" customHeight="1" spans="1:11">
      <c r="A2741" s="438" t="s">
        <v>1750</v>
      </c>
      <c r="B2741" s="439" t="s">
        <v>2149</v>
      </c>
      <c r="C2741" s="438" t="s">
        <v>76</v>
      </c>
      <c r="D2741" s="438" t="s">
        <v>2150</v>
      </c>
      <c r="E2741" s="438" t="s">
        <v>1764</v>
      </c>
      <c r="F2741" s="438"/>
      <c r="G2741" s="440" t="s">
        <v>82</v>
      </c>
      <c r="H2741" s="441">
        <v>2.88</v>
      </c>
      <c r="I2741" s="441">
        <v>3</v>
      </c>
      <c r="J2741" s="449">
        <v>26.52</v>
      </c>
      <c r="K2741" s="449">
        <v>78.66</v>
      </c>
    </row>
    <row r="2742" customHeight="1" spans="1:11">
      <c r="A2742" s="438" t="s">
        <v>1750</v>
      </c>
      <c r="B2742" s="439" t="s">
        <v>1762</v>
      </c>
      <c r="C2742" s="438" t="s">
        <v>76</v>
      </c>
      <c r="D2742" s="438" t="s">
        <v>1763</v>
      </c>
      <c r="E2742" s="438" t="s">
        <v>1764</v>
      </c>
      <c r="F2742" s="438"/>
      <c r="G2742" s="440" t="s">
        <v>82</v>
      </c>
      <c r="H2742" s="441">
        <v>0.8</v>
      </c>
      <c r="I2742" s="441">
        <v>3</v>
      </c>
      <c r="J2742" s="449">
        <v>26.52</v>
      </c>
      <c r="K2742" s="449">
        <v>21.85</v>
      </c>
    </row>
    <row r="2743" customHeight="1" spans="1:11">
      <c r="A2743" s="438" t="s">
        <v>1750</v>
      </c>
      <c r="B2743" s="439" t="s">
        <v>1767</v>
      </c>
      <c r="C2743" s="438" t="s">
        <v>76</v>
      </c>
      <c r="D2743" s="438" t="s">
        <v>1768</v>
      </c>
      <c r="E2743" s="438" t="s">
        <v>1764</v>
      </c>
      <c r="F2743" s="438"/>
      <c r="G2743" s="440" t="s">
        <v>82</v>
      </c>
      <c r="H2743" s="441">
        <v>2.38</v>
      </c>
      <c r="I2743" s="441">
        <v>3</v>
      </c>
      <c r="J2743" s="449">
        <v>19.16</v>
      </c>
      <c r="K2743" s="449">
        <v>46.96</v>
      </c>
    </row>
    <row r="2744" customHeight="1" spans="1:11">
      <c r="A2744" s="438" t="s">
        <v>1750</v>
      </c>
      <c r="B2744" s="439" t="s">
        <v>2693</v>
      </c>
      <c r="C2744" s="438" t="s">
        <v>76</v>
      </c>
      <c r="D2744" s="438" t="s">
        <v>2694</v>
      </c>
      <c r="E2744" s="438" t="s">
        <v>1631</v>
      </c>
      <c r="F2744" s="438"/>
      <c r="G2744" s="440" t="s">
        <v>158</v>
      </c>
      <c r="H2744" s="441">
        <v>5.5</v>
      </c>
      <c r="I2744" s="441">
        <v>0</v>
      </c>
      <c r="J2744" s="449">
        <v>9.21</v>
      </c>
      <c r="K2744" s="449">
        <v>50.65</v>
      </c>
    </row>
    <row r="2745" customHeight="1" spans="1:11">
      <c r="A2745" s="434"/>
      <c r="B2745" s="434"/>
      <c r="C2745" s="434"/>
      <c r="D2745" s="434"/>
      <c r="E2745" s="434"/>
      <c r="F2745" s="434" t="s">
        <v>1735</v>
      </c>
      <c r="G2745" s="435">
        <v>176.52</v>
      </c>
      <c r="H2745" s="434" t="s">
        <v>1736</v>
      </c>
      <c r="I2745" s="435">
        <v>160.34</v>
      </c>
      <c r="J2745" s="434" t="s">
        <v>1737</v>
      </c>
      <c r="K2745" s="435">
        <v>336.86</v>
      </c>
    </row>
    <row r="2746" customHeight="1" spans="1:11">
      <c r="A2746" s="434"/>
      <c r="B2746" s="434"/>
      <c r="C2746" s="434"/>
      <c r="D2746" s="434"/>
      <c r="E2746" s="434"/>
      <c r="F2746" s="434" t="s">
        <v>1738</v>
      </c>
      <c r="G2746" s="435">
        <v>190.5</v>
      </c>
      <c r="H2746" s="434"/>
      <c r="I2746" s="434" t="s">
        <v>1739</v>
      </c>
      <c r="J2746" s="434"/>
      <c r="K2746" s="435">
        <v>963.04</v>
      </c>
    </row>
    <row r="2747" customHeight="1" spans="1:11">
      <c r="A2747" s="436"/>
      <c r="B2747" s="436"/>
      <c r="C2747" s="436"/>
      <c r="D2747" s="436"/>
      <c r="E2747" s="436"/>
      <c r="F2747" s="436"/>
      <c r="G2747" s="436"/>
      <c r="H2747" s="436" t="s">
        <v>1740</v>
      </c>
      <c r="I2747" s="447" t="s">
        <v>2695</v>
      </c>
      <c r="J2747" s="436" t="s">
        <v>1742</v>
      </c>
      <c r="K2747" s="448">
        <v>20223.84</v>
      </c>
    </row>
    <row r="2748" customHeight="1" spans="1:11">
      <c r="A2748" s="437"/>
      <c r="B2748" s="437"/>
      <c r="C2748" s="437"/>
      <c r="D2748" s="437"/>
      <c r="E2748" s="437"/>
      <c r="F2748" s="437"/>
      <c r="G2748" s="437"/>
      <c r="H2748" s="437"/>
      <c r="I2748" s="437"/>
      <c r="J2748" s="437"/>
      <c r="K2748" s="437"/>
    </row>
    <row r="2749" customHeight="1" spans="1:11">
      <c r="A2749" s="423" t="s">
        <v>835</v>
      </c>
      <c r="B2749" s="424" t="s">
        <v>1714</v>
      </c>
      <c r="C2749" s="423" t="s">
        <v>1715</v>
      </c>
      <c r="D2749" s="423" t="s">
        <v>1716</v>
      </c>
      <c r="E2749" s="423" t="s">
        <v>1717</v>
      </c>
      <c r="F2749" s="423"/>
      <c r="G2749" s="425" t="s">
        <v>1718</v>
      </c>
      <c r="H2749" s="424" t="s">
        <v>1719</v>
      </c>
      <c r="I2749" s="424" t="s">
        <v>1720</v>
      </c>
      <c r="J2749" s="424" t="s">
        <v>1721</v>
      </c>
      <c r="K2749" s="424" t="s">
        <v>1722</v>
      </c>
    </row>
    <row r="2750" customHeight="1" spans="1:11">
      <c r="A2750" s="426" t="s">
        <v>1723</v>
      </c>
      <c r="B2750" s="427" t="s">
        <v>636</v>
      </c>
      <c r="C2750" s="426" t="s">
        <v>76</v>
      </c>
      <c r="D2750" s="426" t="s">
        <v>637</v>
      </c>
      <c r="E2750" s="426">
        <v>6</v>
      </c>
      <c r="F2750" s="426"/>
      <c r="G2750" s="428" t="s">
        <v>105</v>
      </c>
      <c r="H2750" s="429">
        <v>1</v>
      </c>
      <c r="I2750" s="445"/>
      <c r="J2750" s="445">
        <v>1144.41</v>
      </c>
      <c r="K2750" s="445">
        <v>1144.41</v>
      </c>
    </row>
    <row r="2751" customHeight="1" spans="1:11">
      <c r="A2751" s="430" t="s">
        <v>1724</v>
      </c>
      <c r="B2751" s="431" t="s">
        <v>2485</v>
      </c>
      <c r="C2751" s="430" t="s">
        <v>76</v>
      </c>
      <c r="D2751" s="430" t="s">
        <v>2486</v>
      </c>
      <c r="E2751" s="430">
        <v>11</v>
      </c>
      <c r="F2751" s="430"/>
      <c r="G2751" s="432" t="s">
        <v>129</v>
      </c>
      <c r="H2751" s="433">
        <v>0.17</v>
      </c>
      <c r="I2751" s="433">
        <v>0</v>
      </c>
      <c r="J2751" s="446">
        <v>359.88</v>
      </c>
      <c r="K2751" s="446">
        <v>61.17</v>
      </c>
    </row>
    <row r="2752" customHeight="1" spans="1:11">
      <c r="A2752" s="430" t="s">
        <v>1724</v>
      </c>
      <c r="B2752" s="431" t="s">
        <v>2487</v>
      </c>
      <c r="C2752" s="430" t="s">
        <v>76</v>
      </c>
      <c r="D2752" s="430" t="s">
        <v>2488</v>
      </c>
      <c r="E2752" s="430">
        <v>12</v>
      </c>
      <c r="F2752" s="430"/>
      <c r="G2752" s="432" t="s">
        <v>73</v>
      </c>
      <c r="H2752" s="433">
        <v>2.56</v>
      </c>
      <c r="I2752" s="433">
        <v>0</v>
      </c>
      <c r="J2752" s="446">
        <v>319.76</v>
      </c>
      <c r="K2752" s="446">
        <v>818.58</v>
      </c>
    </row>
    <row r="2753" customHeight="1" spans="1:11">
      <c r="A2753" s="430" t="s">
        <v>1724</v>
      </c>
      <c r="B2753" s="431" t="s">
        <v>2489</v>
      </c>
      <c r="C2753" s="430" t="s">
        <v>76</v>
      </c>
      <c r="D2753" s="430" t="s">
        <v>2490</v>
      </c>
      <c r="E2753" s="430">
        <v>13</v>
      </c>
      <c r="F2753" s="430"/>
      <c r="G2753" s="432" t="s">
        <v>73</v>
      </c>
      <c r="H2753" s="433">
        <v>2.02</v>
      </c>
      <c r="I2753" s="433">
        <v>0</v>
      </c>
      <c r="J2753" s="446">
        <v>33.44</v>
      </c>
      <c r="K2753" s="446">
        <v>67.54</v>
      </c>
    </row>
    <row r="2754" customHeight="1" spans="1:11">
      <c r="A2754" s="438" t="s">
        <v>1750</v>
      </c>
      <c r="B2754" s="439" t="s">
        <v>2149</v>
      </c>
      <c r="C2754" s="438" t="s">
        <v>76</v>
      </c>
      <c r="D2754" s="438" t="s">
        <v>2150</v>
      </c>
      <c r="E2754" s="438" t="s">
        <v>1764</v>
      </c>
      <c r="F2754" s="438"/>
      <c r="G2754" s="440" t="s">
        <v>82</v>
      </c>
      <c r="H2754" s="441">
        <v>4.11</v>
      </c>
      <c r="I2754" s="441">
        <v>3</v>
      </c>
      <c r="J2754" s="449">
        <v>26.52</v>
      </c>
      <c r="K2754" s="449">
        <v>112.26</v>
      </c>
    </row>
    <row r="2755" customHeight="1" spans="1:11">
      <c r="A2755" s="438" t="s">
        <v>1750</v>
      </c>
      <c r="B2755" s="439" t="s">
        <v>1762</v>
      </c>
      <c r="C2755" s="438" t="s">
        <v>76</v>
      </c>
      <c r="D2755" s="438" t="s">
        <v>1763</v>
      </c>
      <c r="E2755" s="438" t="s">
        <v>1764</v>
      </c>
      <c r="F2755" s="438"/>
      <c r="G2755" s="440" t="s">
        <v>82</v>
      </c>
      <c r="H2755" s="441">
        <v>0.5</v>
      </c>
      <c r="I2755" s="441">
        <v>3</v>
      </c>
      <c r="J2755" s="449">
        <v>26.52</v>
      </c>
      <c r="K2755" s="449">
        <v>13.65</v>
      </c>
    </row>
    <row r="2756" customHeight="1" spans="1:11">
      <c r="A2756" s="438" t="s">
        <v>1750</v>
      </c>
      <c r="B2756" s="439" t="s">
        <v>1767</v>
      </c>
      <c r="C2756" s="438" t="s">
        <v>76</v>
      </c>
      <c r="D2756" s="438" t="s">
        <v>1768</v>
      </c>
      <c r="E2756" s="438" t="s">
        <v>1764</v>
      </c>
      <c r="F2756" s="438"/>
      <c r="G2756" s="440" t="s">
        <v>82</v>
      </c>
      <c r="H2756" s="441">
        <v>2.71</v>
      </c>
      <c r="I2756" s="441">
        <v>3</v>
      </c>
      <c r="J2756" s="449">
        <v>19.16</v>
      </c>
      <c r="K2756" s="449">
        <v>53.48</v>
      </c>
    </row>
    <row r="2757" customHeight="1" spans="1:11">
      <c r="A2757" s="438" t="s">
        <v>1750</v>
      </c>
      <c r="B2757" s="439" t="s">
        <v>1773</v>
      </c>
      <c r="C2757" s="438" t="s">
        <v>76</v>
      </c>
      <c r="D2757" s="438" t="s">
        <v>1774</v>
      </c>
      <c r="E2757" s="438" t="s">
        <v>1631</v>
      </c>
      <c r="F2757" s="438"/>
      <c r="G2757" s="440" t="s">
        <v>78</v>
      </c>
      <c r="H2757" s="441">
        <v>1.4</v>
      </c>
      <c r="I2757" s="441">
        <v>0</v>
      </c>
      <c r="J2757" s="449">
        <v>12.67</v>
      </c>
      <c r="K2757" s="449">
        <v>17.73</v>
      </c>
    </row>
    <row r="2758" customHeight="1" spans="1:11">
      <c r="A2758" s="434"/>
      <c r="B2758" s="434"/>
      <c r="C2758" s="434"/>
      <c r="D2758" s="434"/>
      <c r="E2758" s="434"/>
      <c r="F2758" s="434" t="s">
        <v>1735</v>
      </c>
      <c r="G2758" s="435">
        <v>273.38</v>
      </c>
      <c r="H2758" s="434" t="s">
        <v>1736</v>
      </c>
      <c r="I2758" s="435">
        <v>248.33</v>
      </c>
      <c r="J2758" s="434" t="s">
        <v>1737</v>
      </c>
      <c r="K2758" s="435">
        <v>521.71</v>
      </c>
    </row>
    <row r="2759" customHeight="1" spans="1:11">
      <c r="A2759" s="434"/>
      <c r="B2759" s="434"/>
      <c r="C2759" s="434"/>
      <c r="D2759" s="434"/>
      <c r="E2759" s="434"/>
      <c r="F2759" s="434" t="s">
        <v>1738</v>
      </c>
      <c r="G2759" s="435">
        <v>282.21</v>
      </c>
      <c r="H2759" s="434"/>
      <c r="I2759" s="434" t="s">
        <v>1739</v>
      </c>
      <c r="J2759" s="434"/>
      <c r="K2759" s="435">
        <v>1426.62</v>
      </c>
    </row>
    <row r="2760" customHeight="1" spans="1:11">
      <c r="A2760" s="436"/>
      <c r="B2760" s="436"/>
      <c r="C2760" s="436"/>
      <c r="D2760" s="436"/>
      <c r="E2760" s="436"/>
      <c r="F2760" s="436"/>
      <c r="G2760" s="436"/>
      <c r="H2760" s="436" t="s">
        <v>1740</v>
      </c>
      <c r="I2760" s="447" t="s">
        <v>2339</v>
      </c>
      <c r="J2760" s="436" t="s">
        <v>1742</v>
      </c>
      <c r="K2760" s="448">
        <v>4279.86</v>
      </c>
    </row>
    <row r="2761" customHeight="1" spans="1:11">
      <c r="A2761" s="437"/>
      <c r="B2761" s="437"/>
      <c r="C2761" s="437"/>
      <c r="D2761" s="437"/>
      <c r="E2761" s="437"/>
      <c r="F2761" s="437"/>
      <c r="G2761" s="437"/>
      <c r="H2761" s="437"/>
      <c r="I2761" s="437"/>
      <c r="J2761" s="437"/>
      <c r="K2761" s="437"/>
    </row>
    <row r="2762" customHeight="1" spans="1:11">
      <c r="A2762" s="423" t="s">
        <v>836</v>
      </c>
      <c r="B2762" s="424" t="s">
        <v>1714</v>
      </c>
      <c r="C2762" s="423" t="s">
        <v>1715</v>
      </c>
      <c r="D2762" s="423" t="s">
        <v>1716</v>
      </c>
      <c r="E2762" s="423" t="s">
        <v>1717</v>
      </c>
      <c r="F2762" s="423"/>
      <c r="G2762" s="425" t="s">
        <v>1718</v>
      </c>
      <c r="H2762" s="424" t="s">
        <v>1719</v>
      </c>
      <c r="I2762" s="424" t="s">
        <v>1720</v>
      </c>
      <c r="J2762" s="424" t="s">
        <v>1721</v>
      </c>
      <c r="K2762" s="424" t="s">
        <v>1722</v>
      </c>
    </row>
    <row r="2763" customHeight="1" spans="1:11">
      <c r="A2763" s="426" t="s">
        <v>1723</v>
      </c>
      <c r="B2763" s="427" t="s">
        <v>837</v>
      </c>
      <c r="C2763" s="426" t="s">
        <v>76</v>
      </c>
      <c r="D2763" s="426" t="s">
        <v>838</v>
      </c>
      <c r="E2763" s="426">
        <v>6</v>
      </c>
      <c r="F2763" s="426"/>
      <c r="G2763" s="428" t="s">
        <v>105</v>
      </c>
      <c r="H2763" s="429">
        <v>1</v>
      </c>
      <c r="I2763" s="445"/>
      <c r="J2763" s="445">
        <v>2697.45</v>
      </c>
      <c r="K2763" s="445">
        <v>2697.45</v>
      </c>
    </row>
    <row r="2764" customHeight="1" spans="1:11">
      <c r="A2764" s="430" t="s">
        <v>1724</v>
      </c>
      <c r="B2764" s="431" t="s">
        <v>2485</v>
      </c>
      <c r="C2764" s="430" t="s">
        <v>76</v>
      </c>
      <c r="D2764" s="430" t="s">
        <v>2486</v>
      </c>
      <c r="E2764" s="430">
        <v>11</v>
      </c>
      <c r="F2764" s="430"/>
      <c r="G2764" s="432" t="s">
        <v>129</v>
      </c>
      <c r="H2764" s="433">
        <v>0.33</v>
      </c>
      <c r="I2764" s="433">
        <v>0</v>
      </c>
      <c r="J2764" s="446">
        <v>359.88</v>
      </c>
      <c r="K2764" s="446">
        <v>118.76</v>
      </c>
    </row>
    <row r="2765" customHeight="1" spans="1:11">
      <c r="A2765" s="430" t="s">
        <v>1724</v>
      </c>
      <c r="B2765" s="431" t="s">
        <v>2489</v>
      </c>
      <c r="C2765" s="430" t="s">
        <v>76</v>
      </c>
      <c r="D2765" s="430" t="s">
        <v>2490</v>
      </c>
      <c r="E2765" s="430">
        <v>13</v>
      </c>
      <c r="F2765" s="430"/>
      <c r="G2765" s="432" t="s">
        <v>73</v>
      </c>
      <c r="H2765" s="433">
        <v>4.2</v>
      </c>
      <c r="I2765" s="433">
        <v>0</v>
      </c>
      <c r="J2765" s="446">
        <v>33.44</v>
      </c>
      <c r="K2765" s="446">
        <v>140.44</v>
      </c>
    </row>
    <row r="2766" customHeight="1" spans="1:11">
      <c r="A2766" s="430" t="s">
        <v>1724</v>
      </c>
      <c r="B2766" s="431" t="s">
        <v>2696</v>
      </c>
      <c r="C2766" s="430" t="s">
        <v>76</v>
      </c>
      <c r="D2766" s="430" t="s">
        <v>2697</v>
      </c>
      <c r="E2766" s="430">
        <v>12</v>
      </c>
      <c r="F2766" s="430"/>
      <c r="G2766" s="432" t="s">
        <v>73</v>
      </c>
      <c r="H2766" s="433">
        <v>4.8</v>
      </c>
      <c r="I2766" s="433">
        <v>0</v>
      </c>
      <c r="J2766" s="446">
        <v>354.46</v>
      </c>
      <c r="K2766" s="446">
        <v>1701.4</v>
      </c>
    </row>
    <row r="2767" customHeight="1" spans="1:11">
      <c r="A2767" s="430" t="s">
        <v>1724</v>
      </c>
      <c r="B2767" s="431" t="s">
        <v>2691</v>
      </c>
      <c r="C2767" s="430" t="s">
        <v>76</v>
      </c>
      <c r="D2767" s="430" t="s">
        <v>2692</v>
      </c>
      <c r="E2767" s="430">
        <v>11</v>
      </c>
      <c r="F2767" s="430"/>
      <c r="G2767" s="432" t="s">
        <v>129</v>
      </c>
      <c r="H2767" s="433">
        <v>0.24</v>
      </c>
      <c r="I2767" s="433">
        <v>0</v>
      </c>
      <c r="J2767" s="446">
        <v>382.58</v>
      </c>
      <c r="K2767" s="446">
        <v>91.81</v>
      </c>
    </row>
    <row r="2768" customHeight="1" spans="1:11">
      <c r="A2768" s="438" t="s">
        <v>1750</v>
      </c>
      <c r="B2768" s="439" t="s">
        <v>1773</v>
      </c>
      <c r="C2768" s="438" t="s">
        <v>76</v>
      </c>
      <c r="D2768" s="438" t="s">
        <v>1774</v>
      </c>
      <c r="E2768" s="438" t="s">
        <v>1631</v>
      </c>
      <c r="F2768" s="438"/>
      <c r="G2768" s="440" t="s">
        <v>78</v>
      </c>
      <c r="H2768" s="441">
        <v>2</v>
      </c>
      <c r="I2768" s="441">
        <v>0</v>
      </c>
      <c r="J2768" s="449">
        <v>12.67</v>
      </c>
      <c r="K2768" s="449">
        <v>25.34</v>
      </c>
    </row>
    <row r="2769" customHeight="1" spans="1:11">
      <c r="A2769" s="438" t="s">
        <v>1750</v>
      </c>
      <c r="B2769" s="439" t="s">
        <v>2693</v>
      </c>
      <c r="C2769" s="438" t="s">
        <v>76</v>
      </c>
      <c r="D2769" s="438" t="s">
        <v>2694</v>
      </c>
      <c r="E2769" s="438" t="s">
        <v>1631</v>
      </c>
      <c r="F2769" s="438"/>
      <c r="G2769" s="440" t="s">
        <v>158</v>
      </c>
      <c r="H2769" s="441">
        <v>15.1</v>
      </c>
      <c r="I2769" s="441">
        <v>0</v>
      </c>
      <c r="J2769" s="449">
        <v>9.21</v>
      </c>
      <c r="K2769" s="449">
        <v>139.07</v>
      </c>
    </row>
    <row r="2770" customHeight="1" spans="1:11">
      <c r="A2770" s="438" t="s">
        <v>1750</v>
      </c>
      <c r="B2770" s="439" t="s">
        <v>1767</v>
      </c>
      <c r="C2770" s="438" t="s">
        <v>76</v>
      </c>
      <c r="D2770" s="438" t="s">
        <v>1768</v>
      </c>
      <c r="E2770" s="438" t="s">
        <v>1764</v>
      </c>
      <c r="F2770" s="438"/>
      <c r="G2770" s="440" t="s">
        <v>82</v>
      </c>
      <c r="H2770" s="441">
        <v>6.71</v>
      </c>
      <c r="I2770" s="441">
        <v>3</v>
      </c>
      <c r="J2770" s="449">
        <v>19.16</v>
      </c>
      <c r="K2770" s="449">
        <v>132.42</v>
      </c>
    </row>
    <row r="2771" customHeight="1" spans="1:11">
      <c r="A2771" s="438" t="s">
        <v>1750</v>
      </c>
      <c r="B2771" s="439" t="s">
        <v>2149</v>
      </c>
      <c r="C2771" s="438" t="s">
        <v>76</v>
      </c>
      <c r="D2771" s="438" t="s">
        <v>2150</v>
      </c>
      <c r="E2771" s="438" t="s">
        <v>1764</v>
      </c>
      <c r="F2771" s="438"/>
      <c r="G2771" s="440" t="s">
        <v>82</v>
      </c>
      <c r="H2771" s="441">
        <v>11.6</v>
      </c>
      <c r="I2771" s="441">
        <v>3</v>
      </c>
      <c r="J2771" s="449">
        <v>26.52</v>
      </c>
      <c r="K2771" s="449">
        <v>316.86</v>
      </c>
    </row>
    <row r="2772" customHeight="1" spans="1:11">
      <c r="A2772" s="438" t="s">
        <v>1750</v>
      </c>
      <c r="B2772" s="439" t="s">
        <v>1762</v>
      </c>
      <c r="C2772" s="438" t="s">
        <v>76</v>
      </c>
      <c r="D2772" s="438" t="s">
        <v>1763</v>
      </c>
      <c r="E2772" s="438" t="s">
        <v>1764</v>
      </c>
      <c r="F2772" s="438"/>
      <c r="G2772" s="440" t="s">
        <v>82</v>
      </c>
      <c r="H2772" s="441">
        <v>1.12</v>
      </c>
      <c r="I2772" s="441">
        <v>3</v>
      </c>
      <c r="J2772" s="449">
        <v>26.52</v>
      </c>
      <c r="K2772" s="449">
        <v>30.59</v>
      </c>
    </row>
    <row r="2773" customHeight="1" spans="1:11">
      <c r="A2773" s="438" t="s">
        <v>1750</v>
      </c>
      <c r="B2773" s="439" t="s">
        <v>1769</v>
      </c>
      <c r="C2773" s="438" t="s">
        <v>76</v>
      </c>
      <c r="D2773" s="438" t="s">
        <v>1770</v>
      </c>
      <c r="E2773" s="438" t="s">
        <v>1631</v>
      </c>
      <c r="F2773" s="438"/>
      <c r="G2773" s="440" t="s">
        <v>158</v>
      </c>
      <c r="H2773" s="441">
        <v>0.05</v>
      </c>
      <c r="I2773" s="441">
        <v>0</v>
      </c>
      <c r="J2773" s="449">
        <v>15.35</v>
      </c>
      <c r="K2773" s="449">
        <v>0.76</v>
      </c>
    </row>
    <row r="2774" customHeight="1" spans="1:11">
      <c r="A2774" s="434"/>
      <c r="B2774" s="434"/>
      <c r="C2774" s="434"/>
      <c r="D2774" s="434"/>
      <c r="E2774" s="434"/>
      <c r="F2774" s="434" t="s">
        <v>1735</v>
      </c>
      <c r="G2774" s="435">
        <v>643.04</v>
      </c>
      <c r="H2774" s="434" t="s">
        <v>1736</v>
      </c>
      <c r="I2774" s="435">
        <v>584.09</v>
      </c>
      <c r="J2774" s="434" t="s">
        <v>1737</v>
      </c>
      <c r="K2774" s="435">
        <v>1227.13</v>
      </c>
    </row>
    <row r="2775" customHeight="1" spans="1:11">
      <c r="A2775" s="434"/>
      <c r="B2775" s="434"/>
      <c r="C2775" s="434"/>
      <c r="D2775" s="434"/>
      <c r="E2775" s="434"/>
      <c r="F2775" s="434" t="s">
        <v>1738</v>
      </c>
      <c r="G2775" s="435">
        <v>665.19</v>
      </c>
      <c r="H2775" s="434"/>
      <c r="I2775" s="434" t="s">
        <v>1739</v>
      </c>
      <c r="J2775" s="434"/>
      <c r="K2775" s="435">
        <v>3362.64</v>
      </c>
    </row>
    <row r="2776" customHeight="1" spans="1:11">
      <c r="A2776" s="436"/>
      <c r="B2776" s="436"/>
      <c r="C2776" s="436"/>
      <c r="D2776" s="436"/>
      <c r="E2776" s="436"/>
      <c r="F2776" s="436"/>
      <c r="G2776" s="436"/>
      <c r="H2776" s="436" t="s">
        <v>1740</v>
      </c>
      <c r="I2776" s="447" t="s">
        <v>2339</v>
      </c>
      <c r="J2776" s="436" t="s">
        <v>1742</v>
      </c>
      <c r="K2776" s="448">
        <v>10087.92</v>
      </c>
    </row>
    <row r="2777" customHeight="1" spans="1:11">
      <c r="A2777" s="437"/>
      <c r="B2777" s="437"/>
      <c r="C2777" s="437"/>
      <c r="D2777" s="437"/>
      <c r="E2777" s="437"/>
      <c r="F2777" s="437"/>
      <c r="G2777" s="437"/>
      <c r="H2777" s="437"/>
      <c r="I2777" s="437"/>
      <c r="J2777" s="437"/>
      <c r="K2777" s="437"/>
    </row>
    <row r="2778" customHeight="1" spans="1:11">
      <c r="A2778" s="423" t="s">
        <v>839</v>
      </c>
      <c r="B2778" s="424" t="s">
        <v>1714</v>
      </c>
      <c r="C2778" s="423" t="s">
        <v>1715</v>
      </c>
      <c r="D2778" s="423" t="s">
        <v>1716</v>
      </c>
      <c r="E2778" s="423" t="s">
        <v>1717</v>
      </c>
      <c r="F2778" s="423"/>
      <c r="G2778" s="425" t="s">
        <v>1718</v>
      </c>
      <c r="H2778" s="424" t="s">
        <v>1719</v>
      </c>
      <c r="I2778" s="424" t="s">
        <v>1720</v>
      </c>
      <c r="J2778" s="424" t="s">
        <v>1721</v>
      </c>
      <c r="K2778" s="424" t="s">
        <v>1722</v>
      </c>
    </row>
    <row r="2779" customHeight="1" spans="1:11">
      <c r="A2779" s="426" t="s">
        <v>1723</v>
      </c>
      <c r="B2779" s="427" t="s">
        <v>837</v>
      </c>
      <c r="C2779" s="426" t="s">
        <v>76</v>
      </c>
      <c r="D2779" s="426" t="s">
        <v>838</v>
      </c>
      <c r="E2779" s="426">
        <v>6</v>
      </c>
      <c r="F2779" s="426"/>
      <c r="G2779" s="428" t="s">
        <v>105</v>
      </c>
      <c r="H2779" s="429">
        <v>1</v>
      </c>
      <c r="I2779" s="445"/>
      <c r="J2779" s="445">
        <v>2697.45</v>
      </c>
      <c r="K2779" s="445">
        <v>2697.45</v>
      </c>
    </row>
    <row r="2780" customHeight="1" spans="1:11">
      <c r="A2780" s="430" t="s">
        <v>1724</v>
      </c>
      <c r="B2780" s="431" t="s">
        <v>2485</v>
      </c>
      <c r="C2780" s="430" t="s">
        <v>76</v>
      </c>
      <c r="D2780" s="430" t="s">
        <v>2486</v>
      </c>
      <c r="E2780" s="430">
        <v>11</v>
      </c>
      <c r="F2780" s="430"/>
      <c r="G2780" s="432" t="s">
        <v>129</v>
      </c>
      <c r="H2780" s="433">
        <v>0.33</v>
      </c>
      <c r="I2780" s="433">
        <v>0</v>
      </c>
      <c r="J2780" s="446">
        <v>359.88</v>
      </c>
      <c r="K2780" s="446">
        <v>118.76</v>
      </c>
    </row>
    <row r="2781" customHeight="1" spans="1:11">
      <c r="A2781" s="430" t="s">
        <v>1724</v>
      </c>
      <c r="B2781" s="431" t="s">
        <v>2489</v>
      </c>
      <c r="C2781" s="430" t="s">
        <v>76</v>
      </c>
      <c r="D2781" s="430" t="s">
        <v>2490</v>
      </c>
      <c r="E2781" s="430">
        <v>13</v>
      </c>
      <c r="F2781" s="430"/>
      <c r="G2781" s="432" t="s">
        <v>73</v>
      </c>
      <c r="H2781" s="433">
        <v>4.2</v>
      </c>
      <c r="I2781" s="433">
        <v>0</v>
      </c>
      <c r="J2781" s="446">
        <v>33.44</v>
      </c>
      <c r="K2781" s="446">
        <v>140.44</v>
      </c>
    </row>
    <row r="2782" customHeight="1" spans="1:11">
      <c r="A2782" s="430" t="s">
        <v>1724</v>
      </c>
      <c r="B2782" s="431" t="s">
        <v>2696</v>
      </c>
      <c r="C2782" s="430" t="s">
        <v>76</v>
      </c>
      <c r="D2782" s="430" t="s">
        <v>2697</v>
      </c>
      <c r="E2782" s="430">
        <v>12</v>
      </c>
      <c r="F2782" s="430"/>
      <c r="G2782" s="432" t="s">
        <v>73</v>
      </c>
      <c r="H2782" s="433">
        <v>4.8</v>
      </c>
      <c r="I2782" s="433">
        <v>0</v>
      </c>
      <c r="J2782" s="446">
        <v>354.46</v>
      </c>
      <c r="K2782" s="446">
        <v>1701.4</v>
      </c>
    </row>
    <row r="2783" customHeight="1" spans="1:11">
      <c r="A2783" s="430" t="s">
        <v>1724</v>
      </c>
      <c r="B2783" s="431" t="s">
        <v>2691</v>
      </c>
      <c r="C2783" s="430" t="s">
        <v>76</v>
      </c>
      <c r="D2783" s="430" t="s">
        <v>2692</v>
      </c>
      <c r="E2783" s="430">
        <v>11</v>
      </c>
      <c r="F2783" s="430"/>
      <c r="G2783" s="432" t="s">
        <v>129</v>
      </c>
      <c r="H2783" s="433">
        <v>0.24</v>
      </c>
      <c r="I2783" s="433">
        <v>0</v>
      </c>
      <c r="J2783" s="446">
        <v>382.58</v>
      </c>
      <c r="K2783" s="446">
        <v>91.81</v>
      </c>
    </row>
    <row r="2784" customHeight="1" spans="1:11">
      <c r="A2784" s="438" t="s">
        <v>1750</v>
      </c>
      <c r="B2784" s="439" t="s">
        <v>1773</v>
      </c>
      <c r="C2784" s="438" t="s">
        <v>76</v>
      </c>
      <c r="D2784" s="438" t="s">
        <v>1774</v>
      </c>
      <c r="E2784" s="438" t="s">
        <v>1631</v>
      </c>
      <c r="F2784" s="438"/>
      <c r="G2784" s="440" t="s">
        <v>78</v>
      </c>
      <c r="H2784" s="441">
        <v>2</v>
      </c>
      <c r="I2784" s="441">
        <v>0</v>
      </c>
      <c r="J2784" s="449">
        <v>12.67</v>
      </c>
      <c r="K2784" s="449">
        <v>25.34</v>
      </c>
    </row>
    <row r="2785" customHeight="1" spans="1:11">
      <c r="A2785" s="438" t="s">
        <v>1750</v>
      </c>
      <c r="B2785" s="439" t="s">
        <v>2693</v>
      </c>
      <c r="C2785" s="438" t="s">
        <v>76</v>
      </c>
      <c r="D2785" s="438" t="s">
        <v>2694</v>
      </c>
      <c r="E2785" s="438" t="s">
        <v>1631</v>
      </c>
      <c r="F2785" s="438"/>
      <c r="G2785" s="440" t="s">
        <v>158</v>
      </c>
      <c r="H2785" s="441">
        <v>15.1</v>
      </c>
      <c r="I2785" s="441">
        <v>0</v>
      </c>
      <c r="J2785" s="449">
        <v>9.21</v>
      </c>
      <c r="K2785" s="449">
        <v>139.07</v>
      </c>
    </row>
    <row r="2786" customHeight="1" spans="1:11">
      <c r="A2786" s="438" t="s">
        <v>1750</v>
      </c>
      <c r="B2786" s="439" t="s">
        <v>1767</v>
      </c>
      <c r="C2786" s="438" t="s">
        <v>76</v>
      </c>
      <c r="D2786" s="438" t="s">
        <v>1768</v>
      </c>
      <c r="E2786" s="438" t="s">
        <v>1764</v>
      </c>
      <c r="F2786" s="438"/>
      <c r="G2786" s="440" t="s">
        <v>82</v>
      </c>
      <c r="H2786" s="441">
        <v>6.71</v>
      </c>
      <c r="I2786" s="441">
        <v>3</v>
      </c>
      <c r="J2786" s="449">
        <v>19.16</v>
      </c>
      <c r="K2786" s="449">
        <v>132.42</v>
      </c>
    </row>
    <row r="2787" customHeight="1" spans="1:11">
      <c r="A2787" s="438" t="s">
        <v>1750</v>
      </c>
      <c r="B2787" s="439" t="s">
        <v>2149</v>
      </c>
      <c r="C2787" s="438" t="s">
        <v>76</v>
      </c>
      <c r="D2787" s="438" t="s">
        <v>2150</v>
      </c>
      <c r="E2787" s="438" t="s">
        <v>1764</v>
      </c>
      <c r="F2787" s="438"/>
      <c r="G2787" s="440" t="s">
        <v>82</v>
      </c>
      <c r="H2787" s="441">
        <v>11.6</v>
      </c>
      <c r="I2787" s="441">
        <v>3</v>
      </c>
      <c r="J2787" s="449">
        <v>26.52</v>
      </c>
      <c r="K2787" s="449">
        <v>316.86</v>
      </c>
    </row>
    <row r="2788" customHeight="1" spans="1:11">
      <c r="A2788" s="438" t="s">
        <v>1750</v>
      </c>
      <c r="B2788" s="439" t="s">
        <v>1762</v>
      </c>
      <c r="C2788" s="438" t="s">
        <v>76</v>
      </c>
      <c r="D2788" s="438" t="s">
        <v>1763</v>
      </c>
      <c r="E2788" s="438" t="s">
        <v>1764</v>
      </c>
      <c r="F2788" s="438"/>
      <c r="G2788" s="440" t="s">
        <v>82</v>
      </c>
      <c r="H2788" s="441">
        <v>1.12</v>
      </c>
      <c r="I2788" s="441">
        <v>3</v>
      </c>
      <c r="J2788" s="449">
        <v>26.52</v>
      </c>
      <c r="K2788" s="449">
        <v>30.59</v>
      </c>
    </row>
    <row r="2789" customHeight="1" spans="1:11">
      <c r="A2789" s="438" t="s">
        <v>1750</v>
      </c>
      <c r="B2789" s="439" t="s">
        <v>1769</v>
      </c>
      <c r="C2789" s="438" t="s">
        <v>76</v>
      </c>
      <c r="D2789" s="438" t="s">
        <v>1770</v>
      </c>
      <c r="E2789" s="438" t="s">
        <v>1631</v>
      </c>
      <c r="F2789" s="438"/>
      <c r="G2789" s="440" t="s">
        <v>158</v>
      </c>
      <c r="H2789" s="441">
        <v>0.05</v>
      </c>
      <c r="I2789" s="441">
        <v>0</v>
      </c>
      <c r="J2789" s="449">
        <v>15.35</v>
      </c>
      <c r="K2789" s="449">
        <v>0.76</v>
      </c>
    </row>
    <row r="2790" customHeight="1" spans="1:11">
      <c r="A2790" s="434"/>
      <c r="B2790" s="434"/>
      <c r="C2790" s="434"/>
      <c r="D2790" s="434"/>
      <c r="E2790" s="434"/>
      <c r="F2790" s="434" t="s">
        <v>1735</v>
      </c>
      <c r="G2790" s="435">
        <v>643.04</v>
      </c>
      <c r="H2790" s="434" t="s">
        <v>1736</v>
      </c>
      <c r="I2790" s="435">
        <v>584.09</v>
      </c>
      <c r="J2790" s="434" t="s">
        <v>1737</v>
      </c>
      <c r="K2790" s="435">
        <v>1227.13</v>
      </c>
    </row>
    <row r="2791" customHeight="1" spans="1:11">
      <c r="A2791" s="434"/>
      <c r="B2791" s="434"/>
      <c r="C2791" s="434"/>
      <c r="D2791" s="434"/>
      <c r="E2791" s="434"/>
      <c r="F2791" s="434" t="s">
        <v>1738</v>
      </c>
      <c r="G2791" s="435">
        <v>665.19</v>
      </c>
      <c r="H2791" s="434"/>
      <c r="I2791" s="434" t="s">
        <v>1739</v>
      </c>
      <c r="J2791" s="434"/>
      <c r="K2791" s="435">
        <v>3362.64</v>
      </c>
    </row>
    <row r="2792" customHeight="1" spans="1:11">
      <c r="A2792" s="436"/>
      <c r="B2792" s="436"/>
      <c r="C2792" s="436"/>
      <c r="D2792" s="436"/>
      <c r="E2792" s="436"/>
      <c r="F2792" s="436"/>
      <c r="G2792" s="436"/>
      <c r="H2792" s="436" t="s">
        <v>1740</v>
      </c>
      <c r="I2792" s="447" t="s">
        <v>2339</v>
      </c>
      <c r="J2792" s="436" t="s">
        <v>1742</v>
      </c>
      <c r="K2792" s="448">
        <v>10087.92</v>
      </c>
    </row>
    <row r="2793" customHeight="1" spans="1:11">
      <c r="A2793" s="437"/>
      <c r="B2793" s="437"/>
      <c r="C2793" s="437"/>
      <c r="D2793" s="437"/>
      <c r="E2793" s="437"/>
      <c r="F2793" s="437"/>
      <c r="G2793" s="437"/>
      <c r="H2793" s="437"/>
      <c r="I2793" s="437"/>
      <c r="J2793" s="437"/>
      <c r="K2793" s="437"/>
    </row>
    <row r="2794" customHeight="1" spans="1:11">
      <c r="A2794" s="422" t="s">
        <v>840</v>
      </c>
      <c r="B2794" s="422"/>
      <c r="C2794" s="422"/>
      <c r="D2794" s="422" t="s">
        <v>841</v>
      </c>
      <c r="E2794" s="422"/>
      <c r="F2794" s="422"/>
      <c r="G2794" s="422"/>
      <c r="H2794" s="422"/>
      <c r="I2794" s="443"/>
      <c r="J2794" s="422"/>
      <c r="K2794" s="444">
        <v>30445.84</v>
      </c>
    </row>
    <row r="2795" customHeight="1" spans="1:11">
      <c r="A2795" s="423" t="s">
        <v>842</v>
      </c>
      <c r="B2795" s="424" t="s">
        <v>1714</v>
      </c>
      <c r="C2795" s="423" t="s">
        <v>1715</v>
      </c>
      <c r="D2795" s="423" t="s">
        <v>1716</v>
      </c>
      <c r="E2795" s="423" t="s">
        <v>1717</v>
      </c>
      <c r="F2795" s="423"/>
      <c r="G2795" s="425" t="s">
        <v>1718</v>
      </c>
      <c r="H2795" s="424" t="s">
        <v>1719</v>
      </c>
      <c r="I2795" s="424" t="s">
        <v>1720</v>
      </c>
      <c r="J2795" s="424" t="s">
        <v>1721</v>
      </c>
      <c r="K2795" s="424" t="s">
        <v>1722</v>
      </c>
    </row>
    <row r="2796" customHeight="1" spans="1:11">
      <c r="A2796" s="426" t="s">
        <v>1723</v>
      </c>
      <c r="B2796" s="427" t="s">
        <v>843</v>
      </c>
      <c r="C2796" s="426" t="s">
        <v>512</v>
      </c>
      <c r="D2796" s="426" t="s">
        <v>844</v>
      </c>
      <c r="E2796" s="426" t="s">
        <v>1648</v>
      </c>
      <c r="F2796" s="426"/>
      <c r="G2796" s="428" t="s">
        <v>535</v>
      </c>
      <c r="H2796" s="429">
        <v>1</v>
      </c>
      <c r="I2796" s="445"/>
      <c r="J2796" s="445">
        <v>20.39</v>
      </c>
      <c r="K2796" s="445">
        <v>20.39</v>
      </c>
    </row>
    <row r="2797" customHeight="1" spans="1:11">
      <c r="A2797" s="438" t="s">
        <v>1750</v>
      </c>
      <c r="B2797" s="439" t="s">
        <v>2370</v>
      </c>
      <c r="C2797" s="438" t="s">
        <v>512</v>
      </c>
      <c r="D2797" s="438" t="s">
        <v>2371</v>
      </c>
      <c r="E2797" s="438" t="s">
        <v>2372</v>
      </c>
      <c r="F2797" s="438"/>
      <c r="G2797" s="440" t="s">
        <v>1617</v>
      </c>
      <c r="H2797" s="441">
        <v>8.3</v>
      </c>
      <c r="I2797" s="441">
        <v>3</v>
      </c>
      <c r="J2797" s="449">
        <v>1</v>
      </c>
      <c r="K2797" s="449">
        <v>0.24</v>
      </c>
    </row>
    <row r="2798" customHeight="1" spans="1:11">
      <c r="A2798" s="438" t="s">
        <v>1750</v>
      </c>
      <c r="B2798" s="439" t="s">
        <v>2689</v>
      </c>
      <c r="C2798" s="438" t="s">
        <v>512</v>
      </c>
      <c r="D2798" s="438" t="s">
        <v>2690</v>
      </c>
      <c r="E2798" s="438" t="s">
        <v>1764</v>
      </c>
      <c r="F2798" s="438"/>
      <c r="G2798" s="440" t="s">
        <v>2367</v>
      </c>
      <c r="H2798" s="441">
        <v>0.14</v>
      </c>
      <c r="I2798" s="441">
        <v>0</v>
      </c>
      <c r="J2798" s="449">
        <v>33.39</v>
      </c>
      <c r="K2798" s="449">
        <v>4.67</v>
      </c>
    </row>
    <row r="2799" customHeight="1" spans="1:11">
      <c r="A2799" s="438" t="s">
        <v>1750</v>
      </c>
      <c r="B2799" s="439" t="s">
        <v>2698</v>
      </c>
      <c r="C2799" s="438" t="s">
        <v>512</v>
      </c>
      <c r="D2799" s="438" t="s">
        <v>2699</v>
      </c>
      <c r="E2799" s="438" t="s">
        <v>1631</v>
      </c>
      <c r="F2799" s="438"/>
      <c r="G2799" s="440" t="s">
        <v>2700</v>
      </c>
      <c r="H2799" s="441">
        <v>0.333</v>
      </c>
      <c r="I2799" s="441">
        <v>0</v>
      </c>
      <c r="J2799" s="449">
        <v>35.61</v>
      </c>
      <c r="K2799" s="449">
        <v>11.85</v>
      </c>
    </row>
    <row r="2800" customHeight="1" spans="1:11">
      <c r="A2800" s="438" t="s">
        <v>1750</v>
      </c>
      <c r="B2800" s="439" t="s">
        <v>2391</v>
      </c>
      <c r="C2800" s="438" t="s">
        <v>512</v>
      </c>
      <c r="D2800" s="438" t="s">
        <v>2392</v>
      </c>
      <c r="E2800" s="438" t="s">
        <v>1764</v>
      </c>
      <c r="F2800" s="438"/>
      <c r="G2800" s="440" t="s">
        <v>2367</v>
      </c>
      <c r="H2800" s="441">
        <v>0.14</v>
      </c>
      <c r="I2800" s="441">
        <v>0</v>
      </c>
      <c r="J2800" s="449">
        <v>25.93</v>
      </c>
      <c r="K2800" s="449">
        <v>3.63</v>
      </c>
    </row>
    <row r="2801" customHeight="1" spans="1:11">
      <c r="A2801" s="434"/>
      <c r="B2801" s="434"/>
      <c r="C2801" s="434"/>
      <c r="D2801" s="434"/>
      <c r="E2801" s="434"/>
      <c r="F2801" s="434" t="s">
        <v>1735</v>
      </c>
      <c r="G2801" s="435">
        <v>4.34</v>
      </c>
      <c r="H2801" s="434" t="s">
        <v>1736</v>
      </c>
      <c r="I2801" s="435">
        <v>3.96</v>
      </c>
      <c r="J2801" s="434" t="s">
        <v>1737</v>
      </c>
      <c r="K2801" s="435">
        <v>8.3</v>
      </c>
    </row>
    <row r="2802" customHeight="1" spans="1:11">
      <c r="A2802" s="434"/>
      <c r="B2802" s="434"/>
      <c r="C2802" s="434"/>
      <c r="D2802" s="434"/>
      <c r="E2802" s="434"/>
      <c r="F2802" s="434" t="s">
        <v>1738</v>
      </c>
      <c r="G2802" s="435">
        <v>5.02</v>
      </c>
      <c r="H2802" s="434"/>
      <c r="I2802" s="434" t="s">
        <v>1739</v>
      </c>
      <c r="J2802" s="434"/>
      <c r="K2802" s="435">
        <v>25.41</v>
      </c>
    </row>
    <row r="2803" customHeight="1" spans="1:11">
      <c r="A2803" s="436"/>
      <c r="B2803" s="436"/>
      <c r="C2803" s="436"/>
      <c r="D2803" s="436"/>
      <c r="E2803" s="436"/>
      <c r="F2803" s="436"/>
      <c r="G2803" s="436"/>
      <c r="H2803" s="436" t="s">
        <v>1740</v>
      </c>
      <c r="I2803" s="447" t="s">
        <v>2701</v>
      </c>
      <c r="J2803" s="436" t="s">
        <v>1742</v>
      </c>
      <c r="K2803" s="448">
        <v>11434.5</v>
      </c>
    </row>
    <row r="2804" customHeight="1" spans="1:11">
      <c r="A2804" s="437"/>
      <c r="B2804" s="437"/>
      <c r="C2804" s="437"/>
      <c r="D2804" s="437"/>
      <c r="E2804" s="437"/>
      <c r="F2804" s="437"/>
      <c r="G2804" s="437"/>
      <c r="H2804" s="437"/>
      <c r="I2804" s="437"/>
      <c r="J2804" s="437"/>
      <c r="K2804" s="437"/>
    </row>
    <row r="2805" customHeight="1" spans="1:11">
      <c r="A2805" s="423" t="s">
        <v>845</v>
      </c>
      <c r="B2805" s="424" t="s">
        <v>1714</v>
      </c>
      <c r="C2805" s="423" t="s">
        <v>1715</v>
      </c>
      <c r="D2805" s="423" t="s">
        <v>1716</v>
      </c>
      <c r="E2805" s="423" t="s">
        <v>1717</v>
      </c>
      <c r="F2805" s="423"/>
      <c r="G2805" s="425" t="s">
        <v>1718</v>
      </c>
      <c r="H2805" s="424" t="s">
        <v>1719</v>
      </c>
      <c r="I2805" s="424" t="s">
        <v>1720</v>
      </c>
      <c r="J2805" s="424" t="s">
        <v>1721</v>
      </c>
      <c r="K2805" s="424" t="s">
        <v>1722</v>
      </c>
    </row>
    <row r="2806" customHeight="1" spans="1:11">
      <c r="A2806" s="426" t="s">
        <v>1723</v>
      </c>
      <c r="B2806" s="427" t="s">
        <v>846</v>
      </c>
      <c r="C2806" s="426" t="s">
        <v>512</v>
      </c>
      <c r="D2806" s="426" t="s">
        <v>847</v>
      </c>
      <c r="E2806" s="426" t="s">
        <v>1648</v>
      </c>
      <c r="F2806" s="426"/>
      <c r="G2806" s="428" t="s">
        <v>535</v>
      </c>
      <c r="H2806" s="429">
        <v>1</v>
      </c>
      <c r="I2806" s="445"/>
      <c r="J2806" s="445">
        <v>26.61</v>
      </c>
      <c r="K2806" s="445">
        <v>26.61</v>
      </c>
    </row>
    <row r="2807" customHeight="1" spans="1:11">
      <c r="A2807" s="438" t="s">
        <v>1750</v>
      </c>
      <c r="B2807" s="439" t="s">
        <v>2689</v>
      </c>
      <c r="C2807" s="438" t="s">
        <v>512</v>
      </c>
      <c r="D2807" s="438" t="s">
        <v>2690</v>
      </c>
      <c r="E2807" s="438" t="s">
        <v>1764</v>
      </c>
      <c r="F2807" s="438"/>
      <c r="G2807" s="440" t="s">
        <v>2367</v>
      </c>
      <c r="H2807" s="441">
        <v>0.16</v>
      </c>
      <c r="I2807" s="441">
        <v>0</v>
      </c>
      <c r="J2807" s="449">
        <v>33.39</v>
      </c>
      <c r="K2807" s="449">
        <v>5.34</v>
      </c>
    </row>
    <row r="2808" customHeight="1" spans="1:11">
      <c r="A2808" s="438" t="s">
        <v>1750</v>
      </c>
      <c r="B2808" s="439" t="s">
        <v>2702</v>
      </c>
      <c r="C2808" s="438" t="s">
        <v>512</v>
      </c>
      <c r="D2808" s="438" t="s">
        <v>2703</v>
      </c>
      <c r="E2808" s="438" t="s">
        <v>1631</v>
      </c>
      <c r="F2808" s="438"/>
      <c r="G2808" s="440" t="s">
        <v>67</v>
      </c>
      <c r="H2808" s="441">
        <v>0.333</v>
      </c>
      <c r="I2808" s="441">
        <v>0</v>
      </c>
      <c r="J2808" s="449">
        <v>1.86</v>
      </c>
      <c r="K2808" s="449">
        <v>0.61</v>
      </c>
    </row>
    <row r="2809" customHeight="1" spans="1:11">
      <c r="A2809" s="438" t="s">
        <v>1750</v>
      </c>
      <c r="B2809" s="439" t="s">
        <v>2391</v>
      </c>
      <c r="C2809" s="438" t="s">
        <v>512</v>
      </c>
      <c r="D2809" s="438" t="s">
        <v>2392</v>
      </c>
      <c r="E2809" s="438" t="s">
        <v>1764</v>
      </c>
      <c r="F2809" s="438"/>
      <c r="G2809" s="440" t="s">
        <v>2367</v>
      </c>
      <c r="H2809" s="441">
        <v>0.16</v>
      </c>
      <c r="I2809" s="441">
        <v>0</v>
      </c>
      <c r="J2809" s="449">
        <v>25.93</v>
      </c>
      <c r="K2809" s="449">
        <v>4.14</v>
      </c>
    </row>
    <row r="2810" customHeight="1" spans="1:11">
      <c r="A2810" s="438" t="s">
        <v>1750</v>
      </c>
      <c r="B2810" s="439" t="s">
        <v>2704</v>
      </c>
      <c r="C2810" s="438" t="s">
        <v>512</v>
      </c>
      <c r="D2810" s="438" t="s">
        <v>2705</v>
      </c>
      <c r="E2810" s="438" t="s">
        <v>1631</v>
      </c>
      <c r="F2810" s="438"/>
      <c r="G2810" s="440" t="s">
        <v>2700</v>
      </c>
      <c r="H2810" s="441">
        <v>0.333</v>
      </c>
      <c r="I2810" s="441">
        <v>0</v>
      </c>
      <c r="J2810" s="449">
        <v>48.79</v>
      </c>
      <c r="K2810" s="449">
        <v>16.24</v>
      </c>
    </row>
    <row r="2811" customHeight="1" spans="1:11">
      <c r="A2811" s="438" t="s">
        <v>1750</v>
      </c>
      <c r="B2811" s="439" t="s">
        <v>2370</v>
      </c>
      <c r="C2811" s="438" t="s">
        <v>512</v>
      </c>
      <c r="D2811" s="438" t="s">
        <v>2371</v>
      </c>
      <c r="E2811" s="438" t="s">
        <v>2372</v>
      </c>
      <c r="F2811" s="438"/>
      <c r="G2811" s="440" t="s">
        <v>1617</v>
      </c>
      <c r="H2811" s="441">
        <v>9.48</v>
      </c>
      <c r="I2811" s="441">
        <v>3</v>
      </c>
      <c r="J2811" s="449">
        <v>1</v>
      </c>
      <c r="K2811" s="449">
        <v>0.28</v>
      </c>
    </row>
    <row r="2812" customHeight="1" spans="1:11">
      <c r="A2812" s="434"/>
      <c r="B2812" s="434"/>
      <c r="C2812" s="434"/>
      <c r="D2812" s="434"/>
      <c r="E2812" s="434"/>
      <c r="F2812" s="434" t="s">
        <v>1735</v>
      </c>
      <c r="G2812" s="435">
        <v>4.96</v>
      </c>
      <c r="H2812" s="434" t="s">
        <v>1736</v>
      </c>
      <c r="I2812" s="435">
        <v>4.52</v>
      </c>
      <c r="J2812" s="434" t="s">
        <v>1737</v>
      </c>
      <c r="K2812" s="435">
        <v>9.48</v>
      </c>
    </row>
    <row r="2813" customHeight="1" spans="1:11">
      <c r="A2813" s="434"/>
      <c r="B2813" s="434"/>
      <c r="C2813" s="434"/>
      <c r="D2813" s="434"/>
      <c r="E2813" s="434"/>
      <c r="F2813" s="434" t="s">
        <v>1738</v>
      </c>
      <c r="G2813" s="435">
        <v>6.56</v>
      </c>
      <c r="H2813" s="434"/>
      <c r="I2813" s="434" t="s">
        <v>1739</v>
      </c>
      <c r="J2813" s="434"/>
      <c r="K2813" s="435">
        <v>33.17</v>
      </c>
    </row>
    <row r="2814" customHeight="1" spans="1:11">
      <c r="A2814" s="436"/>
      <c r="B2814" s="436"/>
      <c r="C2814" s="436"/>
      <c r="D2814" s="436"/>
      <c r="E2814" s="436"/>
      <c r="F2814" s="436"/>
      <c r="G2814" s="436"/>
      <c r="H2814" s="436" t="s">
        <v>1740</v>
      </c>
      <c r="I2814" s="447" t="s">
        <v>1759</v>
      </c>
      <c r="J2814" s="436" t="s">
        <v>1742</v>
      </c>
      <c r="K2814" s="448">
        <v>199.02</v>
      </c>
    </row>
    <row r="2815" customHeight="1" spans="1:11">
      <c r="A2815" s="437"/>
      <c r="B2815" s="437"/>
      <c r="C2815" s="437"/>
      <c r="D2815" s="437"/>
      <c r="E2815" s="437"/>
      <c r="F2815" s="437"/>
      <c r="G2815" s="437"/>
      <c r="H2815" s="437"/>
      <c r="I2815" s="437"/>
      <c r="J2815" s="437"/>
      <c r="K2815" s="437"/>
    </row>
    <row r="2816" customHeight="1" spans="1:11">
      <c r="A2816" s="423" t="s">
        <v>848</v>
      </c>
      <c r="B2816" s="424" t="s">
        <v>1714</v>
      </c>
      <c r="C2816" s="423" t="s">
        <v>1715</v>
      </c>
      <c r="D2816" s="423" t="s">
        <v>1716</v>
      </c>
      <c r="E2816" s="423" t="s">
        <v>1717</v>
      </c>
      <c r="F2816" s="423"/>
      <c r="G2816" s="425" t="s">
        <v>1718</v>
      </c>
      <c r="H2816" s="424" t="s">
        <v>1719</v>
      </c>
      <c r="I2816" s="424" t="s">
        <v>1720</v>
      </c>
      <c r="J2816" s="424" t="s">
        <v>1721</v>
      </c>
      <c r="K2816" s="424" t="s">
        <v>1722</v>
      </c>
    </row>
    <row r="2817" customHeight="1" spans="1:11">
      <c r="A2817" s="426" t="s">
        <v>1723</v>
      </c>
      <c r="B2817" s="427" t="s">
        <v>849</v>
      </c>
      <c r="C2817" s="426" t="s">
        <v>512</v>
      </c>
      <c r="D2817" s="426" t="s">
        <v>850</v>
      </c>
      <c r="E2817" s="426" t="s">
        <v>1648</v>
      </c>
      <c r="F2817" s="426"/>
      <c r="G2817" s="428" t="s">
        <v>535</v>
      </c>
      <c r="H2817" s="429">
        <v>1</v>
      </c>
      <c r="I2817" s="445"/>
      <c r="J2817" s="445">
        <v>120.91</v>
      </c>
      <c r="K2817" s="445">
        <v>120.91</v>
      </c>
    </row>
    <row r="2818" customHeight="1" spans="1:11">
      <c r="A2818" s="438" t="s">
        <v>1750</v>
      </c>
      <c r="B2818" s="439" t="s">
        <v>2391</v>
      </c>
      <c r="C2818" s="438" t="s">
        <v>512</v>
      </c>
      <c r="D2818" s="438" t="s">
        <v>2392</v>
      </c>
      <c r="E2818" s="438" t="s">
        <v>1764</v>
      </c>
      <c r="F2818" s="438"/>
      <c r="G2818" s="440" t="s">
        <v>2367</v>
      </c>
      <c r="H2818" s="441">
        <v>0.32</v>
      </c>
      <c r="I2818" s="441">
        <v>0</v>
      </c>
      <c r="J2818" s="449">
        <v>25.93</v>
      </c>
      <c r="K2818" s="449">
        <v>8.29</v>
      </c>
    </row>
    <row r="2819" customHeight="1" spans="1:11">
      <c r="A2819" s="438" t="s">
        <v>1750</v>
      </c>
      <c r="B2819" s="439" t="s">
        <v>2706</v>
      </c>
      <c r="C2819" s="438" t="s">
        <v>512</v>
      </c>
      <c r="D2819" s="438" t="s">
        <v>2707</v>
      </c>
      <c r="E2819" s="438" t="s">
        <v>1631</v>
      </c>
      <c r="F2819" s="438"/>
      <c r="G2819" s="440" t="s">
        <v>2700</v>
      </c>
      <c r="H2819" s="441">
        <v>0.333</v>
      </c>
      <c r="I2819" s="441">
        <v>0</v>
      </c>
      <c r="J2819" s="449">
        <v>304.46</v>
      </c>
      <c r="K2819" s="449">
        <v>101.38</v>
      </c>
    </row>
    <row r="2820" customHeight="1" spans="1:11">
      <c r="A2820" s="438" t="s">
        <v>1750</v>
      </c>
      <c r="B2820" s="439" t="s">
        <v>2689</v>
      </c>
      <c r="C2820" s="438" t="s">
        <v>512</v>
      </c>
      <c r="D2820" s="438" t="s">
        <v>2690</v>
      </c>
      <c r="E2820" s="438" t="s">
        <v>1764</v>
      </c>
      <c r="F2820" s="438"/>
      <c r="G2820" s="440" t="s">
        <v>2367</v>
      </c>
      <c r="H2820" s="441">
        <v>0.32</v>
      </c>
      <c r="I2820" s="441">
        <v>0</v>
      </c>
      <c r="J2820" s="449">
        <v>33.39</v>
      </c>
      <c r="K2820" s="449">
        <v>10.68</v>
      </c>
    </row>
    <row r="2821" customHeight="1" spans="1:11">
      <c r="A2821" s="438" t="s">
        <v>1750</v>
      </c>
      <c r="B2821" s="439" t="s">
        <v>2370</v>
      </c>
      <c r="C2821" s="438" t="s">
        <v>512</v>
      </c>
      <c r="D2821" s="438" t="s">
        <v>2371</v>
      </c>
      <c r="E2821" s="438" t="s">
        <v>2372</v>
      </c>
      <c r="F2821" s="438"/>
      <c r="G2821" s="440" t="s">
        <v>1617</v>
      </c>
      <c r="H2821" s="441">
        <v>18.97</v>
      </c>
      <c r="I2821" s="441">
        <v>3</v>
      </c>
      <c r="J2821" s="449">
        <v>1</v>
      </c>
      <c r="K2821" s="449">
        <v>0.56</v>
      </c>
    </row>
    <row r="2822" customHeight="1" spans="1:11">
      <c r="A2822" s="434"/>
      <c r="B2822" s="434"/>
      <c r="C2822" s="434"/>
      <c r="D2822" s="434"/>
      <c r="E2822" s="434"/>
      <c r="F2822" s="434" t="s">
        <v>1735</v>
      </c>
      <c r="G2822" s="435">
        <v>9.94</v>
      </c>
      <c r="H2822" s="434" t="s">
        <v>1736</v>
      </c>
      <c r="I2822" s="435">
        <v>9.03</v>
      </c>
      <c r="J2822" s="434" t="s">
        <v>1737</v>
      </c>
      <c r="K2822" s="435">
        <v>18.97</v>
      </c>
    </row>
    <row r="2823" customHeight="1" spans="1:11">
      <c r="A2823" s="434"/>
      <c r="B2823" s="434"/>
      <c r="C2823" s="434"/>
      <c r="D2823" s="434"/>
      <c r="E2823" s="434"/>
      <c r="F2823" s="434" t="s">
        <v>1738</v>
      </c>
      <c r="G2823" s="435">
        <v>29.81</v>
      </c>
      <c r="H2823" s="434"/>
      <c r="I2823" s="434" t="s">
        <v>1739</v>
      </c>
      <c r="J2823" s="434"/>
      <c r="K2823" s="435">
        <v>150.72</v>
      </c>
    </row>
    <row r="2824" customHeight="1" spans="1:11">
      <c r="A2824" s="436"/>
      <c r="B2824" s="436"/>
      <c r="C2824" s="436"/>
      <c r="D2824" s="436"/>
      <c r="E2824" s="436"/>
      <c r="F2824" s="436"/>
      <c r="G2824" s="436"/>
      <c r="H2824" s="436" t="s">
        <v>1740</v>
      </c>
      <c r="I2824" s="447" t="s">
        <v>1759</v>
      </c>
      <c r="J2824" s="436" t="s">
        <v>1742</v>
      </c>
      <c r="K2824" s="448">
        <v>904.32</v>
      </c>
    </row>
    <row r="2825" customHeight="1" spans="1:11">
      <c r="A2825" s="437"/>
      <c r="B2825" s="437"/>
      <c r="C2825" s="437"/>
      <c r="D2825" s="437"/>
      <c r="E2825" s="437"/>
      <c r="F2825" s="437"/>
      <c r="G2825" s="437"/>
      <c r="H2825" s="437"/>
      <c r="I2825" s="437"/>
      <c r="J2825" s="437"/>
      <c r="K2825" s="437"/>
    </row>
    <row r="2826" customHeight="1" spans="1:11">
      <c r="A2826" s="423" t="s">
        <v>851</v>
      </c>
      <c r="B2826" s="424" t="s">
        <v>1714</v>
      </c>
      <c r="C2826" s="423" t="s">
        <v>1715</v>
      </c>
      <c r="D2826" s="423" t="s">
        <v>1716</v>
      </c>
      <c r="E2826" s="423" t="s">
        <v>1717</v>
      </c>
      <c r="F2826" s="423"/>
      <c r="G2826" s="425" t="s">
        <v>1718</v>
      </c>
      <c r="H2826" s="424" t="s">
        <v>1719</v>
      </c>
      <c r="I2826" s="424" t="s">
        <v>1720</v>
      </c>
      <c r="J2826" s="424" t="s">
        <v>1721</v>
      </c>
      <c r="K2826" s="424" t="s">
        <v>1722</v>
      </c>
    </row>
    <row r="2827" customHeight="1" spans="1:11">
      <c r="A2827" s="426" t="s">
        <v>1723</v>
      </c>
      <c r="B2827" s="427" t="s">
        <v>852</v>
      </c>
      <c r="C2827" s="426" t="s">
        <v>512</v>
      </c>
      <c r="D2827" s="426" t="s">
        <v>853</v>
      </c>
      <c r="E2827" s="426" t="s">
        <v>1648</v>
      </c>
      <c r="F2827" s="426"/>
      <c r="G2827" s="428" t="s">
        <v>535</v>
      </c>
      <c r="H2827" s="429">
        <v>1</v>
      </c>
      <c r="I2827" s="445"/>
      <c r="J2827" s="445">
        <v>76.99</v>
      </c>
      <c r="K2827" s="445">
        <v>76.99</v>
      </c>
    </row>
    <row r="2828" customHeight="1" spans="1:11">
      <c r="A2828" s="438" t="s">
        <v>1750</v>
      </c>
      <c r="B2828" s="439" t="s">
        <v>2391</v>
      </c>
      <c r="C2828" s="438" t="s">
        <v>512</v>
      </c>
      <c r="D2828" s="438" t="s">
        <v>2392</v>
      </c>
      <c r="E2828" s="438" t="s">
        <v>1764</v>
      </c>
      <c r="F2828" s="438"/>
      <c r="G2828" s="440" t="s">
        <v>2367</v>
      </c>
      <c r="H2828" s="441">
        <v>0.3</v>
      </c>
      <c r="I2828" s="441">
        <v>0</v>
      </c>
      <c r="J2828" s="449">
        <v>25.93</v>
      </c>
      <c r="K2828" s="449">
        <v>7.77</v>
      </c>
    </row>
    <row r="2829" customHeight="1" spans="1:11">
      <c r="A2829" s="438" t="s">
        <v>1750</v>
      </c>
      <c r="B2829" s="439" t="s">
        <v>2689</v>
      </c>
      <c r="C2829" s="438" t="s">
        <v>512</v>
      </c>
      <c r="D2829" s="438" t="s">
        <v>2690</v>
      </c>
      <c r="E2829" s="438" t="s">
        <v>1764</v>
      </c>
      <c r="F2829" s="438"/>
      <c r="G2829" s="440" t="s">
        <v>2367</v>
      </c>
      <c r="H2829" s="441">
        <v>0.3</v>
      </c>
      <c r="I2829" s="441">
        <v>0</v>
      </c>
      <c r="J2829" s="449">
        <v>33.39</v>
      </c>
      <c r="K2829" s="449">
        <v>10.01</v>
      </c>
    </row>
    <row r="2830" customHeight="1" spans="1:11">
      <c r="A2830" s="438" t="s">
        <v>1750</v>
      </c>
      <c r="B2830" s="439" t="s">
        <v>2708</v>
      </c>
      <c r="C2830" s="438" t="s">
        <v>512</v>
      </c>
      <c r="D2830" s="438" t="s">
        <v>2709</v>
      </c>
      <c r="E2830" s="438" t="s">
        <v>1631</v>
      </c>
      <c r="F2830" s="438"/>
      <c r="G2830" s="440" t="s">
        <v>2700</v>
      </c>
      <c r="H2830" s="441">
        <v>0.333</v>
      </c>
      <c r="I2830" s="441">
        <v>0</v>
      </c>
      <c r="J2830" s="449">
        <v>136.65</v>
      </c>
      <c r="K2830" s="449">
        <v>45.5</v>
      </c>
    </row>
    <row r="2831" customHeight="1" spans="1:11">
      <c r="A2831" s="438" t="s">
        <v>1750</v>
      </c>
      <c r="B2831" s="439" t="s">
        <v>2710</v>
      </c>
      <c r="C2831" s="438" t="s">
        <v>512</v>
      </c>
      <c r="D2831" s="438" t="s">
        <v>2711</v>
      </c>
      <c r="E2831" s="438" t="s">
        <v>1631</v>
      </c>
      <c r="F2831" s="438"/>
      <c r="G2831" s="440" t="s">
        <v>67</v>
      </c>
      <c r="H2831" s="441">
        <v>0.333</v>
      </c>
      <c r="I2831" s="441">
        <v>0</v>
      </c>
      <c r="J2831" s="449">
        <v>39.6</v>
      </c>
      <c r="K2831" s="449">
        <v>13.18</v>
      </c>
    </row>
    <row r="2832" customHeight="1" spans="1:11">
      <c r="A2832" s="438" t="s">
        <v>1750</v>
      </c>
      <c r="B2832" s="439" t="s">
        <v>2370</v>
      </c>
      <c r="C2832" s="438" t="s">
        <v>512</v>
      </c>
      <c r="D2832" s="438" t="s">
        <v>2371</v>
      </c>
      <c r="E2832" s="438" t="s">
        <v>2372</v>
      </c>
      <c r="F2832" s="438"/>
      <c r="G2832" s="440" t="s">
        <v>1617</v>
      </c>
      <c r="H2832" s="441">
        <v>17.78</v>
      </c>
      <c r="I2832" s="441">
        <v>3</v>
      </c>
      <c r="J2832" s="449">
        <v>1</v>
      </c>
      <c r="K2832" s="449">
        <v>0.53</v>
      </c>
    </row>
    <row r="2833" customHeight="1" spans="1:11">
      <c r="A2833" s="434"/>
      <c r="B2833" s="434"/>
      <c r="C2833" s="434"/>
      <c r="D2833" s="434"/>
      <c r="E2833" s="434"/>
      <c r="F2833" s="434" t="s">
        <v>1735</v>
      </c>
      <c r="G2833" s="435">
        <v>9.31</v>
      </c>
      <c r="H2833" s="434" t="s">
        <v>1736</v>
      </c>
      <c r="I2833" s="435">
        <v>8.47</v>
      </c>
      <c r="J2833" s="434" t="s">
        <v>1737</v>
      </c>
      <c r="K2833" s="435">
        <v>17.78</v>
      </c>
    </row>
    <row r="2834" customHeight="1" spans="1:11">
      <c r="A2834" s="434"/>
      <c r="B2834" s="434"/>
      <c r="C2834" s="434"/>
      <c r="D2834" s="434"/>
      <c r="E2834" s="434"/>
      <c r="F2834" s="434" t="s">
        <v>1738</v>
      </c>
      <c r="G2834" s="435">
        <v>18.98</v>
      </c>
      <c r="H2834" s="434"/>
      <c r="I2834" s="434" t="s">
        <v>1739</v>
      </c>
      <c r="J2834" s="434"/>
      <c r="K2834" s="435">
        <v>95.97</v>
      </c>
    </row>
    <row r="2835" customHeight="1" spans="1:11">
      <c r="A2835" s="436"/>
      <c r="B2835" s="436"/>
      <c r="C2835" s="436"/>
      <c r="D2835" s="436"/>
      <c r="E2835" s="436"/>
      <c r="F2835" s="436"/>
      <c r="G2835" s="436"/>
      <c r="H2835" s="436" t="s">
        <v>1740</v>
      </c>
      <c r="I2835" s="447" t="s">
        <v>2331</v>
      </c>
      <c r="J2835" s="436" t="s">
        <v>1742</v>
      </c>
      <c r="K2835" s="448">
        <v>1439.55</v>
      </c>
    </row>
    <row r="2836" customHeight="1" spans="1:11">
      <c r="A2836" s="437"/>
      <c r="B2836" s="437"/>
      <c r="C2836" s="437"/>
      <c r="D2836" s="437"/>
      <c r="E2836" s="437"/>
      <c r="F2836" s="437"/>
      <c r="G2836" s="437"/>
      <c r="H2836" s="437"/>
      <c r="I2836" s="437"/>
      <c r="J2836" s="437"/>
      <c r="K2836" s="437"/>
    </row>
    <row r="2837" customHeight="1" spans="1:11">
      <c r="A2837" s="423" t="s">
        <v>854</v>
      </c>
      <c r="B2837" s="424" t="s">
        <v>1714</v>
      </c>
      <c r="C2837" s="423" t="s">
        <v>1715</v>
      </c>
      <c r="D2837" s="423" t="s">
        <v>1716</v>
      </c>
      <c r="E2837" s="423" t="s">
        <v>1717</v>
      </c>
      <c r="F2837" s="423"/>
      <c r="G2837" s="425" t="s">
        <v>1718</v>
      </c>
      <c r="H2837" s="424" t="s">
        <v>1719</v>
      </c>
      <c r="I2837" s="424" t="s">
        <v>1720</v>
      </c>
      <c r="J2837" s="424" t="s">
        <v>1721</v>
      </c>
      <c r="K2837" s="424" t="s">
        <v>1722</v>
      </c>
    </row>
    <row r="2838" customHeight="1" spans="1:11">
      <c r="A2838" s="426" t="s">
        <v>1723</v>
      </c>
      <c r="B2838" s="427" t="s">
        <v>855</v>
      </c>
      <c r="C2838" s="426" t="s">
        <v>71</v>
      </c>
      <c r="D2838" s="426" t="s">
        <v>856</v>
      </c>
      <c r="E2838" s="426" t="s">
        <v>1658</v>
      </c>
      <c r="F2838" s="426"/>
      <c r="G2838" s="428" t="s">
        <v>78</v>
      </c>
      <c r="H2838" s="429">
        <v>1</v>
      </c>
      <c r="I2838" s="445"/>
      <c r="J2838" s="445">
        <v>24.01</v>
      </c>
      <c r="K2838" s="445">
        <v>24.01</v>
      </c>
    </row>
    <row r="2839" customHeight="1" spans="1:11">
      <c r="A2839" s="430" t="s">
        <v>1724</v>
      </c>
      <c r="B2839" s="431" t="s">
        <v>2385</v>
      </c>
      <c r="C2839" s="430" t="s">
        <v>71</v>
      </c>
      <c r="D2839" s="430" t="s">
        <v>2386</v>
      </c>
      <c r="E2839" s="430" t="s">
        <v>1708</v>
      </c>
      <c r="F2839" s="430"/>
      <c r="G2839" s="432" t="s">
        <v>82</v>
      </c>
      <c r="H2839" s="433">
        <v>0.122</v>
      </c>
      <c r="I2839" s="433">
        <v>0</v>
      </c>
      <c r="J2839" s="446">
        <v>30.6</v>
      </c>
      <c r="K2839" s="446">
        <v>3.73</v>
      </c>
    </row>
    <row r="2840" customHeight="1" spans="1:11">
      <c r="A2840" s="430" t="s">
        <v>1724</v>
      </c>
      <c r="B2840" s="431" t="s">
        <v>2712</v>
      </c>
      <c r="C2840" s="430" t="s">
        <v>71</v>
      </c>
      <c r="D2840" s="430" t="s">
        <v>2713</v>
      </c>
      <c r="E2840" s="430" t="s">
        <v>2714</v>
      </c>
      <c r="F2840" s="430"/>
      <c r="G2840" s="432" t="s">
        <v>78</v>
      </c>
      <c r="H2840" s="433">
        <v>1</v>
      </c>
      <c r="I2840" s="433">
        <v>0</v>
      </c>
      <c r="J2840" s="446">
        <v>12.77</v>
      </c>
      <c r="K2840" s="446">
        <v>12.77</v>
      </c>
    </row>
    <row r="2841" customHeight="1" spans="1:11">
      <c r="A2841" s="430" t="s">
        <v>1724</v>
      </c>
      <c r="B2841" s="431" t="s">
        <v>2387</v>
      </c>
      <c r="C2841" s="430" t="s">
        <v>71</v>
      </c>
      <c r="D2841" s="430" t="s">
        <v>2388</v>
      </c>
      <c r="E2841" s="430" t="s">
        <v>1708</v>
      </c>
      <c r="F2841" s="430"/>
      <c r="G2841" s="432" t="s">
        <v>82</v>
      </c>
      <c r="H2841" s="433">
        <v>0.122</v>
      </c>
      <c r="I2841" s="433">
        <v>0</v>
      </c>
      <c r="J2841" s="446">
        <v>36.82</v>
      </c>
      <c r="K2841" s="446">
        <v>4.49</v>
      </c>
    </row>
    <row r="2842" customHeight="1" spans="1:11">
      <c r="A2842" s="438" t="s">
        <v>1750</v>
      </c>
      <c r="B2842" s="439" t="s">
        <v>2715</v>
      </c>
      <c r="C2842" s="438" t="s">
        <v>71</v>
      </c>
      <c r="D2842" s="438" t="s">
        <v>2716</v>
      </c>
      <c r="E2842" s="438" t="s">
        <v>1631</v>
      </c>
      <c r="F2842" s="438"/>
      <c r="G2842" s="440" t="s">
        <v>78</v>
      </c>
      <c r="H2842" s="441">
        <v>1.0538</v>
      </c>
      <c r="I2842" s="441">
        <v>0</v>
      </c>
      <c r="J2842" s="449">
        <v>2.87</v>
      </c>
      <c r="K2842" s="449">
        <v>3.02</v>
      </c>
    </row>
    <row r="2843" customHeight="1" spans="1:11">
      <c r="A2843" s="434"/>
      <c r="B2843" s="434"/>
      <c r="C2843" s="434"/>
      <c r="D2843" s="434"/>
      <c r="E2843" s="434"/>
      <c r="F2843" s="434" t="s">
        <v>1735</v>
      </c>
      <c r="G2843" s="435">
        <v>6.41</v>
      </c>
      <c r="H2843" s="434" t="s">
        <v>1736</v>
      </c>
      <c r="I2843" s="435">
        <v>5.84</v>
      </c>
      <c r="J2843" s="434" t="s">
        <v>1737</v>
      </c>
      <c r="K2843" s="435">
        <v>12.25</v>
      </c>
    </row>
    <row r="2844" customHeight="1" spans="1:11">
      <c r="A2844" s="434"/>
      <c r="B2844" s="434"/>
      <c r="C2844" s="434"/>
      <c r="D2844" s="434"/>
      <c r="E2844" s="434"/>
      <c r="F2844" s="434" t="s">
        <v>1738</v>
      </c>
      <c r="G2844" s="435">
        <v>5.92</v>
      </c>
      <c r="H2844" s="434"/>
      <c r="I2844" s="434" t="s">
        <v>1739</v>
      </c>
      <c r="J2844" s="434"/>
      <c r="K2844" s="435">
        <v>29.93</v>
      </c>
    </row>
    <row r="2845" customHeight="1" spans="1:11">
      <c r="A2845" s="436"/>
      <c r="B2845" s="436"/>
      <c r="C2845" s="436"/>
      <c r="D2845" s="436"/>
      <c r="E2845" s="436"/>
      <c r="F2845" s="436"/>
      <c r="G2845" s="436"/>
      <c r="H2845" s="436" t="s">
        <v>1740</v>
      </c>
      <c r="I2845" s="447" t="s">
        <v>2717</v>
      </c>
      <c r="J2845" s="436" t="s">
        <v>1742</v>
      </c>
      <c r="K2845" s="448">
        <v>4040.55</v>
      </c>
    </row>
    <row r="2846" customHeight="1" spans="1:11">
      <c r="A2846" s="437"/>
      <c r="B2846" s="437"/>
      <c r="C2846" s="437"/>
      <c r="D2846" s="437"/>
      <c r="E2846" s="437"/>
      <c r="F2846" s="437"/>
      <c r="G2846" s="437"/>
      <c r="H2846" s="437"/>
      <c r="I2846" s="437"/>
      <c r="J2846" s="437"/>
      <c r="K2846" s="437"/>
    </row>
    <row r="2847" customHeight="1" spans="1:11">
      <c r="A2847" s="423" t="s">
        <v>857</v>
      </c>
      <c r="B2847" s="424" t="s">
        <v>1714</v>
      </c>
      <c r="C2847" s="423" t="s">
        <v>1715</v>
      </c>
      <c r="D2847" s="423" t="s">
        <v>1716</v>
      </c>
      <c r="E2847" s="423" t="s">
        <v>1717</v>
      </c>
      <c r="F2847" s="423"/>
      <c r="G2847" s="425" t="s">
        <v>1718</v>
      </c>
      <c r="H2847" s="424" t="s">
        <v>1719</v>
      </c>
      <c r="I2847" s="424" t="s">
        <v>1720</v>
      </c>
      <c r="J2847" s="424" t="s">
        <v>1721</v>
      </c>
      <c r="K2847" s="424" t="s">
        <v>1722</v>
      </c>
    </row>
    <row r="2848" customHeight="1" spans="1:11">
      <c r="A2848" s="426" t="s">
        <v>1723</v>
      </c>
      <c r="B2848" s="427" t="s">
        <v>858</v>
      </c>
      <c r="C2848" s="426" t="s">
        <v>71</v>
      </c>
      <c r="D2848" s="426" t="s">
        <v>859</v>
      </c>
      <c r="E2848" s="426" t="s">
        <v>1638</v>
      </c>
      <c r="F2848" s="426"/>
      <c r="G2848" s="428" t="s">
        <v>78</v>
      </c>
      <c r="H2848" s="429">
        <v>1</v>
      </c>
      <c r="I2848" s="445"/>
      <c r="J2848" s="445">
        <v>10.4</v>
      </c>
      <c r="K2848" s="445">
        <v>10.4</v>
      </c>
    </row>
    <row r="2849" customHeight="1" spans="1:11">
      <c r="A2849" s="430" t="s">
        <v>1724</v>
      </c>
      <c r="B2849" s="431" t="s">
        <v>2387</v>
      </c>
      <c r="C2849" s="430" t="s">
        <v>71</v>
      </c>
      <c r="D2849" s="430" t="s">
        <v>2388</v>
      </c>
      <c r="E2849" s="430" t="s">
        <v>1708</v>
      </c>
      <c r="F2849" s="430"/>
      <c r="G2849" s="432" t="s">
        <v>82</v>
      </c>
      <c r="H2849" s="433">
        <v>0.0672</v>
      </c>
      <c r="I2849" s="433">
        <v>0</v>
      </c>
      <c r="J2849" s="446">
        <v>36.82</v>
      </c>
      <c r="K2849" s="446">
        <v>2.47</v>
      </c>
    </row>
    <row r="2850" customHeight="1" spans="1:11">
      <c r="A2850" s="430" t="s">
        <v>1724</v>
      </c>
      <c r="B2850" s="431" t="s">
        <v>2385</v>
      </c>
      <c r="C2850" s="430" t="s">
        <v>71</v>
      </c>
      <c r="D2850" s="430" t="s">
        <v>2386</v>
      </c>
      <c r="E2850" s="430" t="s">
        <v>1708</v>
      </c>
      <c r="F2850" s="430"/>
      <c r="G2850" s="432" t="s">
        <v>82</v>
      </c>
      <c r="H2850" s="433">
        <v>0.0672</v>
      </c>
      <c r="I2850" s="433">
        <v>0</v>
      </c>
      <c r="J2850" s="446">
        <v>30.6</v>
      </c>
      <c r="K2850" s="446">
        <v>2.05</v>
      </c>
    </row>
    <row r="2851" customHeight="1" spans="1:11">
      <c r="A2851" s="438" t="s">
        <v>1750</v>
      </c>
      <c r="B2851" s="439" t="s">
        <v>2718</v>
      </c>
      <c r="C2851" s="438" t="s">
        <v>71</v>
      </c>
      <c r="D2851" s="438" t="s">
        <v>2719</v>
      </c>
      <c r="E2851" s="438" t="s">
        <v>1631</v>
      </c>
      <c r="F2851" s="438"/>
      <c r="G2851" s="440" t="s">
        <v>78</v>
      </c>
      <c r="H2851" s="441">
        <v>1.1</v>
      </c>
      <c r="I2851" s="441">
        <v>0</v>
      </c>
      <c r="J2851" s="449">
        <v>5.35</v>
      </c>
      <c r="K2851" s="449">
        <v>5.88</v>
      </c>
    </row>
    <row r="2852" customHeight="1" spans="1:11">
      <c r="A2852" s="434"/>
      <c r="B2852" s="434"/>
      <c r="C2852" s="434"/>
      <c r="D2852" s="434"/>
      <c r="E2852" s="434"/>
      <c r="F2852" s="434" t="s">
        <v>1735</v>
      </c>
      <c r="G2852" s="435">
        <v>1.66</v>
      </c>
      <c r="H2852" s="434" t="s">
        <v>1736</v>
      </c>
      <c r="I2852" s="435">
        <v>1.51</v>
      </c>
      <c r="J2852" s="434" t="s">
        <v>1737</v>
      </c>
      <c r="K2852" s="435">
        <v>3.17</v>
      </c>
    </row>
    <row r="2853" customHeight="1" spans="1:11">
      <c r="A2853" s="434"/>
      <c r="B2853" s="434"/>
      <c r="C2853" s="434"/>
      <c r="D2853" s="434"/>
      <c r="E2853" s="434"/>
      <c r="F2853" s="434" t="s">
        <v>1738</v>
      </c>
      <c r="G2853" s="435">
        <v>2.56</v>
      </c>
      <c r="H2853" s="434"/>
      <c r="I2853" s="434" t="s">
        <v>1739</v>
      </c>
      <c r="J2853" s="434"/>
      <c r="K2853" s="435">
        <v>12.96</v>
      </c>
    </row>
    <row r="2854" customHeight="1" spans="1:11">
      <c r="A2854" s="436"/>
      <c r="B2854" s="436"/>
      <c r="C2854" s="436"/>
      <c r="D2854" s="436"/>
      <c r="E2854" s="436"/>
      <c r="F2854" s="436"/>
      <c r="G2854" s="436"/>
      <c r="H2854" s="436" t="s">
        <v>1740</v>
      </c>
      <c r="I2854" s="447" t="s">
        <v>2720</v>
      </c>
      <c r="J2854" s="436" t="s">
        <v>1742</v>
      </c>
      <c r="K2854" s="448">
        <v>1036.8</v>
      </c>
    </row>
    <row r="2855" customHeight="1" spans="1:11">
      <c r="A2855" s="437"/>
      <c r="B2855" s="437"/>
      <c r="C2855" s="437"/>
      <c r="D2855" s="437"/>
      <c r="E2855" s="437"/>
      <c r="F2855" s="437"/>
      <c r="G2855" s="437"/>
      <c r="H2855" s="437"/>
      <c r="I2855" s="437"/>
      <c r="J2855" s="437"/>
      <c r="K2855" s="437"/>
    </row>
    <row r="2856" customHeight="1" spans="1:11">
      <c r="A2856" s="423" t="s">
        <v>860</v>
      </c>
      <c r="B2856" s="424" t="s">
        <v>1714</v>
      </c>
      <c r="C2856" s="423" t="s">
        <v>1715</v>
      </c>
      <c r="D2856" s="423" t="s">
        <v>1716</v>
      </c>
      <c r="E2856" s="423" t="s">
        <v>1717</v>
      </c>
      <c r="F2856" s="423"/>
      <c r="G2856" s="425" t="s">
        <v>1718</v>
      </c>
      <c r="H2856" s="424" t="s">
        <v>1719</v>
      </c>
      <c r="I2856" s="424" t="s">
        <v>1720</v>
      </c>
      <c r="J2856" s="424" t="s">
        <v>1721</v>
      </c>
      <c r="K2856" s="424" t="s">
        <v>1722</v>
      </c>
    </row>
    <row r="2857" customHeight="1" spans="1:11">
      <c r="A2857" s="426" t="s">
        <v>1723</v>
      </c>
      <c r="B2857" s="427" t="s">
        <v>861</v>
      </c>
      <c r="C2857" s="426" t="s">
        <v>71</v>
      </c>
      <c r="D2857" s="426" t="s">
        <v>862</v>
      </c>
      <c r="E2857" s="426" t="s">
        <v>1638</v>
      </c>
      <c r="F2857" s="426"/>
      <c r="G2857" s="428" t="s">
        <v>78</v>
      </c>
      <c r="H2857" s="429">
        <v>1</v>
      </c>
      <c r="I2857" s="445"/>
      <c r="J2857" s="445">
        <v>14.8</v>
      </c>
      <c r="K2857" s="445">
        <v>14.8</v>
      </c>
    </row>
    <row r="2858" customHeight="1" spans="1:11">
      <c r="A2858" s="430" t="s">
        <v>1724</v>
      </c>
      <c r="B2858" s="431" t="s">
        <v>2385</v>
      </c>
      <c r="C2858" s="430" t="s">
        <v>71</v>
      </c>
      <c r="D2858" s="430" t="s">
        <v>2386</v>
      </c>
      <c r="E2858" s="430" t="s">
        <v>1708</v>
      </c>
      <c r="F2858" s="430"/>
      <c r="G2858" s="432" t="s">
        <v>82</v>
      </c>
      <c r="H2858" s="433">
        <v>0.0945</v>
      </c>
      <c r="I2858" s="433">
        <v>0</v>
      </c>
      <c r="J2858" s="446">
        <v>30.6</v>
      </c>
      <c r="K2858" s="446">
        <v>2.89</v>
      </c>
    </row>
    <row r="2859" customHeight="1" spans="1:11">
      <c r="A2859" s="430" t="s">
        <v>1724</v>
      </c>
      <c r="B2859" s="431" t="s">
        <v>2387</v>
      </c>
      <c r="C2859" s="430" t="s">
        <v>71</v>
      </c>
      <c r="D2859" s="430" t="s">
        <v>2388</v>
      </c>
      <c r="E2859" s="430" t="s">
        <v>1708</v>
      </c>
      <c r="F2859" s="430"/>
      <c r="G2859" s="432" t="s">
        <v>82</v>
      </c>
      <c r="H2859" s="433">
        <v>0.0945</v>
      </c>
      <c r="I2859" s="433">
        <v>0</v>
      </c>
      <c r="J2859" s="446">
        <v>36.82</v>
      </c>
      <c r="K2859" s="446">
        <v>3.47</v>
      </c>
    </row>
    <row r="2860" customHeight="1" spans="1:11">
      <c r="A2860" s="438" t="s">
        <v>1750</v>
      </c>
      <c r="B2860" s="439" t="s">
        <v>2721</v>
      </c>
      <c r="C2860" s="438" t="s">
        <v>71</v>
      </c>
      <c r="D2860" s="438" t="s">
        <v>2722</v>
      </c>
      <c r="E2860" s="438" t="s">
        <v>1631</v>
      </c>
      <c r="F2860" s="438"/>
      <c r="G2860" s="440" t="s">
        <v>78</v>
      </c>
      <c r="H2860" s="441">
        <v>1.1</v>
      </c>
      <c r="I2860" s="441">
        <v>0</v>
      </c>
      <c r="J2860" s="449">
        <v>7.68</v>
      </c>
      <c r="K2860" s="449">
        <v>8.44</v>
      </c>
    </row>
    <row r="2861" customHeight="1" spans="1:11">
      <c r="A2861" s="434"/>
      <c r="B2861" s="434"/>
      <c r="C2861" s="434"/>
      <c r="D2861" s="434"/>
      <c r="E2861" s="434"/>
      <c r="F2861" s="434" t="s">
        <v>1735</v>
      </c>
      <c r="G2861" s="435">
        <v>2.33</v>
      </c>
      <c r="H2861" s="434" t="s">
        <v>1736</v>
      </c>
      <c r="I2861" s="435">
        <v>2.13</v>
      </c>
      <c r="J2861" s="434" t="s">
        <v>1737</v>
      </c>
      <c r="K2861" s="435">
        <v>4.46</v>
      </c>
    </row>
    <row r="2862" customHeight="1" spans="1:11">
      <c r="A2862" s="434"/>
      <c r="B2862" s="434"/>
      <c r="C2862" s="434"/>
      <c r="D2862" s="434"/>
      <c r="E2862" s="434"/>
      <c r="F2862" s="434" t="s">
        <v>1738</v>
      </c>
      <c r="G2862" s="435">
        <v>3.64</v>
      </c>
      <c r="H2862" s="434"/>
      <c r="I2862" s="434" t="s">
        <v>1739</v>
      </c>
      <c r="J2862" s="434"/>
      <c r="K2862" s="435">
        <v>18.44</v>
      </c>
    </row>
    <row r="2863" customHeight="1" spans="1:11">
      <c r="A2863" s="436"/>
      <c r="B2863" s="436"/>
      <c r="C2863" s="436"/>
      <c r="D2863" s="436"/>
      <c r="E2863" s="436"/>
      <c r="F2863" s="436"/>
      <c r="G2863" s="436"/>
      <c r="H2863" s="436" t="s">
        <v>1740</v>
      </c>
      <c r="I2863" s="447" t="s">
        <v>2659</v>
      </c>
      <c r="J2863" s="436" t="s">
        <v>1742</v>
      </c>
      <c r="K2863" s="448">
        <v>4610</v>
      </c>
    </row>
    <row r="2864" customHeight="1" spans="1:11">
      <c r="A2864" s="437"/>
      <c r="B2864" s="437"/>
      <c r="C2864" s="437"/>
      <c r="D2864" s="437"/>
      <c r="E2864" s="437"/>
      <c r="F2864" s="437"/>
      <c r="G2864" s="437"/>
      <c r="H2864" s="437"/>
      <c r="I2864" s="437"/>
      <c r="J2864" s="437"/>
      <c r="K2864" s="437"/>
    </row>
    <row r="2865" customHeight="1" spans="1:11">
      <c r="A2865" s="423" t="s">
        <v>863</v>
      </c>
      <c r="B2865" s="424" t="s">
        <v>1714</v>
      </c>
      <c r="C2865" s="423" t="s">
        <v>1715</v>
      </c>
      <c r="D2865" s="423" t="s">
        <v>1716</v>
      </c>
      <c r="E2865" s="423" t="s">
        <v>1717</v>
      </c>
      <c r="F2865" s="423"/>
      <c r="G2865" s="425" t="s">
        <v>1718</v>
      </c>
      <c r="H2865" s="424" t="s">
        <v>1719</v>
      </c>
      <c r="I2865" s="424" t="s">
        <v>1720</v>
      </c>
      <c r="J2865" s="424" t="s">
        <v>1721</v>
      </c>
      <c r="K2865" s="424" t="s">
        <v>1722</v>
      </c>
    </row>
    <row r="2866" customHeight="1" spans="1:11">
      <c r="A2866" s="426" t="s">
        <v>1723</v>
      </c>
      <c r="B2866" s="427" t="s">
        <v>864</v>
      </c>
      <c r="C2866" s="426" t="s">
        <v>71</v>
      </c>
      <c r="D2866" s="426" t="s">
        <v>865</v>
      </c>
      <c r="E2866" s="426" t="s">
        <v>1638</v>
      </c>
      <c r="F2866" s="426"/>
      <c r="G2866" s="428" t="s">
        <v>78</v>
      </c>
      <c r="H2866" s="429">
        <v>1</v>
      </c>
      <c r="I2866" s="445"/>
      <c r="J2866" s="445">
        <v>22.01</v>
      </c>
      <c r="K2866" s="445">
        <v>22.01</v>
      </c>
    </row>
    <row r="2867" customHeight="1" spans="1:11">
      <c r="A2867" s="430" t="s">
        <v>1724</v>
      </c>
      <c r="B2867" s="431" t="s">
        <v>2385</v>
      </c>
      <c r="C2867" s="430" t="s">
        <v>71</v>
      </c>
      <c r="D2867" s="430" t="s">
        <v>2386</v>
      </c>
      <c r="E2867" s="430" t="s">
        <v>1708</v>
      </c>
      <c r="F2867" s="430"/>
      <c r="G2867" s="432" t="s">
        <v>82</v>
      </c>
      <c r="H2867" s="433">
        <v>0.1511</v>
      </c>
      <c r="I2867" s="433">
        <v>0</v>
      </c>
      <c r="J2867" s="446">
        <v>30.6</v>
      </c>
      <c r="K2867" s="446">
        <v>4.62</v>
      </c>
    </row>
    <row r="2868" customHeight="1" spans="1:11">
      <c r="A2868" s="430" t="s">
        <v>1724</v>
      </c>
      <c r="B2868" s="431" t="s">
        <v>2387</v>
      </c>
      <c r="C2868" s="430" t="s">
        <v>71</v>
      </c>
      <c r="D2868" s="430" t="s">
        <v>2388</v>
      </c>
      <c r="E2868" s="430" t="s">
        <v>1708</v>
      </c>
      <c r="F2868" s="430"/>
      <c r="G2868" s="432" t="s">
        <v>82</v>
      </c>
      <c r="H2868" s="433">
        <v>0.1511</v>
      </c>
      <c r="I2868" s="433">
        <v>0</v>
      </c>
      <c r="J2868" s="446">
        <v>36.82</v>
      </c>
      <c r="K2868" s="446">
        <v>5.56</v>
      </c>
    </row>
    <row r="2869" customHeight="1" spans="1:11">
      <c r="A2869" s="438" t="s">
        <v>1750</v>
      </c>
      <c r="B2869" s="439" t="s">
        <v>2723</v>
      </c>
      <c r="C2869" s="438" t="s">
        <v>71</v>
      </c>
      <c r="D2869" s="438" t="s">
        <v>2724</v>
      </c>
      <c r="E2869" s="438" t="s">
        <v>1631</v>
      </c>
      <c r="F2869" s="438"/>
      <c r="G2869" s="440" t="s">
        <v>78</v>
      </c>
      <c r="H2869" s="441">
        <v>1.1</v>
      </c>
      <c r="I2869" s="441">
        <v>0</v>
      </c>
      <c r="J2869" s="449">
        <v>10.76</v>
      </c>
      <c r="K2869" s="449">
        <v>11.83</v>
      </c>
    </row>
    <row r="2870" customHeight="1" spans="1:11">
      <c r="A2870" s="434"/>
      <c r="B2870" s="434"/>
      <c r="C2870" s="434"/>
      <c r="D2870" s="434"/>
      <c r="E2870" s="434"/>
      <c r="F2870" s="434" t="s">
        <v>1735</v>
      </c>
      <c r="G2870" s="435">
        <v>3.74</v>
      </c>
      <c r="H2870" s="434" t="s">
        <v>1736</v>
      </c>
      <c r="I2870" s="435">
        <v>3.4</v>
      </c>
      <c r="J2870" s="434" t="s">
        <v>1737</v>
      </c>
      <c r="K2870" s="435">
        <v>7.14</v>
      </c>
    </row>
    <row r="2871" customHeight="1" spans="1:11">
      <c r="A2871" s="434"/>
      <c r="B2871" s="434"/>
      <c r="C2871" s="434"/>
      <c r="D2871" s="434"/>
      <c r="E2871" s="434"/>
      <c r="F2871" s="434" t="s">
        <v>1738</v>
      </c>
      <c r="G2871" s="435">
        <v>5.42</v>
      </c>
      <c r="H2871" s="434"/>
      <c r="I2871" s="434" t="s">
        <v>1739</v>
      </c>
      <c r="J2871" s="434"/>
      <c r="K2871" s="435">
        <v>27.43</v>
      </c>
    </row>
    <row r="2872" customHeight="1" spans="1:11">
      <c r="A2872" s="436"/>
      <c r="B2872" s="436"/>
      <c r="C2872" s="436"/>
      <c r="D2872" s="436"/>
      <c r="E2872" s="436"/>
      <c r="F2872" s="436"/>
      <c r="G2872" s="436"/>
      <c r="H2872" s="436" t="s">
        <v>1740</v>
      </c>
      <c r="I2872" s="447" t="s">
        <v>2254</v>
      </c>
      <c r="J2872" s="436" t="s">
        <v>1742</v>
      </c>
      <c r="K2872" s="448">
        <v>822.9</v>
      </c>
    </row>
    <row r="2873" customHeight="1" spans="1:11">
      <c r="A2873" s="437"/>
      <c r="B2873" s="437"/>
      <c r="C2873" s="437"/>
      <c r="D2873" s="437"/>
      <c r="E2873" s="437"/>
      <c r="F2873" s="437"/>
      <c r="G2873" s="437"/>
      <c r="H2873" s="437"/>
      <c r="I2873" s="437"/>
      <c r="J2873" s="437"/>
      <c r="K2873" s="437"/>
    </row>
    <row r="2874" customHeight="1" spans="1:11">
      <c r="A2874" s="423" t="s">
        <v>866</v>
      </c>
      <c r="B2874" s="424" t="s">
        <v>1714</v>
      </c>
      <c r="C2874" s="423" t="s">
        <v>1715</v>
      </c>
      <c r="D2874" s="423" t="s">
        <v>1716</v>
      </c>
      <c r="E2874" s="423" t="s">
        <v>1717</v>
      </c>
      <c r="F2874" s="423"/>
      <c r="G2874" s="425" t="s">
        <v>1718</v>
      </c>
      <c r="H2874" s="424" t="s">
        <v>1719</v>
      </c>
      <c r="I2874" s="424" t="s">
        <v>1720</v>
      </c>
      <c r="J2874" s="424" t="s">
        <v>1721</v>
      </c>
      <c r="K2874" s="424" t="s">
        <v>1722</v>
      </c>
    </row>
    <row r="2875" customHeight="1" spans="1:11">
      <c r="A2875" s="426" t="s">
        <v>1723</v>
      </c>
      <c r="B2875" s="427" t="s">
        <v>867</v>
      </c>
      <c r="C2875" s="426" t="s">
        <v>71</v>
      </c>
      <c r="D2875" s="426" t="s">
        <v>868</v>
      </c>
      <c r="E2875" s="426" t="s">
        <v>1638</v>
      </c>
      <c r="F2875" s="426"/>
      <c r="G2875" s="428" t="s">
        <v>78</v>
      </c>
      <c r="H2875" s="429">
        <v>1</v>
      </c>
      <c r="I2875" s="445"/>
      <c r="J2875" s="445">
        <v>28.07</v>
      </c>
      <c r="K2875" s="445">
        <v>28.07</v>
      </c>
    </row>
    <row r="2876" customHeight="1" spans="1:11">
      <c r="A2876" s="430" t="s">
        <v>1724</v>
      </c>
      <c r="B2876" s="431" t="s">
        <v>2385</v>
      </c>
      <c r="C2876" s="430" t="s">
        <v>71</v>
      </c>
      <c r="D2876" s="430" t="s">
        <v>2386</v>
      </c>
      <c r="E2876" s="430" t="s">
        <v>1708</v>
      </c>
      <c r="F2876" s="430"/>
      <c r="G2876" s="432" t="s">
        <v>82</v>
      </c>
      <c r="H2876" s="433">
        <v>0.1721</v>
      </c>
      <c r="I2876" s="433">
        <v>0</v>
      </c>
      <c r="J2876" s="446">
        <v>30.6</v>
      </c>
      <c r="K2876" s="446">
        <v>5.26</v>
      </c>
    </row>
    <row r="2877" customHeight="1" spans="1:11">
      <c r="A2877" s="430" t="s">
        <v>1724</v>
      </c>
      <c r="B2877" s="431" t="s">
        <v>2387</v>
      </c>
      <c r="C2877" s="430" t="s">
        <v>71</v>
      </c>
      <c r="D2877" s="430" t="s">
        <v>2388</v>
      </c>
      <c r="E2877" s="430" t="s">
        <v>1708</v>
      </c>
      <c r="F2877" s="430"/>
      <c r="G2877" s="432" t="s">
        <v>82</v>
      </c>
      <c r="H2877" s="433">
        <v>0.1721</v>
      </c>
      <c r="I2877" s="433">
        <v>0</v>
      </c>
      <c r="J2877" s="446">
        <v>36.82</v>
      </c>
      <c r="K2877" s="446">
        <v>6.33</v>
      </c>
    </row>
    <row r="2878" customHeight="1" spans="1:11">
      <c r="A2878" s="438" t="s">
        <v>1750</v>
      </c>
      <c r="B2878" s="439" t="s">
        <v>2725</v>
      </c>
      <c r="C2878" s="438" t="s">
        <v>71</v>
      </c>
      <c r="D2878" s="438" t="s">
        <v>2726</v>
      </c>
      <c r="E2878" s="438" t="s">
        <v>1631</v>
      </c>
      <c r="F2878" s="438"/>
      <c r="G2878" s="440" t="s">
        <v>78</v>
      </c>
      <c r="H2878" s="441">
        <v>1.1</v>
      </c>
      <c r="I2878" s="441">
        <v>0</v>
      </c>
      <c r="J2878" s="449">
        <v>14.99</v>
      </c>
      <c r="K2878" s="449">
        <v>16.48</v>
      </c>
    </row>
    <row r="2879" customHeight="1" spans="1:11">
      <c r="A2879" s="434"/>
      <c r="B2879" s="434"/>
      <c r="C2879" s="434"/>
      <c r="D2879" s="434"/>
      <c r="E2879" s="434"/>
      <c r="F2879" s="434" t="s">
        <v>1735</v>
      </c>
      <c r="G2879" s="435">
        <v>4.26</v>
      </c>
      <c r="H2879" s="434" t="s">
        <v>1736</v>
      </c>
      <c r="I2879" s="435">
        <v>3.87</v>
      </c>
      <c r="J2879" s="434" t="s">
        <v>1737</v>
      </c>
      <c r="K2879" s="435">
        <v>8.13</v>
      </c>
    </row>
    <row r="2880" customHeight="1" spans="1:11">
      <c r="A2880" s="434"/>
      <c r="B2880" s="434"/>
      <c r="C2880" s="434"/>
      <c r="D2880" s="434"/>
      <c r="E2880" s="434"/>
      <c r="F2880" s="434" t="s">
        <v>1738</v>
      </c>
      <c r="G2880" s="435">
        <v>6.92</v>
      </c>
      <c r="H2880" s="434"/>
      <c r="I2880" s="434" t="s">
        <v>1739</v>
      </c>
      <c r="J2880" s="434"/>
      <c r="K2880" s="435">
        <v>34.99</v>
      </c>
    </row>
    <row r="2881" customHeight="1" spans="1:11">
      <c r="A2881" s="436"/>
      <c r="B2881" s="436"/>
      <c r="C2881" s="436"/>
      <c r="D2881" s="436"/>
      <c r="E2881" s="436"/>
      <c r="F2881" s="436"/>
      <c r="G2881" s="436"/>
      <c r="H2881" s="436" t="s">
        <v>1740</v>
      </c>
      <c r="I2881" s="447" t="s">
        <v>2720</v>
      </c>
      <c r="J2881" s="436" t="s">
        <v>1742</v>
      </c>
      <c r="K2881" s="448">
        <v>2799.2</v>
      </c>
    </row>
    <row r="2882" customHeight="1" spans="1:11">
      <c r="A2882" s="437"/>
      <c r="B2882" s="437"/>
      <c r="C2882" s="437"/>
      <c r="D2882" s="437"/>
      <c r="E2882" s="437"/>
      <c r="F2882" s="437"/>
      <c r="G2882" s="437"/>
      <c r="H2882" s="437"/>
      <c r="I2882" s="437"/>
      <c r="J2882" s="437"/>
      <c r="K2882" s="437"/>
    </row>
    <row r="2883" customHeight="1" spans="1:11">
      <c r="A2883" s="423" t="s">
        <v>869</v>
      </c>
      <c r="B2883" s="424" t="s">
        <v>1714</v>
      </c>
      <c r="C2883" s="423" t="s">
        <v>1715</v>
      </c>
      <c r="D2883" s="423" t="s">
        <v>1716</v>
      </c>
      <c r="E2883" s="423" t="s">
        <v>1717</v>
      </c>
      <c r="F2883" s="423"/>
      <c r="G2883" s="425" t="s">
        <v>1718</v>
      </c>
      <c r="H2883" s="424" t="s">
        <v>1719</v>
      </c>
      <c r="I2883" s="424" t="s">
        <v>1720</v>
      </c>
      <c r="J2883" s="424" t="s">
        <v>1721</v>
      </c>
      <c r="K2883" s="424" t="s">
        <v>1722</v>
      </c>
    </row>
    <row r="2884" customHeight="1" spans="1:11">
      <c r="A2884" s="426" t="s">
        <v>1723</v>
      </c>
      <c r="B2884" s="427" t="s">
        <v>870</v>
      </c>
      <c r="C2884" s="426" t="s">
        <v>65</v>
      </c>
      <c r="D2884" s="426" t="s">
        <v>871</v>
      </c>
      <c r="E2884" s="426" t="s">
        <v>62</v>
      </c>
      <c r="F2884" s="426"/>
      <c r="G2884" s="428" t="s">
        <v>67</v>
      </c>
      <c r="H2884" s="429">
        <v>1</v>
      </c>
      <c r="I2884" s="445"/>
      <c r="J2884" s="445">
        <v>8.45</v>
      </c>
      <c r="K2884" s="445">
        <v>8.45</v>
      </c>
    </row>
    <row r="2885" customHeight="1" spans="1:11">
      <c r="A2885" s="430" t="s">
        <v>1724</v>
      </c>
      <c r="B2885" s="431" t="s">
        <v>2385</v>
      </c>
      <c r="C2885" s="430" t="s">
        <v>71</v>
      </c>
      <c r="D2885" s="430" t="s">
        <v>2386</v>
      </c>
      <c r="E2885" s="430" t="s">
        <v>1708</v>
      </c>
      <c r="F2885" s="430"/>
      <c r="G2885" s="432" t="s">
        <v>82</v>
      </c>
      <c r="H2885" s="433">
        <v>0.0945</v>
      </c>
      <c r="I2885" s="433">
        <v>0</v>
      </c>
      <c r="J2885" s="446">
        <v>30.6</v>
      </c>
      <c r="K2885" s="446">
        <v>2.89</v>
      </c>
    </row>
    <row r="2886" customHeight="1" spans="1:11">
      <c r="A2886" s="430" t="s">
        <v>1724</v>
      </c>
      <c r="B2886" s="431" t="s">
        <v>2387</v>
      </c>
      <c r="C2886" s="430" t="s">
        <v>71</v>
      </c>
      <c r="D2886" s="430" t="s">
        <v>2388</v>
      </c>
      <c r="E2886" s="430" t="s">
        <v>1708</v>
      </c>
      <c r="F2886" s="430"/>
      <c r="G2886" s="432" t="s">
        <v>82</v>
      </c>
      <c r="H2886" s="433">
        <v>0.0945</v>
      </c>
      <c r="I2886" s="433">
        <v>0</v>
      </c>
      <c r="J2886" s="446">
        <v>36.82</v>
      </c>
      <c r="K2886" s="446">
        <v>3.47</v>
      </c>
    </row>
    <row r="2887" customHeight="1" spans="1:11">
      <c r="A2887" s="438" t="s">
        <v>1750</v>
      </c>
      <c r="B2887" s="439" t="s">
        <v>2727</v>
      </c>
      <c r="C2887" s="438" t="s">
        <v>71</v>
      </c>
      <c r="D2887" s="438" t="s">
        <v>2728</v>
      </c>
      <c r="E2887" s="438" t="s">
        <v>1631</v>
      </c>
      <c r="F2887" s="438"/>
      <c r="G2887" s="440" t="s">
        <v>78</v>
      </c>
      <c r="H2887" s="441">
        <v>1</v>
      </c>
      <c r="I2887" s="441">
        <v>0</v>
      </c>
      <c r="J2887" s="449">
        <v>2.09</v>
      </c>
      <c r="K2887" s="449">
        <v>2.09</v>
      </c>
    </row>
    <row r="2888" customHeight="1" spans="1:11">
      <c r="A2888" s="434"/>
      <c r="B2888" s="434"/>
      <c r="C2888" s="434"/>
      <c r="D2888" s="434"/>
      <c r="E2888" s="434"/>
      <c r="F2888" s="434" t="s">
        <v>1735</v>
      </c>
      <c r="G2888" s="435">
        <v>2.33</v>
      </c>
      <c r="H2888" s="434" t="s">
        <v>1736</v>
      </c>
      <c r="I2888" s="435">
        <v>2.13</v>
      </c>
      <c r="J2888" s="434" t="s">
        <v>1737</v>
      </c>
      <c r="K2888" s="435">
        <v>4.46</v>
      </c>
    </row>
    <row r="2889" customHeight="1" spans="1:11">
      <c r="A2889" s="434"/>
      <c r="B2889" s="434"/>
      <c r="C2889" s="434"/>
      <c r="D2889" s="434"/>
      <c r="E2889" s="434"/>
      <c r="F2889" s="434" t="s">
        <v>1738</v>
      </c>
      <c r="G2889" s="435">
        <v>2.08</v>
      </c>
      <c r="H2889" s="434"/>
      <c r="I2889" s="434" t="s">
        <v>1739</v>
      </c>
      <c r="J2889" s="434"/>
      <c r="K2889" s="435">
        <v>10.53</v>
      </c>
    </row>
    <row r="2890" customHeight="1" spans="1:11">
      <c r="A2890" s="436"/>
      <c r="B2890" s="436"/>
      <c r="C2890" s="436"/>
      <c r="D2890" s="436"/>
      <c r="E2890" s="436"/>
      <c r="F2890" s="436"/>
      <c r="G2890" s="436"/>
      <c r="H2890" s="436" t="s">
        <v>1740</v>
      </c>
      <c r="I2890" s="447" t="s">
        <v>2729</v>
      </c>
      <c r="J2890" s="436" t="s">
        <v>1742</v>
      </c>
      <c r="K2890" s="448">
        <v>3159</v>
      </c>
    </row>
    <row r="2891" customHeight="1" spans="1:11">
      <c r="A2891" s="437"/>
      <c r="B2891" s="437"/>
      <c r="C2891" s="437"/>
      <c r="D2891" s="437"/>
      <c r="E2891" s="437"/>
      <c r="F2891" s="437"/>
      <c r="G2891" s="437"/>
      <c r="H2891" s="437"/>
      <c r="I2891" s="437"/>
      <c r="J2891" s="437"/>
      <c r="K2891" s="437"/>
    </row>
    <row r="2892" customHeight="1" spans="1:11">
      <c r="A2892" s="422" t="s">
        <v>872</v>
      </c>
      <c r="B2892" s="422"/>
      <c r="C2892" s="422"/>
      <c r="D2892" s="422" t="s">
        <v>873</v>
      </c>
      <c r="E2892" s="422"/>
      <c r="F2892" s="422"/>
      <c r="G2892" s="422"/>
      <c r="H2892" s="422"/>
      <c r="I2892" s="443"/>
      <c r="J2892" s="422"/>
      <c r="K2892" s="444">
        <v>30708.72</v>
      </c>
    </row>
    <row r="2893" customHeight="1" spans="1:11">
      <c r="A2893" s="423" t="s">
        <v>874</v>
      </c>
      <c r="B2893" s="424" t="s">
        <v>1714</v>
      </c>
      <c r="C2893" s="423" t="s">
        <v>1715</v>
      </c>
      <c r="D2893" s="423" t="s">
        <v>1716</v>
      </c>
      <c r="E2893" s="423" t="s">
        <v>1717</v>
      </c>
      <c r="F2893" s="423"/>
      <c r="G2893" s="425" t="s">
        <v>1718</v>
      </c>
      <c r="H2893" s="424" t="s">
        <v>1719</v>
      </c>
      <c r="I2893" s="424" t="s">
        <v>1720</v>
      </c>
      <c r="J2893" s="424" t="s">
        <v>1721</v>
      </c>
      <c r="K2893" s="424" t="s">
        <v>1722</v>
      </c>
    </row>
    <row r="2894" customHeight="1" spans="1:11">
      <c r="A2894" s="426" t="s">
        <v>1723</v>
      </c>
      <c r="B2894" s="427" t="s">
        <v>875</v>
      </c>
      <c r="C2894" s="426" t="s">
        <v>76</v>
      </c>
      <c r="D2894" s="426" t="s">
        <v>876</v>
      </c>
      <c r="E2894" s="426">
        <v>15</v>
      </c>
      <c r="F2894" s="426"/>
      <c r="G2894" s="428" t="s">
        <v>78</v>
      </c>
      <c r="H2894" s="429">
        <v>1</v>
      </c>
      <c r="I2894" s="445"/>
      <c r="J2894" s="445">
        <v>86.07</v>
      </c>
      <c r="K2894" s="445">
        <v>86.07</v>
      </c>
    </row>
    <row r="2895" customHeight="1" spans="1:11">
      <c r="A2895" s="438" t="s">
        <v>1750</v>
      </c>
      <c r="B2895" s="439" t="s">
        <v>2660</v>
      </c>
      <c r="C2895" s="438" t="s">
        <v>76</v>
      </c>
      <c r="D2895" s="438" t="s">
        <v>2661</v>
      </c>
      <c r="E2895" s="438" t="s">
        <v>1764</v>
      </c>
      <c r="F2895" s="438"/>
      <c r="G2895" s="440" t="s">
        <v>82</v>
      </c>
      <c r="H2895" s="441">
        <v>1</v>
      </c>
      <c r="I2895" s="441">
        <v>3</v>
      </c>
      <c r="J2895" s="449">
        <v>26.52</v>
      </c>
      <c r="K2895" s="449">
        <v>27.31</v>
      </c>
    </row>
    <row r="2896" customHeight="1" spans="1:11">
      <c r="A2896" s="438" t="s">
        <v>1750</v>
      </c>
      <c r="B2896" s="439" t="s">
        <v>2730</v>
      </c>
      <c r="C2896" s="438" t="s">
        <v>76</v>
      </c>
      <c r="D2896" s="438" t="s">
        <v>2731</v>
      </c>
      <c r="E2896" s="438" t="s">
        <v>1631</v>
      </c>
      <c r="F2896" s="438"/>
      <c r="G2896" s="440" t="s">
        <v>105</v>
      </c>
      <c r="H2896" s="441">
        <v>0.33</v>
      </c>
      <c r="I2896" s="441">
        <v>0</v>
      </c>
      <c r="J2896" s="449">
        <v>72.51</v>
      </c>
      <c r="K2896" s="449">
        <v>23.92</v>
      </c>
    </row>
    <row r="2897" customHeight="1" spans="1:11">
      <c r="A2897" s="438" t="s">
        <v>1750</v>
      </c>
      <c r="B2897" s="439" t="s">
        <v>1767</v>
      </c>
      <c r="C2897" s="438" t="s">
        <v>76</v>
      </c>
      <c r="D2897" s="438" t="s">
        <v>1768</v>
      </c>
      <c r="E2897" s="438" t="s">
        <v>1764</v>
      </c>
      <c r="F2897" s="438"/>
      <c r="G2897" s="440" t="s">
        <v>82</v>
      </c>
      <c r="H2897" s="441">
        <v>1</v>
      </c>
      <c r="I2897" s="441">
        <v>3</v>
      </c>
      <c r="J2897" s="449">
        <v>19.16</v>
      </c>
      <c r="K2897" s="449">
        <v>19.73</v>
      </c>
    </row>
    <row r="2898" customHeight="1" spans="1:11">
      <c r="A2898" s="438" t="s">
        <v>1750</v>
      </c>
      <c r="B2898" s="439" t="s">
        <v>2732</v>
      </c>
      <c r="C2898" s="438" t="s">
        <v>76</v>
      </c>
      <c r="D2898" s="438" t="s">
        <v>2733</v>
      </c>
      <c r="E2898" s="438" t="s">
        <v>1631</v>
      </c>
      <c r="F2898" s="438"/>
      <c r="G2898" s="440" t="s">
        <v>105</v>
      </c>
      <c r="H2898" s="441">
        <v>0.33</v>
      </c>
      <c r="I2898" s="441">
        <v>0</v>
      </c>
      <c r="J2898" s="449">
        <v>45.8</v>
      </c>
      <c r="K2898" s="449">
        <v>15.11</v>
      </c>
    </row>
    <row r="2899" customHeight="1" spans="1:11">
      <c r="A2899" s="434"/>
      <c r="B2899" s="434"/>
      <c r="C2899" s="434"/>
      <c r="D2899" s="434"/>
      <c r="E2899" s="434"/>
      <c r="F2899" s="434" t="s">
        <v>1735</v>
      </c>
      <c r="G2899" s="435">
        <v>24.65</v>
      </c>
      <c r="H2899" s="434" t="s">
        <v>1736</v>
      </c>
      <c r="I2899" s="435">
        <v>22.39</v>
      </c>
      <c r="J2899" s="434" t="s">
        <v>1737</v>
      </c>
      <c r="K2899" s="435">
        <v>47.04</v>
      </c>
    </row>
    <row r="2900" customHeight="1" spans="1:11">
      <c r="A2900" s="434"/>
      <c r="B2900" s="434"/>
      <c r="C2900" s="434"/>
      <c r="D2900" s="434"/>
      <c r="E2900" s="434"/>
      <c r="F2900" s="434" t="s">
        <v>1738</v>
      </c>
      <c r="G2900" s="435">
        <v>21.22</v>
      </c>
      <c r="H2900" s="434"/>
      <c r="I2900" s="434" t="s">
        <v>1739</v>
      </c>
      <c r="J2900" s="434"/>
      <c r="K2900" s="435">
        <v>107.29</v>
      </c>
    </row>
    <row r="2901" customHeight="1" spans="1:11">
      <c r="A2901" s="436"/>
      <c r="B2901" s="436"/>
      <c r="C2901" s="436"/>
      <c r="D2901" s="436"/>
      <c r="E2901" s="436"/>
      <c r="F2901" s="436"/>
      <c r="G2901" s="436"/>
      <c r="H2901" s="436" t="s">
        <v>1740</v>
      </c>
      <c r="I2901" s="447" t="s">
        <v>2734</v>
      </c>
      <c r="J2901" s="436" t="s">
        <v>1742</v>
      </c>
      <c r="K2901" s="448">
        <v>12874.8</v>
      </c>
    </row>
    <row r="2902" customHeight="1" spans="1:11">
      <c r="A2902" s="437"/>
      <c r="B2902" s="437"/>
      <c r="C2902" s="437"/>
      <c r="D2902" s="437"/>
      <c r="E2902" s="437"/>
      <c r="F2902" s="437"/>
      <c r="G2902" s="437"/>
      <c r="H2902" s="437"/>
      <c r="I2902" s="437"/>
      <c r="J2902" s="437"/>
      <c r="K2902" s="437"/>
    </row>
    <row r="2903" customHeight="1" spans="1:11">
      <c r="A2903" s="423" t="s">
        <v>877</v>
      </c>
      <c r="B2903" s="424" t="s">
        <v>1714</v>
      </c>
      <c r="C2903" s="423" t="s">
        <v>1715</v>
      </c>
      <c r="D2903" s="423" t="s">
        <v>1716</v>
      </c>
      <c r="E2903" s="423" t="s">
        <v>1717</v>
      </c>
      <c r="F2903" s="423"/>
      <c r="G2903" s="425" t="s">
        <v>1718</v>
      </c>
      <c r="H2903" s="424" t="s">
        <v>1719</v>
      </c>
      <c r="I2903" s="424" t="s">
        <v>1720</v>
      </c>
      <c r="J2903" s="424" t="s">
        <v>1721</v>
      </c>
      <c r="K2903" s="424" t="s">
        <v>1722</v>
      </c>
    </row>
    <row r="2904" customHeight="1" spans="1:11">
      <c r="A2904" s="426" t="s">
        <v>1723</v>
      </c>
      <c r="B2904" s="427" t="s">
        <v>878</v>
      </c>
      <c r="C2904" s="426" t="s">
        <v>76</v>
      </c>
      <c r="D2904" s="426" t="s">
        <v>879</v>
      </c>
      <c r="E2904" s="426">
        <v>15</v>
      </c>
      <c r="F2904" s="426"/>
      <c r="G2904" s="428" t="s">
        <v>105</v>
      </c>
      <c r="H2904" s="429">
        <v>1</v>
      </c>
      <c r="I2904" s="445"/>
      <c r="J2904" s="445">
        <v>63.29</v>
      </c>
      <c r="K2904" s="445">
        <v>63.29</v>
      </c>
    </row>
    <row r="2905" customHeight="1" spans="1:11">
      <c r="A2905" s="438" t="s">
        <v>1750</v>
      </c>
      <c r="B2905" s="439" t="s">
        <v>2660</v>
      </c>
      <c r="C2905" s="438" t="s">
        <v>76</v>
      </c>
      <c r="D2905" s="438" t="s">
        <v>2661</v>
      </c>
      <c r="E2905" s="438" t="s">
        <v>1764</v>
      </c>
      <c r="F2905" s="438"/>
      <c r="G2905" s="440" t="s">
        <v>82</v>
      </c>
      <c r="H2905" s="441">
        <v>0.5</v>
      </c>
      <c r="I2905" s="441">
        <v>3</v>
      </c>
      <c r="J2905" s="449">
        <v>26.52</v>
      </c>
      <c r="K2905" s="449">
        <v>13.65</v>
      </c>
    </row>
    <row r="2906" customHeight="1" spans="1:11">
      <c r="A2906" s="438" t="s">
        <v>1750</v>
      </c>
      <c r="B2906" s="439" t="s">
        <v>2735</v>
      </c>
      <c r="C2906" s="438" t="s">
        <v>76</v>
      </c>
      <c r="D2906" s="438" t="s">
        <v>2736</v>
      </c>
      <c r="E2906" s="438" t="s">
        <v>1631</v>
      </c>
      <c r="F2906" s="438"/>
      <c r="G2906" s="440" t="s">
        <v>105</v>
      </c>
      <c r="H2906" s="441">
        <v>1</v>
      </c>
      <c r="I2906" s="441">
        <v>0</v>
      </c>
      <c r="J2906" s="449">
        <v>39.78</v>
      </c>
      <c r="K2906" s="449">
        <v>39.78</v>
      </c>
    </row>
    <row r="2907" customHeight="1" spans="1:11">
      <c r="A2907" s="438" t="s">
        <v>1750</v>
      </c>
      <c r="B2907" s="439" t="s">
        <v>1767</v>
      </c>
      <c r="C2907" s="438" t="s">
        <v>76</v>
      </c>
      <c r="D2907" s="438" t="s">
        <v>1768</v>
      </c>
      <c r="E2907" s="438" t="s">
        <v>1764</v>
      </c>
      <c r="F2907" s="438"/>
      <c r="G2907" s="440" t="s">
        <v>82</v>
      </c>
      <c r="H2907" s="441">
        <v>0.5</v>
      </c>
      <c r="I2907" s="441">
        <v>3</v>
      </c>
      <c r="J2907" s="449">
        <v>19.16</v>
      </c>
      <c r="K2907" s="449">
        <v>9.86</v>
      </c>
    </row>
    <row r="2908" customHeight="1" spans="1:11">
      <c r="A2908" s="434"/>
      <c r="B2908" s="434"/>
      <c r="C2908" s="434"/>
      <c r="D2908" s="434"/>
      <c r="E2908" s="434"/>
      <c r="F2908" s="434" t="s">
        <v>1735</v>
      </c>
      <c r="G2908" s="435">
        <v>12.31</v>
      </c>
      <c r="H2908" s="434" t="s">
        <v>1736</v>
      </c>
      <c r="I2908" s="435">
        <v>11.2</v>
      </c>
      <c r="J2908" s="434" t="s">
        <v>1737</v>
      </c>
      <c r="K2908" s="435">
        <v>23.51</v>
      </c>
    </row>
    <row r="2909" customHeight="1" spans="1:11">
      <c r="A2909" s="434"/>
      <c r="B2909" s="434"/>
      <c r="C2909" s="434"/>
      <c r="D2909" s="434"/>
      <c r="E2909" s="434"/>
      <c r="F2909" s="434" t="s">
        <v>1738</v>
      </c>
      <c r="G2909" s="435">
        <v>15.6</v>
      </c>
      <c r="H2909" s="434"/>
      <c r="I2909" s="434" t="s">
        <v>1739</v>
      </c>
      <c r="J2909" s="434"/>
      <c r="K2909" s="435">
        <v>78.89</v>
      </c>
    </row>
    <row r="2910" customHeight="1" spans="1:11">
      <c r="A2910" s="436"/>
      <c r="B2910" s="436"/>
      <c r="C2910" s="436"/>
      <c r="D2910" s="436"/>
      <c r="E2910" s="436"/>
      <c r="F2910" s="436"/>
      <c r="G2910" s="436"/>
      <c r="H2910" s="436" t="s">
        <v>1740</v>
      </c>
      <c r="I2910" s="447" t="s">
        <v>2384</v>
      </c>
      <c r="J2910" s="436" t="s">
        <v>1742</v>
      </c>
      <c r="K2910" s="448">
        <v>552.23</v>
      </c>
    </row>
    <row r="2911" customHeight="1" spans="1:11">
      <c r="A2911" s="437"/>
      <c r="B2911" s="437"/>
      <c r="C2911" s="437"/>
      <c r="D2911" s="437"/>
      <c r="E2911" s="437"/>
      <c r="F2911" s="437"/>
      <c r="G2911" s="437"/>
      <c r="H2911" s="437"/>
      <c r="I2911" s="437"/>
      <c r="J2911" s="437"/>
      <c r="K2911" s="437"/>
    </row>
    <row r="2912" customHeight="1" spans="1:11">
      <c r="A2912" s="423" t="s">
        <v>880</v>
      </c>
      <c r="B2912" s="424" t="s">
        <v>1714</v>
      </c>
      <c r="C2912" s="423" t="s">
        <v>1715</v>
      </c>
      <c r="D2912" s="423" t="s">
        <v>1716</v>
      </c>
      <c r="E2912" s="423" t="s">
        <v>1717</v>
      </c>
      <c r="F2912" s="423"/>
      <c r="G2912" s="425" t="s">
        <v>1718</v>
      </c>
      <c r="H2912" s="424" t="s">
        <v>1719</v>
      </c>
      <c r="I2912" s="424" t="s">
        <v>1720</v>
      </c>
      <c r="J2912" s="424" t="s">
        <v>1721</v>
      </c>
      <c r="K2912" s="424" t="s">
        <v>1722</v>
      </c>
    </row>
    <row r="2913" customHeight="1" spans="1:11">
      <c r="A2913" s="426" t="s">
        <v>1723</v>
      </c>
      <c r="B2913" s="427" t="s">
        <v>881</v>
      </c>
      <c r="C2913" s="426" t="s">
        <v>76</v>
      </c>
      <c r="D2913" s="426" t="s">
        <v>882</v>
      </c>
      <c r="E2913" s="426">
        <v>15</v>
      </c>
      <c r="F2913" s="426"/>
      <c r="G2913" s="428" t="s">
        <v>105</v>
      </c>
      <c r="H2913" s="429">
        <v>1</v>
      </c>
      <c r="I2913" s="445"/>
      <c r="J2913" s="445">
        <v>86.84</v>
      </c>
      <c r="K2913" s="445">
        <v>86.84</v>
      </c>
    </row>
    <row r="2914" customHeight="1" spans="1:11">
      <c r="A2914" s="438" t="s">
        <v>1750</v>
      </c>
      <c r="B2914" s="439" t="s">
        <v>2660</v>
      </c>
      <c r="C2914" s="438" t="s">
        <v>76</v>
      </c>
      <c r="D2914" s="438" t="s">
        <v>2661</v>
      </c>
      <c r="E2914" s="438" t="s">
        <v>1764</v>
      </c>
      <c r="F2914" s="438"/>
      <c r="G2914" s="440" t="s">
        <v>82</v>
      </c>
      <c r="H2914" s="441">
        <v>0.5</v>
      </c>
      <c r="I2914" s="441">
        <v>3</v>
      </c>
      <c r="J2914" s="449">
        <v>26.52</v>
      </c>
      <c r="K2914" s="449">
        <v>13.65</v>
      </c>
    </row>
    <row r="2915" customHeight="1" spans="1:11">
      <c r="A2915" s="438" t="s">
        <v>1750</v>
      </c>
      <c r="B2915" s="439" t="s">
        <v>2737</v>
      </c>
      <c r="C2915" s="438" t="s">
        <v>76</v>
      </c>
      <c r="D2915" s="438" t="s">
        <v>2738</v>
      </c>
      <c r="E2915" s="438" t="s">
        <v>1631</v>
      </c>
      <c r="F2915" s="438"/>
      <c r="G2915" s="440" t="s">
        <v>105</v>
      </c>
      <c r="H2915" s="441">
        <v>1</v>
      </c>
      <c r="I2915" s="441">
        <v>0</v>
      </c>
      <c r="J2915" s="449">
        <v>63.33</v>
      </c>
      <c r="K2915" s="449">
        <v>63.33</v>
      </c>
    </row>
    <row r="2916" customHeight="1" spans="1:11">
      <c r="A2916" s="438" t="s">
        <v>1750</v>
      </c>
      <c r="B2916" s="439" t="s">
        <v>1767</v>
      </c>
      <c r="C2916" s="438" t="s">
        <v>76</v>
      </c>
      <c r="D2916" s="438" t="s">
        <v>1768</v>
      </c>
      <c r="E2916" s="438" t="s">
        <v>1764</v>
      </c>
      <c r="F2916" s="438"/>
      <c r="G2916" s="440" t="s">
        <v>82</v>
      </c>
      <c r="H2916" s="441">
        <v>0.5</v>
      </c>
      <c r="I2916" s="441">
        <v>3</v>
      </c>
      <c r="J2916" s="449">
        <v>19.16</v>
      </c>
      <c r="K2916" s="449">
        <v>9.86</v>
      </c>
    </row>
    <row r="2917" customHeight="1" spans="1:11">
      <c r="A2917" s="434"/>
      <c r="B2917" s="434"/>
      <c r="C2917" s="434"/>
      <c r="D2917" s="434"/>
      <c r="E2917" s="434"/>
      <c r="F2917" s="434" t="s">
        <v>1735</v>
      </c>
      <c r="G2917" s="435">
        <v>12.31</v>
      </c>
      <c r="H2917" s="434" t="s">
        <v>1736</v>
      </c>
      <c r="I2917" s="435">
        <v>11.2</v>
      </c>
      <c r="J2917" s="434" t="s">
        <v>1737</v>
      </c>
      <c r="K2917" s="435">
        <v>23.51</v>
      </c>
    </row>
    <row r="2918" customHeight="1" spans="1:11">
      <c r="A2918" s="434"/>
      <c r="B2918" s="434"/>
      <c r="C2918" s="434"/>
      <c r="D2918" s="434"/>
      <c r="E2918" s="434"/>
      <c r="F2918" s="434" t="s">
        <v>1738</v>
      </c>
      <c r="G2918" s="435">
        <v>21.41</v>
      </c>
      <c r="H2918" s="434"/>
      <c r="I2918" s="434" t="s">
        <v>1739</v>
      </c>
      <c r="J2918" s="434"/>
      <c r="K2918" s="435">
        <v>108.25</v>
      </c>
    </row>
    <row r="2919" customHeight="1" spans="1:11">
      <c r="A2919" s="436"/>
      <c r="B2919" s="436"/>
      <c r="C2919" s="436"/>
      <c r="D2919" s="436"/>
      <c r="E2919" s="436"/>
      <c r="F2919" s="436"/>
      <c r="G2919" s="436"/>
      <c r="H2919" s="436" t="s">
        <v>1740</v>
      </c>
      <c r="I2919" s="447" t="s">
        <v>1741</v>
      </c>
      <c r="J2919" s="436" t="s">
        <v>1742</v>
      </c>
      <c r="K2919" s="448">
        <v>108.25</v>
      </c>
    </row>
    <row r="2920" customHeight="1" spans="1:11">
      <c r="A2920" s="437"/>
      <c r="B2920" s="437"/>
      <c r="C2920" s="437"/>
      <c r="D2920" s="437"/>
      <c r="E2920" s="437"/>
      <c r="F2920" s="437"/>
      <c r="G2920" s="437"/>
      <c r="H2920" s="437"/>
      <c r="I2920" s="437"/>
      <c r="J2920" s="437"/>
      <c r="K2920" s="437"/>
    </row>
    <row r="2921" customHeight="1" spans="1:11">
      <c r="A2921" s="423" t="s">
        <v>883</v>
      </c>
      <c r="B2921" s="424" t="s">
        <v>1714</v>
      </c>
      <c r="C2921" s="423" t="s">
        <v>1715</v>
      </c>
      <c r="D2921" s="423" t="s">
        <v>1716</v>
      </c>
      <c r="E2921" s="423" t="s">
        <v>1717</v>
      </c>
      <c r="F2921" s="423"/>
      <c r="G2921" s="425" t="s">
        <v>1718</v>
      </c>
      <c r="H2921" s="424" t="s">
        <v>1719</v>
      </c>
      <c r="I2921" s="424" t="s">
        <v>1720</v>
      </c>
      <c r="J2921" s="424" t="s">
        <v>1721</v>
      </c>
      <c r="K2921" s="424" t="s">
        <v>1722</v>
      </c>
    </row>
    <row r="2922" customHeight="1" spans="1:11">
      <c r="A2922" s="426" t="s">
        <v>1723</v>
      </c>
      <c r="B2922" s="427" t="s">
        <v>884</v>
      </c>
      <c r="C2922" s="426" t="s">
        <v>76</v>
      </c>
      <c r="D2922" s="426" t="s">
        <v>885</v>
      </c>
      <c r="E2922" s="426">
        <v>15</v>
      </c>
      <c r="F2922" s="426"/>
      <c r="G2922" s="428" t="s">
        <v>105</v>
      </c>
      <c r="H2922" s="429">
        <v>1</v>
      </c>
      <c r="I2922" s="445"/>
      <c r="J2922" s="445">
        <v>54.23</v>
      </c>
      <c r="K2922" s="445">
        <v>54.23</v>
      </c>
    </row>
    <row r="2923" customHeight="1" spans="1:11">
      <c r="A2923" s="438" t="s">
        <v>1750</v>
      </c>
      <c r="B2923" s="439" t="s">
        <v>2739</v>
      </c>
      <c r="C2923" s="438" t="s">
        <v>76</v>
      </c>
      <c r="D2923" s="438" t="s">
        <v>2740</v>
      </c>
      <c r="E2923" s="438" t="s">
        <v>1631</v>
      </c>
      <c r="F2923" s="438"/>
      <c r="G2923" s="440" t="s">
        <v>105</v>
      </c>
      <c r="H2923" s="441">
        <v>1</v>
      </c>
      <c r="I2923" s="441">
        <v>0</v>
      </c>
      <c r="J2923" s="449">
        <v>30.72</v>
      </c>
      <c r="K2923" s="449">
        <v>30.72</v>
      </c>
    </row>
    <row r="2924" customHeight="1" spans="1:11">
      <c r="A2924" s="438" t="s">
        <v>1750</v>
      </c>
      <c r="B2924" s="439" t="s">
        <v>1767</v>
      </c>
      <c r="C2924" s="438" t="s">
        <v>76</v>
      </c>
      <c r="D2924" s="438" t="s">
        <v>1768</v>
      </c>
      <c r="E2924" s="438" t="s">
        <v>1764</v>
      </c>
      <c r="F2924" s="438"/>
      <c r="G2924" s="440" t="s">
        <v>82</v>
      </c>
      <c r="H2924" s="441">
        <v>0.5</v>
      </c>
      <c r="I2924" s="441">
        <v>3</v>
      </c>
      <c r="J2924" s="449">
        <v>19.16</v>
      </c>
      <c r="K2924" s="449">
        <v>9.86</v>
      </c>
    </row>
    <row r="2925" customHeight="1" spans="1:11">
      <c r="A2925" s="438" t="s">
        <v>1750</v>
      </c>
      <c r="B2925" s="439" t="s">
        <v>2660</v>
      </c>
      <c r="C2925" s="438" t="s">
        <v>76</v>
      </c>
      <c r="D2925" s="438" t="s">
        <v>2661</v>
      </c>
      <c r="E2925" s="438" t="s">
        <v>1764</v>
      </c>
      <c r="F2925" s="438"/>
      <c r="G2925" s="440" t="s">
        <v>82</v>
      </c>
      <c r="H2925" s="441">
        <v>0.5</v>
      </c>
      <c r="I2925" s="441">
        <v>3</v>
      </c>
      <c r="J2925" s="449">
        <v>26.52</v>
      </c>
      <c r="K2925" s="449">
        <v>13.65</v>
      </c>
    </row>
    <row r="2926" customHeight="1" spans="1:11">
      <c r="A2926" s="434"/>
      <c r="B2926" s="434"/>
      <c r="C2926" s="434"/>
      <c r="D2926" s="434"/>
      <c r="E2926" s="434"/>
      <c r="F2926" s="434" t="s">
        <v>1735</v>
      </c>
      <c r="G2926" s="435">
        <v>12.31</v>
      </c>
      <c r="H2926" s="434" t="s">
        <v>1736</v>
      </c>
      <c r="I2926" s="435">
        <v>11.2</v>
      </c>
      <c r="J2926" s="434" t="s">
        <v>1737</v>
      </c>
      <c r="K2926" s="435">
        <v>23.51</v>
      </c>
    </row>
    <row r="2927" customHeight="1" spans="1:11">
      <c r="A2927" s="434"/>
      <c r="B2927" s="434"/>
      <c r="C2927" s="434"/>
      <c r="D2927" s="434"/>
      <c r="E2927" s="434"/>
      <c r="F2927" s="434" t="s">
        <v>1738</v>
      </c>
      <c r="G2927" s="435">
        <v>13.37</v>
      </c>
      <c r="H2927" s="434"/>
      <c r="I2927" s="434" t="s">
        <v>1739</v>
      </c>
      <c r="J2927" s="434"/>
      <c r="K2927" s="435">
        <v>67.6</v>
      </c>
    </row>
    <row r="2928" customHeight="1" spans="1:11">
      <c r="A2928" s="436"/>
      <c r="B2928" s="436"/>
      <c r="C2928" s="436"/>
      <c r="D2928" s="436"/>
      <c r="E2928" s="436"/>
      <c r="F2928" s="436"/>
      <c r="G2928" s="436"/>
      <c r="H2928" s="436" t="s">
        <v>1740</v>
      </c>
      <c r="I2928" s="447" t="s">
        <v>1971</v>
      </c>
      <c r="J2928" s="436" t="s">
        <v>1742</v>
      </c>
      <c r="K2928" s="448">
        <v>135.2</v>
      </c>
    </row>
    <row r="2929" customHeight="1" spans="1:11">
      <c r="A2929" s="437"/>
      <c r="B2929" s="437"/>
      <c r="C2929" s="437"/>
      <c r="D2929" s="437"/>
      <c r="E2929" s="437"/>
      <c r="F2929" s="437"/>
      <c r="G2929" s="437"/>
      <c r="H2929" s="437"/>
      <c r="I2929" s="437"/>
      <c r="J2929" s="437"/>
      <c r="K2929" s="437"/>
    </row>
    <row r="2930" customHeight="1" spans="1:11">
      <c r="A2930" s="423" t="s">
        <v>886</v>
      </c>
      <c r="B2930" s="424" t="s">
        <v>1714</v>
      </c>
      <c r="C2930" s="423" t="s">
        <v>1715</v>
      </c>
      <c r="D2930" s="423" t="s">
        <v>1716</v>
      </c>
      <c r="E2930" s="423" t="s">
        <v>1717</v>
      </c>
      <c r="F2930" s="423"/>
      <c r="G2930" s="425" t="s">
        <v>1718</v>
      </c>
      <c r="H2930" s="424" t="s">
        <v>1719</v>
      </c>
      <c r="I2930" s="424" t="s">
        <v>1720</v>
      </c>
      <c r="J2930" s="424" t="s">
        <v>1721</v>
      </c>
      <c r="K2930" s="424" t="s">
        <v>1722</v>
      </c>
    </row>
    <row r="2931" customHeight="1" spans="1:11">
      <c r="A2931" s="426" t="s">
        <v>1723</v>
      </c>
      <c r="B2931" s="427" t="s">
        <v>887</v>
      </c>
      <c r="C2931" s="426" t="s">
        <v>71</v>
      </c>
      <c r="D2931" s="426" t="s">
        <v>888</v>
      </c>
      <c r="E2931" s="426" t="s">
        <v>1652</v>
      </c>
      <c r="F2931" s="426"/>
      <c r="G2931" s="428" t="s">
        <v>105</v>
      </c>
      <c r="H2931" s="429">
        <v>1</v>
      </c>
      <c r="I2931" s="445"/>
      <c r="J2931" s="445">
        <v>82.34</v>
      </c>
      <c r="K2931" s="445">
        <v>82.34</v>
      </c>
    </row>
    <row r="2932" customHeight="1" spans="1:11">
      <c r="A2932" s="430" t="s">
        <v>1724</v>
      </c>
      <c r="B2932" s="431" t="s">
        <v>2385</v>
      </c>
      <c r="C2932" s="430" t="s">
        <v>71</v>
      </c>
      <c r="D2932" s="430" t="s">
        <v>2386</v>
      </c>
      <c r="E2932" s="430" t="s">
        <v>1708</v>
      </c>
      <c r="F2932" s="430"/>
      <c r="G2932" s="432" t="s">
        <v>82</v>
      </c>
      <c r="H2932" s="433">
        <v>0.1879</v>
      </c>
      <c r="I2932" s="433">
        <v>0</v>
      </c>
      <c r="J2932" s="446">
        <v>30.6</v>
      </c>
      <c r="K2932" s="446">
        <v>5.74</v>
      </c>
    </row>
    <row r="2933" customHeight="1" spans="1:11">
      <c r="A2933" s="430" t="s">
        <v>1724</v>
      </c>
      <c r="B2933" s="431" t="s">
        <v>2387</v>
      </c>
      <c r="C2933" s="430" t="s">
        <v>71</v>
      </c>
      <c r="D2933" s="430" t="s">
        <v>2388</v>
      </c>
      <c r="E2933" s="430" t="s">
        <v>1708</v>
      </c>
      <c r="F2933" s="430"/>
      <c r="G2933" s="432" t="s">
        <v>82</v>
      </c>
      <c r="H2933" s="433">
        <v>0.1879</v>
      </c>
      <c r="I2933" s="433">
        <v>0</v>
      </c>
      <c r="J2933" s="446">
        <v>36.82</v>
      </c>
      <c r="K2933" s="446">
        <v>6.91</v>
      </c>
    </row>
    <row r="2934" customHeight="1" spans="1:11">
      <c r="A2934" s="438" t="s">
        <v>1750</v>
      </c>
      <c r="B2934" s="439" t="s">
        <v>2741</v>
      </c>
      <c r="C2934" s="438" t="s">
        <v>71</v>
      </c>
      <c r="D2934" s="438" t="s">
        <v>2742</v>
      </c>
      <c r="E2934" s="438" t="s">
        <v>1631</v>
      </c>
      <c r="F2934" s="438"/>
      <c r="G2934" s="440" t="s">
        <v>105</v>
      </c>
      <c r="H2934" s="441">
        <v>16.8</v>
      </c>
      <c r="I2934" s="441">
        <v>0</v>
      </c>
      <c r="J2934" s="449">
        <v>0.05</v>
      </c>
      <c r="K2934" s="449">
        <v>0.84</v>
      </c>
    </row>
    <row r="2935" customHeight="1" spans="1:11">
      <c r="A2935" s="438" t="s">
        <v>1750</v>
      </c>
      <c r="B2935" s="439" t="s">
        <v>2743</v>
      </c>
      <c r="C2935" s="438" t="s">
        <v>71</v>
      </c>
      <c r="D2935" s="438" t="s">
        <v>2744</v>
      </c>
      <c r="E2935" s="438" t="s">
        <v>1631</v>
      </c>
      <c r="F2935" s="438"/>
      <c r="G2935" s="440" t="s">
        <v>105</v>
      </c>
      <c r="H2935" s="441">
        <v>33.6</v>
      </c>
      <c r="I2935" s="441">
        <v>0</v>
      </c>
      <c r="J2935" s="449">
        <v>1.62</v>
      </c>
      <c r="K2935" s="449">
        <v>54.43</v>
      </c>
    </row>
    <row r="2936" customHeight="1" spans="1:11">
      <c r="A2936" s="438" t="s">
        <v>1750</v>
      </c>
      <c r="B2936" s="439" t="s">
        <v>2745</v>
      </c>
      <c r="C2936" s="438" t="s">
        <v>71</v>
      </c>
      <c r="D2936" s="438" t="s">
        <v>2746</v>
      </c>
      <c r="E2936" s="438" t="s">
        <v>1631</v>
      </c>
      <c r="F2936" s="438"/>
      <c r="G2936" s="440" t="s">
        <v>105</v>
      </c>
      <c r="H2936" s="441">
        <v>4</v>
      </c>
      <c r="I2936" s="441">
        <v>0</v>
      </c>
      <c r="J2936" s="449">
        <v>1.21</v>
      </c>
      <c r="K2936" s="449">
        <v>4.84</v>
      </c>
    </row>
    <row r="2937" customHeight="1" spans="1:11">
      <c r="A2937" s="438" t="s">
        <v>1750</v>
      </c>
      <c r="B2937" s="439" t="s">
        <v>2747</v>
      </c>
      <c r="C2937" s="438" t="s">
        <v>71</v>
      </c>
      <c r="D2937" s="438" t="s">
        <v>2748</v>
      </c>
      <c r="E2937" s="438" t="s">
        <v>1631</v>
      </c>
      <c r="F2937" s="438"/>
      <c r="G2937" s="440" t="s">
        <v>105</v>
      </c>
      <c r="H2937" s="441">
        <v>16.8</v>
      </c>
      <c r="I2937" s="441">
        <v>0</v>
      </c>
      <c r="J2937" s="449">
        <v>0.4</v>
      </c>
      <c r="K2937" s="449">
        <v>6.72</v>
      </c>
    </row>
    <row r="2938" customHeight="1" spans="1:11">
      <c r="A2938" s="438" t="s">
        <v>1750</v>
      </c>
      <c r="B2938" s="439" t="s">
        <v>2749</v>
      </c>
      <c r="C2938" s="438" t="s">
        <v>71</v>
      </c>
      <c r="D2938" s="438" t="s">
        <v>2750</v>
      </c>
      <c r="E2938" s="438" t="s">
        <v>1631</v>
      </c>
      <c r="F2938" s="438"/>
      <c r="G2938" s="440" t="s">
        <v>105</v>
      </c>
      <c r="H2938" s="441">
        <v>1</v>
      </c>
      <c r="I2938" s="441">
        <v>0</v>
      </c>
      <c r="J2938" s="449">
        <v>2.86</v>
      </c>
      <c r="K2938" s="449">
        <v>2.86</v>
      </c>
    </row>
    <row r="2939" customHeight="1" spans="1:11">
      <c r="A2939" s="434"/>
      <c r="B2939" s="434"/>
      <c r="C2939" s="434"/>
      <c r="D2939" s="434"/>
      <c r="E2939" s="434"/>
      <c r="F2939" s="434" t="s">
        <v>1735</v>
      </c>
      <c r="G2939" s="435">
        <v>4.65</v>
      </c>
      <c r="H2939" s="434" t="s">
        <v>1736</v>
      </c>
      <c r="I2939" s="435">
        <v>4.24</v>
      </c>
      <c r="J2939" s="434" t="s">
        <v>1737</v>
      </c>
      <c r="K2939" s="435">
        <v>8.89</v>
      </c>
    </row>
    <row r="2940" customHeight="1" spans="1:11">
      <c r="A2940" s="434"/>
      <c r="B2940" s="434"/>
      <c r="C2940" s="434"/>
      <c r="D2940" s="434"/>
      <c r="E2940" s="434"/>
      <c r="F2940" s="434" t="s">
        <v>1738</v>
      </c>
      <c r="G2940" s="435">
        <v>20.3</v>
      </c>
      <c r="H2940" s="434"/>
      <c r="I2940" s="434" t="s">
        <v>1739</v>
      </c>
      <c r="J2940" s="434"/>
      <c r="K2940" s="435">
        <v>102.64</v>
      </c>
    </row>
    <row r="2941" customHeight="1" spans="1:11">
      <c r="A2941" s="436"/>
      <c r="B2941" s="436"/>
      <c r="C2941" s="436"/>
      <c r="D2941" s="436"/>
      <c r="E2941" s="436"/>
      <c r="F2941" s="436"/>
      <c r="G2941" s="436"/>
      <c r="H2941" s="436" t="s">
        <v>1740</v>
      </c>
      <c r="I2941" s="447" t="s">
        <v>2751</v>
      </c>
      <c r="J2941" s="436" t="s">
        <v>1742</v>
      </c>
      <c r="K2941" s="448">
        <v>17038.24</v>
      </c>
    </row>
    <row r="2942" customHeight="1" spans="1:11">
      <c r="A2942" s="437"/>
      <c r="B2942" s="437"/>
      <c r="C2942" s="437"/>
      <c r="D2942" s="437"/>
      <c r="E2942" s="437"/>
      <c r="F2942" s="437"/>
      <c r="G2942" s="437"/>
      <c r="H2942" s="437"/>
      <c r="I2942" s="437"/>
      <c r="J2942" s="437"/>
      <c r="K2942" s="437"/>
    </row>
    <row r="2943" customHeight="1" spans="1:11">
      <c r="A2943" s="422" t="s">
        <v>889</v>
      </c>
      <c r="B2943" s="422"/>
      <c r="C2943" s="422"/>
      <c r="D2943" s="422" t="s">
        <v>890</v>
      </c>
      <c r="E2943" s="422"/>
      <c r="F2943" s="422"/>
      <c r="G2943" s="422"/>
      <c r="H2943" s="422"/>
      <c r="I2943" s="443"/>
      <c r="J2943" s="422"/>
      <c r="K2943" s="444">
        <v>22034.7</v>
      </c>
    </row>
    <row r="2944" customHeight="1" spans="1:11">
      <c r="A2944" s="423" t="s">
        <v>891</v>
      </c>
      <c r="B2944" s="424" t="s">
        <v>1714</v>
      </c>
      <c r="C2944" s="423" t="s">
        <v>1715</v>
      </c>
      <c r="D2944" s="423" t="s">
        <v>1716</v>
      </c>
      <c r="E2944" s="423" t="s">
        <v>1717</v>
      </c>
      <c r="F2944" s="423"/>
      <c r="G2944" s="425" t="s">
        <v>1718</v>
      </c>
      <c r="H2944" s="424" t="s">
        <v>1719</v>
      </c>
      <c r="I2944" s="424" t="s">
        <v>1720</v>
      </c>
      <c r="J2944" s="424" t="s">
        <v>1721</v>
      </c>
      <c r="K2944" s="424" t="s">
        <v>1722</v>
      </c>
    </row>
    <row r="2945" customHeight="1" spans="1:11">
      <c r="A2945" s="426" t="s">
        <v>1723</v>
      </c>
      <c r="B2945" s="427" t="s">
        <v>892</v>
      </c>
      <c r="C2945" s="426" t="s">
        <v>76</v>
      </c>
      <c r="D2945" s="426" t="s">
        <v>893</v>
      </c>
      <c r="E2945" s="426">
        <v>15</v>
      </c>
      <c r="F2945" s="426"/>
      <c r="G2945" s="428" t="s">
        <v>78</v>
      </c>
      <c r="H2945" s="429">
        <v>1</v>
      </c>
      <c r="I2945" s="445"/>
      <c r="J2945" s="445">
        <v>65.47</v>
      </c>
      <c r="K2945" s="445">
        <v>65.47</v>
      </c>
    </row>
    <row r="2946" customHeight="1" spans="1:11">
      <c r="A2946" s="438" t="s">
        <v>1750</v>
      </c>
      <c r="B2946" s="439" t="s">
        <v>2752</v>
      </c>
      <c r="C2946" s="438" t="s">
        <v>76</v>
      </c>
      <c r="D2946" s="438" t="s">
        <v>2753</v>
      </c>
      <c r="E2946" s="438" t="s">
        <v>1631</v>
      </c>
      <c r="F2946" s="438"/>
      <c r="G2946" s="440" t="s">
        <v>105</v>
      </c>
      <c r="H2946" s="441">
        <v>0.166</v>
      </c>
      <c r="I2946" s="441">
        <v>20</v>
      </c>
      <c r="J2946" s="449">
        <v>54.44</v>
      </c>
      <c r="K2946" s="449">
        <v>10.84</v>
      </c>
    </row>
    <row r="2947" customHeight="1" spans="1:11">
      <c r="A2947" s="438" t="s">
        <v>1750</v>
      </c>
      <c r="B2947" s="439" t="s">
        <v>2754</v>
      </c>
      <c r="C2947" s="438" t="s">
        <v>76</v>
      </c>
      <c r="D2947" s="438" t="s">
        <v>2755</v>
      </c>
      <c r="E2947" s="438" t="s">
        <v>1631</v>
      </c>
      <c r="F2947" s="438"/>
      <c r="G2947" s="440" t="s">
        <v>105</v>
      </c>
      <c r="H2947" s="441">
        <v>0.333</v>
      </c>
      <c r="I2947" s="441">
        <v>20</v>
      </c>
      <c r="J2947" s="449">
        <v>9.73</v>
      </c>
      <c r="K2947" s="449">
        <v>3.88</v>
      </c>
    </row>
    <row r="2948" customHeight="1" spans="1:11">
      <c r="A2948" s="438" t="s">
        <v>1750</v>
      </c>
      <c r="B2948" s="439" t="s">
        <v>2756</v>
      </c>
      <c r="C2948" s="438" t="s">
        <v>76</v>
      </c>
      <c r="D2948" s="438" t="s">
        <v>2757</v>
      </c>
      <c r="E2948" s="438" t="s">
        <v>1631</v>
      </c>
      <c r="F2948" s="438"/>
      <c r="G2948" s="440" t="s">
        <v>105</v>
      </c>
      <c r="H2948" s="441">
        <v>1.333</v>
      </c>
      <c r="I2948" s="441">
        <v>20</v>
      </c>
      <c r="J2948" s="449">
        <v>0.08</v>
      </c>
      <c r="K2948" s="449">
        <v>0.12</v>
      </c>
    </row>
    <row r="2949" customHeight="1" spans="1:11">
      <c r="A2949" s="438" t="s">
        <v>1750</v>
      </c>
      <c r="B2949" s="439" t="s">
        <v>2758</v>
      </c>
      <c r="C2949" s="438" t="s">
        <v>76</v>
      </c>
      <c r="D2949" s="438" t="s">
        <v>2759</v>
      </c>
      <c r="E2949" s="438" t="s">
        <v>1631</v>
      </c>
      <c r="F2949" s="438"/>
      <c r="G2949" s="440" t="s">
        <v>105</v>
      </c>
      <c r="H2949" s="441">
        <v>0.666</v>
      </c>
      <c r="I2949" s="441">
        <v>20</v>
      </c>
      <c r="J2949" s="449">
        <v>2.49</v>
      </c>
      <c r="K2949" s="449">
        <v>1.99</v>
      </c>
    </row>
    <row r="2950" customHeight="1" spans="1:11">
      <c r="A2950" s="438" t="s">
        <v>1750</v>
      </c>
      <c r="B2950" s="439" t="s">
        <v>2660</v>
      </c>
      <c r="C2950" s="438" t="s">
        <v>76</v>
      </c>
      <c r="D2950" s="438" t="s">
        <v>2661</v>
      </c>
      <c r="E2950" s="438" t="s">
        <v>1764</v>
      </c>
      <c r="F2950" s="438"/>
      <c r="G2950" s="440" t="s">
        <v>82</v>
      </c>
      <c r="H2950" s="441">
        <v>1</v>
      </c>
      <c r="I2950" s="441">
        <v>3</v>
      </c>
      <c r="J2950" s="449">
        <v>26.52</v>
      </c>
      <c r="K2950" s="449">
        <v>27.31</v>
      </c>
    </row>
    <row r="2951" customHeight="1" spans="1:11">
      <c r="A2951" s="438" t="s">
        <v>1750</v>
      </c>
      <c r="B2951" s="439" t="s">
        <v>2760</v>
      </c>
      <c r="C2951" s="438" t="s">
        <v>76</v>
      </c>
      <c r="D2951" s="438" t="s">
        <v>2761</v>
      </c>
      <c r="E2951" s="438" t="s">
        <v>1631</v>
      </c>
      <c r="F2951" s="438"/>
      <c r="G2951" s="440" t="s">
        <v>105</v>
      </c>
      <c r="H2951" s="441">
        <v>1.333</v>
      </c>
      <c r="I2951" s="441">
        <v>20</v>
      </c>
      <c r="J2951" s="449">
        <v>0.08</v>
      </c>
      <c r="K2951" s="449">
        <v>0.12</v>
      </c>
    </row>
    <row r="2952" customHeight="1" spans="1:11">
      <c r="A2952" s="438" t="s">
        <v>1750</v>
      </c>
      <c r="B2952" s="439" t="s">
        <v>2762</v>
      </c>
      <c r="C2952" s="438" t="s">
        <v>76</v>
      </c>
      <c r="D2952" s="438" t="s">
        <v>2763</v>
      </c>
      <c r="E2952" s="438" t="s">
        <v>1631</v>
      </c>
      <c r="F2952" s="438"/>
      <c r="G2952" s="440" t="s">
        <v>105</v>
      </c>
      <c r="H2952" s="441">
        <v>0.007</v>
      </c>
      <c r="I2952" s="441">
        <v>20</v>
      </c>
      <c r="J2952" s="449">
        <v>41.44</v>
      </c>
      <c r="K2952" s="449">
        <v>0.34</v>
      </c>
    </row>
    <row r="2953" customHeight="1" spans="1:11">
      <c r="A2953" s="438" t="s">
        <v>1750</v>
      </c>
      <c r="B2953" s="439" t="s">
        <v>2764</v>
      </c>
      <c r="C2953" s="438" t="s">
        <v>76</v>
      </c>
      <c r="D2953" s="438" t="s">
        <v>2765</v>
      </c>
      <c r="E2953" s="438" t="s">
        <v>1631</v>
      </c>
      <c r="F2953" s="438"/>
      <c r="G2953" s="440" t="s">
        <v>105</v>
      </c>
      <c r="H2953" s="441">
        <v>0.666</v>
      </c>
      <c r="I2953" s="441">
        <v>20</v>
      </c>
      <c r="J2953" s="449">
        <v>1.43</v>
      </c>
      <c r="K2953" s="449">
        <v>1.14</v>
      </c>
    </row>
    <row r="2954" customHeight="1" spans="1:11">
      <c r="A2954" s="438" t="s">
        <v>1750</v>
      </c>
      <c r="B2954" s="439" t="s">
        <v>1767</v>
      </c>
      <c r="C2954" s="438" t="s">
        <v>76</v>
      </c>
      <c r="D2954" s="438" t="s">
        <v>1768</v>
      </c>
      <c r="E2954" s="438" t="s">
        <v>1764</v>
      </c>
      <c r="F2954" s="438"/>
      <c r="G2954" s="440" t="s">
        <v>82</v>
      </c>
      <c r="H2954" s="441">
        <v>1</v>
      </c>
      <c r="I2954" s="441">
        <v>3</v>
      </c>
      <c r="J2954" s="449">
        <v>19.16</v>
      </c>
      <c r="K2954" s="449">
        <v>19.73</v>
      </c>
    </row>
    <row r="2955" customHeight="1" spans="1:11">
      <c r="A2955" s="434"/>
      <c r="B2955" s="434"/>
      <c r="C2955" s="434"/>
      <c r="D2955" s="434"/>
      <c r="E2955" s="434"/>
      <c r="F2955" s="434" t="s">
        <v>1735</v>
      </c>
      <c r="G2955" s="435">
        <v>24.65</v>
      </c>
      <c r="H2955" s="434" t="s">
        <v>1736</v>
      </c>
      <c r="I2955" s="435">
        <v>22.39</v>
      </c>
      <c r="J2955" s="434" t="s">
        <v>1737</v>
      </c>
      <c r="K2955" s="435">
        <v>47.04</v>
      </c>
    </row>
    <row r="2956" customHeight="1" spans="1:11">
      <c r="A2956" s="434"/>
      <c r="B2956" s="434"/>
      <c r="C2956" s="434"/>
      <c r="D2956" s="434"/>
      <c r="E2956" s="434"/>
      <c r="F2956" s="434" t="s">
        <v>1738</v>
      </c>
      <c r="G2956" s="435">
        <v>16.14</v>
      </c>
      <c r="H2956" s="434"/>
      <c r="I2956" s="434" t="s">
        <v>1739</v>
      </c>
      <c r="J2956" s="434"/>
      <c r="K2956" s="435">
        <v>81.61</v>
      </c>
    </row>
    <row r="2957" customHeight="1" spans="1:11">
      <c r="A2957" s="436"/>
      <c r="B2957" s="436"/>
      <c r="C2957" s="436"/>
      <c r="D2957" s="436"/>
      <c r="E2957" s="436"/>
      <c r="F2957" s="436"/>
      <c r="G2957" s="436"/>
      <c r="H2957" s="436" t="s">
        <v>1740</v>
      </c>
      <c r="I2957" s="447" t="s">
        <v>2766</v>
      </c>
      <c r="J2957" s="436" t="s">
        <v>1742</v>
      </c>
      <c r="K2957" s="448">
        <v>22034.7</v>
      </c>
    </row>
    <row r="2958" customHeight="1" spans="1:11">
      <c r="A2958" s="437"/>
      <c r="B2958" s="437"/>
      <c r="C2958" s="437"/>
      <c r="D2958" s="437"/>
      <c r="E2958" s="437"/>
      <c r="F2958" s="437"/>
      <c r="G2958" s="437"/>
      <c r="H2958" s="437"/>
      <c r="I2958" s="437"/>
      <c r="J2958" s="437"/>
      <c r="K2958" s="437"/>
    </row>
    <row r="2959" customHeight="1" spans="1:11">
      <c r="A2959" s="422" t="s">
        <v>894</v>
      </c>
      <c r="B2959" s="422"/>
      <c r="C2959" s="422"/>
      <c r="D2959" s="422" t="s">
        <v>895</v>
      </c>
      <c r="E2959" s="422"/>
      <c r="F2959" s="422"/>
      <c r="G2959" s="422"/>
      <c r="H2959" s="422"/>
      <c r="I2959" s="443"/>
      <c r="J2959" s="422"/>
      <c r="K2959" s="444">
        <v>28564.73</v>
      </c>
    </row>
    <row r="2960" customHeight="1" spans="1:11">
      <c r="A2960" s="423" t="s">
        <v>896</v>
      </c>
      <c r="B2960" s="424" t="s">
        <v>1714</v>
      </c>
      <c r="C2960" s="423" t="s">
        <v>1715</v>
      </c>
      <c r="D2960" s="423" t="s">
        <v>1716</v>
      </c>
      <c r="E2960" s="423" t="s">
        <v>1717</v>
      </c>
      <c r="F2960" s="423"/>
      <c r="G2960" s="425" t="s">
        <v>1718</v>
      </c>
      <c r="H2960" s="424" t="s">
        <v>1719</v>
      </c>
      <c r="I2960" s="424" t="s">
        <v>1720</v>
      </c>
      <c r="J2960" s="424" t="s">
        <v>1721</v>
      </c>
      <c r="K2960" s="424" t="s">
        <v>1722</v>
      </c>
    </row>
    <row r="2961" customHeight="1" spans="1:11">
      <c r="A2961" s="426" t="s">
        <v>1723</v>
      </c>
      <c r="B2961" s="427" t="s">
        <v>897</v>
      </c>
      <c r="C2961" s="426" t="s">
        <v>76</v>
      </c>
      <c r="D2961" s="426" t="s">
        <v>898</v>
      </c>
      <c r="E2961" s="426">
        <v>18</v>
      </c>
      <c r="F2961" s="426"/>
      <c r="G2961" s="428" t="s">
        <v>105</v>
      </c>
      <c r="H2961" s="429">
        <v>1</v>
      </c>
      <c r="I2961" s="445"/>
      <c r="J2961" s="445">
        <v>154.6</v>
      </c>
      <c r="K2961" s="445">
        <v>154.6</v>
      </c>
    </row>
    <row r="2962" customHeight="1" spans="1:11">
      <c r="A2962" s="438" t="s">
        <v>1750</v>
      </c>
      <c r="B2962" s="439" t="s">
        <v>1767</v>
      </c>
      <c r="C2962" s="438" t="s">
        <v>76</v>
      </c>
      <c r="D2962" s="438" t="s">
        <v>1768</v>
      </c>
      <c r="E2962" s="438" t="s">
        <v>1764</v>
      </c>
      <c r="F2962" s="438"/>
      <c r="G2962" s="440" t="s">
        <v>82</v>
      </c>
      <c r="H2962" s="441">
        <v>1.32</v>
      </c>
      <c r="I2962" s="441">
        <v>3</v>
      </c>
      <c r="J2962" s="449">
        <v>19.16</v>
      </c>
      <c r="K2962" s="449">
        <v>26.04</v>
      </c>
    </row>
    <row r="2963" customHeight="1" spans="1:11">
      <c r="A2963" s="438" t="s">
        <v>1750</v>
      </c>
      <c r="B2963" s="439" t="s">
        <v>2767</v>
      </c>
      <c r="C2963" s="438" t="s">
        <v>76</v>
      </c>
      <c r="D2963" s="438" t="s">
        <v>2768</v>
      </c>
      <c r="E2963" s="438" t="s">
        <v>1631</v>
      </c>
      <c r="F2963" s="438"/>
      <c r="G2963" s="440" t="s">
        <v>105</v>
      </c>
      <c r="H2963" s="441">
        <v>4</v>
      </c>
      <c r="I2963" s="441">
        <v>0</v>
      </c>
      <c r="J2963" s="449">
        <v>9.46</v>
      </c>
      <c r="K2963" s="449">
        <v>37.84</v>
      </c>
    </row>
    <row r="2964" customHeight="1" spans="1:11">
      <c r="A2964" s="438" t="s">
        <v>1750</v>
      </c>
      <c r="B2964" s="439" t="s">
        <v>2769</v>
      </c>
      <c r="C2964" s="438" t="s">
        <v>76</v>
      </c>
      <c r="D2964" s="438" t="s">
        <v>2770</v>
      </c>
      <c r="E2964" s="438" t="s">
        <v>1631</v>
      </c>
      <c r="F2964" s="438"/>
      <c r="G2964" s="440" t="s">
        <v>105</v>
      </c>
      <c r="H2964" s="441">
        <v>1</v>
      </c>
      <c r="I2964" s="441">
        <v>0</v>
      </c>
      <c r="J2964" s="449">
        <v>3.07</v>
      </c>
      <c r="K2964" s="449">
        <v>3.07</v>
      </c>
    </row>
    <row r="2965" customHeight="1" spans="1:11">
      <c r="A2965" s="438" t="s">
        <v>1750</v>
      </c>
      <c r="B2965" s="439" t="s">
        <v>2771</v>
      </c>
      <c r="C2965" s="438" t="s">
        <v>76</v>
      </c>
      <c r="D2965" s="438" t="s">
        <v>2772</v>
      </c>
      <c r="E2965" s="438" t="s">
        <v>1631</v>
      </c>
      <c r="F2965" s="438"/>
      <c r="G2965" s="440" t="s">
        <v>105</v>
      </c>
      <c r="H2965" s="441">
        <v>8</v>
      </c>
      <c r="I2965" s="441">
        <v>0</v>
      </c>
      <c r="J2965" s="449">
        <v>2.19</v>
      </c>
      <c r="K2965" s="449">
        <v>17.52</v>
      </c>
    </row>
    <row r="2966" customHeight="1" spans="1:11">
      <c r="A2966" s="438" t="s">
        <v>1750</v>
      </c>
      <c r="B2966" s="439" t="s">
        <v>2773</v>
      </c>
      <c r="C2966" s="438" t="s">
        <v>76</v>
      </c>
      <c r="D2966" s="438" t="s">
        <v>2774</v>
      </c>
      <c r="E2966" s="438" t="s">
        <v>1631</v>
      </c>
      <c r="F2966" s="438"/>
      <c r="G2966" s="440" t="s">
        <v>105</v>
      </c>
      <c r="H2966" s="441">
        <v>1</v>
      </c>
      <c r="I2966" s="441">
        <v>0</v>
      </c>
      <c r="J2966" s="449">
        <v>34.08</v>
      </c>
      <c r="K2966" s="449">
        <v>34.08</v>
      </c>
    </row>
    <row r="2967" customHeight="1" spans="1:11">
      <c r="A2967" s="438" t="s">
        <v>1750</v>
      </c>
      <c r="B2967" s="439" t="s">
        <v>2660</v>
      </c>
      <c r="C2967" s="438" t="s">
        <v>76</v>
      </c>
      <c r="D2967" s="438" t="s">
        <v>2661</v>
      </c>
      <c r="E2967" s="438" t="s">
        <v>1764</v>
      </c>
      <c r="F2967" s="438"/>
      <c r="G2967" s="440" t="s">
        <v>82</v>
      </c>
      <c r="H2967" s="441">
        <v>1.32</v>
      </c>
      <c r="I2967" s="441">
        <v>3</v>
      </c>
      <c r="J2967" s="449">
        <v>26.52</v>
      </c>
      <c r="K2967" s="449">
        <v>36.05</v>
      </c>
    </row>
    <row r="2968" customHeight="1" spans="1:11">
      <c r="A2968" s="434"/>
      <c r="B2968" s="434"/>
      <c r="C2968" s="434"/>
      <c r="D2968" s="434"/>
      <c r="E2968" s="434"/>
      <c r="F2968" s="434" t="s">
        <v>1735</v>
      </c>
      <c r="G2968" s="435">
        <v>32.53</v>
      </c>
      <c r="H2968" s="434" t="s">
        <v>1736</v>
      </c>
      <c r="I2968" s="435">
        <v>29.56</v>
      </c>
      <c r="J2968" s="434" t="s">
        <v>1737</v>
      </c>
      <c r="K2968" s="435">
        <v>62.09</v>
      </c>
    </row>
    <row r="2969" customHeight="1" spans="1:11">
      <c r="A2969" s="434"/>
      <c r="B2969" s="434"/>
      <c r="C2969" s="434"/>
      <c r="D2969" s="434"/>
      <c r="E2969" s="434"/>
      <c r="F2969" s="434" t="s">
        <v>1738</v>
      </c>
      <c r="G2969" s="435">
        <v>38.12</v>
      </c>
      <c r="H2969" s="434"/>
      <c r="I2969" s="434" t="s">
        <v>1739</v>
      </c>
      <c r="J2969" s="434"/>
      <c r="K2969" s="435">
        <v>192.72</v>
      </c>
    </row>
    <row r="2970" customHeight="1" spans="1:11">
      <c r="A2970" s="436"/>
      <c r="B2970" s="436"/>
      <c r="C2970" s="436"/>
      <c r="D2970" s="436"/>
      <c r="E2970" s="436"/>
      <c r="F2970" s="436"/>
      <c r="G2970" s="436"/>
      <c r="H2970" s="436" t="s">
        <v>1740</v>
      </c>
      <c r="I2970" s="447" t="s">
        <v>2352</v>
      </c>
      <c r="J2970" s="436" t="s">
        <v>1742</v>
      </c>
      <c r="K2970" s="448">
        <v>3661.68</v>
      </c>
    </row>
    <row r="2971" customHeight="1" spans="1:11">
      <c r="A2971" s="437"/>
      <c r="B2971" s="437"/>
      <c r="C2971" s="437"/>
      <c r="D2971" s="437"/>
      <c r="E2971" s="437"/>
      <c r="F2971" s="437"/>
      <c r="G2971" s="437"/>
      <c r="H2971" s="437"/>
      <c r="I2971" s="437"/>
      <c r="J2971" s="437"/>
      <c r="K2971" s="437"/>
    </row>
    <row r="2972" customHeight="1" spans="1:11">
      <c r="A2972" s="423" t="s">
        <v>899</v>
      </c>
      <c r="B2972" s="424" t="s">
        <v>1714</v>
      </c>
      <c r="C2972" s="423" t="s">
        <v>1715</v>
      </c>
      <c r="D2972" s="423" t="s">
        <v>1716</v>
      </c>
      <c r="E2972" s="423" t="s">
        <v>1717</v>
      </c>
      <c r="F2972" s="423"/>
      <c r="G2972" s="425" t="s">
        <v>1718</v>
      </c>
      <c r="H2972" s="424" t="s">
        <v>1719</v>
      </c>
      <c r="I2972" s="424" t="s">
        <v>1720</v>
      </c>
      <c r="J2972" s="424" t="s">
        <v>1721</v>
      </c>
      <c r="K2972" s="424" t="s">
        <v>1722</v>
      </c>
    </row>
    <row r="2973" customHeight="1" spans="1:11">
      <c r="A2973" s="426" t="s">
        <v>1723</v>
      </c>
      <c r="B2973" s="427" t="s">
        <v>900</v>
      </c>
      <c r="C2973" s="426" t="s">
        <v>76</v>
      </c>
      <c r="D2973" s="426" t="s">
        <v>901</v>
      </c>
      <c r="E2973" s="426">
        <v>18</v>
      </c>
      <c r="F2973" s="426"/>
      <c r="G2973" s="428" t="s">
        <v>105</v>
      </c>
      <c r="H2973" s="429">
        <v>1</v>
      </c>
      <c r="I2973" s="445"/>
      <c r="J2973" s="445">
        <v>102.68</v>
      </c>
      <c r="K2973" s="445">
        <v>102.68</v>
      </c>
    </row>
    <row r="2974" customHeight="1" spans="1:11">
      <c r="A2974" s="438" t="s">
        <v>1750</v>
      </c>
      <c r="B2974" s="439" t="s">
        <v>2769</v>
      </c>
      <c r="C2974" s="438" t="s">
        <v>76</v>
      </c>
      <c r="D2974" s="438" t="s">
        <v>2770</v>
      </c>
      <c r="E2974" s="438" t="s">
        <v>1631</v>
      </c>
      <c r="F2974" s="438"/>
      <c r="G2974" s="440" t="s">
        <v>105</v>
      </c>
      <c r="H2974" s="441">
        <v>1</v>
      </c>
      <c r="I2974" s="441">
        <v>0</v>
      </c>
      <c r="J2974" s="449">
        <v>3.07</v>
      </c>
      <c r="K2974" s="449">
        <v>3.07</v>
      </c>
    </row>
    <row r="2975" customHeight="1" spans="1:11">
      <c r="A2975" s="438" t="s">
        <v>1750</v>
      </c>
      <c r="B2975" s="439" t="s">
        <v>2775</v>
      </c>
      <c r="C2975" s="438" t="s">
        <v>76</v>
      </c>
      <c r="D2975" s="438" t="s">
        <v>2776</v>
      </c>
      <c r="E2975" s="438" t="s">
        <v>1631</v>
      </c>
      <c r="F2975" s="438"/>
      <c r="G2975" s="440" t="s">
        <v>105</v>
      </c>
      <c r="H2975" s="441">
        <v>1</v>
      </c>
      <c r="I2975" s="441">
        <v>0</v>
      </c>
      <c r="J2975" s="449">
        <v>13.31</v>
      </c>
      <c r="K2975" s="449">
        <v>13.31</v>
      </c>
    </row>
    <row r="2976" customHeight="1" spans="1:11">
      <c r="A2976" s="438" t="s">
        <v>1750</v>
      </c>
      <c r="B2976" s="439" t="s">
        <v>2771</v>
      </c>
      <c r="C2976" s="438" t="s">
        <v>76</v>
      </c>
      <c r="D2976" s="438" t="s">
        <v>2772</v>
      </c>
      <c r="E2976" s="438" t="s">
        <v>1631</v>
      </c>
      <c r="F2976" s="438"/>
      <c r="G2976" s="440" t="s">
        <v>105</v>
      </c>
      <c r="H2976" s="441">
        <v>2</v>
      </c>
      <c r="I2976" s="441">
        <v>0</v>
      </c>
      <c r="J2976" s="449">
        <v>2.19</v>
      </c>
      <c r="K2976" s="449">
        <v>4.38</v>
      </c>
    </row>
    <row r="2977" customHeight="1" spans="1:11">
      <c r="A2977" s="438" t="s">
        <v>1750</v>
      </c>
      <c r="B2977" s="439" t="s">
        <v>2777</v>
      </c>
      <c r="C2977" s="438" t="s">
        <v>76</v>
      </c>
      <c r="D2977" s="438" t="s">
        <v>2778</v>
      </c>
      <c r="E2977" s="438" t="s">
        <v>1631</v>
      </c>
      <c r="F2977" s="438"/>
      <c r="G2977" s="440" t="s">
        <v>105</v>
      </c>
      <c r="H2977" s="441">
        <v>1</v>
      </c>
      <c r="I2977" s="441">
        <v>0</v>
      </c>
      <c r="J2977" s="449">
        <v>14.12</v>
      </c>
      <c r="K2977" s="449">
        <v>14.12</v>
      </c>
    </row>
    <row r="2978" customHeight="1" spans="1:11">
      <c r="A2978" s="438" t="s">
        <v>1750</v>
      </c>
      <c r="B2978" s="439" t="s">
        <v>2660</v>
      </c>
      <c r="C2978" s="438" t="s">
        <v>76</v>
      </c>
      <c r="D2978" s="438" t="s">
        <v>2661</v>
      </c>
      <c r="E2978" s="438" t="s">
        <v>1764</v>
      </c>
      <c r="F2978" s="438"/>
      <c r="G2978" s="440" t="s">
        <v>82</v>
      </c>
      <c r="H2978" s="441">
        <v>1.15</v>
      </c>
      <c r="I2978" s="441">
        <v>3</v>
      </c>
      <c r="J2978" s="449">
        <v>26.52</v>
      </c>
      <c r="K2978" s="449">
        <v>31.41</v>
      </c>
    </row>
    <row r="2979" customHeight="1" spans="1:11">
      <c r="A2979" s="438" t="s">
        <v>1750</v>
      </c>
      <c r="B2979" s="439" t="s">
        <v>2779</v>
      </c>
      <c r="C2979" s="438" t="s">
        <v>76</v>
      </c>
      <c r="D2979" s="438" t="s">
        <v>2780</v>
      </c>
      <c r="E2979" s="438" t="s">
        <v>1631</v>
      </c>
      <c r="F2979" s="438"/>
      <c r="G2979" s="440" t="s">
        <v>105</v>
      </c>
      <c r="H2979" s="441">
        <v>1</v>
      </c>
      <c r="I2979" s="441">
        <v>0</v>
      </c>
      <c r="J2979" s="449">
        <v>13.7</v>
      </c>
      <c r="K2979" s="449">
        <v>13.7</v>
      </c>
    </row>
    <row r="2980" customHeight="1" spans="1:11">
      <c r="A2980" s="438" t="s">
        <v>1750</v>
      </c>
      <c r="B2980" s="439" t="s">
        <v>1767</v>
      </c>
      <c r="C2980" s="438" t="s">
        <v>76</v>
      </c>
      <c r="D2980" s="438" t="s">
        <v>1768</v>
      </c>
      <c r="E2980" s="438" t="s">
        <v>1764</v>
      </c>
      <c r="F2980" s="438"/>
      <c r="G2980" s="440" t="s">
        <v>82</v>
      </c>
      <c r="H2980" s="441">
        <v>1.15</v>
      </c>
      <c r="I2980" s="441">
        <v>3</v>
      </c>
      <c r="J2980" s="449">
        <v>19.16</v>
      </c>
      <c r="K2980" s="449">
        <v>22.69</v>
      </c>
    </row>
    <row r="2981" customHeight="1" spans="1:11">
      <c r="A2981" s="434"/>
      <c r="B2981" s="434"/>
      <c r="C2981" s="434"/>
      <c r="D2981" s="434"/>
      <c r="E2981" s="434"/>
      <c r="F2981" s="434" t="s">
        <v>1735</v>
      </c>
      <c r="G2981" s="435">
        <v>28.34</v>
      </c>
      <c r="H2981" s="434" t="s">
        <v>1736</v>
      </c>
      <c r="I2981" s="435">
        <v>25.76</v>
      </c>
      <c r="J2981" s="434" t="s">
        <v>1737</v>
      </c>
      <c r="K2981" s="435">
        <v>54.1</v>
      </c>
    </row>
    <row r="2982" customHeight="1" spans="1:11">
      <c r="A2982" s="434"/>
      <c r="B2982" s="434"/>
      <c r="C2982" s="434"/>
      <c r="D2982" s="434"/>
      <c r="E2982" s="434"/>
      <c r="F2982" s="434" t="s">
        <v>1738</v>
      </c>
      <c r="G2982" s="435">
        <v>25.32</v>
      </c>
      <c r="H2982" s="434"/>
      <c r="I2982" s="434" t="s">
        <v>1739</v>
      </c>
      <c r="J2982" s="434"/>
      <c r="K2982" s="435">
        <v>128</v>
      </c>
    </row>
    <row r="2983" customHeight="1" spans="1:11">
      <c r="A2983" s="436"/>
      <c r="B2983" s="436"/>
      <c r="C2983" s="436"/>
      <c r="D2983" s="436"/>
      <c r="E2983" s="436"/>
      <c r="F2983" s="436"/>
      <c r="G2983" s="436"/>
      <c r="H2983" s="436" t="s">
        <v>1740</v>
      </c>
      <c r="I2983" s="447" t="s">
        <v>1819</v>
      </c>
      <c r="J2983" s="436" t="s">
        <v>1742</v>
      </c>
      <c r="K2983" s="448">
        <v>1664</v>
      </c>
    </row>
    <row r="2984" customHeight="1" spans="1:11">
      <c r="A2984" s="437"/>
      <c r="B2984" s="437"/>
      <c r="C2984" s="437"/>
      <c r="D2984" s="437"/>
      <c r="E2984" s="437"/>
      <c r="F2984" s="437"/>
      <c r="G2984" s="437"/>
      <c r="H2984" s="437"/>
      <c r="I2984" s="437"/>
      <c r="J2984" s="437"/>
      <c r="K2984" s="437"/>
    </row>
    <row r="2985" customHeight="1" spans="1:11">
      <c r="A2985" s="423" t="s">
        <v>902</v>
      </c>
      <c r="B2985" s="424" t="s">
        <v>1714</v>
      </c>
      <c r="C2985" s="423" t="s">
        <v>1715</v>
      </c>
      <c r="D2985" s="423" t="s">
        <v>1716</v>
      </c>
      <c r="E2985" s="423" t="s">
        <v>1717</v>
      </c>
      <c r="F2985" s="423"/>
      <c r="G2985" s="425" t="s">
        <v>1718</v>
      </c>
      <c r="H2985" s="424" t="s">
        <v>1719</v>
      </c>
      <c r="I2985" s="424" t="s">
        <v>1720</v>
      </c>
      <c r="J2985" s="424" t="s">
        <v>1721</v>
      </c>
      <c r="K2985" s="424" t="s">
        <v>1722</v>
      </c>
    </row>
    <row r="2986" customHeight="1" spans="1:11">
      <c r="A2986" s="426" t="s">
        <v>1723</v>
      </c>
      <c r="B2986" s="427" t="s">
        <v>903</v>
      </c>
      <c r="C2986" s="426" t="s">
        <v>512</v>
      </c>
      <c r="D2986" s="426" t="s">
        <v>904</v>
      </c>
      <c r="E2986" s="426" t="s">
        <v>1648</v>
      </c>
      <c r="F2986" s="426"/>
      <c r="G2986" s="428" t="s">
        <v>67</v>
      </c>
      <c r="H2986" s="429">
        <v>1</v>
      </c>
      <c r="I2986" s="445"/>
      <c r="J2986" s="445">
        <v>123.73</v>
      </c>
      <c r="K2986" s="445">
        <v>123.73</v>
      </c>
    </row>
    <row r="2987" customHeight="1" spans="1:11">
      <c r="A2987" s="438" t="s">
        <v>1750</v>
      </c>
      <c r="B2987" s="439" t="s">
        <v>2370</v>
      </c>
      <c r="C2987" s="438" t="s">
        <v>512</v>
      </c>
      <c r="D2987" s="438" t="s">
        <v>2371</v>
      </c>
      <c r="E2987" s="438" t="s">
        <v>2372</v>
      </c>
      <c r="F2987" s="438"/>
      <c r="G2987" s="440" t="s">
        <v>1617</v>
      </c>
      <c r="H2987" s="441">
        <v>27.22</v>
      </c>
      <c r="I2987" s="441">
        <v>3</v>
      </c>
      <c r="J2987" s="449">
        <v>1</v>
      </c>
      <c r="K2987" s="449">
        <v>0.81</v>
      </c>
    </row>
    <row r="2988" customHeight="1" spans="1:11">
      <c r="A2988" s="438" t="s">
        <v>1750</v>
      </c>
      <c r="B2988" s="439" t="s">
        <v>2781</v>
      </c>
      <c r="C2988" s="438" t="s">
        <v>512</v>
      </c>
      <c r="D2988" s="438" t="s">
        <v>2782</v>
      </c>
      <c r="E2988" s="438" t="s">
        <v>1631</v>
      </c>
      <c r="F2988" s="438"/>
      <c r="G2988" s="440" t="s">
        <v>67</v>
      </c>
      <c r="H2988" s="441">
        <v>1</v>
      </c>
      <c r="I2988" s="441">
        <v>0</v>
      </c>
      <c r="J2988" s="449">
        <v>9.9</v>
      </c>
      <c r="K2988" s="449">
        <v>9.9</v>
      </c>
    </row>
    <row r="2989" customHeight="1" spans="1:11">
      <c r="A2989" s="438" t="s">
        <v>1750</v>
      </c>
      <c r="B2989" s="439" t="s">
        <v>2783</v>
      </c>
      <c r="C2989" s="438" t="s">
        <v>512</v>
      </c>
      <c r="D2989" s="438" t="s">
        <v>2784</v>
      </c>
      <c r="E2989" s="438" t="s">
        <v>1631</v>
      </c>
      <c r="F2989" s="438"/>
      <c r="G2989" s="440" t="s">
        <v>67</v>
      </c>
      <c r="H2989" s="441">
        <v>1</v>
      </c>
      <c r="I2989" s="441">
        <v>0</v>
      </c>
      <c r="J2989" s="449">
        <v>85.8</v>
      </c>
      <c r="K2989" s="449">
        <v>85.8</v>
      </c>
    </row>
    <row r="2990" customHeight="1" spans="1:11">
      <c r="A2990" s="438" t="s">
        <v>1750</v>
      </c>
      <c r="B2990" s="439" t="s">
        <v>2373</v>
      </c>
      <c r="C2990" s="438" t="s">
        <v>512</v>
      </c>
      <c r="D2990" s="438" t="s">
        <v>2374</v>
      </c>
      <c r="E2990" s="438" t="s">
        <v>1764</v>
      </c>
      <c r="F2990" s="438"/>
      <c r="G2990" s="440" t="s">
        <v>2367</v>
      </c>
      <c r="H2990" s="441">
        <v>0.5</v>
      </c>
      <c r="I2990" s="441">
        <v>0</v>
      </c>
      <c r="J2990" s="449">
        <v>23.89</v>
      </c>
      <c r="K2990" s="449">
        <v>11.94</v>
      </c>
    </row>
    <row r="2991" customHeight="1" spans="1:11">
      <c r="A2991" s="438" t="s">
        <v>1750</v>
      </c>
      <c r="B2991" s="439" t="s">
        <v>2673</v>
      </c>
      <c r="C2991" s="438" t="s">
        <v>512</v>
      </c>
      <c r="D2991" s="438" t="s">
        <v>2674</v>
      </c>
      <c r="E2991" s="438" t="s">
        <v>1764</v>
      </c>
      <c r="F2991" s="438"/>
      <c r="G2991" s="440" t="s">
        <v>2367</v>
      </c>
      <c r="H2991" s="441">
        <v>0.5</v>
      </c>
      <c r="I2991" s="441">
        <v>0</v>
      </c>
      <c r="J2991" s="449">
        <v>30.57</v>
      </c>
      <c r="K2991" s="449">
        <v>15.28</v>
      </c>
    </row>
    <row r="2992" customHeight="1" spans="1:11">
      <c r="A2992" s="434"/>
      <c r="B2992" s="434"/>
      <c r="C2992" s="434"/>
      <c r="D2992" s="434"/>
      <c r="E2992" s="434"/>
      <c r="F2992" s="434" t="s">
        <v>1735</v>
      </c>
      <c r="G2992" s="435">
        <v>14.26</v>
      </c>
      <c r="H2992" s="434" t="s">
        <v>1736</v>
      </c>
      <c r="I2992" s="435">
        <v>12.96</v>
      </c>
      <c r="J2992" s="434" t="s">
        <v>1737</v>
      </c>
      <c r="K2992" s="435">
        <v>27.22</v>
      </c>
    </row>
    <row r="2993" customHeight="1" spans="1:11">
      <c r="A2993" s="434"/>
      <c r="B2993" s="434"/>
      <c r="C2993" s="434"/>
      <c r="D2993" s="434"/>
      <c r="E2993" s="434"/>
      <c r="F2993" s="434" t="s">
        <v>1738</v>
      </c>
      <c r="G2993" s="435">
        <v>30.51</v>
      </c>
      <c r="H2993" s="434"/>
      <c r="I2993" s="434" t="s">
        <v>1739</v>
      </c>
      <c r="J2993" s="434"/>
      <c r="K2993" s="435">
        <v>154.24</v>
      </c>
    </row>
    <row r="2994" customHeight="1" spans="1:11">
      <c r="A2994" s="436"/>
      <c r="B2994" s="436"/>
      <c r="C2994" s="436"/>
      <c r="D2994" s="436"/>
      <c r="E2994" s="436"/>
      <c r="F2994" s="436"/>
      <c r="G2994" s="436"/>
      <c r="H2994" s="436" t="s">
        <v>1740</v>
      </c>
      <c r="I2994" s="447" t="s">
        <v>2236</v>
      </c>
      <c r="J2994" s="436" t="s">
        <v>1742</v>
      </c>
      <c r="K2994" s="448">
        <v>771.2</v>
      </c>
    </row>
    <row r="2995" customHeight="1" spans="1:11">
      <c r="A2995" s="437"/>
      <c r="B2995" s="437"/>
      <c r="C2995" s="437"/>
      <c r="D2995" s="437"/>
      <c r="E2995" s="437"/>
      <c r="F2995" s="437"/>
      <c r="G2995" s="437"/>
      <c r="H2995" s="437"/>
      <c r="I2995" s="437"/>
      <c r="J2995" s="437"/>
      <c r="K2995" s="437"/>
    </row>
    <row r="2996" customHeight="1" spans="1:11">
      <c r="A2996" s="423" t="s">
        <v>905</v>
      </c>
      <c r="B2996" s="424" t="s">
        <v>1714</v>
      </c>
      <c r="C2996" s="423" t="s">
        <v>1715</v>
      </c>
      <c r="D2996" s="423" t="s">
        <v>1716</v>
      </c>
      <c r="E2996" s="423" t="s">
        <v>1717</v>
      </c>
      <c r="F2996" s="423"/>
      <c r="G2996" s="425" t="s">
        <v>1718</v>
      </c>
      <c r="H2996" s="424" t="s">
        <v>1719</v>
      </c>
      <c r="I2996" s="424" t="s">
        <v>1720</v>
      </c>
      <c r="J2996" s="424" t="s">
        <v>1721</v>
      </c>
      <c r="K2996" s="424" t="s">
        <v>1722</v>
      </c>
    </row>
    <row r="2997" customHeight="1" spans="1:11">
      <c r="A2997" s="426" t="s">
        <v>1723</v>
      </c>
      <c r="B2997" s="427" t="s">
        <v>906</v>
      </c>
      <c r="C2997" s="426" t="s">
        <v>99</v>
      </c>
      <c r="D2997" s="426" t="s">
        <v>907</v>
      </c>
      <c r="E2997" s="426" t="s">
        <v>1663</v>
      </c>
      <c r="F2997" s="426"/>
      <c r="G2997" s="428" t="s">
        <v>105</v>
      </c>
      <c r="H2997" s="429">
        <v>1</v>
      </c>
      <c r="I2997" s="445"/>
      <c r="J2997" s="445">
        <v>116.1</v>
      </c>
      <c r="K2997" s="445">
        <v>116.1</v>
      </c>
    </row>
    <row r="2998" customHeight="1" spans="1:11">
      <c r="A2998" s="438" t="s">
        <v>1750</v>
      </c>
      <c r="B2998" s="439" t="s">
        <v>2785</v>
      </c>
      <c r="C2998" s="438" t="s">
        <v>99</v>
      </c>
      <c r="D2998" s="438" t="s">
        <v>2786</v>
      </c>
      <c r="E2998" s="438" t="s">
        <v>1631</v>
      </c>
      <c r="F2998" s="438"/>
      <c r="G2998" s="440" t="s">
        <v>78</v>
      </c>
      <c r="H2998" s="441">
        <v>0.1</v>
      </c>
      <c r="I2998" s="441">
        <v>0</v>
      </c>
      <c r="J2998" s="449">
        <v>1.72</v>
      </c>
      <c r="K2998" s="449">
        <v>0.17</v>
      </c>
    </row>
    <row r="2999" customHeight="1" spans="1:11">
      <c r="A2999" s="438" t="s">
        <v>1750</v>
      </c>
      <c r="B2999" s="439" t="s">
        <v>1824</v>
      </c>
      <c r="C2999" s="438" t="s">
        <v>99</v>
      </c>
      <c r="D2999" s="438" t="s">
        <v>1825</v>
      </c>
      <c r="E2999" s="438" t="s">
        <v>1764</v>
      </c>
      <c r="F2999" s="438"/>
      <c r="G2999" s="440" t="s">
        <v>82</v>
      </c>
      <c r="H2999" s="441">
        <v>1</v>
      </c>
      <c r="I2999" s="441">
        <v>0</v>
      </c>
      <c r="J2999" s="449">
        <v>20.515752</v>
      </c>
      <c r="K2999" s="449">
        <v>20.51</v>
      </c>
    </row>
    <row r="3000" customHeight="1" spans="1:11">
      <c r="A3000" s="438" t="s">
        <v>1750</v>
      </c>
      <c r="B3000" s="439" t="s">
        <v>2787</v>
      </c>
      <c r="C3000" s="438" t="s">
        <v>99</v>
      </c>
      <c r="D3000" s="438" t="s">
        <v>2788</v>
      </c>
      <c r="E3000" s="438" t="s">
        <v>1631</v>
      </c>
      <c r="F3000" s="438"/>
      <c r="G3000" s="440" t="s">
        <v>105</v>
      </c>
      <c r="H3000" s="441">
        <v>1</v>
      </c>
      <c r="I3000" s="441">
        <v>0</v>
      </c>
      <c r="J3000" s="449">
        <v>68.5</v>
      </c>
      <c r="K3000" s="449">
        <v>68.5</v>
      </c>
    </row>
    <row r="3001" customHeight="1" spans="1:11">
      <c r="A3001" s="438" t="s">
        <v>1750</v>
      </c>
      <c r="B3001" s="439" t="s">
        <v>1832</v>
      </c>
      <c r="C3001" s="438" t="s">
        <v>99</v>
      </c>
      <c r="D3001" s="438" t="s">
        <v>1833</v>
      </c>
      <c r="E3001" s="438" t="s">
        <v>1764</v>
      </c>
      <c r="F3001" s="438"/>
      <c r="G3001" s="440" t="s">
        <v>82</v>
      </c>
      <c r="H3001" s="441">
        <v>1</v>
      </c>
      <c r="I3001" s="441">
        <v>0</v>
      </c>
      <c r="J3001" s="449">
        <v>26.928256</v>
      </c>
      <c r="K3001" s="449">
        <v>26.92</v>
      </c>
    </row>
    <row r="3002" customHeight="1" spans="1:11">
      <c r="A3002" s="434"/>
      <c r="B3002" s="434"/>
      <c r="C3002" s="434"/>
      <c r="D3002" s="434"/>
      <c r="E3002" s="434"/>
      <c r="F3002" s="434" t="s">
        <v>1735</v>
      </c>
      <c r="G3002" s="435">
        <v>24.85</v>
      </c>
      <c r="H3002" s="434" t="s">
        <v>1736</v>
      </c>
      <c r="I3002" s="435">
        <v>22.58</v>
      </c>
      <c r="J3002" s="434" t="s">
        <v>1737</v>
      </c>
      <c r="K3002" s="435">
        <v>47.43</v>
      </c>
    </row>
    <row r="3003" customHeight="1" spans="1:11">
      <c r="A3003" s="434"/>
      <c r="B3003" s="434"/>
      <c r="C3003" s="434"/>
      <c r="D3003" s="434"/>
      <c r="E3003" s="434"/>
      <c r="F3003" s="434" t="s">
        <v>1738</v>
      </c>
      <c r="G3003" s="435">
        <v>28.63</v>
      </c>
      <c r="H3003" s="434"/>
      <c r="I3003" s="434" t="s">
        <v>1739</v>
      </c>
      <c r="J3003" s="434"/>
      <c r="K3003" s="435">
        <v>144.73</v>
      </c>
    </row>
    <row r="3004" customHeight="1" spans="1:11">
      <c r="A3004" s="436"/>
      <c r="B3004" s="436"/>
      <c r="C3004" s="436"/>
      <c r="D3004" s="436"/>
      <c r="E3004" s="436"/>
      <c r="F3004" s="436"/>
      <c r="G3004" s="436"/>
      <c r="H3004" s="436" t="s">
        <v>1740</v>
      </c>
      <c r="I3004" s="447" t="s">
        <v>1971</v>
      </c>
      <c r="J3004" s="436" t="s">
        <v>1742</v>
      </c>
      <c r="K3004" s="448">
        <v>289.46</v>
      </c>
    </row>
    <row r="3005" customHeight="1" spans="1:11">
      <c r="A3005" s="437"/>
      <c r="B3005" s="437"/>
      <c r="C3005" s="437"/>
      <c r="D3005" s="437"/>
      <c r="E3005" s="437"/>
      <c r="F3005" s="437"/>
      <c r="G3005" s="437"/>
      <c r="H3005" s="437"/>
      <c r="I3005" s="437"/>
      <c r="J3005" s="437"/>
      <c r="K3005" s="437"/>
    </row>
    <row r="3006" customHeight="1" spans="1:11">
      <c r="A3006" s="423" t="s">
        <v>908</v>
      </c>
      <c r="B3006" s="424" t="s">
        <v>1714</v>
      </c>
      <c r="C3006" s="423" t="s">
        <v>1715</v>
      </c>
      <c r="D3006" s="423" t="s">
        <v>1716</v>
      </c>
      <c r="E3006" s="423" t="s">
        <v>1717</v>
      </c>
      <c r="F3006" s="423"/>
      <c r="G3006" s="425" t="s">
        <v>1718</v>
      </c>
      <c r="H3006" s="424" t="s">
        <v>1719</v>
      </c>
      <c r="I3006" s="424" t="s">
        <v>1720</v>
      </c>
      <c r="J3006" s="424" t="s">
        <v>1721</v>
      </c>
      <c r="K3006" s="424" t="s">
        <v>1722</v>
      </c>
    </row>
    <row r="3007" customHeight="1" spans="1:11">
      <c r="A3007" s="426" t="s">
        <v>1723</v>
      </c>
      <c r="B3007" s="427" t="s">
        <v>909</v>
      </c>
      <c r="C3007" s="426" t="s">
        <v>99</v>
      </c>
      <c r="D3007" s="426" t="s">
        <v>910</v>
      </c>
      <c r="E3007" s="426" t="s">
        <v>1663</v>
      </c>
      <c r="F3007" s="426"/>
      <c r="G3007" s="428" t="s">
        <v>105</v>
      </c>
      <c r="H3007" s="429">
        <v>1</v>
      </c>
      <c r="I3007" s="445"/>
      <c r="J3007" s="445">
        <v>634.06</v>
      </c>
      <c r="K3007" s="445">
        <v>634.06</v>
      </c>
    </row>
    <row r="3008" customHeight="1" spans="1:11">
      <c r="A3008" s="438" t="s">
        <v>1750</v>
      </c>
      <c r="B3008" s="439" t="s">
        <v>1830</v>
      </c>
      <c r="C3008" s="438" t="s">
        <v>99</v>
      </c>
      <c r="D3008" s="438" t="s">
        <v>1831</v>
      </c>
      <c r="E3008" s="438" t="s">
        <v>1631</v>
      </c>
      <c r="F3008" s="438"/>
      <c r="G3008" s="440" t="s">
        <v>78</v>
      </c>
      <c r="H3008" s="441">
        <v>0.2</v>
      </c>
      <c r="I3008" s="441">
        <v>0</v>
      </c>
      <c r="J3008" s="449">
        <v>0.73</v>
      </c>
      <c r="K3008" s="449">
        <v>0.14</v>
      </c>
    </row>
    <row r="3009" customHeight="1" spans="1:11">
      <c r="A3009" s="438" t="s">
        <v>1750</v>
      </c>
      <c r="B3009" s="439" t="s">
        <v>1832</v>
      </c>
      <c r="C3009" s="438" t="s">
        <v>99</v>
      </c>
      <c r="D3009" s="438" t="s">
        <v>1833</v>
      </c>
      <c r="E3009" s="438" t="s">
        <v>1764</v>
      </c>
      <c r="F3009" s="438"/>
      <c r="G3009" s="440" t="s">
        <v>82</v>
      </c>
      <c r="H3009" s="441">
        <v>1.2</v>
      </c>
      <c r="I3009" s="441">
        <v>0</v>
      </c>
      <c r="J3009" s="449">
        <v>26.928256</v>
      </c>
      <c r="K3009" s="449">
        <v>32.31</v>
      </c>
    </row>
    <row r="3010" customHeight="1" spans="1:11">
      <c r="A3010" s="438" t="s">
        <v>1750</v>
      </c>
      <c r="B3010" s="439" t="s">
        <v>2789</v>
      </c>
      <c r="C3010" s="438" t="s">
        <v>99</v>
      </c>
      <c r="D3010" s="438" t="s">
        <v>2790</v>
      </c>
      <c r="E3010" s="438" t="s">
        <v>1631</v>
      </c>
      <c r="F3010" s="438"/>
      <c r="G3010" s="440" t="s">
        <v>105</v>
      </c>
      <c r="H3010" s="441">
        <v>1</v>
      </c>
      <c r="I3010" s="441">
        <v>0</v>
      </c>
      <c r="J3010" s="449">
        <v>577</v>
      </c>
      <c r="K3010" s="449">
        <v>577</v>
      </c>
    </row>
    <row r="3011" customHeight="1" spans="1:11">
      <c r="A3011" s="438" t="s">
        <v>1750</v>
      </c>
      <c r="B3011" s="439" t="s">
        <v>1824</v>
      </c>
      <c r="C3011" s="438" t="s">
        <v>99</v>
      </c>
      <c r="D3011" s="438" t="s">
        <v>1825</v>
      </c>
      <c r="E3011" s="438" t="s">
        <v>1764</v>
      </c>
      <c r="F3011" s="438"/>
      <c r="G3011" s="440" t="s">
        <v>82</v>
      </c>
      <c r="H3011" s="441">
        <v>1.2</v>
      </c>
      <c r="I3011" s="441">
        <v>0</v>
      </c>
      <c r="J3011" s="449">
        <v>20.515752</v>
      </c>
      <c r="K3011" s="449">
        <v>24.61</v>
      </c>
    </row>
    <row r="3012" customHeight="1" spans="1:11">
      <c r="A3012" s="434"/>
      <c r="B3012" s="434"/>
      <c r="C3012" s="434"/>
      <c r="D3012" s="434"/>
      <c r="E3012" s="434"/>
      <c r="F3012" s="434" t="s">
        <v>1735</v>
      </c>
      <c r="G3012" s="435">
        <v>29.82</v>
      </c>
      <c r="H3012" s="434" t="s">
        <v>1736</v>
      </c>
      <c r="I3012" s="435">
        <v>27.1</v>
      </c>
      <c r="J3012" s="434" t="s">
        <v>1737</v>
      </c>
      <c r="K3012" s="435">
        <v>56.92</v>
      </c>
    </row>
    <row r="3013" customHeight="1" spans="1:11">
      <c r="A3013" s="434"/>
      <c r="B3013" s="434"/>
      <c r="C3013" s="434"/>
      <c r="D3013" s="434"/>
      <c r="E3013" s="434"/>
      <c r="F3013" s="434" t="s">
        <v>1738</v>
      </c>
      <c r="G3013" s="435">
        <v>156.35</v>
      </c>
      <c r="H3013" s="434"/>
      <c r="I3013" s="434" t="s">
        <v>1739</v>
      </c>
      <c r="J3013" s="434"/>
      <c r="K3013" s="435">
        <v>790.41</v>
      </c>
    </row>
    <row r="3014" customHeight="1" spans="1:11">
      <c r="A3014" s="436"/>
      <c r="B3014" s="436"/>
      <c r="C3014" s="436"/>
      <c r="D3014" s="436"/>
      <c r="E3014" s="436"/>
      <c r="F3014" s="436"/>
      <c r="G3014" s="436"/>
      <c r="H3014" s="436" t="s">
        <v>1740</v>
      </c>
      <c r="I3014" s="447" t="s">
        <v>2339</v>
      </c>
      <c r="J3014" s="436" t="s">
        <v>1742</v>
      </c>
      <c r="K3014" s="448">
        <v>2371.23</v>
      </c>
    </row>
    <row r="3015" customHeight="1" spans="1:11">
      <c r="A3015" s="437"/>
      <c r="B3015" s="437"/>
      <c r="C3015" s="437"/>
      <c r="D3015" s="437"/>
      <c r="E3015" s="437"/>
      <c r="F3015" s="437"/>
      <c r="G3015" s="437"/>
      <c r="H3015" s="437"/>
      <c r="I3015" s="437"/>
      <c r="J3015" s="437"/>
      <c r="K3015" s="437"/>
    </row>
    <row r="3016" customHeight="1" spans="1:11">
      <c r="A3016" s="423" t="s">
        <v>911</v>
      </c>
      <c r="B3016" s="424" t="s">
        <v>1714</v>
      </c>
      <c r="C3016" s="423" t="s">
        <v>1715</v>
      </c>
      <c r="D3016" s="423" t="s">
        <v>1716</v>
      </c>
      <c r="E3016" s="423" t="s">
        <v>1717</v>
      </c>
      <c r="F3016" s="423"/>
      <c r="G3016" s="425" t="s">
        <v>1718</v>
      </c>
      <c r="H3016" s="424" t="s">
        <v>1719</v>
      </c>
      <c r="I3016" s="424" t="s">
        <v>1720</v>
      </c>
      <c r="J3016" s="424" t="s">
        <v>1721</v>
      </c>
      <c r="K3016" s="424" t="s">
        <v>1722</v>
      </c>
    </row>
    <row r="3017" customHeight="1" spans="1:11">
      <c r="A3017" s="426" t="s">
        <v>1723</v>
      </c>
      <c r="B3017" s="427" t="s">
        <v>912</v>
      </c>
      <c r="C3017" s="426" t="s">
        <v>71</v>
      </c>
      <c r="D3017" s="426" t="s">
        <v>913</v>
      </c>
      <c r="E3017" s="426" t="s">
        <v>1655</v>
      </c>
      <c r="F3017" s="426"/>
      <c r="G3017" s="428" t="s">
        <v>105</v>
      </c>
      <c r="H3017" s="429">
        <v>1</v>
      </c>
      <c r="I3017" s="445"/>
      <c r="J3017" s="445">
        <v>31.16</v>
      </c>
      <c r="K3017" s="445">
        <v>31.16</v>
      </c>
    </row>
    <row r="3018" customHeight="1" spans="1:11">
      <c r="A3018" s="430" t="s">
        <v>1724</v>
      </c>
      <c r="B3018" s="431" t="s">
        <v>2387</v>
      </c>
      <c r="C3018" s="430" t="s">
        <v>71</v>
      </c>
      <c r="D3018" s="430" t="s">
        <v>2388</v>
      </c>
      <c r="E3018" s="430" t="s">
        <v>1708</v>
      </c>
      <c r="F3018" s="430"/>
      <c r="G3018" s="432" t="s">
        <v>82</v>
      </c>
      <c r="H3018" s="433">
        <v>0.4001</v>
      </c>
      <c r="I3018" s="433">
        <v>0</v>
      </c>
      <c r="J3018" s="446">
        <v>36.82</v>
      </c>
      <c r="K3018" s="446">
        <v>14.73</v>
      </c>
    </row>
    <row r="3019" customHeight="1" spans="1:11">
      <c r="A3019" s="430" t="s">
        <v>1724</v>
      </c>
      <c r="B3019" s="431" t="s">
        <v>2385</v>
      </c>
      <c r="C3019" s="430" t="s">
        <v>71</v>
      </c>
      <c r="D3019" s="430" t="s">
        <v>2386</v>
      </c>
      <c r="E3019" s="430" t="s">
        <v>1708</v>
      </c>
      <c r="F3019" s="430"/>
      <c r="G3019" s="432" t="s">
        <v>82</v>
      </c>
      <c r="H3019" s="433">
        <v>0.1250312</v>
      </c>
      <c r="I3019" s="433">
        <v>0</v>
      </c>
      <c r="J3019" s="446">
        <v>30.6</v>
      </c>
      <c r="K3019" s="446">
        <v>3.82</v>
      </c>
    </row>
    <row r="3020" customHeight="1" spans="1:11">
      <c r="A3020" s="438" t="s">
        <v>1750</v>
      </c>
      <c r="B3020" s="439" t="s">
        <v>2791</v>
      </c>
      <c r="C3020" s="438" t="s">
        <v>71</v>
      </c>
      <c r="D3020" s="438" t="s">
        <v>2792</v>
      </c>
      <c r="E3020" s="438" t="s">
        <v>1631</v>
      </c>
      <c r="F3020" s="438"/>
      <c r="G3020" s="440" t="s">
        <v>105</v>
      </c>
      <c r="H3020" s="441">
        <v>1</v>
      </c>
      <c r="I3020" s="441">
        <v>0</v>
      </c>
      <c r="J3020" s="449">
        <v>7.47</v>
      </c>
      <c r="K3020" s="449">
        <v>7.47</v>
      </c>
    </row>
    <row r="3021" customHeight="1" spans="1:11">
      <c r="A3021" s="438" t="s">
        <v>1750</v>
      </c>
      <c r="B3021" s="439" t="s">
        <v>2793</v>
      </c>
      <c r="C3021" s="438" t="s">
        <v>71</v>
      </c>
      <c r="D3021" s="438" t="s">
        <v>2794</v>
      </c>
      <c r="E3021" s="438" t="s">
        <v>1631</v>
      </c>
      <c r="F3021" s="438"/>
      <c r="G3021" s="440" t="s">
        <v>105</v>
      </c>
      <c r="H3021" s="441">
        <v>2</v>
      </c>
      <c r="I3021" s="441">
        <v>0</v>
      </c>
      <c r="J3021" s="449">
        <v>2.57</v>
      </c>
      <c r="K3021" s="449">
        <v>5.14</v>
      </c>
    </row>
    <row r="3022" customHeight="1" spans="1:11">
      <c r="A3022" s="434"/>
      <c r="B3022" s="434"/>
      <c r="C3022" s="434"/>
      <c r="D3022" s="434"/>
      <c r="E3022" s="434"/>
      <c r="F3022" s="434" t="s">
        <v>1735</v>
      </c>
      <c r="G3022" s="435">
        <v>6.95</v>
      </c>
      <c r="H3022" s="434" t="s">
        <v>1736</v>
      </c>
      <c r="I3022" s="435">
        <v>6.32</v>
      </c>
      <c r="J3022" s="434" t="s">
        <v>1737</v>
      </c>
      <c r="K3022" s="435">
        <v>13.27</v>
      </c>
    </row>
    <row r="3023" customHeight="1" spans="1:11">
      <c r="A3023" s="434"/>
      <c r="B3023" s="434"/>
      <c r="C3023" s="434"/>
      <c r="D3023" s="434"/>
      <c r="E3023" s="434"/>
      <c r="F3023" s="434" t="s">
        <v>1738</v>
      </c>
      <c r="G3023" s="435">
        <v>7.68</v>
      </c>
      <c r="H3023" s="434"/>
      <c r="I3023" s="434" t="s">
        <v>1739</v>
      </c>
      <c r="J3023" s="434"/>
      <c r="K3023" s="435">
        <v>38.84</v>
      </c>
    </row>
    <row r="3024" customHeight="1" spans="1:11">
      <c r="A3024" s="436"/>
      <c r="B3024" s="436"/>
      <c r="C3024" s="436"/>
      <c r="D3024" s="436"/>
      <c r="E3024" s="436"/>
      <c r="F3024" s="436"/>
      <c r="G3024" s="436"/>
      <c r="H3024" s="436" t="s">
        <v>1740</v>
      </c>
      <c r="I3024" s="447" t="s">
        <v>2795</v>
      </c>
      <c r="J3024" s="436" t="s">
        <v>1742</v>
      </c>
      <c r="K3024" s="448">
        <v>14176.6</v>
      </c>
    </row>
    <row r="3025" customHeight="1" spans="1:11">
      <c r="A3025" s="437"/>
      <c r="B3025" s="437"/>
      <c r="C3025" s="437"/>
      <c r="D3025" s="437"/>
      <c r="E3025" s="437"/>
      <c r="F3025" s="437"/>
      <c r="G3025" s="437"/>
      <c r="H3025" s="437"/>
      <c r="I3025" s="437"/>
      <c r="J3025" s="437"/>
      <c r="K3025" s="437"/>
    </row>
    <row r="3026" customHeight="1" spans="1:11">
      <c r="A3026" s="423" t="s">
        <v>914</v>
      </c>
      <c r="B3026" s="424" t="s">
        <v>1714</v>
      </c>
      <c r="C3026" s="423" t="s">
        <v>1715</v>
      </c>
      <c r="D3026" s="423" t="s">
        <v>1716</v>
      </c>
      <c r="E3026" s="423" t="s">
        <v>1717</v>
      </c>
      <c r="F3026" s="423"/>
      <c r="G3026" s="425" t="s">
        <v>1718</v>
      </c>
      <c r="H3026" s="424" t="s">
        <v>1719</v>
      </c>
      <c r="I3026" s="424" t="s">
        <v>1720</v>
      </c>
      <c r="J3026" s="424" t="s">
        <v>1721</v>
      </c>
      <c r="K3026" s="424" t="s">
        <v>1722</v>
      </c>
    </row>
    <row r="3027" customHeight="1" spans="1:11">
      <c r="A3027" s="426" t="s">
        <v>1723</v>
      </c>
      <c r="B3027" s="427" t="s">
        <v>915</v>
      </c>
      <c r="C3027" s="426" t="s">
        <v>65</v>
      </c>
      <c r="D3027" s="426" t="s">
        <v>916</v>
      </c>
      <c r="E3027" s="426" t="s">
        <v>62</v>
      </c>
      <c r="F3027" s="426"/>
      <c r="G3027" s="428" t="s">
        <v>67</v>
      </c>
      <c r="H3027" s="429">
        <v>1</v>
      </c>
      <c r="I3027" s="445"/>
      <c r="J3027" s="445">
        <v>4.41</v>
      </c>
      <c r="K3027" s="445">
        <v>4.41</v>
      </c>
    </row>
    <row r="3028" customHeight="1" spans="1:11">
      <c r="A3028" s="430" t="s">
        <v>1724</v>
      </c>
      <c r="B3028" s="431" t="s">
        <v>2385</v>
      </c>
      <c r="C3028" s="430" t="s">
        <v>71</v>
      </c>
      <c r="D3028" s="430" t="s">
        <v>2386</v>
      </c>
      <c r="E3028" s="430" t="s">
        <v>1708</v>
      </c>
      <c r="F3028" s="430"/>
      <c r="G3028" s="432" t="s">
        <v>82</v>
      </c>
      <c r="H3028" s="433">
        <v>0.05</v>
      </c>
      <c r="I3028" s="433">
        <v>0</v>
      </c>
      <c r="J3028" s="446">
        <v>30.6</v>
      </c>
      <c r="K3028" s="446">
        <v>1.53</v>
      </c>
    </row>
    <row r="3029" customHeight="1" spans="1:11">
      <c r="A3029" s="430" t="s">
        <v>1724</v>
      </c>
      <c r="B3029" s="431" t="s">
        <v>2387</v>
      </c>
      <c r="C3029" s="430" t="s">
        <v>71</v>
      </c>
      <c r="D3029" s="430" t="s">
        <v>2388</v>
      </c>
      <c r="E3029" s="430" t="s">
        <v>1708</v>
      </c>
      <c r="F3029" s="430"/>
      <c r="G3029" s="432" t="s">
        <v>82</v>
      </c>
      <c r="H3029" s="433">
        <v>0.05</v>
      </c>
      <c r="I3029" s="433">
        <v>0</v>
      </c>
      <c r="J3029" s="446">
        <v>36.82</v>
      </c>
      <c r="K3029" s="446">
        <v>1.84</v>
      </c>
    </row>
    <row r="3030" customHeight="1" spans="1:11">
      <c r="A3030" s="438" t="s">
        <v>1750</v>
      </c>
      <c r="B3030" s="439" t="s">
        <v>2796</v>
      </c>
      <c r="C3030" s="438" t="s">
        <v>65</v>
      </c>
      <c r="D3030" s="438" t="s">
        <v>2797</v>
      </c>
      <c r="E3030" s="438" t="s">
        <v>1631</v>
      </c>
      <c r="F3030" s="438"/>
      <c r="G3030" s="440" t="s">
        <v>67</v>
      </c>
      <c r="H3030" s="441">
        <v>2</v>
      </c>
      <c r="I3030" s="441">
        <v>0</v>
      </c>
      <c r="J3030" s="449">
        <v>0.52</v>
      </c>
      <c r="K3030" s="449">
        <v>1.04</v>
      </c>
    </row>
    <row r="3031" customHeight="1" spans="1:11">
      <c r="A3031" s="434"/>
      <c r="B3031" s="434"/>
      <c r="C3031" s="434"/>
      <c r="D3031" s="434"/>
      <c r="E3031" s="434"/>
      <c r="F3031" s="434" t="s">
        <v>1735</v>
      </c>
      <c r="G3031" s="435">
        <v>1.23</v>
      </c>
      <c r="H3031" s="434" t="s">
        <v>1736</v>
      </c>
      <c r="I3031" s="435">
        <v>1.12</v>
      </c>
      <c r="J3031" s="434" t="s">
        <v>1737</v>
      </c>
      <c r="K3031" s="435">
        <v>2.35</v>
      </c>
    </row>
    <row r="3032" customHeight="1" spans="1:11">
      <c r="A3032" s="434"/>
      <c r="B3032" s="434"/>
      <c r="C3032" s="434"/>
      <c r="D3032" s="434"/>
      <c r="E3032" s="434"/>
      <c r="F3032" s="434" t="s">
        <v>1738</v>
      </c>
      <c r="G3032" s="435">
        <v>1.08</v>
      </c>
      <c r="H3032" s="434"/>
      <c r="I3032" s="434" t="s">
        <v>1739</v>
      </c>
      <c r="J3032" s="434"/>
      <c r="K3032" s="435">
        <v>5.49</v>
      </c>
    </row>
    <row r="3033" customHeight="1" spans="1:11">
      <c r="A3033" s="436"/>
      <c r="B3033" s="436"/>
      <c r="C3033" s="436"/>
      <c r="D3033" s="436"/>
      <c r="E3033" s="436"/>
      <c r="F3033" s="436"/>
      <c r="G3033" s="436"/>
      <c r="H3033" s="436" t="s">
        <v>1740</v>
      </c>
      <c r="I3033" s="447" t="s">
        <v>2795</v>
      </c>
      <c r="J3033" s="436" t="s">
        <v>1742</v>
      </c>
      <c r="K3033" s="448">
        <v>2003.85</v>
      </c>
    </row>
    <row r="3034" customHeight="1" spans="1:11">
      <c r="A3034" s="437"/>
      <c r="B3034" s="437"/>
      <c r="C3034" s="437"/>
      <c r="D3034" s="437"/>
      <c r="E3034" s="437"/>
      <c r="F3034" s="437"/>
      <c r="G3034" s="437"/>
      <c r="H3034" s="437"/>
      <c r="I3034" s="437"/>
      <c r="J3034" s="437"/>
      <c r="K3034" s="437"/>
    </row>
    <row r="3035" customHeight="1" spans="1:11">
      <c r="A3035" s="423" t="s">
        <v>917</v>
      </c>
      <c r="B3035" s="424" t="s">
        <v>1714</v>
      </c>
      <c r="C3035" s="423" t="s">
        <v>1715</v>
      </c>
      <c r="D3035" s="423" t="s">
        <v>1716</v>
      </c>
      <c r="E3035" s="423" t="s">
        <v>1717</v>
      </c>
      <c r="F3035" s="423"/>
      <c r="G3035" s="425" t="s">
        <v>1718</v>
      </c>
      <c r="H3035" s="424" t="s">
        <v>1719</v>
      </c>
      <c r="I3035" s="424" t="s">
        <v>1720</v>
      </c>
      <c r="J3035" s="424" t="s">
        <v>1721</v>
      </c>
      <c r="K3035" s="424" t="s">
        <v>1722</v>
      </c>
    </row>
    <row r="3036" customHeight="1" spans="1:11">
      <c r="A3036" s="426" t="s">
        <v>1723</v>
      </c>
      <c r="B3036" s="427" t="s">
        <v>918</v>
      </c>
      <c r="C3036" s="426" t="s">
        <v>76</v>
      </c>
      <c r="D3036" s="426" t="s">
        <v>919</v>
      </c>
      <c r="E3036" s="426">
        <v>18</v>
      </c>
      <c r="F3036" s="426"/>
      <c r="G3036" s="428" t="s">
        <v>105</v>
      </c>
      <c r="H3036" s="429">
        <v>1</v>
      </c>
      <c r="I3036" s="445"/>
      <c r="J3036" s="445">
        <v>34.04</v>
      </c>
      <c r="K3036" s="445">
        <v>34.04</v>
      </c>
    </row>
    <row r="3037" customHeight="1" spans="1:11">
      <c r="A3037" s="438" t="s">
        <v>1750</v>
      </c>
      <c r="B3037" s="439" t="s">
        <v>2660</v>
      </c>
      <c r="C3037" s="438" t="s">
        <v>76</v>
      </c>
      <c r="D3037" s="438" t="s">
        <v>2661</v>
      </c>
      <c r="E3037" s="438" t="s">
        <v>1764</v>
      </c>
      <c r="F3037" s="438"/>
      <c r="G3037" s="440" t="s">
        <v>82</v>
      </c>
      <c r="H3037" s="441">
        <v>0.35</v>
      </c>
      <c r="I3037" s="441">
        <v>3</v>
      </c>
      <c r="J3037" s="449">
        <v>26.52</v>
      </c>
      <c r="K3037" s="449">
        <v>9.56</v>
      </c>
    </row>
    <row r="3038" customHeight="1" spans="1:11">
      <c r="A3038" s="438" t="s">
        <v>1750</v>
      </c>
      <c r="B3038" s="439" t="s">
        <v>1767</v>
      </c>
      <c r="C3038" s="438" t="s">
        <v>76</v>
      </c>
      <c r="D3038" s="438" t="s">
        <v>1768</v>
      </c>
      <c r="E3038" s="438" t="s">
        <v>1764</v>
      </c>
      <c r="F3038" s="438"/>
      <c r="G3038" s="440" t="s">
        <v>82</v>
      </c>
      <c r="H3038" s="441">
        <v>0.35</v>
      </c>
      <c r="I3038" s="441">
        <v>3</v>
      </c>
      <c r="J3038" s="449">
        <v>19.16</v>
      </c>
      <c r="K3038" s="449">
        <v>6.9</v>
      </c>
    </row>
    <row r="3039" customHeight="1" spans="1:11">
      <c r="A3039" s="438" t="s">
        <v>1750</v>
      </c>
      <c r="B3039" s="439" t="s">
        <v>2798</v>
      </c>
      <c r="C3039" s="438" t="s">
        <v>76</v>
      </c>
      <c r="D3039" s="438" t="s">
        <v>2799</v>
      </c>
      <c r="E3039" s="438" t="s">
        <v>1631</v>
      </c>
      <c r="F3039" s="438"/>
      <c r="G3039" s="440" t="s">
        <v>105</v>
      </c>
      <c r="H3039" s="441">
        <v>1</v>
      </c>
      <c r="I3039" s="441">
        <v>0</v>
      </c>
      <c r="J3039" s="449">
        <v>17.58</v>
      </c>
      <c r="K3039" s="449">
        <v>17.58</v>
      </c>
    </row>
    <row r="3040" customHeight="1" spans="1:11">
      <c r="A3040" s="434"/>
      <c r="B3040" s="434"/>
      <c r="C3040" s="434"/>
      <c r="D3040" s="434"/>
      <c r="E3040" s="434"/>
      <c r="F3040" s="434" t="s">
        <v>1735</v>
      </c>
      <c r="G3040" s="435">
        <v>8.62</v>
      </c>
      <c r="H3040" s="434" t="s">
        <v>1736</v>
      </c>
      <c r="I3040" s="435">
        <v>7.84</v>
      </c>
      <c r="J3040" s="434" t="s">
        <v>1737</v>
      </c>
      <c r="K3040" s="435">
        <v>16.46</v>
      </c>
    </row>
    <row r="3041" customHeight="1" spans="1:11">
      <c r="A3041" s="434"/>
      <c r="B3041" s="434"/>
      <c r="C3041" s="434"/>
      <c r="D3041" s="434"/>
      <c r="E3041" s="434"/>
      <c r="F3041" s="434" t="s">
        <v>1738</v>
      </c>
      <c r="G3041" s="435">
        <v>8.39</v>
      </c>
      <c r="H3041" s="434"/>
      <c r="I3041" s="434" t="s">
        <v>1739</v>
      </c>
      <c r="J3041" s="434"/>
      <c r="K3041" s="435">
        <v>42.43</v>
      </c>
    </row>
    <row r="3042" customHeight="1" spans="1:11">
      <c r="A3042" s="436"/>
      <c r="B3042" s="436"/>
      <c r="C3042" s="436"/>
      <c r="D3042" s="436"/>
      <c r="E3042" s="436"/>
      <c r="F3042" s="436"/>
      <c r="G3042" s="436"/>
      <c r="H3042" s="436" t="s">
        <v>1740</v>
      </c>
      <c r="I3042" s="447" t="s">
        <v>2800</v>
      </c>
      <c r="J3042" s="436" t="s">
        <v>1742</v>
      </c>
      <c r="K3042" s="448">
        <v>933.46</v>
      </c>
    </row>
    <row r="3043" customHeight="1" spans="1:11">
      <c r="A3043" s="437"/>
      <c r="B3043" s="437"/>
      <c r="C3043" s="437"/>
      <c r="D3043" s="437"/>
      <c r="E3043" s="437"/>
      <c r="F3043" s="437"/>
      <c r="G3043" s="437"/>
      <c r="H3043" s="437"/>
      <c r="I3043" s="437"/>
      <c r="J3043" s="437"/>
      <c r="K3043" s="437"/>
    </row>
    <row r="3044" customHeight="1" spans="1:11">
      <c r="A3044" s="423" t="s">
        <v>920</v>
      </c>
      <c r="B3044" s="424" t="s">
        <v>1714</v>
      </c>
      <c r="C3044" s="423" t="s">
        <v>1715</v>
      </c>
      <c r="D3044" s="423" t="s">
        <v>1716</v>
      </c>
      <c r="E3044" s="423" t="s">
        <v>1717</v>
      </c>
      <c r="F3044" s="423"/>
      <c r="G3044" s="425" t="s">
        <v>1718</v>
      </c>
      <c r="H3044" s="424" t="s">
        <v>1719</v>
      </c>
      <c r="I3044" s="424" t="s">
        <v>1720</v>
      </c>
      <c r="J3044" s="424" t="s">
        <v>1721</v>
      </c>
      <c r="K3044" s="424" t="s">
        <v>1722</v>
      </c>
    </row>
    <row r="3045" customHeight="1" spans="1:11">
      <c r="A3045" s="426" t="s">
        <v>1723</v>
      </c>
      <c r="B3045" s="427" t="s">
        <v>921</v>
      </c>
      <c r="C3045" s="426" t="s">
        <v>65</v>
      </c>
      <c r="D3045" s="426" t="s">
        <v>922</v>
      </c>
      <c r="E3045" s="426" t="s">
        <v>62</v>
      </c>
      <c r="F3045" s="426"/>
      <c r="G3045" s="428" t="s">
        <v>67</v>
      </c>
      <c r="H3045" s="429">
        <v>1</v>
      </c>
      <c r="I3045" s="445"/>
      <c r="J3045" s="445">
        <v>12.35</v>
      </c>
      <c r="K3045" s="445">
        <v>12.35</v>
      </c>
    </row>
    <row r="3046" customHeight="1" spans="1:11">
      <c r="A3046" s="430" t="s">
        <v>1724</v>
      </c>
      <c r="B3046" s="431" t="s">
        <v>2385</v>
      </c>
      <c r="C3046" s="430" t="s">
        <v>71</v>
      </c>
      <c r="D3046" s="430" t="s">
        <v>2386</v>
      </c>
      <c r="E3046" s="430" t="s">
        <v>1708</v>
      </c>
      <c r="F3046" s="430"/>
      <c r="G3046" s="432" t="s">
        <v>82</v>
      </c>
      <c r="H3046" s="433">
        <v>0.1</v>
      </c>
      <c r="I3046" s="433">
        <v>0</v>
      </c>
      <c r="J3046" s="446">
        <v>30.6</v>
      </c>
      <c r="K3046" s="446">
        <v>3.06</v>
      </c>
    </row>
    <row r="3047" customHeight="1" spans="1:11">
      <c r="A3047" s="430" t="s">
        <v>1724</v>
      </c>
      <c r="B3047" s="431" t="s">
        <v>2387</v>
      </c>
      <c r="C3047" s="430" t="s">
        <v>71</v>
      </c>
      <c r="D3047" s="430" t="s">
        <v>2388</v>
      </c>
      <c r="E3047" s="430" t="s">
        <v>1708</v>
      </c>
      <c r="F3047" s="430"/>
      <c r="G3047" s="432" t="s">
        <v>82</v>
      </c>
      <c r="H3047" s="433">
        <v>0.1</v>
      </c>
      <c r="I3047" s="433">
        <v>0</v>
      </c>
      <c r="J3047" s="446">
        <v>36.82</v>
      </c>
      <c r="K3047" s="446">
        <v>3.68</v>
      </c>
    </row>
    <row r="3048" customHeight="1" spans="1:11">
      <c r="A3048" s="438" t="s">
        <v>1750</v>
      </c>
      <c r="B3048" s="439" t="s">
        <v>2801</v>
      </c>
      <c r="C3048" s="438" t="s">
        <v>65</v>
      </c>
      <c r="D3048" s="438" t="s">
        <v>2802</v>
      </c>
      <c r="E3048" s="438" t="s">
        <v>1631</v>
      </c>
      <c r="F3048" s="438"/>
      <c r="G3048" s="440" t="s">
        <v>67</v>
      </c>
      <c r="H3048" s="441">
        <v>1</v>
      </c>
      <c r="I3048" s="441">
        <v>0</v>
      </c>
      <c r="J3048" s="449">
        <v>5.61</v>
      </c>
      <c r="K3048" s="449">
        <v>5.61</v>
      </c>
    </row>
    <row r="3049" customHeight="1" spans="1:11">
      <c r="A3049" s="434"/>
      <c r="B3049" s="434"/>
      <c r="C3049" s="434"/>
      <c r="D3049" s="434"/>
      <c r="E3049" s="434"/>
      <c r="F3049" s="434" t="s">
        <v>1735</v>
      </c>
      <c r="G3049" s="435">
        <v>2.47</v>
      </c>
      <c r="H3049" s="434" t="s">
        <v>1736</v>
      </c>
      <c r="I3049" s="435">
        <v>2.25</v>
      </c>
      <c r="J3049" s="434" t="s">
        <v>1737</v>
      </c>
      <c r="K3049" s="435">
        <v>4.72</v>
      </c>
    </row>
    <row r="3050" customHeight="1" spans="1:11">
      <c r="A3050" s="434"/>
      <c r="B3050" s="434"/>
      <c r="C3050" s="434"/>
      <c r="D3050" s="434"/>
      <c r="E3050" s="434"/>
      <c r="F3050" s="434" t="s">
        <v>1738</v>
      </c>
      <c r="G3050" s="435">
        <v>3.04</v>
      </c>
      <c r="H3050" s="434"/>
      <c r="I3050" s="434" t="s">
        <v>1739</v>
      </c>
      <c r="J3050" s="434"/>
      <c r="K3050" s="435">
        <v>15.39</v>
      </c>
    </row>
    <row r="3051" customHeight="1" spans="1:11">
      <c r="A3051" s="436"/>
      <c r="B3051" s="436"/>
      <c r="C3051" s="436"/>
      <c r="D3051" s="436"/>
      <c r="E3051" s="436"/>
      <c r="F3051" s="436"/>
      <c r="G3051" s="436"/>
      <c r="H3051" s="436" t="s">
        <v>1740</v>
      </c>
      <c r="I3051" s="447" t="s">
        <v>2803</v>
      </c>
      <c r="J3051" s="436" t="s">
        <v>1742</v>
      </c>
      <c r="K3051" s="448">
        <v>2693.25</v>
      </c>
    </row>
    <row r="3052" customHeight="1" spans="1:11">
      <c r="A3052" s="437"/>
      <c r="B3052" s="437"/>
      <c r="C3052" s="437"/>
      <c r="D3052" s="437"/>
      <c r="E3052" s="437"/>
      <c r="F3052" s="437"/>
      <c r="G3052" s="437"/>
      <c r="H3052" s="437"/>
      <c r="I3052" s="437"/>
      <c r="J3052" s="437"/>
      <c r="K3052" s="437"/>
    </row>
    <row r="3053" customHeight="1" spans="1:11">
      <c r="A3053" s="422" t="s">
        <v>923</v>
      </c>
      <c r="B3053" s="422"/>
      <c r="C3053" s="422"/>
      <c r="D3053" s="422" t="s">
        <v>924</v>
      </c>
      <c r="E3053" s="422"/>
      <c r="F3053" s="422"/>
      <c r="G3053" s="422"/>
      <c r="H3053" s="422"/>
      <c r="I3053" s="443"/>
      <c r="J3053" s="422"/>
      <c r="K3053" s="444">
        <v>14695.31</v>
      </c>
    </row>
    <row r="3054" customHeight="1" spans="1:11">
      <c r="A3054" s="423" t="s">
        <v>925</v>
      </c>
      <c r="B3054" s="424" t="s">
        <v>1714</v>
      </c>
      <c r="C3054" s="423" t="s">
        <v>1715</v>
      </c>
      <c r="D3054" s="423" t="s">
        <v>1716</v>
      </c>
      <c r="E3054" s="423" t="s">
        <v>1717</v>
      </c>
      <c r="F3054" s="423"/>
      <c r="G3054" s="425" t="s">
        <v>1718</v>
      </c>
      <c r="H3054" s="424" t="s">
        <v>1719</v>
      </c>
      <c r="I3054" s="424" t="s">
        <v>1720</v>
      </c>
      <c r="J3054" s="424" t="s">
        <v>1721</v>
      </c>
      <c r="K3054" s="424" t="s">
        <v>1722</v>
      </c>
    </row>
    <row r="3055" customHeight="1" spans="1:11">
      <c r="A3055" s="426" t="s">
        <v>1723</v>
      </c>
      <c r="B3055" s="427" t="s">
        <v>926</v>
      </c>
      <c r="C3055" s="426" t="s">
        <v>71</v>
      </c>
      <c r="D3055" s="426" t="s">
        <v>927</v>
      </c>
      <c r="E3055" s="426" t="s">
        <v>1636</v>
      </c>
      <c r="F3055" s="426"/>
      <c r="G3055" s="428" t="s">
        <v>105</v>
      </c>
      <c r="H3055" s="429">
        <v>1</v>
      </c>
      <c r="I3055" s="445"/>
      <c r="J3055" s="445">
        <v>54.97</v>
      </c>
      <c r="K3055" s="445">
        <v>54.97</v>
      </c>
    </row>
    <row r="3056" customHeight="1" spans="1:11">
      <c r="A3056" s="430" t="s">
        <v>1724</v>
      </c>
      <c r="B3056" s="431" t="s">
        <v>2804</v>
      </c>
      <c r="C3056" s="430" t="s">
        <v>71</v>
      </c>
      <c r="D3056" s="430" t="s">
        <v>2805</v>
      </c>
      <c r="E3056" s="430" t="s">
        <v>1636</v>
      </c>
      <c r="F3056" s="430"/>
      <c r="G3056" s="432" t="s">
        <v>105</v>
      </c>
      <c r="H3056" s="433">
        <v>1</v>
      </c>
      <c r="I3056" s="433">
        <v>0</v>
      </c>
      <c r="J3056" s="446">
        <v>12.45</v>
      </c>
      <c r="K3056" s="446">
        <v>12.45</v>
      </c>
    </row>
    <row r="3057" customHeight="1" spans="1:11">
      <c r="A3057" s="430" t="s">
        <v>1724</v>
      </c>
      <c r="B3057" s="431" t="s">
        <v>2806</v>
      </c>
      <c r="C3057" s="430" t="s">
        <v>71</v>
      </c>
      <c r="D3057" s="430" t="s">
        <v>2807</v>
      </c>
      <c r="E3057" s="430" t="s">
        <v>1636</v>
      </c>
      <c r="F3057" s="430"/>
      <c r="G3057" s="432" t="s">
        <v>105</v>
      </c>
      <c r="H3057" s="433">
        <v>1</v>
      </c>
      <c r="I3057" s="433">
        <v>0</v>
      </c>
      <c r="J3057" s="446">
        <v>42.52</v>
      </c>
      <c r="K3057" s="446">
        <v>42.52</v>
      </c>
    </row>
    <row r="3058" customHeight="1" spans="1:11">
      <c r="A3058" s="434"/>
      <c r="B3058" s="434"/>
      <c r="C3058" s="434"/>
      <c r="D3058" s="434"/>
      <c r="E3058" s="434"/>
      <c r="F3058" s="434" t="s">
        <v>1735</v>
      </c>
      <c r="G3058" s="435">
        <v>13.13</v>
      </c>
      <c r="H3058" s="434" t="s">
        <v>1736</v>
      </c>
      <c r="I3058" s="435">
        <v>11.94</v>
      </c>
      <c r="J3058" s="434" t="s">
        <v>1737</v>
      </c>
      <c r="K3058" s="435">
        <v>25.07</v>
      </c>
    </row>
    <row r="3059" customHeight="1" spans="1:11">
      <c r="A3059" s="434"/>
      <c r="B3059" s="434"/>
      <c r="C3059" s="434"/>
      <c r="D3059" s="434"/>
      <c r="E3059" s="434"/>
      <c r="F3059" s="434" t="s">
        <v>1738</v>
      </c>
      <c r="G3059" s="435">
        <v>13.55</v>
      </c>
      <c r="H3059" s="434"/>
      <c r="I3059" s="434" t="s">
        <v>1739</v>
      </c>
      <c r="J3059" s="434"/>
      <c r="K3059" s="435">
        <v>68.52</v>
      </c>
    </row>
    <row r="3060" customHeight="1" spans="1:11">
      <c r="A3060" s="436"/>
      <c r="B3060" s="436"/>
      <c r="C3060" s="436"/>
      <c r="D3060" s="436"/>
      <c r="E3060" s="436"/>
      <c r="F3060" s="436"/>
      <c r="G3060" s="436"/>
      <c r="H3060" s="436" t="s">
        <v>1740</v>
      </c>
      <c r="I3060" s="447" t="s">
        <v>2310</v>
      </c>
      <c r="J3060" s="436" t="s">
        <v>1742</v>
      </c>
      <c r="K3060" s="448">
        <v>753.72</v>
      </c>
    </row>
    <row r="3061" customHeight="1" spans="1:11">
      <c r="A3061" s="437"/>
      <c r="B3061" s="437"/>
      <c r="C3061" s="437"/>
      <c r="D3061" s="437"/>
      <c r="E3061" s="437"/>
      <c r="F3061" s="437"/>
      <c r="G3061" s="437"/>
      <c r="H3061" s="437"/>
      <c r="I3061" s="437"/>
      <c r="J3061" s="437"/>
      <c r="K3061" s="437"/>
    </row>
    <row r="3062" customHeight="1" spans="1:11">
      <c r="A3062" s="423" t="s">
        <v>928</v>
      </c>
      <c r="B3062" s="424" t="s">
        <v>1714</v>
      </c>
      <c r="C3062" s="423" t="s">
        <v>1715</v>
      </c>
      <c r="D3062" s="423" t="s">
        <v>1716</v>
      </c>
      <c r="E3062" s="423" t="s">
        <v>1717</v>
      </c>
      <c r="F3062" s="423"/>
      <c r="G3062" s="425" t="s">
        <v>1718</v>
      </c>
      <c r="H3062" s="424" t="s">
        <v>1719</v>
      </c>
      <c r="I3062" s="424" t="s">
        <v>1720</v>
      </c>
      <c r="J3062" s="424" t="s">
        <v>1721</v>
      </c>
      <c r="K3062" s="424" t="s">
        <v>1722</v>
      </c>
    </row>
    <row r="3063" customHeight="1" spans="1:11">
      <c r="A3063" s="426" t="s">
        <v>1723</v>
      </c>
      <c r="B3063" s="427" t="s">
        <v>929</v>
      </c>
      <c r="C3063" s="426" t="s">
        <v>71</v>
      </c>
      <c r="D3063" s="426" t="s">
        <v>930</v>
      </c>
      <c r="E3063" s="426" t="s">
        <v>1636</v>
      </c>
      <c r="F3063" s="426"/>
      <c r="G3063" s="428" t="s">
        <v>105</v>
      </c>
      <c r="H3063" s="429">
        <v>1</v>
      </c>
      <c r="I3063" s="445"/>
      <c r="J3063" s="445">
        <v>91.38</v>
      </c>
      <c r="K3063" s="445">
        <v>91.38</v>
      </c>
    </row>
    <row r="3064" customHeight="1" spans="1:11">
      <c r="A3064" s="430" t="s">
        <v>1724</v>
      </c>
      <c r="B3064" s="431" t="s">
        <v>2808</v>
      </c>
      <c r="C3064" s="430" t="s">
        <v>71</v>
      </c>
      <c r="D3064" s="430" t="s">
        <v>2809</v>
      </c>
      <c r="E3064" s="430" t="s">
        <v>1636</v>
      </c>
      <c r="F3064" s="430"/>
      <c r="G3064" s="432" t="s">
        <v>105</v>
      </c>
      <c r="H3064" s="433">
        <v>1</v>
      </c>
      <c r="I3064" s="433">
        <v>0</v>
      </c>
      <c r="J3064" s="446">
        <v>78.93</v>
      </c>
      <c r="K3064" s="446">
        <v>78.93</v>
      </c>
    </row>
    <row r="3065" customHeight="1" spans="1:11">
      <c r="A3065" s="430" t="s">
        <v>1724</v>
      </c>
      <c r="B3065" s="431" t="s">
        <v>2804</v>
      </c>
      <c r="C3065" s="430" t="s">
        <v>71</v>
      </c>
      <c r="D3065" s="430" t="s">
        <v>2805</v>
      </c>
      <c r="E3065" s="430" t="s">
        <v>1636</v>
      </c>
      <c r="F3065" s="430"/>
      <c r="G3065" s="432" t="s">
        <v>105</v>
      </c>
      <c r="H3065" s="433">
        <v>1</v>
      </c>
      <c r="I3065" s="433">
        <v>0</v>
      </c>
      <c r="J3065" s="446">
        <v>12.45</v>
      </c>
      <c r="K3065" s="446">
        <v>12.45</v>
      </c>
    </row>
    <row r="3066" customHeight="1" spans="1:11">
      <c r="A3066" s="434"/>
      <c r="B3066" s="434"/>
      <c r="C3066" s="434"/>
      <c r="D3066" s="434"/>
      <c r="E3066" s="434"/>
      <c r="F3066" s="434" t="s">
        <v>1735</v>
      </c>
      <c r="G3066" s="435">
        <v>23.64</v>
      </c>
      <c r="H3066" s="434" t="s">
        <v>1736</v>
      </c>
      <c r="I3066" s="435">
        <v>21.49</v>
      </c>
      <c r="J3066" s="434" t="s">
        <v>1737</v>
      </c>
      <c r="K3066" s="435">
        <v>45.13</v>
      </c>
    </row>
    <row r="3067" customHeight="1" spans="1:11">
      <c r="A3067" s="434"/>
      <c r="B3067" s="434"/>
      <c r="C3067" s="434"/>
      <c r="D3067" s="434"/>
      <c r="E3067" s="434"/>
      <c r="F3067" s="434" t="s">
        <v>1738</v>
      </c>
      <c r="G3067" s="435">
        <v>22.53</v>
      </c>
      <c r="H3067" s="434"/>
      <c r="I3067" s="434" t="s">
        <v>1739</v>
      </c>
      <c r="J3067" s="434"/>
      <c r="K3067" s="435">
        <v>113.91</v>
      </c>
    </row>
    <row r="3068" customHeight="1" spans="1:11">
      <c r="A3068" s="436"/>
      <c r="B3068" s="436"/>
      <c r="C3068" s="436"/>
      <c r="D3068" s="436"/>
      <c r="E3068" s="436"/>
      <c r="F3068" s="436"/>
      <c r="G3068" s="436"/>
      <c r="H3068" s="436" t="s">
        <v>1740</v>
      </c>
      <c r="I3068" s="447" t="s">
        <v>1741</v>
      </c>
      <c r="J3068" s="436" t="s">
        <v>1742</v>
      </c>
      <c r="K3068" s="448">
        <v>113.91</v>
      </c>
    </row>
    <row r="3069" customHeight="1" spans="1:11">
      <c r="A3069" s="437"/>
      <c r="B3069" s="437"/>
      <c r="C3069" s="437"/>
      <c r="D3069" s="437"/>
      <c r="E3069" s="437"/>
      <c r="F3069" s="437"/>
      <c r="G3069" s="437"/>
      <c r="H3069" s="437"/>
      <c r="I3069" s="437"/>
      <c r="J3069" s="437"/>
      <c r="K3069" s="437"/>
    </row>
    <row r="3070" customHeight="1" spans="1:11">
      <c r="A3070" s="423" t="s">
        <v>931</v>
      </c>
      <c r="B3070" s="424" t="s">
        <v>1714</v>
      </c>
      <c r="C3070" s="423" t="s">
        <v>1715</v>
      </c>
      <c r="D3070" s="423" t="s">
        <v>1716</v>
      </c>
      <c r="E3070" s="423" t="s">
        <v>1717</v>
      </c>
      <c r="F3070" s="423"/>
      <c r="G3070" s="425" t="s">
        <v>1718</v>
      </c>
      <c r="H3070" s="424" t="s">
        <v>1719</v>
      </c>
      <c r="I3070" s="424" t="s">
        <v>1720</v>
      </c>
      <c r="J3070" s="424" t="s">
        <v>1721</v>
      </c>
      <c r="K3070" s="424" t="s">
        <v>1722</v>
      </c>
    </row>
    <row r="3071" customHeight="1" spans="1:11">
      <c r="A3071" s="426" t="s">
        <v>1723</v>
      </c>
      <c r="B3071" s="427" t="s">
        <v>932</v>
      </c>
      <c r="C3071" s="426" t="s">
        <v>71</v>
      </c>
      <c r="D3071" s="426" t="s">
        <v>933</v>
      </c>
      <c r="E3071" s="426" t="s">
        <v>1636</v>
      </c>
      <c r="F3071" s="426"/>
      <c r="G3071" s="428" t="s">
        <v>105</v>
      </c>
      <c r="H3071" s="429">
        <v>1</v>
      </c>
      <c r="I3071" s="445"/>
      <c r="J3071" s="445">
        <v>51.45</v>
      </c>
      <c r="K3071" s="445">
        <v>51.45</v>
      </c>
    </row>
    <row r="3072" customHeight="1" spans="1:11">
      <c r="A3072" s="430" t="s">
        <v>1724</v>
      </c>
      <c r="B3072" s="431" t="s">
        <v>2804</v>
      </c>
      <c r="C3072" s="430" t="s">
        <v>71</v>
      </c>
      <c r="D3072" s="430" t="s">
        <v>2805</v>
      </c>
      <c r="E3072" s="430" t="s">
        <v>1636</v>
      </c>
      <c r="F3072" s="430"/>
      <c r="G3072" s="432" t="s">
        <v>105</v>
      </c>
      <c r="H3072" s="433">
        <v>1</v>
      </c>
      <c r="I3072" s="433">
        <v>0</v>
      </c>
      <c r="J3072" s="446">
        <v>12.45</v>
      </c>
      <c r="K3072" s="446">
        <v>12.45</v>
      </c>
    </row>
    <row r="3073" customHeight="1" spans="1:11">
      <c r="A3073" s="430" t="s">
        <v>1724</v>
      </c>
      <c r="B3073" s="431" t="s">
        <v>2810</v>
      </c>
      <c r="C3073" s="430" t="s">
        <v>71</v>
      </c>
      <c r="D3073" s="430" t="s">
        <v>2811</v>
      </c>
      <c r="E3073" s="430" t="s">
        <v>1636</v>
      </c>
      <c r="F3073" s="430"/>
      <c r="G3073" s="432" t="s">
        <v>105</v>
      </c>
      <c r="H3073" s="433">
        <v>1</v>
      </c>
      <c r="I3073" s="433">
        <v>0</v>
      </c>
      <c r="J3073" s="446">
        <v>39</v>
      </c>
      <c r="K3073" s="446">
        <v>39</v>
      </c>
    </row>
    <row r="3074" customHeight="1" spans="1:11">
      <c r="A3074" s="434"/>
      <c r="B3074" s="434"/>
      <c r="C3074" s="434"/>
      <c r="D3074" s="434"/>
      <c r="E3074" s="434"/>
      <c r="F3074" s="434" t="s">
        <v>1735</v>
      </c>
      <c r="G3074" s="435">
        <v>13.13</v>
      </c>
      <c r="H3074" s="434" t="s">
        <v>1736</v>
      </c>
      <c r="I3074" s="435">
        <v>11.94</v>
      </c>
      <c r="J3074" s="434" t="s">
        <v>1737</v>
      </c>
      <c r="K3074" s="435">
        <v>25.07</v>
      </c>
    </row>
    <row r="3075" customHeight="1" spans="1:11">
      <c r="A3075" s="434"/>
      <c r="B3075" s="434"/>
      <c r="C3075" s="434"/>
      <c r="D3075" s="434"/>
      <c r="E3075" s="434"/>
      <c r="F3075" s="434" t="s">
        <v>1738</v>
      </c>
      <c r="G3075" s="435">
        <v>12.68</v>
      </c>
      <c r="H3075" s="434"/>
      <c r="I3075" s="434" t="s">
        <v>1739</v>
      </c>
      <c r="J3075" s="434"/>
      <c r="K3075" s="435">
        <v>64.13</v>
      </c>
    </row>
    <row r="3076" customHeight="1" spans="1:11">
      <c r="A3076" s="436"/>
      <c r="B3076" s="436"/>
      <c r="C3076" s="436"/>
      <c r="D3076" s="436"/>
      <c r="E3076" s="436"/>
      <c r="F3076" s="436"/>
      <c r="G3076" s="436"/>
      <c r="H3076" s="436" t="s">
        <v>1740</v>
      </c>
      <c r="I3076" s="447" t="s">
        <v>1792</v>
      </c>
      <c r="J3076" s="436" t="s">
        <v>1742</v>
      </c>
      <c r="K3076" s="448">
        <v>1026.08</v>
      </c>
    </row>
    <row r="3077" customHeight="1" spans="1:11">
      <c r="A3077" s="437"/>
      <c r="B3077" s="437"/>
      <c r="C3077" s="437"/>
      <c r="D3077" s="437"/>
      <c r="E3077" s="437"/>
      <c r="F3077" s="437"/>
      <c r="G3077" s="437"/>
      <c r="H3077" s="437"/>
      <c r="I3077" s="437"/>
      <c r="J3077" s="437"/>
      <c r="K3077" s="437"/>
    </row>
    <row r="3078" customHeight="1" spans="1:11">
      <c r="A3078" s="423" t="s">
        <v>934</v>
      </c>
      <c r="B3078" s="424" t="s">
        <v>1714</v>
      </c>
      <c r="C3078" s="423" t="s">
        <v>1715</v>
      </c>
      <c r="D3078" s="423" t="s">
        <v>1716</v>
      </c>
      <c r="E3078" s="423" t="s">
        <v>1717</v>
      </c>
      <c r="F3078" s="423"/>
      <c r="G3078" s="425" t="s">
        <v>1718</v>
      </c>
      <c r="H3078" s="424" t="s">
        <v>1719</v>
      </c>
      <c r="I3078" s="424" t="s">
        <v>1720</v>
      </c>
      <c r="J3078" s="424" t="s">
        <v>1721</v>
      </c>
      <c r="K3078" s="424" t="s">
        <v>1722</v>
      </c>
    </row>
    <row r="3079" customHeight="1" spans="1:11">
      <c r="A3079" s="426" t="s">
        <v>1723</v>
      </c>
      <c r="B3079" s="427" t="s">
        <v>926</v>
      </c>
      <c r="C3079" s="426" t="s">
        <v>71</v>
      </c>
      <c r="D3079" s="426" t="s">
        <v>927</v>
      </c>
      <c r="E3079" s="426" t="s">
        <v>1636</v>
      </c>
      <c r="F3079" s="426"/>
      <c r="G3079" s="428" t="s">
        <v>105</v>
      </c>
      <c r="H3079" s="429">
        <v>1</v>
      </c>
      <c r="I3079" s="445"/>
      <c r="J3079" s="445">
        <v>54.97</v>
      </c>
      <c r="K3079" s="445">
        <v>54.97</v>
      </c>
    </row>
    <row r="3080" customHeight="1" spans="1:11">
      <c r="A3080" s="430" t="s">
        <v>1724</v>
      </c>
      <c r="B3080" s="431" t="s">
        <v>2804</v>
      </c>
      <c r="C3080" s="430" t="s">
        <v>71</v>
      </c>
      <c r="D3080" s="430" t="s">
        <v>2805</v>
      </c>
      <c r="E3080" s="430" t="s">
        <v>1636</v>
      </c>
      <c r="F3080" s="430"/>
      <c r="G3080" s="432" t="s">
        <v>105</v>
      </c>
      <c r="H3080" s="433">
        <v>1</v>
      </c>
      <c r="I3080" s="433">
        <v>0</v>
      </c>
      <c r="J3080" s="446">
        <v>12.45</v>
      </c>
      <c r="K3080" s="446">
        <v>12.45</v>
      </c>
    </row>
    <row r="3081" customHeight="1" spans="1:11">
      <c r="A3081" s="430" t="s">
        <v>1724</v>
      </c>
      <c r="B3081" s="431" t="s">
        <v>2806</v>
      </c>
      <c r="C3081" s="430" t="s">
        <v>71</v>
      </c>
      <c r="D3081" s="430" t="s">
        <v>2807</v>
      </c>
      <c r="E3081" s="430" t="s">
        <v>1636</v>
      </c>
      <c r="F3081" s="430"/>
      <c r="G3081" s="432" t="s">
        <v>105</v>
      </c>
      <c r="H3081" s="433">
        <v>1</v>
      </c>
      <c r="I3081" s="433">
        <v>0</v>
      </c>
      <c r="J3081" s="446">
        <v>42.52</v>
      </c>
      <c r="K3081" s="446">
        <v>42.52</v>
      </c>
    </row>
    <row r="3082" customHeight="1" spans="1:11">
      <c r="A3082" s="434"/>
      <c r="B3082" s="434"/>
      <c r="C3082" s="434"/>
      <c r="D3082" s="434"/>
      <c r="E3082" s="434"/>
      <c r="F3082" s="434" t="s">
        <v>1735</v>
      </c>
      <c r="G3082" s="435">
        <v>13.13</v>
      </c>
      <c r="H3082" s="434" t="s">
        <v>1736</v>
      </c>
      <c r="I3082" s="435">
        <v>11.94</v>
      </c>
      <c r="J3082" s="434" t="s">
        <v>1737</v>
      </c>
      <c r="K3082" s="435">
        <v>25.07</v>
      </c>
    </row>
    <row r="3083" customHeight="1" spans="1:11">
      <c r="A3083" s="434"/>
      <c r="B3083" s="434"/>
      <c r="C3083" s="434"/>
      <c r="D3083" s="434"/>
      <c r="E3083" s="434"/>
      <c r="F3083" s="434" t="s">
        <v>1738</v>
      </c>
      <c r="G3083" s="435">
        <v>13.55</v>
      </c>
      <c r="H3083" s="434"/>
      <c r="I3083" s="434" t="s">
        <v>1739</v>
      </c>
      <c r="J3083" s="434"/>
      <c r="K3083" s="435">
        <v>68.52</v>
      </c>
    </row>
    <row r="3084" customHeight="1" spans="1:11">
      <c r="A3084" s="436"/>
      <c r="B3084" s="436"/>
      <c r="C3084" s="436"/>
      <c r="D3084" s="436"/>
      <c r="E3084" s="436"/>
      <c r="F3084" s="436"/>
      <c r="G3084" s="436"/>
      <c r="H3084" s="436" t="s">
        <v>1740</v>
      </c>
      <c r="I3084" s="447" t="s">
        <v>2236</v>
      </c>
      <c r="J3084" s="436" t="s">
        <v>1742</v>
      </c>
      <c r="K3084" s="448">
        <v>342.6</v>
      </c>
    </row>
    <row r="3085" customHeight="1" spans="1:11">
      <c r="A3085" s="437"/>
      <c r="B3085" s="437"/>
      <c r="C3085" s="437"/>
      <c r="D3085" s="437"/>
      <c r="E3085" s="437"/>
      <c r="F3085" s="437"/>
      <c r="G3085" s="437"/>
      <c r="H3085" s="437"/>
      <c r="I3085" s="437"/>
      <c r="J3085" s="437"/>
      <c r="K3085" s="437"/>
    </row>
    <row r="3086" customHeight="1" spans="1:11">
      <c r="A3086" s="423" t="s">
        <v>935</v>
      </c>
      <c r="B3086" s="424" t="s">
        <v>1714</v>
      </c>
      <c r="C3086" s="423" t="s">
        <v>1715</v>
      </c>
      <c r="D3086" s="423" t="s">
        <v>1716</v>
      </c>
      <c r="E3086" s="423" t="s">
        <v>1717</v>
      </c>
      <c r="F3086" s="423"/>
      <c r="G3086" s="425" t="s">
        <v>1718</v>
      </c>
      <c r="H3086" s="424" t="s">
        <v>1719</v>
      </c>
      <c r="I3086" s="424" t="s">
        <v>1720</v>
      </c>
      <c r="J3086" s="424" t="s">
        <v>1721</v>
      </c>
      <c r="K3086" s="424" t="s">
        <v>1722</v>
      </c>
    </row>
    <row r="3087" customHeight="1" spans="1:11">
      <c r="A3087" s="426" t="s">
        <v>1723</v>
      </c>
      <c r="B3087" s="427" t="s">
        <v>936</v>
      </c>
      <c r="C3087" s="426" t="s">
        <v>76</v>
      </c>
      <c r="D3087" s="426" t="s">
        <v>937</v>
      </c>
      <c r="E3087" s="426">
        <v>15</v>
      </c>
      <c r="F3087" s="426"/>
      <c r="G3087" s="428" t="s">
        <v>105</v>
      </c>
      <c r="H3087" s="429">
        <v>1</v>
      </c>
      <c r="I3087" s="445"/>
      <c r="J3087" s="445">
        <v>9.54</v>
      </c>
      <c r="K3087" s="445">
        <v>9.54</v>
      </c>
    </row>
    <row r="3088" customHeight="1" spans="1:11">
      <c r="A3088" s="438" t="s">
        <v>1750</v>
      </c>
      <c r="B3088" s="439" t="s">
        <v>2660</v>
      </c>
      <c r="C3088" s="438" t="s">
        <v>76</v>
      </c>
      <c r="D3088" s="438" t="s">
        <v>2661</v>
      </c>
      <c r="E3088" s="438" t="s">
        <v>1764</v>
      </c>
      <c r="F3088" s="438"/>
      <c r="G3088" s="440" t="s">
        <v>82</v>
      </c>
      <c r="H3088" s="441">
        <v>0.2</v>
      </c>
      <c r="I3088" s="441">
        <v>3</v>
      </c>
      <c r="J3088" s="449">
        <v>26.52</v>
      </c>
      <c r="K3088" s="449">
        <v>5.46</v>
      </c>
    </row>
    <row r="3089" customHeight="1" spans="1:11">
      <c r="A3089" s="438" t="s">
        <v>1750</v>
      </c>
      <c r="B3089" s="439" t="s">
        <v>2812</v>
      </c>
      <c r="C3089" s="438" t="s">
        <v>76</v>
      </c>
      <c r="D3089" s="438" t="s">
        <v>2813</v>
      </c>
      <c r="E3089" s="438" t="s">
        <v>1631</v>
      </c>
      <c r="F3089" s="438"/>
      <c r="G3089" s="440" t="s">
        <v>105</v>
      </c>
      <c r="H3089" s="441">
        <v>1</v>
      </c>
      <c r="I3089" s="441">
        <v>0</v>
      </c>
      <c r="J3089" s="449">
        <v>4.08</v>
      </c>
      <c r="K3089" s="449">
        <v>4.08</v>
      </c>
    </row>
    <row r="3090" customHeight="1" spans="1:11">
      <c r="A3090" s="434"/>
      <c r="B3090" s="434"/>
      <c r="C3090" s="434"/>
      <c r="D3090" s="434"/>
      <c r="E3090" s="434"/>
      <c r="F3090" s="434" t="s">
        <v>1735</v>
      </c>
      <c r="G3090" s="435">
        <v>2.86</v>
      </c>
      <c r="H3090" s="434" t="s">
        <v>1736</v>
      </c>
      <c r="I3090" s="435">
        <v>2.6</v>
      </c>
      <c r="J3090" s="434" t="s">
        <v>1737</v>
      </c>
      <c r="K3090" s="435">
        <v>5.46</v>
      </c>
    </row>
    <row r="3091" customHeight="1" spans="1:11">
      <c r="A3091" s="434"/>
      <c r="B3091" s="434"/>
      <c r="C3091" s="434"/>
      <c r="D3091" s="434"/>
      <c r="E3091" s="434"/>
      <c r="F3091" s="434" t="s">
        <v>1738</v>
      </c>
      <c r="G3091" s="435">
        <v>2.35</v>
      </c>
      <c r="H3091" s="434"/>
      <c r="I3091" s="434" t="s">
        <v>1739</v>
      </c>
      <c r="J3091" s="434"/>
      <c r="K3091" s="435">
        <v>11.89</v>
      </c>
    </row>
    <row r="3092" customHeight="1" spans="1:11">
      <c r="A3092" s="436"/>
      <c r="B3092" s="436"/>
      <c r="C3092" s="436"/>
      <c r="D3092" s="436"/>
      <c r="E3092" s="436"/>
      <c r="F3092" s="436"/>
      <c r="G3092" s="436"/>
      <c r="H3092" s="436" t="s">
        <v>1740</v>
      </c>
      <c r="I3092" s="447" t="s">
        <v>2082</v>
      </c>
      <c r="J3092" s="436" t="s">
        <v>1742</v>
      </c>
      <c r="K3092" s="448">
        <v>1248.45</v>
      </c>
    </row>
    <row r="3093" customHeight="1" spans="1:11">
      <c r="A3093" s="437"/>
      <c r="B3093" s="437"/>
      <c r="C3093" s="437"/>
      <c r="D3093" s="437"/>
      <c r="E3093" s="437"/>
      <c r="F3093" s="437"/>
      <c r="G3093" s="437"/>
      <c r="H3093" s="437"/>
      <c r="I3093" s="437"/>
      <c r="J3093" s="437"/>
      <c r="K3093" s="437"/>
    </row>
    <row r="3094" customHeight="1" spans="1:11">
      <c r="A3094" s="423" t="s">
        <v>938</v>
      </c>
      <c r="B3094" s="424" t="s">
        <v>1714</v>
      </c>
      <c r="C3094" s="423" t="s">
        <v>1715</v>
      </c>
      <c r="D3094" s="423" t="s">
        <v>1716</v>
      </c>
      <c r="E3094" s="423" t="s">
        <v>1717</v>
      </c>
      <c r="F3094" s="423"/>
      <c r="G3094" s="425" t="s">
        <v>1718</v>
      </c>
      <c r="H3094" s="424" t="s">
        <v>1719</v>
      </c>
      <c r="I3094" s="424" t="s">
        <v>1720</v>
      </c>
      <c r="J3094" s="424" t="s">
        <v>1721</v>
      </c>
      <c r="K3094" s="424" t="s">
        <v>1722</v>
      </c>
    </row>
    <row r="3095" customHeight="1" spans="1:11">
      <c r="A3095" s="426" t="s">
        <v>1723</v>
      </c>
      <c r="B3095" s="427" t="s">
        <v>939</v>
      </c>
      <c r="C3095" s="426" t="s">
        <v>76</v>
      </c>
      <c r="D3095" s="426" t="s">
        <v>940</v>
      </c>
      <c r="E3095" s="426">
        <v>15</v>
      </c>
      <c r="F3095" s="426"/>
      <c r="G3095" s="428" t="s">
        <v>105</v>
      </c>
      <c r="H3095" s="429">
        <v>1</v>
      </c>
      <c r="I3095" s="445"/>
      <c r="J3095" s="445">
        <v>11.73</v>
      </c>
      <c r="K3095" s="445">
        <v>11.73</v>
      </c>
    </row>
    <row r="3096" customHeight="1" spans="1:11">
      <c r="A3096" s="438" t="s">
        <v>1750</v>
      </c>
      <c r="B3096" s="439" t="s">
        <v>2660</v>
      </c>
      <c r="C3096" s="438" t="s">
        <v>76</v>
      </c>
      <c r="D3096" s="438" t="s">
        <v>2661</v>
      </c>
      <c r="E3096" s="438" t="s">
        <v>1764</v>
      </c>
      <c r="F3096" s="438"/>
      <c r="G3096" s="440" t="s">
        <v>82</v>
      </c>
      <c r="H3096" s="441">
        <v>0.2</v>
      </c>
      <c r="I3096" s="441">
        <v>3</v>
      </c>
      <c r="J3096" s="449">
        <v>26.52</v>
      </c>
      <c r="K3096" s="449">
        <v>5.46</v>
      </c>
    </row>
    <row r="3097" customHeight="1" spans="1:11">
      <c r="A3097" s="438" t="s">
        <v>1750</v>
      </c>
      <c r="B3097" s="439" t="s">
        <v>2814</v>
      </c>
      <c r="C3097" s="438" t="s">
        <v>76</v>
      </c>
      <c r="D3097" s="438" t="s">
        <v>2815</v>
      </c>
      <c r="E3097" s="438" t="s">
        <v>1631</v>
      </c>
      <c r="F3097" s="438"/>
      <c r="G3097" s="440" t="s">
        <v>105</v>
      </c>
      <c r="H3097" s="441">
        <v>1</v>
      </c>
      <c r="I3097" s="441">
        <v>0</v>
      </c>
      <c r="J3097" s="449">
        <v>6.27</v>
      </c>
      <c r="K3097" s="449">
        <v>6.27</v>
      </c>
    </row>
    <row r="3098" customHeight="1" spans="1:11">
      <c r="A3098" s="434"/>
      <c r="B3098" s="434"/>
      <c r="C3098" s="434"/>
      <c r="D3098" s="434"/>
      <c r="E3098" s="434"/>
      <c r="F3098" s="434" t="s">
        <v>1735</v>
      </c>
      <c r="G3098" s="435">
        <v>2.86</v>
      </c>
      <c r="H3098" s="434" t="s">
        <v>1736</v>
      </c>
      <c r="I3098" s="435">
        <v>2.6</v>
      </c>
      <c r="J3098" s="434" t="s">
        <v>1737</v>
      </c>
      <c r="K3098" s="435">
        <v>5.46</v>
      </c>
    </row>
    <row r="3099" customHeight="1" spans="1:11">
      <c r="A3099" s="434"/>
      <c r="B3099" s="434"/>
      <c r="C3099" s="434"/>
      <c r="D3099" s="434"/>
      <c r="E3099" s="434"/>
      <c r="F3099" s="434" t="s">
        <v>1738</v>
      </c>
      <c r="G3099" s="435">
        <v>2.89</v>
      </c>
      <c r="H3099" s="434"/>
      <c r="I3099" s="434" t="s">
        <v>1739</v>
      </c>
      <c r="J3099" s="434"/>
      <c r="K3099" s="435">
        <v>14.62</v>
      </c>
    </row>
    <row r="3100" customHeight="1" spans="1:11">
      <c r="A3100" s="436"/>
      <c r="B3100" s="436"/>
      <c r="C3100" s="436"/>
      <c r="D3100" s="436"/>
      <c r="E3100" s="436"/>
      <c r="F3100" s="436"/>
      <c r="G3100" s="436"/>
      <c r="H3100" s="436" t="s">
        <v>1740</v>
      </c>
      <c r="I3100" s="447" t="s">
        <v>2310</v>
      </c>
      <c r="J3100" s="436" t="s">
        <v>1742</v>
      </c>
      <c r="K3100" s="448">
        <v>160.82</v>
      </c>
    </row>
    <row r="3101" customHeight="1" spans="1:11">
      <c r="A3101" s="437"/>
      <c r="B3101" s="437"/>
      <c r="C3101" s="437"/>
      <c r="D3101" s="437"/>
      <c r="E3101" s="437"/>
      <c r="F3101" s="437"/>
      <c r="G3101" s="437"/>
      <c r="H3101" s="437"/>
      <c r="I3101" s="437"/>
      <c r="J3101" s="437"/>
      <c r="K3101" s="437"/>
    </row>
    <row r="3102" customHeight="1" spans="1:11">
      <c r="A3102" s="423" t="s">
        <v>941</v>
      </c>
      <c r="B3102" s="424" t="s">
        <v>1714</v>
      </c>
      <c r="C3102" s="423" t="s">
        <v>1715</v>
      </c>
      <c r="D3102" s="423" t="s">
        <v>1716</v>
      </c>
      <c r="E3102" s="423" t="s">
        <v>1717</v>
      </c>
      <c r="F3102" s="423"/>
      <c r="G3102" s="425" t="s">
        <v>1718</v>
      </c>
      <c r="H3102" s="424" t="s">
        <v>1719</v>
      </c>
      <c r="I3102" s="424" t="s">
        <v>1720</v>
      </c>
      <c r="J3102" s="424" t="s">
        <v>1721</v>
      </c>
      <c r="K3102" s="424" t="s">
        <v>1722</v>
      </c>
    </row>
    <row r="3103" customHeight="1" spans="1:11">
      <c r="A3103" s="426" t="s">
        <v>1723</v>
      </c>
      <c r="B3103" s="427" t="s">
        <v>942</v>
      </c>
      <c r="C3103" s="426" t="s">
        <v>71</v>
      </c>
      <c r="D3103" s="426" t="s">
        <v>943</v>
      </c>
      <c r="E3103" s="426" t="s">
        <v>1658</v>
      </c>
      <c r="F3103" s="426"/>
      <c r="G3103" s="428" t="s">
        <v>105</v>
      </c>
      <c r="H3103" s="429">
        <v>1</v>
      </c>
      <c r="I3103" s="445"/>
      <c r="J3103" s="445">
        <v>45</v>
      </c>
      <c r="K3103" s="445">
        <v>45</v>
      </c>
    </row>
    <row r="3104" customHeight="1" spans="1:11">
      <c r="A3104" s="430" t="s">
        <v>1724</v>
      </c>
      <c r="B3104" s="431" t="s">
        <v>2385</v>
      </c>
      <c r="C3104" s="430" t="s">
        <v>71</v>
      </c>
      <c r="D3104" s="430" t="s">
        <v>2386</v>
      </c>
      <c r="E3104" s="430" t="s">
        <v>1708</v>
      </c>
      <c r="F3104" s="430"/>
      <c r="G3104" s="432" t="s">
        <v>82</v>
      </c>
      <c r="H3104" s="433">
        <v>0.4008</v>
      </c>
      <c r="I3104" s="433">
        <v>0</v>
      </c>
      <c r="J3104" s="446">
        <v>30.6</v>
      </c>
      <c r="K3104" s="446">
        <v>12.26</v>
      </c>
    </row>
    <row r="3105" customHeight="1" spans="1:11">
      <c r="A3105" s="430" t="s">
        <v>1724</v>
      </c>
      <c r="B3105" s="431" t="s">
        <v>2387</v>
      </c>
      <c r="C3105" s="430" t="s">
        <v>71</v>
      </c>
      <c r="D3105" s="430" t="s">
        <v>2388</v>
      </c>
      <c r="E3105" s="430" t="s">
        <v>1708</v>
      </c>
      <c r="F3105" s="430"/>
      <c r="G3105" s="432" t="s">
        <v>82</v>
      </c>
      <c r="H3105" s="433">
        <v>0.4008</v>
      </c>
      <c r="I3105" s="433">
        <v>0</v>
      </c>
      <c r="J3105" s="446">
        <v>36.82</v>
      </c>
      <c r="K3105" s="446">
        <v>14.75</v>
      </c>
    </row>
    <row r="3106" customHeight="1" spans="1:11">
      <c r="A3106" s="438" t="s">
        <v>1750</v>
      </c>
      <c r="B3106" s="439" t="s">
        <v>2816</v>
      </c>
      <c r="C3106" s="438" t="s">
        <v>71</v>
      </c>
      <c r="D3106" s="438" t="s">
        <v>2817</v>
      </c>
      <c r="E3106" s="438" t="s">
        <v>1631</v>
      </c>
      <c r="F3106" s="438"/>
      <c r="G3106" s="440" t="s">
        <v>105</v>
      </c>
      <c r="H3106" s="441">
        <v>2</v>
      </c>
      <c r="I3106" s="441">
        <v>0</v>
      </c>
      <c r="J3106" s="449">
        <v>0.26</v>
      </c>
      <c r="K3106" s="449">
        <v>0.52</v>
      </c>
    </row>
    <row r="3107" customHeight="1" spans="1:11">
      <c r="A3107" s="438" t="s">
        <v>1750</v>
      </c>
      <c r="B3107" s="439" t="s">
        <v>2818</v>
      </c>
      <c r="C3107" s="438" t="s">
        <v>71</v>
      </c>
      <c r="D3107" s="438" t="s">
        <v>2819</v>
      </c>
      <c r="E3107" s="438" t="s">
        <v>1631</v>
      </c>
      <c r="F3107" s="438"/>
      <c r="G3107" s="440" t="s">
        <v>105</v>
      </c>
      <c r="H3107" s="441">
        <v>1</v>
      </c>
      <c r="I3107" s="441">
        <v>0</v>
      </c>
      <c r="J3107" s="449">
        <v>17.47</v>
      </c>
      <c r="K3107" s="449">
        <v>17.47</v>
      </c>
    </row>
    <row r="3108" customHeight="1" spans="1:11">
      <c r="A3108" s="434"/>
      <c r="B3108" s="434"/>
      <c r="C3108" s="434"/>
      <c r="D3108" s="434"/>
      <c r="E3108" s="434"/>
      <c r="F3108" s="434" t="s">
        <v>1735</v>
      </c>
      <c r="G3108" s="435">
        <v>9.93</v>
      </c>
      <c r="H3108" s="434" t="s">
        <v>1736</v>
      </c>
      <c r="I3108" s="435">
        <v>9.02</v>
      </c>
      <c r="J3108" s="434" t="s">
        <v>1737</v>
      </c>
      <c r="K3108" s="435">
        <v>18.95</v>
      </c>
    </row>
    <row r="3109" customHeight="1" spans="1:11">
      <c r="A3109" s="434"/>
      <c r="B3109" s="434"/>
      <c r="C3109" s="434"/>
      <c r="D3109" s="434"/>
      <c r="E3109" s="434"/>
      <c r="F3109" s="434" t="s">
        <v>1738</v>
      </c>
      <c r="G3109" s="435">
        <v>11.09</v>
      </c>
      <c r="H3109" s="434"/>
      <c r="I3109" s="434" t="s">
        <v>1739</v>
      </c>
      <c r="J3109" s="434"/>
      <c r="K3109" s="435">
        <v>56.09</v>
      </c>
    </row>
    <row r="3110" customHeight="1" spans="1:11">
      <c r="A3110" s="436"/>
      <c r="B3110" s="436"/>
      <c r="C3110" s="436"/>
      <c r="D3110" s="436"/>
      <c r="E3110" s="436"/>
      <c r="F3110" s="436"/>
      <c r="G3110" s="436"/>
      <c r="H3110" s="436" t="s">
        <v>1740</v>
      </c>
      <c r="I3110" s="447" t="s">
        <v>2820</v>
      </c>
      <c r="J3110" s="436" t="s">
        <v>1742</v>
      </c>
      <c r="K3110" s="448">
        <v>11049.73</v>
      </c>
    </row>
    <row r="3111" customHeight="1" spans="1:11">
      <c r="A3111" s="437"/>
      <c r="B3111" s="437"/>
      <c r="C3111" s="437"/>
      <c r="D3111" s="437"/>
      <c r="E3111" s="437"/>
      <c r="F3111" s="437"/>
      <c r="G3111" s="437"/>
      <c r="H3111" s="437"/>
      <c r="I3111" s="437"/>
      <c r="J3111" s="437"/>
      <c r="K3111" s="437"/>
    </row>
    <row r="3112" customHeight="1" spans="1:11">
      <c r="A3112" s="422" t="s">
        <v>944</v>
      </c>
      <c r="B3112" s="422"/>
      <c r="C3112" s="422"/>
      <c r="D3112" s="422" t="s">
        <v>945</v>
      </c>
      <c r="E3112" s="422"/>
      <c r="F3112" s="422"/>
      <c r="G3112" s="422"/>
      <c r="H3112" s="422"/>
      <c r="I3112" s="443"/>
      <c r="J3112" s="422"/>
      <c r="K3112" s="444">
        <v>118377.93</v>
      </c>
    </row>
    <row r="3113" customHeight="1" spans="1:11">
      <c r="A3113" s="423" t="s">
        <v>946</v>
      </c>
      <c r="B3113" s="424" t="s">
        <v>1714</v>
      </c>
      <c r="C3113" s="423" t="s">
        <v>1715</v>
      </c>
      <c r="D3113" s="423" t="s">
        <v>1716</v>
      </c>
      <c r="E3113" s="423" t="s">
        <v>1717</v>
      </c>
      <c r="F3113" s="423"/>
      <c r="G3113" s="425" t="s">
        <v>1718</v>
      </c>
      <c r="H3113" s="424" t="s">
        <v>1719</v>
      </c>
      <c r="I3113" s="424" t="s">
        <v>1720</v>
      </c>
      <c r="J3113" s="424" t="s">
        <v>1721</v>
      </c>
      <c r="K3113" s="424" t="s">
        <v>1722</v>
      </c>
    </row>
    <row r="3114" customHeight="1" spans="1:11">
      <c r="A3114" s="426" t="s">
        <v>1723</v>
      </c>
      <c r="B3114" s="427" t="s">
        <v>947</v>
      </c>
      <c r="C3114" s="426" t="s">
        <v>76</v>
      </c>
      <c r="D3114" s="426" t="s">
        <v>948</v>
      </c>
      <c r="E3114" s="426">
        <v>15</v>
      </c>
      <c r="F3114" s="426"/>
      <c r="G3114" s="428" t="s">
        <v>105</v>
      </c>
      <c r="H3114" s="429">
        <v>1</v>
      </c>
      <c r="I3114" s="445"/>
      <c r="J3114" s="445">
        <v>397.94</v>
      </c>
      <c r="K3114" s="445">
        <v>397.94</v>
      </c>
    </row>
    <row r="3115" customHeight="1" spans="1:11">
      <c r="A3115" s="438" t="s">
        <v>1750</v>
      </c>
      <c r="B3115" s="439" t="s">
        <v>2821</v>
      </c>
      <c r="C3115" s="438" t="s">
        <v>76</v>
      </c>
      <c r="D3115" s="438" t="s">
        <v>2822</v>
      </c>
      <c r="E3115" s="438" t="s">
        <v>1631</v>
      </c>
      <c r="F3115" s="438"/>
      <c r="G3115" s="440" t="s">
        <v>105</v>
      </c>
      <c r="H3115" s="441">
        <v>1</v>
      </c>
      <c r="I3115" s="441">
        <v>0</v>
      </c>
      <c r="J3115" s="449">
        <v>303.85</v>
      </c>
      <c r="K3115" s="449">
        <v>303.85</v>
      </c>
    </row>
    <row r="3116" customHeight="1" spans="1:11">
      <c r="A3116" s="438" t="s">
        <v>1750</v>
      </c>
      <c r="B3116" s="439" t="s">
        <v>1767</v>
      </c>
      <c r="C3116" s="438" t="s">
        <v>76</v>
      </c>
      <c r="D3116" s="438" t="s">
        <v>1768</v>
      </c>
      <c r="E3116" s="438" t="s">
        <v>1764</v>
      </c>
      <c r="F3116" s="438"/>
      <c r="G3116" s="440" t="s">
        <v>82</v>
      </c>
      <c r="H3116" s="441">
        <v>2</v>
      </c>
      <c r="I3116" s="441">
        <v>3</v>
      </c>
      <c r="J3116" s="449">
        <v>19.16</v>
      </c>
      <c r="K3116" s="449">
        <v>39.46</v>
      </c>
    </row>
    <row r="3117" customHeight="1" spans="1:11">
      <c r="A3117" s="438" t="s">
        <v>1750</v>
      </c>
      <c r="B3117" s="439" t="s">
        <v>2660</v>
      </c>
      <c r="C3117" s="438" t="s">
        <v>76</v>
      </c>
      <c r="D3117" s="438" t="s">
        <v>2661</v>
      </c>
      <c r="E3117" s="438" t="s">
        <v>1764</v>
      </c>
      <c r="F3117" s="438"/>
      <c r="G3117" s="440" t="s">
        <v>82</v>
      </c>
      <c r="H3117" s="441">
        <v>2</v>
      </c>
      <c r="I3117" s="441">
        <v>3</v>
      </c>
      <c r="J3117" s="449">
        <v>26.52</v>
      </c>
      <c r="K3117" s="449">
        <v>54.63</v>
      </c>
    </row>
    <row r="3118" customHeight="1" spans="1:11">
      <c r="A3118" s="434"/>
      <c r="B3118" s="434"/>
      <c r="C3118" s="434"/>
      <c r="D3118" s="434"/>
      <c r="E3118" s="434"/>
      <c r="F3118" s="434" t="s">
        <v>1735</v>
      </c>
      <c r="G3118" s="435">
        <v>49.3</v>
      </c>
      <c r="H3118" s="434" t="s">
        <v>1736</v>
      </c>
      <c r="I3118" s="435">
        <v>44.79</v>
      </c>
      <c r="J3118" s="434" t="s">
        <v>1737</v>
      </c>
      <c r="K3118" s="435">
        <v>94.09</v>
      </c>
    </row>
    <row r="3119" customHeight="1" spans="1:11">
      <c r="A3119" s="434"/>
      <c r="B3119" s="434"/>
      <c r="C3119" s="434"/>
      <c r="D3119" s="434"/>
      <c r="E3119" s="434"/>
      <c r="F3119" s="434" t="s">
        <v>1738</v>
      </c>
      <c r="G3119" s="435">
        <v>98.13</v>
      </c>
      <c r="H3119" s="434"/>
      <c r="I3119" s="434" t="s">
        <v>1739</v>
      </c>
      <c r="J3119" s="434"/>
      <c r="K3119" s="435">
        <v>496.07</v>
      </c>
    </row>
    <row r="3120" customHeight="1" spans="1:11">
      <c r="A3120" s="436"/>
      <c r="B3120" s="436"/>
      <c r="C3120" s="436"/>
      <c r="D3120" s="436"/>
      <c r="E3120" s="436"/>
      <c r="F3120" s="436"/>
      <c r="G3120" s="436"/>
      <c r="H3120" s="436" t="s">
        <v>1740</v>
      </c>
      <c r="I3120" s="447" t="s">
        <v>2306</v>
      </c>
      <c r="J3120" s="436" t="s">
        <v>1742</v>
      </c>
      <c r="K3120" s="448">
        <v>4464.63</v>
      </c>
    </row>
    <row r="3121" customHeight="1" spans="1:11">
      <c r="A3121" s="437"/>
      <c r="B3121" s="437"/>
      <c r="C3121" s="437"/>
      <c r="D3121" s="437"/>
      <c r="E3121" s="437"/>
      <c r="F3121" s="437"/>
      <c r="G3121" s="437"/>
      <c r="H3121" s="437"/>
      <c r="I3121" s="437"/>
      <c r="J3121" s="437"/>
      <c r="K3121" s="437"/>
    </row>
    <row r="3122" customHeight="1" spans="1:11">
      <c r="A3122" s="423" t="s">
        <v>949</v>
      </c>
      <c r="B3122" s="424" t="s">
        <v>1714</v>
      </c>
      <c r="C3122" s="423" t="s">
        <v>1715</v>
      </c>
      <c r="D3122" s="423" t="s">
        <v>1716</v>
      </c>
      <c r="E3122" s="423" t="s">
        <v>1717</v>
      </c>
      <c r="F3122" s="423"/>
      <c r="G3122" s="425" t="s">
        <v>1718</v>
      </c>
      <c r="H3122" s="424" t="s">
        <v>1719</v>
      </c>
      <c r="I3122" s="424" t="s">
        <v>1720</v>
      </c>
      <c r="J3122" s="424" t="s">
        <v>1721</v>
      </c>
      <c r="K3122" s="424" t="s">
        <v>1722</v>
      </c>
    </row>
    <row r="3123" customHeight="1" spans="1:11">
      <c r="A3123" s="426" t="s">
        <v>1723</v>
      </c>
      <c r="B3123" s="427" t="s">
        <v>950</v>
      </c>
      <c r="C3123" s="426" t="s">
        <v>76</v>
      </c>
      <c r="D3123" s="426" t="s">
        <v>951</v>
      </c>
      <c r="E3123" s="426">
        <v>14</v>
      </c>
      <c r="F3123" s="426"/>
      <c r="G3123" s="428" t="s">
        <v>105</v>
      </c>
      <c r="H3123" s="429">
        <v>1</v>
      </c>
      <c r="I3123" s="445"/>
      <c r="J3123" s="445">
        <v>47.71</v>
      </c>
      <c r="K3123" s="445">
        <v>47.71</v>
      </c>
    </row>
    <row r="3124" customHeight="1" spans="1:11">
      <c r="A3124" s="438" t="s">
        <v>1750</v>
      </c>
      <c r="B3124" s="439" t="s">
        <v>2149</v>
      </c>
      <c r="C3124" s="438" t="s">
        <v>76</v>
      </c>
      <c r="D3124" s="438" t="s">
        <v>2150</v>
      </c>
      <c r="E3124" s="438" t="s">
        <v>1764</v>
      </c>
      <c r="F3124" s="438"/>
      <c r="G3124" s="440" t="s">
        <v>82</v>
      </c>
      <c r="H3124" s="441">
        <v>0.4743</v>
      </c>
      <c r="I3124" s="441">
        <v>3</v>
      </c>
      <c r="J3124" s="449">
        <v>26.52</v>
      </c>
      <c r="K3124" s="449">
        <v>12.95</v>
      </c>
    </row>
    <row r="3125" customHeight="1" spans="1:11">
      <c r="A3125" s="438" t="s">
        <v>1750</v>
      </c>
      <c r="B3125" s="439" t="s">
        <v>2823</v>
      </c>
      <c r="C3125" s="438" t="s">
        <v>76</v>
      </c>
      <c r="D3125" s="438" t="s">
        <v>2824</v>
      </c>
      <c r="E3125" s="438" t="s">
        <v>1631</v>
      </c>
      <c r="F3125" s="438"/>
      <c r="G3125" s="440" t="s">
        <v>105</v>
      </c>
      <c r="H3125" s="441">
        <v>3</v>
      </c>
      <c r="I3125" s="441">
        <v>0</v>
      </c>
      <c r="J3125" s="449">
        <v>0.04</v>
      </c>
      <c r="K3125" s="449">
        <v>0.12</v>
      </c>
    </row>
    <row r="3126" customHeight="1" spans="1:11">
      <c r="A3126" s="438" t="s">
        <v>1750</v>
      </c>
      <c r="B3126" s="439" t="s">
        <v>2825</v>
      </c>
      <c r="C3126" s="438" t="s">
        <v>76</v>
      </c>
      <c r="D3126" s="438" t="s">
        <v>2826</v>
      </c>
      <c r="E3126" s="438" t="s">
        <v>1631</v>
      </c>
      <c r="F3126" s="438"/>
      <c r="G3126" s="440" t="s">
        <v>105</v>
      </c>
      <c r="H3126" s="441">
        <v>3</v>
      </c>
      <c r="I3126" s="441">
        <v>0</v>
      </c>
      <c r="J3126" s="449">
        <v>0.3</v>
      </c>
      <c r="K3126" s="449">
        <v>0.9</v>
      </c>
    </row>
    <row r="3127" customHeight="1" spans="1:11">
      <c r="A3127" s="438" t="s">
        <v>1750</v>
      </c>
      <c r="B3127" s="439" t="s">
        <v>1767</v>
      </c>
      <c r="C3127" s="438" t="s">
        <v>76</v>
      </c>
      <c r="D3127" s="438" t="s">
        <v>1768</v>
      </c>
      <c r="E3127" s="438" t="s">
        <v>1764</v>
      </c>
      <c r="F3127" s="438"/>
      <c r="G3127" s="440" t="s">
        <v>82</v>
      </c>
      <c r="H3127" s="441">
        <v>0.1494</v>
      </c>
      <c r="I3127" s="441">
        <v>3</v>
      </c>
      <c r="J3127" s="449">
        <v>19.16</v>
      </c>
      <c r="K3127" s="449">
        <v>2.94</v>
      </c>
    </row>
    <row r="3128" customHeight="1" spans="1:11">
      <c r="A3128" s="438" t="s">
        <v>1750</v>
      </c>
      <c r="B3128" s="439" t="s">
        <v>2827</v>
      </c>
      <c r="C3128" s="438" t="s">
        <v>76</v>
      </c>
      <c r="D3128" s="438" t="s">
        <v>2828</v>
      </c>
      <c r="E3128" s="438" t="s">
        <v>1631</v>
      </c>
      <c r="F3128" s="438"/>
      <c r="G3128" s="440" t="s">
        <v>105</v>
      </c>
      <c r="H3128" s="441">
        <v>1</v>
      </c>
      <c r="I3128" s="441">
        <v>0</v>
      </c>
      <c r="J3128" s="449">
        <v>30.8</v>
      </c>
      <c r="K3128" s="449">
        <v>30.8</v>
      </c>
    </row>
    <row r="3129" customHeight="1" spans="1:11">
      <c r="A3129" s="434"/>
      <c r="B3129" s="434"/>
      <c r="C3129" s="434"/>
      <c r="D3129" s="434"/>
      <c r="E3129" s="434"/>
      <c r="F3129" s="434" t="s">
        <v>1735</v>
      </c>
      <c r="G3129" s="435">
        <v>8.32</v>
      </c>
      <c r="H3129" s="434" t="s">
        <v>1736</v>
      </c>
      <c r="I3129" s="435">
        <v>7.57</v>
      </c>
      <c r="J3129" s="434" t="s">
        <v>1737</v>
      </c>
      <c r="K3129" s="435">
        <v>15.89</v>
      </c>
    </row>
    <row r="3130" customHeight="1" spans="1:11">
      <c r="A3130" s="434"/>
      <c r="B3130" s="434"/>
      <c r="C3130" s="434"/>
      <c r="D3130" s="434"/>
      <c r="E3130" s="434"/>
      <c r="F3130" s="434" t="s">
        <v>1738</v>
      </c>
      <c r="G3130" s="435">
        <v>11.76</v>
      </c>
      <c r="H3130" s="434"/>
      <c r="I3130" s="434" t="s">
        <v>1739</v>
      </c>
      <c r="J3130" s="434"/>
      <c r="K3130" s="435">
        <v>59.47</v>
      </c>
    </row>
    <row r="3131" customHeight="1" spans="1:11">
      <c r="A3131" s="436"/>
      <c r="B3131" s="436"/>
      <c r="C3131" s="436"/>
      <c r="D3131" s="436"/>
      <c r="E3131" s="436"/>
      <c r="F3131" s="436"/>
      <c r="G3131" s="436"/>
      <c r="H3131" s="436" t="s">
        <v>1740</v>
      </c>
      <c r="I3131" s="447" t="s">
        <v>2324</v>
      </c>
      <c r="J3131" s="436" t="s">
        <v>1742</v>
      </c>
      <c r="K3131" s="448">
        <v>237.88</v>
      </c>
    </row>
    <row r="3132" customHeight="1" spans="1:11">
      <c r="A3132" s="437"/>
      <c r="B3132" s="437"/>
      <c r="C3132" s="437"/>
      <c r="D3132" s="437"/>
      <c r="E3132" s="437"/>
      <c r="F3132" s="437"/>
      <c r="G3132" s="437"/>
      <c r="H3132" s="437"/>
      <c r="I3132" s="437"/>
      <c r="J3132" s="437"/>
      <c r="K3132" s="437"/>
    </row>
    <row r="3133" customHeight="1" spans="1:11">
      <c r="A3133" s="423" t="s">
        <v>952</v>
      </c>
      <c r="B3133" s="424" t="s">
        <v>1714</v>
      </c>
      <c r="C3133" s="423" t="s">
        <v>1715</v>
      </c>
      <c r="D3133" s="423" t="s">
        <v>1716</v>
      </c>
      <c r="E3133" s="423" t="s">
        <v>1717</v>
      </c>
      <c r="F3133" s="423"/>
      <c r="G3133" s="425" t="s">
        <v>1718</v>
      </c>
      <c r="H3133" s="424" t="s">
        <v>1719</v>
      </c>
      <c r="I3133" s="424" t="s">
        <v>1720</v>
      </c>
      <c r="J3133" s="424" t="s">
        <v>1721</v>
      </c>
      <c r="K3133" s="424" t="s">
        <v>1722</v>
      </c>
    </row>
    <row r="3134" customHeight="1" spans="1:11">
      <c r="A3134" s="426" t="s">
        <v>1723</v>
      </c>
      <c r="B3134" s="427" t="s">
        <v>953</v>
      </c>
      <c r="C3134" s="426" t="s">
        <v>76</v>
      </c>
      <c r="D3134" s="426" t="s">
        <v>954</v>
      </c>
      <c r="E3134" s="426">
        <v>15</v>
      </c>
      <c r="F3134" s="426"/>
      <c r="G3134" s="428" t="s">
        <v>105</v>
      </c>
      <c r="H3134" s="429">
        <v>1</v>
      </c>
      <c r="I3134" s="445"/>
      <c r="J3134" s="445">
        <v>446.68</v>
      </c>
      <c r="K3134" s="445">
        <v>446.68</v>
      </c>
    </row>
    <row r="3135" customHeight="1" spans="1:11">
      <c r="A3135" s="438" t="s">
        <v>1750</v>
      </c>
      <c r="B3135" s="439" t="s">
        <v>2660</v>
      </c>
      <c r="C3135" s="438" t="s">
        <v>76</v>
      </c>
      <c r="D3135" s="438" t="s">
        <v>2661</v>
      </c>
      <c r="E3135" s="438" t="s">
        <v>1764</v>
      </c>
      <c r="F3135" s="438"/>
      <c r="G3135" s="440" t="s">
        <v>82</v>
      </c>
      <c r="H3135" s="441">
        <v>1</v>
      </c>
      <c r="I3135" s="441">
        <v>3</v>
      </c>
      <c r="J3135" s="449">
        <v>26.52</v>
      </c>
      <c r="K3135" s="449">
        <v>27.31</v>
      </c>
    </row>
    <row r="3136" customHeight="1" spans="1:11">
      <c r="A3136" s="438" t="s">
        <v>1750</v>
      </c>
      <c r="B3136" s="439" t="s">
        <v>1767</v>
      </c>
      <c r="C3136" s="438" t="s">
        <v>76</v>
      </c>
      <c r="D3136" s="438" t="s">
        <v>1768</v>
      </c>
      <c r="E3136" s="438" t="s">
        <v>1764</v>
      </c>
      <c r="F3136" s="438"/>
      <c r="G3136" s="440" t="s">
        <v>82</v>
      </c>
      <c r="H3136" s="441">
        <v>1</v>
      </c>
      <c r="I3136" s="441">
        <v>3</v>
      </c>
      <c r="J3136" s="449">
        <v>19.16</v>
      </c>
      <c r="K3136" s="449">
        <v>19.73</v>
      </c>
    </row>
    <row r="3137" customHeight="1" spans="1:11">
      <c r="A3137" s="438" t="s">
        <v>1750</v>
      </c>
      <c r="B3137" s="439" t="s">
        <v>2829</v>
      </c>
      <c r="C3137" s="438" t="s">
        <v>76</v>
      </c>
      <c r="D3137" s="438" t="s">
        <v>2830</v>
      </c>
      <c r="E3137" s="438" t="s">
        <v>1631</v>
      </c>
      <c r="F3137" s="438"/>
      <c r="G3137" s="440" t="s">
        <v>105</v>
      </c>
      <c r="H3137" s="441">
        <v>1</v>
      </c>
      <c r="I3137" s="441">
        <v>0</v>
      </c>
      <c r="J3137" s="449">
        <v>399.64</v>
      </c>
      <c r="K3137" s="449">
        <v>399.64</v>
      </c>
    </row>
    <row r="3138" customHeight="1" spans="1:11">
      <c r="A3138" s="434"/>
      <c r="B3138" s="434"/>
      <c r="C3138" s="434"/>
      <c r="D3138" s="434"/>
      <c r="E3138" s="434"/>
      <c r="F3138" s="434" t="s">
        <v>1735</v>
      </c>
      <c r="G3138" s="435">
        <v>24.65</v>
      </c>
      <c r="H3138" s="434" t="s">
        <v>1736</v>
      </c>
      <c r="I3138" s="435">
        <v>22.39</v>
      </c>
      <c r="J3138" s="434" t="s">
        <v>1737</v>
      </c>
      <c r="K3138" s="435">
        <v>47.04</v>
      </c>
    </row>
    <row r="3139" customHeight="1" spans="1:11">
      <c r="A3139" s="434"/>
      <c r="B3139" s="434"/>
      <c r="C3139" s="434"/>
      <c r="D3139" s="434"/>
      <c r="E3139" s="434"/>
      <c r="F3139" s="434" t="s">
        <v>1738</v>
      </c>
      <c r="G3139" s="435">
        <v>110.15</v>
      </c>
      <c r="H3139" s="434"/>
      <c r="I3139" s="434" t="s">
        <v>1739</v>
      </c>
      <c r="J3139" s="434"/>
      <c r="K3139" s="435">
        <v>556.83</v>
      </c>
    </row>
    <row r="3140" customHeight="1" spans="1:11">
      <c r="A3140" s="436"/>
      <c r="B3140" s="436"/>
      <c r="C3140" s="436"/>
      <c r="D3140" s="436"/>
      <c r="E3140" s="436"/>
      <c r="F3140" s="436"/>
      <c r="G3140" s="436"/>
      <c r="H3140" s="436" t="s">
        <v>1740</v>
      </c>
      <c r="I3140" s="447" t="s">
        <v>2339</v>
      </c>
      <c r="J3140" s="436" t="s">
        <v>1742</v>
      </c>
      <c r="K3140" s="448">
        <v>1670.49</v>
      </c>
    </row>
    <row r="3141" customHeight="1" spans="1:11">
      <c r="A3141" s="437"/>
      <c r="B3141" s="437"/>
      <c r="C3141" s="437"/>
      <c r="D3141" s="437"/>
      <c r="E3141" s="437"/>
      <c r="F3141" s="437"/>
      <c r="G3141" s="437"/>
      <c r="H3141" s="437"/>
      <c r="I3141" s="437"/>
      <c r="J3141" s="437"/>
      <c r="K3141" s="437"/>
    </row>
    <row r="3142" customHeight="1" spans="1:11">
      <c r="A3142" s="423" t="s">
        <v>955</v>
      </c>
      <c r="B3142" s="424" t="s">
        <v>1714</v>
      </c>
      <c r="C3142" s="423" t="s">
        <v>1715</v>
      </c>
      <c r="D3142" s="423" t="s">
        <v>1716</v>
      </c>
      <c r="E3142" s="423" t="s">
        <v>1717</v>
      </c>
      <c r="F3142" s="423"/>
      <c r="G3142" s="425" t="s">
        <v>1718</v>
      </c>
      <c r="H3142" s="424" t="s">
        <v>1719</v>
      </c>
      <c r="I3142" s="424" t="s">
        <v>1720</v>
      </c>
      <c r="J3142" s="424" t="s">
        <v>1721</v>
      </c>
      <c r="K3142" s="424" t="s">
        <v>1722</v>
      </c>
    </row>
    <row r="3143" customHeight="1" spans="1:11">
      <c r="A3143" s="426" t="s">
        <v>1723</v>
      </c>
      <c r="B3143" s="427" t="s">
        <v>956</v>
      </c>
      <c r="C3143" s="426" t="s">
        <v>76</v>
      </c>
      <c r="D3143" s="426" t="s">
        <v>957</v>
      </c>
      <c r="E3143" s="426">
        <v>21</v>
      </c>
      <c r="F3143" s="426"/>
      <c r="G3143" s="428" t="s">
        <v>105</v>
      </c>
      <c r="H3143" s="429">
        <v>1</v>
      </c>
      <c r="I3143" s="445"/>
      <c r="J3143" s="445">
        <v>53.84</v>
      </c>
      <c r="K3143" s="445">
        <v>53.84</v>
      </c>
    </row>
    <row r="3144" customHeight="1" spans="1:11">
      <c r="A3144" s="438" t="s">
        <v>1750</v>
      </c>
      <c r="B3144" s="439" t="s">
        <v>2831</v>
      </c>
      <c r="C3144" s="438" t="s">
        <v>76</v>
      </c>
      <c r="D3144" s="438" t="s">
        <v>2832</v>
      </c>
      <c r="E3144" s="438" t="s">
        <v>1631</v>
      </c>
      <c r="F3144" s="438"/>
      <c r="G3144" s="440" t="s">
        <v>105</v>
      </c>
      <c r="H3144" s="441">
        <v>1</v>
      </c>
      <c r="I3144" s="441">
        <v>0</v>
      </c>
      <c r="J3144" s="449">
        <v>53.84</v>
      </c>
      <c r="K3144" s="449">
        <v>53.84</v>
      </c>
    </row>
    <row r="3145" customHeight="1" spans="1:11">
      <c r="A3145" s="434"/>
      <c r="B3145" s="434"/>
      <c r="C3145" s="434"/>
      <c r="D3145" s="434"/>
      <c r="E3145" s="434"/>
      <c r="F3145" s="434" t="s">
        <v>1735</v>
      </c>
      <c r="G3145" s="435">
        <v>0</v>
      </c>
      <c r="H3145" s="434" t="s">
        <v>1736</v>
      </c>
      <c r="I3145" s="435">
        <v>0</v>
      </c>
      <c r="J3145" s="434" t="s">
        <v>1737</v>
      </c>
      <c r="K3145" s="435">
        <v>0</v>
      </c>
    </row>
    <row r="3146" customHeight="1" spans="1:11">
      <c r="A3146" s="434"/>
      <c r="B3146" s="434"/>
      <c r="C3146" s="434"/>
      <c r="D3146" s="434"/>
      <c r="E3146" s="434"/>
      <c r="F3146" s="434" t="s">
        <v>1738</v>
      </c>
      <c r="G3146" s="435">
        <v>13.27</v>
      </c>
      <c r="H3146" s="434"/>
      <c r="I3146" s="434" t="s">
        <v>1739</v>
      </c>
      <c r="J3146" s="434"/>
      <c r="K3146" s="435">
        <v>67.11</v>
      </c>
    </row>
    <row r="3147" customHeight="1" spans="1:11">
      <c r="A3147" s="436"/>
      <c r="B3147" s="436"/>
      <c r="C3147" s="436"/>
      <c r="D3147" s="436"/>
      <c r="E3147" s="436"/>
      <c r="F3147" s="436"/>
      <c r="G3147" s="436"/>
      <c r="H3147" s="436" t="s">
        <v>1740</v>
      </c>
      <c r="I3147" s="447" t="s">
        <v>2324</v>
      </c>
      <c r="J3147" s="436" t="s">
        <v>1742</v>
      </c>
      <c r="K3147" s="448">
        <v>268.44</v>
      </c>
    </row>
    <row r="3148" customHeight="1" spans="1:11">
      <c r="A3148" s="437"/>
      <c r="B3148" s="437"/>
      <c r="C3148" s="437"/>
      <c r="D3148" s="437"/>
      <c r="E3148" s="437"/>
      <c r="F3148" s="437"/>
      <c r="G3148" s="437"/>
      <c r="H3148" s="437"/>
      <c r="I3148" s="437"/>
      <c r="J3148" s="437"/>
      <c r="K3148" s="437"/>
    </row>
    <row r="3149" customHeight="1" spans="1:11">
      <c r="A3149" s="423" t="s">
        <v>958</v>
      </c>
      <c r="B3149" s="424" t="s">
        <v>1714</v>
      </c>
      <c r="C3149" s="423" t="s">
        <v>1715</v>
      </c>
      <c r="D3149" s="423" t="s">
        <v>1716</v>
      </c>
      <c r="E3149" s="423" t="s">
        <v>1717</v>
      </c>
      <c r="F3149" s="423"/>
      <c r="G3149" s="425" t="s">
        <v>1718</v>
      </c>
      <c r="H3149" s="424" t="s">
        <v>1719</v>
      </c>
      <c r="I3149" s="424" t="s">
        <v>1720</v>
      </c>
      <c r="J3149" s="424" t="s">
        <v>1721</v>
      </c>
      <c r="K3149" s="424" t="s">
        <v>1722</v>
      </c>
    </row>
    <row r="3150" customHeight="1" spans="1:11">
      <c r="A3150" s="426" t="s">
        <v>1723</v>
      </c>
      <c r="B3150" s="427" t="s">
        <v>633</v>
      </c>
      <c r="C3150" s="426" t="s">
        <v>65</v>
      </c>
      <c r="D3150" s="426" t="s">
        <v>634</v>
      </c>
      <c r="E3150" s="426" t="s">
        <v>62</v>
      </c>
      <c r="F3150" s="426"/>
      <c r="G3150" s="428" t="s">
        <v>67</v>
      </c>
      <c r="H3150" s="429">
        <v>1</v>
      </c>
      <c r="I3150" s="445"/>
      <c r="J3150" s="445">
        <v>294.2</v>
      </c>
      <c r="K3150" s="445">
        <v>294.2</v>
      </c>
    </row>
    <row r="3151" customHeight="1" spans="1:11">
      <c r="A3151" s="430" t="s">
        <v>1724</v>
      </c>
      <c r="B3151" s="431" t="s">
        <v>1745</v>
      </c>
      <c r="C3151" s="430" t="s">
        <v>71</v>
      </c>
      <c r="D3151" s="430" t="s">
        <v>1746</v>
      </c>
      <c r="E3151" s="430" t="s">
        <v>1708</v>
      </c>
      <c r="F3151" s="430"/>
      <c r="G3151" s="432" t="s">
        <v>82</v>
      </c>
      <c r="H3151" s="433">
        <v>0.3482</v>
      </c>
      <c r="I3151" s="433">
        <v>0</v>
      </c>
      <c r="J3151" s="446">
        <v>29.15</v>
      </c>
      <c r="K3151" s="446">
        <v>10.15</v>
      </c>
    </row>
    <row r="3152" customHeight="1" spans="1:11">
      <c r="A3152" s="430" t="s">
        <v>1724</v>
      </c>
      <c r="B3152" s="431" t="s">
        <v>1936</v>
      </c>
      <c r="C3152" s="430" t="s">
        <v>71</v>
      </c>
      <c r="D3152" s="430" t="s">
        <v>1937</v>
      </c>
      <c r="E3152" s="430" t="s">
        <v>1708</v>
      </c>
      <c r="F3152" s="430"/>
      <c r="G3152" s="432" t="s">
        <v>82</v>
      </c>
      <c r="H3152" s="433">
        <v>0.3482</v>
      </c>
      <c r="I3152" s="433">
        <v>0</v>
      </c>
      <c r="J3152" s="446">
        <v>36.96</v>
      </c>
      <c r="K3152" s="446">
        <v>12.86</v>
      </c>
    </row>
    <row r="3153" customHeight="1" spans="1:11">
      <c r="A3153" s="438" t="s">
        <v>1750</v>
      </c>
      <c r="B3153" s="439" t="s">
        <v>2478</v>
      </c>
      <c r="C3153" s="438" t="s">
        <v>65</v>
      </c>
      <c r="D3153" s="438" t="s">
        <v>2479</v>
      </c>
      <c r="E3153" s="438" t="s">
        <v>1631</v>
      </c>
      <c r="F3153" s="438"/>
      <c r="G3153" s="440" t="s">
        <v>67</v>
      </c>
      <c r="H3153" s="441">
        <v>1</v>
      </c>
      <c r="I3153" s="441">
        <v>0</v>
      </c>
      <c r="J3153" s="449">
        <v>213.99</v>
      </c>
      <c r="K3153" s="449">
        <v>213.99</v>
      </c>
    </row>
    <row r="3154" customHeight="1" spans="1:11">
      <c r="A3154" s="438" t="s">
        <v>1750</v>
      </c>
      <c r="B3154" s="439" t="s">
        <v>2480</v>
      </c>
      <c r="C3154" s="438" t="s">
        <v>71</v>
      </c>
      <c r="D3154" s="438" t="s">
        <v>2481</v>
      </c>
      <c r="E3154" s="438" t="s">
        <v>1631</v>
      </c>
      <c r="F3154" s="438"/>
      <c r="G3154" s="440" t="s">
        <v>78</v>
      </c>
      <c r="H3154" s="441">
        <v>1</v>
      </c>
      <c r="I3154" s="441">
        <v>0</v>
      </c>
      <c r="J3154" s="449">
        <v>42.1</v>
      </c>
      <c r="K3154" s="449">
        <v>42.1</v>
      </c>
    </row>
    <row r="3155" customHeight="1" spans="1:11">
      <c r="A3155" s="438" t="s">
        <v>1750</v>
      </c>
      <c r="B3155" s="439" t="s">
        <v>2482</v>
      </c>
      <c r="C3155" s="438" t="s">
        <v>71</v>
      </c>
      <c r="D3155" s="438" t="s">
        <v>2483</v>
      </c>
      <c r="E3155" s="438" t="s">
        <v>1631</v>
      </c>
      <c r="F3155" s="438"/>
      <c r="G3155" s="440" t="s">
        <v>158</v>
      </c>
      <c r="H3155" s="441">
        <v>6.5681</v>
      </c>
      <c r="I3155" s="441">
        <v>0</v>
      </c>
      <c r="J3155" s="449">
        <v>2.3</v>
      </c>
      <c r="K3155" s="449">
        <v>15.1</v>
      </c>
    </row>
    <row r="3156" customHeight="1" spans="1:11">
      <c r="A3156" s="434"/>
      <c r="B3156" s="434"/>
      <c r="C3156" s="434"/>
      <c r="D3156" s="434"/>
      <c r="E3156" s="434"/>
      <c r="F3156" s="434" t="s">
        <v>1735</v>
      </c>
      <c r="G3156" s="435">
        <v>8.42</v>
      </c>
      <c r="H3156" s="434" t="s">
        <v>1736</v>
      </c>
      <c r="I3156" s="435">
        <v>7.65</v>
      </c>
      <c r="J3156" s="434" t="s">
        <v>1737</v>
      </c>
      <c r="K3156" s="435">
        <v>16.07</v>
      </c>
    </row>
    <row r="3157" customHeight="1" spans="1:11">
      <c r="A3157" s="434"/>
      <c r="B3157" s="434"/>
      <c r="C3157" s="434"/>
      <c r="D3157" s="434"/>
      <c r="E3157" s="434"/>
      <c r="F3157" s="434" t="s">
        <v>1738</v>
      </c>
      <c r="G3157" s="435">
        <v>72.54</v>
      </c>
      <c r="H3157" s="434"/>
      <c r="I3157" s="434" t="s">
        <v>1739</v>
      </c>
      <c r="J3157" s="434"/>
      <c r="K3157" s="435">
        <v>366.74</v>
      </c>
    </row>
    <row r="3158" customHeight="1" spans="1:11">
      <c r="A3158" s="436"/>
      <c r="B3158" s="436"/>
      <c r="C3158" s="436"/>
      <c r="D3158" s="436"/>
      <c r="E3158" s="436"/>
      <c r="F3158" s="436"/>
      <c r="G3158" s="436"/>
      <c r="H3158" s="436" t="s">
        <v>1740</v>
      </c>
      <c r="I3158" s="447" t="s">
        <v>1964</v>
      </c>
      <c r="J3158" s="436" t="s">
        <v>1742</v>
      </c>
      <c r="K3158" s="448">
        <v>3667.4</v>
      </c>
    </row>
    <row r="3159" customHeight="1" spans="1:11">
      <c r="A3159" s="437"/>
      <c r="B3159" s="437"/>
      <c r="C3159" s="437"/>
      <c r="D3159" s="437"/>
      <c r="E3159" s="437"/>
      <c r="F3159" s="437"/>
      <c r="G3159" s="437"/>
      <c r="H3159" s="437"/>
      <c r="I3159" s="437"/>
      <c r="J3159" s="437"/>
      <c r="K3159" s="437"/>
    </row>
    <row r="3160" customHeight="1" spans="1:11">
      <c r="A3160" s="423" t="s">
        <v>959</v>
      </c>
      <c r="B3160" s="424" t="s">
        <v>1714</v>
      </c>
      <c r="C3160" s="423" t="s">
        <v>1715</v>
      </c>
      <c r="D3160" s="423" t="s">
        <v>1716</v>
      </c>
      <c r="E3160" s="423" t="s">
        <v>1717</v>
      </c>
      <c r="F3160" s="423"/>
      <c r="G3160" s="425" t="s">
        <v>1718</v>
      </c>
      <c r="H3160" s="424" t="s">
        <v>1719</v>
      </c>
      <c r="I3160" s="424" t="s">
        <v>1720</v>
      </c>
      <c r="J3160" s="424" t="s">
        <v>1721</v>
      </c>
      <c r="K3160" s="424" t="s">
        <v>1722</v>
      </c>
    </row>
    <row r="3161" customHeight="1" spans="1:11">
      <c r="A3161" s="426" t="s">
        <v>1723</v>
      </c>
      <c r="B3161" s="427" t="s">
        <v>960</v>
      </c>
      <c r="C3161" s="426" t="s">
        <v>65</v>
      </c>
      <c r="D3161" s="426" t="s">
        <v>961</v>
      </c>
      <c r="E3161" s="426" t="s">
        <v>62</v>
      </c>
      <c r="F3161" s="426"/>
      <c r="G3161" s="428" t="s">
        <v>67</v>
      </c>
      <c r="H3161" s="429">
        <v>1</v>
      </c>
      <c r="I3161" s="445"/>
      <c r="J3161" s="445">
        <v>201.21</v>
      </c>
      <c r="K3161" s="445">
        <v>201.21</v>
      </c>
    </row>
    <row r="3162" customHeight="1" spans="1:11">
      <c r="A3162" s="438" t="s">
        <v>1750</v>
      </c>
      <c r="B3162" s="439" t="s">
        <v>2833</v>
      </c>
      <c r="C3162" s="438" t="s">
        <v>65</v>
      </c>
      <c r="D3162" s="438" t="s">
        <v>2834</v>
      </c>
      <c r="E3162" s="438" t="s">
        <v>1631</v>
      </c>
      <c r="F3162" s="438"/>
      <c r="G3162" s="440" t="s">
        <v>67</v>
      </c>
      <c r="H3162" s="441">
        <v>1</v>
      </c>
      <c r="I3162" s="441">
        <v>0</v>
      </c>
      <c r="J3162" s="449">
        <v>201.21</v>
      </c>
      <c r="K3162" s="449">
        <v>201.21</v>
      </c>
    </row>
    <row r="3163" customHeight="1" spans="1:11">
      <c r="A3163" s="434"/>
      <c r="B3163" s="434"/>
      <c r="C3163" s="434"/>
      <c r="D3163" s="434"/>
      <c r="E3163" s="434"/>
      <c r="F3163" s="434" t="s">
        <v>1735</v>
      </c>
      <c r="G3163" s="435">
        <v>0</v>
      </c>
      <c r="H3163" s="434" t="s">
        <v>1736</v>
      </c>
      <c r="I3163" s="435">
        <v>0</v>
      </c>
      <c r="J3163" s="434" t="s">
        <v>1737</v>
      </c>
      <c r="K3163" s="435">
        <v>0</v>
      </c>
    </row>
    <row r="3164" customHeight="1" spans="1:11">
      <c r="A3164" s="434"/>
      <c r="B3164" s="434"/>
      <c r="C3164" s="434"/>
      <c r="D3164" s="434"/>
      <c r="E3164" s="434"/>
      <c r="F3164" s="434" t="s">
        <v>1738</v>
      </c>
      <c r="G3164" s="435">
        <v>49.61</v>
      </c>
      <c r="H3164" s="434"/>
      <c r="I3164" s="434" t="s">
        <v>1739</v>
      </c>
      <c r="J3164" s="434"/>
      <c r="K3164" s="435">
        <v>250.82</v>
      </c>
    </row>
    <row r="3165" customHeight="1" spans="1:11">
      <c r="A3165" s="436"/>
      <c r="B3165" s="436"/>
      <c r="C3165" s="436"/>
      <c r="D3165" s="436"/>
      <c r="E3165" s="436"/>
      <c r="F3165" s="436"/>
      <c r="G3165" s="436"/>
      <c r="H3165" s="436" t="s">
        <v>1740</v>
      </c>
      <c r="I3165" s="447" t="s">
        <v>1971</v>
      </c>
      <c r="J3165" s="436" t="s">
        <v>1742</v>
      </c>
      <c r="K3165" s="448">
        <v>501.64</v>
      </c>
    </row>
    <row r="3166" customHeight="1" spans="1:11">
      <c r="A3166" s="437"/>
      <c r="B3166" s="437"/>
      <c r="C3166" s="437"/>
      <c r="D3166" s="437"/>
      <c r="E3166" s="437"/>
      <c r="F3166" s="437"/>
      <c r="G3166" s="437"/>
      <c r="H3166" s="437"/>
      <c r="I3166" s="437"/>
      <c r="J3166" s="437"/>
      <c r="K3166" s="437"/>
    </row>
    <row r="3167" customHeight="1" spans="1:11">
      <c r="A3167" s="423" t="s">
        <v>962</v>
      </c>
      <c r="B3167" s="424" t="s">
        <v>1714</v>
      </c>
      <c r="C3167" s="423" t="s">
        <v>1715</v>
      </c>
      <c r="D3167" s="423" t="s">
        <v>1716</v>
      </c>
      <c r="E3167" s="423" t="s">
        <v>1717</v>
      </c>
      <c r="F3167" s="423"/>
      <c r="G3167" s="425" t="s">
        <v>1718</v>
      </c>
      <c r="H3167" s="424" t="s">
        <v>1719</v>
      </c>
      <c r="I3167" s="424" t="s">
        <v>1720</v>
      </c>
      <c r="J3167" s="424" t="s">
        <v>1721</v>
      </c>
      <c r="K3167" s="424" t="s">
        <v>1722</v>
      </c>
    </row>
    <row r="3168" customHeight="1" spans="1:11">
      <c r="A3168" s="426" t="s">
        <v>1723</v>
      </c>
      <c r="B3168" s="427" t="s">
        <v>963</v>
      </c>
      <c r="C3168" s="426" t="s">
        <v>65</v>
      </c>
      <c r="D3168" s="426" t="s">
        <v>964</v>
      </c>
      <c r="E3168" s="426" t="s">
        <v>62</v>
      </c>
      <c r="F3168" s="426"/>
      <c r="G3168" s="428" t="s">
        <v>67</v>
      </c>
      <c r="H3168" s="429">
        <v>1</v>
      </c>
      <c r="I3168" s="445"/>
      <c r="J3168" s="445">
        <v>2856.27</v>
      </c>
      <c r="K3168" s="445">
        <v>2856.27</v>
      </c>
    </row>
    <row r="3169" customHeight="1" spans="1:11">
      <c r="A3169" s="430" t="s">
        <v>1724</v>
      </c>
      <c r="B3169" s="431" t="s">
        <v>1936</v>
      </c>
      <c r="C3169" s="430" t="s">
        <v>71</v>
      </c>
      <c r="D3169" s="430" t="s">
        <v>1937</v>
      </c>
      <c r="E3169" s="430" t="s">
        <v>1708</v>
      </c>
      <c r="F3169" s="430"/>
      <c r="G3169" s="432" t="s">
        <v>82</v>
      </c>
      <c r="H3169" s="433">
        <v>1</v>
      </c>
      <c r="I3169" s="433">
        <v>0</v>
      </c>
      <c r="J3169" s="446">
        <v>36.96</v>
      </c>
      <c r="K3169" s="446">
        <v>36.96</v>
      </c>
    </row>
    <row r="3170" customHeight="1" spans="1:11">
      <c r="A3170" s="430" t="s">
        <v>1724</v>
      </c>
      <c r="B3170" s="431" t="s">
        <v>2835</v>
      </c>
      <c r="C3170" s="430" t="s">
        <v>71</v>
      </c>
      <c r="D3170" s="430" t="s">
        <v>2836</v>
      </c>
      <c r="E3170" s="430" t="s">
        <v>1706</v>
      </c>
      <c r="F3170" s="430"/>
      <c r="G3170" s="432" t="s">
        <v>105</v>
      </c>
      <c r="H3170" s="433">
        <v>1</v>
      </c>
      <c r="I3170" s="433">
        <v>0</v>
      </c>
      <c r="J3170" s="446">
        <v>193.84</v>
      </c>
      <c r="K3170" s="446">
        <v>193.84</v>
      </c>
    </row>
    <row r="3171" customHeight="1" spans="1:11">
      <c r="A3171" s="430" t="s">
        <v>1724</v>
      </c>
      <c r="B3171" s="431" t="s">
        <v>2387</v>
      </c>
      <c r="C3171" s="430" t="s">
        <v>71</v>
      </c>
      <c r="D3171" s="430" t="s">
        <v>2388</v>
      </c>
      <c r="E3171" s="430" t="s">
        <v>1708</v>
      </c>
      <c r="F3171" s="430"/>
      <c r="G3171" s="432" t="s">
        <v>82</v>
      </c>
      <c r="H3171" s="433">
        <v>2</v>
      </c>
      <c r="I3171" s="433">
        <v>0</v>
      </c>
      <c r="J3171" s="446">
        <v>36.82</v>
      </c>
      <c r="K3171" s="446">
        <v>73.64</v>
      </c>
    </row>
    <row r="3172" customHeight="1" spans="1:11">
      <c r="A3172" s="430" t="s">
        <v>1724</v>
      </c>
      <c r="B3172" s="431" t="s">
        <v>1745</v>
      </c>
      <c r="C3172" s="430" t="s">
        <v>71</v>
      </c>
      <c r="D3172" s="430" t="s">
        <v>1746</v>
      </c>
      <c r="E3172" s="430" t="s">
        <v>1708</v>
      </c>
      <c r="F3172" s="430"/>
      <c r="G3172" s="432" t="s">
        <v>82</v>
      </c>
      <c r="H3172" s="433">
        <v>3</v>
      </c>
      <c r="I3172" s="433">
        <v>0</v>
      </c>
      <c r="J3172" s="446">
        <v>29.15</v>
      </c>
      <c r="K3172" s="446">
        <v>87.45</v>
      </c>
    </row>
    <row r="3173" customHeight="1" spans="1:11">
      <c r="A3173" s="438" t="s">
        <v>1750</v>
      </c>
      <c r="B3173" s="439" t="s">
        <v>2117</v>
      </c>
      <c r="C3173" s="438" t="s">
        <v>71</v>
      </c>
      <c r="D3173" s="438" t="s">
        <v>2118</v>
      </c>
      <c r="E3173" s="438" t="s">
        <v>1631</v>
      </c>
      <c r="F3173" s="438"/>
      <c r="G3173" s="440" t="s">
        <v>158</v>
      </c>
      <c r="H3173" s="441">
        <v>3</v>
      </c>
      <c r="I3173" s="441">
        <v>0</v>
      </c>
      <c r="J3173" s="449">
        <v>0.64</v>
      </c>
      <c r="K3173" s="449">
        <v>1.92</v>
      </c>
    </row>
    <row r="3174" customHeight="1" spans="1:11">
      <c r="A3174" s="438" t="s">
        <v>1750</v>
      </c>
      <c r="B3174" s="439" t="s">
        <v>2113</v>
      </c>
      <c r="C3174" s="438" t="s">
        <v>71</v>
      </c>
      <c r="D3174" s="438" t="s">
        <v>2114</v>
      </c>
      <c r="E3174" s="438" t="s">
        <v>1631</v>
      </c>
      <c r="F3174" s="438"/>
      <c r="G3174" s="440" t="s">
        <v>129</v>
      </c>
      <c r="H3174" s="441">
        <v>0.027</v>
      </c>
      <c r="I3174" s="441">
        <v>0</v>
      </c>
      <c r="J3174" s="449">
        <v>91.17</v>
      </c>
      <c r="K3174" s="449">
        <v>2.46</v>
      </c>
    </row>
    <row r="3175" customHeight="1" spans="1:11">
      <c r="A3175" s="438" t="s">
        <v>1750</v>
      </c>
      <c r="B3175" s="439" t="s">
        <v>2837</v>
      </c>
      <c r="C3175" s="438" t="s">
        <v>76</v>
      </c>
      <c r="D3175" s="438" t="s">
        <v>2838</v>
      </c>
      <c r="E3175" s="438" t="s">
        <v>1631</v>
      </c>
      <c r="F3175" s="438"/>
      <c r="G3175" s="440" t="s">
        <v>105</v>
      </c>
      <c r="H3175" s="441">
        <v>1</v>
      </c>
      <c r="I3175" s="441">
        <v>0</v>
      </c>
      <c r="J3175" s="449">
        <v>2460</v>
      </c>
      <c r="K3175" s="449">
        <v>2460</v>
      </c>
    </row>
    <row r="3176" customHeight="1" spans="1:11">
      <c r="A3176" s="434"/>
      <c r="B3176" s="434"/>
      <c r="C3176" s="434"/>
      <c r="D3176" s="434"/>
      <c r="E3176" s="434"/>
      <c r="F3176" s="434" t="s">
        <v>1735</v>
      </c>
      <c r="G3176" s="435">
        <v>122.2</v>
      </c>
      <c r="H3176" s="434" t="s">
        <v>1736</v>
      </c>
      <c r="I3176" s="435">
        <v>111.01</v>
      </c>
      <c r="J3176" s="434" t="s">
        <v>1737</v>
      </c>
      <c r="K3176" s="435">
        <v>233.21</v>
      </c>
    </row>
    <row r="3177" customHeight="1" spans="1:11">
      <c r="A3177" s="434"/>
      <c r="B3177" s="434"/>
      <c r="C3177" s="434"/>
      <c r="D3177" s="434"/>
      <c r="E3177" s="434"/>
      <c r="F3177" s="434" t="s">
        <v>1738</v>
      </c>
      <c r="G3177" s="435">
        <v>704.35</v>
      </c>
      <c r="H3177" s="434"/>
      <c r="I3177" s="434" t="s">
        <v>1739</v>
      </c>
      <c r="J3177" s="434"/>
      <c r="K3177" s="435">
        <v>3560.62</v>
      </c>
    </row>
    <row r="3178" customHeight="1" spans="1:11">
      <c r="A3178" s="436"/>
      <c r="B3178" s="436"/>
      <c r="C3178" s="436"/>
      <c r="D3178" s="436"/>
      <c r="E3178" s="436"/>
      <c r="F3178" s="436"/>
      <c r="G3178" s="436"/>
      <c r="H3178" s="436" t="s">
        <v>1740</v>
      </c>
      <c r="I3178" s="447" t="s">
        <v>2352</v>
      </c>
      <c r="J3178" s="436" t="s">
        <v>1742</v>
      </c>
      <c r="K3178" s="448">
        <v>67651.78</v>
      </c>
    </row>
    <row r="3179" customHeight="1" spans="1:11">
      <c r="A3179" s="437"/>
      <c r="B3179" s="437"/>
      <c r="C3179" s="437"/>
      <c r="D3179" s="437"/>
      <c r="E3179" s="437"/>
      <c r="F3179" s="437"/>
      <c r="G3179" s="437"/>
      <c r="H3179" s="437"/>
      <c r="I3179" s="437"/>
      <c r="J3179" s="437"/>
      <c r="K3179" s="437"/>
    </row>
    <row r="3180" customHeight="1" spans="1:11">
      <c r="A3180" s="423" t="s">
        <v>965</v>
      </c>
      <c r="B3180" s="424" t="s">
        <v>1714</v>
      </c>
      <c r="C3180" s="423" t="s">
        <v>1715</v>
      </c>
      <c r="D3180" s="423" t="s">
        <v>1716</v>
      </c>
      <c r="E3180" s="423" t="s">
        <v>1717</v>
      </c>
      <c r="F3180" s="423"/>
      <c r="G3180" s="425" t="s">
        <v>1718</v>
      </c>
      <c r="H3180" s="424" t="s">
        <v>1719</v>
      </c>
      <c r="I3180" s="424" t="s">
        <v>1720</v>
      </c>
      <c r="J3180" s="424" t="s">
        <v>1721</v>
      </c>
      <c r="K3180" s="424" t="s">
        <v>1722</v>
      </c>
    </row>
    <row r="3181" customHeight="1" spans="1:11">
      <c r="A3181" s="426" t="s">
        <v>1723</v>
      </c>
      <c r="B3181" s="427" t="s">
        <v>966</v>
      </c>
      <c r="C3181" s="426" t="s">
        <v>71</v>
      </c>
      <c r="D3181" s="426" t="s">
        <v>967</v>
      </c>
      <c r="E3181" s="426" t="s">
        <v>1697</v>
      </c>
      <c r="F3181" s="426"/>
      <c r="G3181" s="428" t="s">
        <v>105</v>
      </c>
      <c r="H3181" s="429">
        <v>1</v>
      </c>
      <c r="I3181" s="445"/>
      <c r="J3181" s="445">
        <v>91.34</v>
      </c>
      <c r="K3181" s="445">
        <v>91.34</v>
      </c>
    </row>
    <row r="3182" customHeight="1" spans="1:11">
      <c r="A3182" s="430" t="s">
        <v>1724</v>
      </c>
      <c r="B3182" s="431" t="s">
        <v>2387</v>
      </c>
      <c r="C3182" s="430" t="s">
        <v>71</v>
      </c>
      <c r="D3182" s="430" t="s">
        <v>2388</v>
      </c>
      <c r="E3182" s="430" t="s">
        <v>1708</v>
      </c>
      <c r="F3182" s="430"/>
      <c r="G3182" s="432" t="s">
        <v>82</v>
      </c>
      <c r="H3182" s="433">
        <v>0.0619</v>
      </c>
      <c r="I3182" s="433">
        <v>0</v>
      </c>
      <c r="J3182" s="446">
        <v>36.82</v>
      </c>
      <c r="K3182" s="446">
        <v>2.27</v>
      </c>
    </row>
    <row r="3183" customHeight="1" spans="1:11">
      <c r="A3183" s="430" t="s">
        <v>1724</v>
      </c>
      <c r="B3183" s="431" t="s">
        <v>2385</v>
      </c>
      <c r="C3183" s="430" t="s">
        <v>71</v>
      </c>
      <c r="D3183" s="430" t="s">
        <v>2386</v>
      </c>
      <c r="E3183" s="430" t="s">
        <v>1708</v>
      </c>
      <c r="F3183" s="430"/>
      <c r="G3183" s="432" t="s">
        <v>82</v>
      </c>
      <c r="H3183" s="433">
        <v>0.0068771</v>
      </c>
      <c r="I3183" s="433">
        <v>0</v>
      </c>
      <c r="J3183" s="446">
        <v>30.6</v>
      </c>
      <c r="K3183" s="446">
        <v>0.21</v>
      </c>
    </row>
    <row r="3184" customHeight="1" spans="1:11">
      <c r="A3184" s="438" t="s">
        <v>1750</v>
      </c>
      <c r="B3184" s="439" t="s">
        <v>2839</v>
      </c>
      <c r="C3184" s="438" t="s">
        <v>71</v>
      </c>
      <c r="D3184" s="438" t="s">
        <v>2840</v>
      </c>
      <c r="E3184" s="438" t="s">
        <v>1631</v>
      </c>
      <c r="F3184" s="438"/>
      <c r="G3184" s="440" t="s">
        <v>105</v>
      </c>
      <c r="H3184" s="441">
        <v>1</v>
      </c>
      <c r="I3184" s="441">
        <v>0</v>
      </c>
      <c r="J3184" s="449">
        <v>88.86</v>
      </c>
      <c r="K3184" s="449">
        <v>88.86</v>
      </c>
    </row>
    <row r="3185" customHeight="1" spans="1:11">
      <c r="A3185" s="434"/>
      <c r="B3185" s="434"/>
      <c r="C3185" s="434"/>
      <c r="D3185" s="434"/>
      <c r="E3185" s="434"/>
      <c r="F3185" s="434" t="s">
        <v>1735</v>
      </c>
      <c r="G3185" s="435">
        <v>0.93</v>
      </c>
      <c r="H3185" s="434" t="s">
        <v>1736</v>
      </c>
      <c r="I3185" s="435">
        <v>0.86</v>
      </c>
      <c r="J3185" s="434" t="s">
        <v>1737</v>
      </c>
      <c r="K3185" s="435">
        <v>1.79</v>
      </c>
    </row>
    <row r="3186" customHeight="1" spans="1:11">
      <c r="A3186" s="434"/>
      <c r="B3186" s="434"/>
      <c r="C3186" s="434"/>
      <c r="D3186" s="434"/>
      <c r="E3186" s="434"/>
      <c r="F3186" s="434" t="s">
        <v>1738</v>
      </c>
      <c r="G3186" s="435">
        <v>22.52</v>
      </c>
      <c r="H3186" s="434"/>
      <c r="I3186" s="434" t="s">
        <v>1739</v>
      </c>
      <c r="J3186" s="434"/>
      <c r="K3186" s="435">
        <v>113.86</v>
      </c>
    </row>
    <row r="3187" customHeight="1" spans="1:11">
      <c r="A3187" s="436"/>
      <c r="B3187" s="436"/>
      <c r="C3187" s="436"/>
      <c r="D3187" s="436"/>
      <c r="E3187" s="436"/>
      <c r="F3187" s="436"/>
      <c r="G3187" s="436"/>
      <c r="H3187" s="436" t="s">
        <v>1740</v>
      </c>
      <c r="I3187" s="447" t="s">
        <v>2020</v>
      </c>
      <c r="J3187" s="436" t="s">
        <v>1742</v>
      </c>
      <c r="K3187" s="448">
        <v>1366.32</v>
      </c>
    </row>
    <row r="3188" customHeight="1" spans="1:11">
      <c r="A3188" s="437"/>
      <c r="B3188" s="437"/>
      <c r="C3188" s="437"/>
      <c r="D3188" s="437"/>
      <c r="E3188" s="437"/>
      <c r="F3188" s="437"/>
      <c r="G3188" s="437"/>
      <c r="H3188" s="437"/>
      <c r="I3188" s="437"/>
      <c r="J3188" s="437"/>
      <c r="K3188" s="437"/>
    </row>
    <row r="3189" customHeight="1" spans="1:11">
      <c r="A3189" s="423" t="s">
        <v>968</v>
      </c>
      <c r="B3189" s="424" t="s">
        <v>1714</v>
      </c>
      <c r="C3189" s="423" t="s">
        <v>1715</v>
      </c>
      <c r="D3189" s="423" t="s">
        <v>1716</v>
      </c>
      <c r="E3189" s="423" t="s">
        <v>1717</v>
      </c>
      <c r="F3189" s="423"/>
      <c r="G3189" s="425" t="s">
        <v>1718</v>
      </c>
      <c r="H3189" s="424" t="s">
        <v>1719</v>
      </c>
      <c r="I3189" s="424" t="s">
        <v>1720</v>
      </c>
      <c r="J3189" s="424" t="s">
        <v>1721</v>
      </c>
      <c r="K3189" s="424" t="s">
        <v>1722</v>
      </c>
    </row>
    <row r="3190" customHeight="1" spans="1:11">
      <c r="A3190" s="426" t="s">
        <v>1723</v>
      </c>
      <c r="B3190" s="427" t="s">
        <v>969</v>
      </c>
      <c r="C3190" s="426" t="s">
        <v>99</v>
      </c>
      <c r="D3190" s="426" t="s">
        <v>970</v>
      </c>
      <c r="E3190" s="426" t="s">
        <v>1679</v>
      </c>
      <c r="F3190" s="426"/>
      <c r="G3190" s="428" t="s">
        <v>105</v>
      </c>
      <c r="H3190" s="429">
        <v>1</v>
      </c>
      <c r="I3190" s="445"/>
      <c r="J3190" s="445">
        <v>197.4</v>
      </c>
      <c r="K3190" s="445">
        <v>197.4</v>
      </c>
    </row>
    <row r="3191" customHeight="1" spans="1:11">
      <c r="A3191" s="438" t="s">
        <v>1750</v>
      </c>
      <c r="B3191" s="439" t="s">
        <v>1832</v>
      </c>
      <c r="C3191" s="438" t="s">
        <v>99</v>
      </c>
      <c r="D3191" s="438" t="s">
        <v>1833</v>
      </c>
      <c r="E3191" s="438" t="s">
        <v>1764</v>
      </c>
      <c r="F3191" s="438"/>
      <c r="G3191" s="440" t="s">
        <v>82</v>
      </c>
      <c r="H3191" s="441">
        <v>1.2</v>
      </c>
      <c r="I3191" s="441">
        <v>0</v>
      </c>
      <c r="J3191" s="449">
        <v>26.928256</v>
      </c>
      <c r="K3191" s="449">
        <v>32.31</v>
      </c>
    </row>
    <row r="3192" customHeight="1" spans="1:11">
      <c r="A3192" s="438" t="s">
        <v>1750</v>
      </c>
      <c r="B3192" s="439" t="s">
        <v>2841</v>
      </c>
      <c r="C3192" s="438" t="s">
        <v>99</v>
      </c>
      <c r="D3192" s="438" t="s">
        <v>2842</v>
      </c>
      <c r="E3192" s="438" t="s">
        <v>1631</v>
      </c>
      <c r="F3192" s="438"/>
      <c r="G3192" s="440" t="s">
        <v>105</v>
      </c>
      <c r="H3192" s="441">
        <v>1</v>
      </c>
      <c r="I3192" s="441">
        <v>0</v>
      </c>
      <c r="J3192" s="449">
        <v>140.34</v>
      </c>
      <c r="K3192" s="449">
        <v>140.34</v>
      </c>
    </row>
    <row r="3193" customHeight="1" spans="1:11">
      <c r="A3193" s="438" t="s">
        <v>1750</v>
      </c>
      <c r="B3193" s="439" t="s">
        <v>1830</v>
      </c>
      <c r="C3193" s="438" t="s">
        <v>99</v>
      </c>
      <c r="D3193" s="438" t="s">
        <v>1831</v>
      </c>
      <c r="E3193" s="438" t="s">
        <v>1631</v>
      </c>
      <c r="F3193" s="438"/>
      <c r="G3193" s="440" t="s">
        <v>78</v>
      </c>
      <c r="H3193" s="441">
        <v>0.2</v>
      </c>
      <c r="I3193" s="441">
        <v>0</v>
      </c>
      <c r="J3193" s="449">
        <v>0.73</v>
      </c>
      <c r="K3193" s="449">
        <v>0.14</v>
      </c>
    </row>
    <row r="3194" customHeight="1" spans="1:11">
      <c r="A3194" s="438" t="s">
        <v>1750</v>
      </c>
      <c r="B3194" s="439" t="s">
        <v>1824</v>
      </c>
      <c r="C3194" s="438" t="s">
        <v>99</v>
      </c>
      <c r="D3194" s="438" t="s">
        <v>1825</v>
      </c>
      <c r="E3194" s="438" t="s">
        <v>1764</v>
      </c>
      <c r="F3194" s="438"/>
      <c r="G3194" s="440" t="s">
        <v>82</v>
      </c>
      <c r="H3194" s="441">
        <v>1.2</v>
      </c>
      <c r="I3194" s="441">
        <v>0</v>
      </c>
      <c r="J3194" s="449">
        <v>20.515752</v>
      </c>
      <c r="K3194" s="449">
        <v>24.61</v>
      </c>
    </row>
    <row r="3195" customHeight="1" spans="1:11">
      <c r="A3195" s="434"/>
      <c r="B3195" s="434"/>
      <c r="C3195" s="434"/>
      <c r="D3195" s="434"/>
      <c r="E3195" s="434"/>
      <c r="F3195" s="434" t="s">
        <v>1735</v>
      </c>
      <c r="G3195" s="435">
        <v>29.82</v>
      </c>
      <c r="H3195" s="434" t="s">
        <v>1736</v>
      </c>
      <c r="I3195" s="435">
        <v>27.1</v>
      </c>
      <c r="J3195" s="434" t="s">
        <v>1737</v>
      </c>
      <c r="K3195" s="435">
        <v>56.92</v>
      </c>
    </row>
    <row r="3196" customHeight="1" spans="1:11">
      <c r="A3196" s="434"/>
      <c r="B3196" s="434"/>
      <c r="C3196" s="434"/>
      <c r="D3196" s="434"/>
      <c r="E3196" s="434"/>
      <c r="F3196" s="434" t="s">
        <v>1738</v>
      </c>
      <c r="G3196" s="435">
        <v>48.67</v>
      </c>
      <c r="H3196" s="434"/>
      <c r="I3196" s="434" t="s">
        <v>1739</v>
      </c>
      <c r="J3196" s="434"/>
      <c r="K3196" s="435">
        <v>246.07</v>
      </c>
    </row>
    <row r="3197" customHeight="1" spans="1:11">
      <c r="A3197" s="436"/>
      <c r="B3197" s="436"/>
      <c r="C3197" s="436"/>
      <c r="D3197" s="436"/>
      <c r="E3197" s="436"/>
      <c r="F3197" s="436"/>
      <c r="G3197" s="436"/>
      <c r="H3197" s="436" t="s">
        <v>1740</v>
      </c>
      <c r="I3197" s="447" t="s">
        <v>1792</v>
      </c>
      <c r="J3197" s="436" t="s">
        <v>1742</v>
      </c>
      <c r="K3197" s="448">
        <v>3937.12</v>
      </c>
    </row>
    <row r="3198" customHeight="1" spans="1:11">
      <c r="A3198" s="437"/>
      <c r="B3198" s="437"/>
      <c r="C3198" s="437"/>
      <c r="D3198" s="437"/>
      <c r="E3198" s="437"/>
      <c r="F3198" s="437"/>
      <c r="G3198" s="437"/>
      <c r="H3198" s="437"/>
      <c r="I3198" s="437"/>
      <c r="J3198" s="437"/>
      <c r="K3198" s="437"/>
    </row>
    <row r="3199" customHeight="1" spans="1:11">
      <c r="A3199" s="423" t="s">
        <v>971</v>
      </c>
      <c r="B3199" s="424" t="s">
        <v>1714</v>
      </c>
      <c r="C3199" s="423" t="s">
        <v>1715</v>
      </c>
      <c r="D3199" s="423" t="s">
        <v>1716</v>
      </c>
      <c r="E3199" s="423" t="s">
        <v>1717</v>
      </c>
      <c r="F3199" s="423"/>
      <c r="G3199" s="425" t="s">
        <v>1718</v>
      </c>
      <c r="H3199" s="424" t="s">
        <v>1719</v>
      </c>
      <c r="I3199" s="424" t="s">
        <v>1720</v>
      </c>
      <c r="J3199" s="424" t="s">
        <v>1721</v>
      </c>
      <c r="K3199" s="424" t="s">
        <v>1722</v>
      </c>
    </row>
    <row r="3200" customHeight="1" spans="1:11">
      <c r="A3200" s="426" t="s">
        <v>1723</v>
      </c>
      <c r="B3200" s="427" t="s">
        <v>972</v>
      </c>
      <c r="C3200" s="426" t="s">
        <v>99</v>
      </c>
      <c r="D3200" s="426" t="s">
        <v>973</v>
      </c>
      <c r="E3200" s="426" t="s">
        <v>1699</v>
      </c>
      <c r="F3200" s="426"/>
      <c r="G3200" s="428" t="s">
        <v>105</v>
      </c>
      <c r="H3200" s="429">
        <v>1</v>
      </c>
      <c r="I3200" s="445"/>
      <c r="J3200" s="445">
        <v>356.69</v>
      </c>
      <c r="K3200" s="445">
        <v>356.69</v>
      </c>
    </row>
    <row r="3201" customHeight="1" spans="1:11">
      <c r="A3201" s="438" t="s">
        <v>1750</v>
      </c>
      <c r="B3201" s="439" t="s">
        <v>2841</v>
      </c>
      <c r="C3201" s="438" t="s">
        <v>99</v>
      </c>
      <c r="D3201" s="438" t="s">
        <v>2842</v>
      </c>
      <c r="E3201" s="438" t="s">
        <v>1631</v>
      </c>
      <c r="F3201" s="438"/>
      <c r="G3201" s="440" t="s">
        <v>105</v>
      </c>
      <c r="H3201" s="441">
        <v>2</v>
      </c>
      <c r="I3201" s="441">
        <v>0</v>
      </c>
      <c r="J3201" s="449">
        <v>140.34</v>
      </c>
      <c r="K3201" s="449">
        <v>280.68</v>
      </c>
    </row>
    <row r="3202" customHeight="1" spans="1:11">
      <c r="A3202" s="438" t="s">
        <v>1750</v>
      </c>
      <c r="B3202" s="439" t="s">
        <v>1832</v>
      </c>
      <c r="C3202" s="438" t="s">
        <v>99</v>
      </c>
      <c r="D3202" s="438" t="s">
        <v>1833</v>
      </c>
      <c r="E3202" s="438" t="s">
        <v>1764</v>
      </c>
      <c r="F3202" s="438"/>
      <c r="G3202" s="440" t="s">
        <v>82</v>
      </c>
      <c r="H3202" s="441">
        <v>1.6</v>
      </c>
      <c r="I3202" s="441">
        <v>0</v>
      </c>
      <c r="J3202" s="449">
        <v>26.928256</v>
      </c>
      <c r="K3202" s="449">
        <v>43.08</v>
      </c>
    </row>
    <row r="3203" customHeight="1" spans="1:11">
      <c r="A3203" s="438" t="s">
        <v>1750</v>
      </c>
      <c r="B3203" s="439" t="s">
        <v>1824</v>
      </c>
      <c r="C3203" s="438" t="s">
        <v>99</v>
      </c>
      <c r="D3203" s="438" t="s">
        <v>1825</v>
      </c>
      <c r="E3203" s="438" t="s">
        <v>1764</v>
      </c>
      <c r="F3203" s="438"/>
      <c r="G3203" s="440" t="s">
        <v>82</v>
      </c>
      <c r="H3203" s="441">
        <v>1.6</v>
      </c>
      <c r="I3203" s="441">
        <v>0</v>
      </c>
      <c r="J3203" s="449">
        <v>20.515752</v>
      </c>
      <c r="K3203" s="449">
        <v>32.82</v>
      </c>
    </row>
    <row r="3204" customHeight="1" spans="1:11">
      <c r="A3204" s="438" t="s">
        <v>1750</v>
      </c>
      <c r="B3204" s="439" t="s">
        <v>1830</v>
      </c>
      <c r="C3204" s="438" t="s">
        <v>99</v>
      </c>
      <c r="D3204" s="438" t="s">
        <v>1831</v>
      </c>
      <c r="E3204" s="438" t="s">
        <v>1631</v>
      </c>
      <c r="F3204" s="438"/>
      <c r="G3204" s="440" t="s">
        <v>78</v>
      </c>
      <c r="H3204" s="441">
        <v>0.16</v>
      </c>
      <c r="I3204" s="441">
        <v>0</v>
      </c>
      <c r="J3204" s="449">
        <v>0.73</v>
      </c>
      <c r="K3204" s="449">
        <v>0.11</v>
      </c>
    </row>
    <row r="3205" customHeight="1" spans="1:11">
      <c r="A3205" s="434"/>
      <c r="B3205" s="434"/>
      <c r="C3205" s="434"/>
      <c r="D3205" s="434"/>
      <c r="E3205" s="434"/>
      <c r="F3205" s="434" t="s">
        <v>1735</v>
      </c>
      <c r="G3205" s="435">
        <v>39.77</v>
      </c>
      <c r="H3205" s="434" t="s">
        <v>1736</v>
      </c>
      <c r="I3205" s="435">
        <v>36.13</v>
      </c>
      <c r="J3205" s="434" t="s">
        <v>1737</v>
      </c>
      <c r="K3205" s="435">
        <v>75.9</v>
      </c>
    </row>
    <row r="3206" customHeight="1" spans="1:11">
      <c r="A3206" s="434"/>
      <c r="B3206" s="434"/>
      <c r="C3206" s="434"/>
      <c r="D3206" s="434"/>
      <c r="E3206" s="434"/>
      <c r="F3206" s="434" t="s">
        <v>1738</v>
      </c>
      <c r="G3206" s="435">
        <v>87.95</v>
      </c>
      <c r="H3206" s="434"/>
      <c r="I3206" s="434" t="s">
        <v>1739</v>
      </c>
      <c r="J3206" s="434"/>
      <c r="K3206" s="435">
        <v>444.64</v>
      </c>
    </row>
    <row r="3207" customHeight="1" spans="1:11">
      <c r="A3207" s="436"/>
      <c r="B3207" s="436"/>
      <c r="C3207" s="436"/>
      <c r="D3207" s="436"/>
      <c r="E3207" s="436"/>
      <c r="F3207" s="436"/>
      <c r="G3207" s="436"/>
      <c r="H3207" s="436" t="s">
        <v>1740</v>
      </c>
      <c r="I3207" s="447" t="s">
        <v>2339</v>
      </c>
      <c r="J3207" s="436" t="s">
        <v>1742</v>
      </c>
      <c r="K3207" s="448">
        <v>1333.92</v>
      </c>
    </row>
    <row r="3208" customHeight="1" spans="1:11">
      <c r="A3208" s="437"/>
      <c r="B3208" s="437"/>
      <c r="C3208" s="437"/>
      <c r="D3208" s="437"/>
      <c r="E3208" s="437"/>
      <c r="F3208" s="437"/>
      <c r="G3208" s="437"/>
      <c r="H3208" s="437"/>
      <c r="I3208" s="437"/>
      <c r="J3208" s="437"/>
      <c r="K3208" s="437"/>
    </row>
    <row r="3209" customHeight="1" spans="1:11">
      <c r="A3209" s="423" t="s">
        <v>974</v>
      </c>
      <c r="B3209" s="424" t="s">
        <v>1714</v>
      </c>
      <c r="C3209" s="423" t="s">
        <v>1715</v>
      </c>
      <c r="D3209" s="423" t="s">
        <v>1716</v>
      </c>
      <c r="E3209" s="423" t="s">
        <v>1717</v>
      </c>
      <c r="F3209" s="423"/>
      <c r="G3209" s="425" t="s">
        <v>1718</v>
      </c>
      <c r="H3209" s="424" t="s">
        <v>1719</v>
      </c>
      <c r="I3209" s="424" t="s">
        <v>1720</v>
      </c>
      <c r="J3209" s="424" t="s">
        <v>1721</v>
      </c>
      <c r="K3209" s="424" t="s">
        <v>1722</v>
      </c>
    </row>
    <row r="3210" customHeight="1" spans="1:11">
      <c r="A3210" s="426" t="s">
        <v>1723</v>
      </c>
      <c r="B3210" s="427" t="s">
        <v>975</v>
      </c>
      <c r="C3210" s="426" t="s">
        <v>512</v>
      </c>
      <c r="D3210" s="426" t="s">
        <v>976</v>
      </c>
      <c r="E3210" s="426" t="s">
        <v>1645</v>
      </c>
      <c r="F3210" s="426"/>
      <c r="G3210" s="428" t="s">
        <v>67</v>
      </c>
      <c r="H3210" s="429">
        <v>1</v>
      </c>
      <c r="I3210" s="445"/>
      <c r="J3210" s="445">
        <v>6016.85</v>
      </c>
      <c r="K3210" s="445">
        <v>6016.85</v>
      </c>
    </row>
    <row r="3211" customHeight="1" spans="1:11">
      <c r="A3211" s="438" t="s">
        <v>1750</v>
      </c>
      <c r="B3211" s="439" t="s">
        <v>2843</v>
      </c>
      <c r="C3211" s="438" t="s">
        <v>512</v>
      </c>
      <c r="D3211" s="438" t="s">
        <v>2844</v>
      </c>
      <c r="E3211" s="438" t="s">
        <v>1764</v>
      </c>
      <c r="F3211" s="438"/>
      <c r="G3211" s="440" t="s">
        <v>2367</v>
      </c>
      <c r="H3211" s="441">
        <v>20</v>
      </c>
      <c r="I3211" s="441">
        <v>0</v>
      </c>
      <c r="J3211" s="449">
        <v>22.95</v>
      </c>
      <c r="K3211" s="449">
        <v>459</v>
      </c>
    </row>
    <row r="3212" customHeight="1" spans="1:11">
      <c r="A3212" s="438" t="s">
        <v>1750</v>
      </c>
      <c r="B3212" s="439" t="s">
        <v>2845</v>
      </c>
      <c r="C3212" s="438" t="s">
        <v>512</v>
      </c>
      <c r="D3212" s="438" t="s">
        <v>2846</v>
      </c>
      <c r="E3212" s="438" t="s">
        <v>1631</v>
      </c>
      <c r="F3212" s="438"/>
      <c r="G3212" s="440" t="s">
        <v>2847</v>
      </c>
      <c r="H3212" s="441">
        <v>25</v>
      </c>
      <c r="I3212" s="441">
        <v>0</v>
      </c>
      <c r="J3212" s="449">
        <v>0.62</v>
      </c>
      <c r="K3212" s="449">
        <v>15.5</v>
      </c>
    </row>
    <row r="3213" customHeight="1" spans="1:11">
      <c r="A3213" s="438" t="s">
        <v>1750</v>
      </c>
      <c r="B3213" s="439" t="s">
        <v>2848</v>
      </c>
      <c r="C3213" s="438" t="s">
        <v>512</v>
      </c>
      <c r="D3213" s="438" t="s">
        <v>2849</v>
      </c>
      <c r="E3213" s="438" t="s">
        <v>1631</v>
      </c>
      <c r="F3213" s="438"/>
      <c r="G3213" s="440" t="s">
        <v>129</v>
      </c>
      <c r="H3213" s="441">
        <v>0.125</v>
      </c>
      <c r="I3213" s="441">
        <v>0</v>
      </c>
      <c r="J3213" s="449">
        <v>94.4</v>
      </c>
      <c r="K3213" s="449">
        <v>11.8</v>
      </c>
    </row>
    <row r="3214" customHeight="1" spans="1:11">
      <c r="A3214" s="438" t="s">
        <v>1750</v>
      </c>
      <c r="B3214" s="439" t="s">
        <v>2370</v>
      </c>
      <c r="C3214" s="438" t="s">
        <v>512</v>
      </c>
      <c r="D3214" s="438" t="s">
        <v>2371</v>
      </c>
      <c r="E3214" s="438" t="s">
        <v>2372</v>
      </c>
      <c r="F3214" s="438"/>
      <c r="G3214" s="440" t="s">
        <v>1617</v>
      </c>
      <c r="H3214" s="441">
        <v>459</v>
      </c>
      <c r="I3214" s="441">
        <v>3</v>
      </c>
      <c r="J3214" s="449">
        <v>1</v>
      </c>
      <c r="K3214" s="449">
        <v>13.77</v>
      </c>
    </row>
    <row r="3215" customHeight="1" spans="1:11">
      <c r="A3215" s="438" t="s">
        <v>1750</v>
      </c>
      <c r="B3215" s="439" t="s">
        <v>2850</v>
      </c>
      <c r="C3215" s="438" t="s">
        <v>512</v>
      </c>
      <c r="D3215" s="438" t="s">
        <v>2851</v>
      </c>
      <c r="E3215" s="438" t="s">
        <v>1631</v>
      </c>
      <c r="F3215" s="438"/>
      <c r="G3215" s="440" t="s">
        <v>129</v>
      </c>
      <c r="H3215" s="441">
        <v>0.125</v>
      </c>
      <c r="I3215" s="441">
        <v>0</v>
      </c>
      <c r="J3215" s="449">
        <v>134.27</v>
      </c>
      <c r="K3215" s="449">
        <v>16.78</v>
      </c>
    </row>
    <row r="3216" customHeight="1" spans="1:11">
      <c r="A3216" s="438" t="s">
        <v>1750</v>
      </c>
      <c r="B3216" s="439" t="s">
        <v>2852</v>
      </c>
      <c r="C3216" s="438" t="s">
        <v>512</v>
      </c>
      <c r="D3216" s="438" t="s">
        <v>2853</v>
      </c>
      <c r="E3216" s="438" t="s">
        <v>1631</v>
      </c>
      <c r="F3216" s="438"/>
      <c r="G3216" s="440" t="s">
        <v>67</v>
      </c>
      <c r="H3216" s="441">
        <v>1</v>
      </c>
      <c r="I3216" s="441">
        <v>0</v>
      </c>
      <c r="J3216" s="449">
        <v>5500</v>
      </c>
      <c r="K3216" s="449">
        <v>5500</v>
      </c>
    </row>
    <row r="3217" customHeight="1" spans="1:11">
      <c r="A3217" s="434"/>
      <c r="B3217" s="434"/>
      <c r="C3217" s="434"/>
      <c r="D3217" s="434"/>
      <c r="E3217" s="434"/>
      <c r="F3217" s="434" t="s">
        <v>1735</v>
      </c>
      <c r="G3217" s="435">
        <v>240.52</v>
      </c>
      <c r="H3217" s="434" t="s">
        <v>1736</v>
      </c>
      <c r="I3217" s="435">
        <v>218.48</v>
      </c>
      <c r="J3217" s="434" t="s">
        <v>1737</v>
      </c>
      <c r="K3217" s="435">
        <v>459</v>
      </c>
    </row>
    <row r="3218" customHeight="1" spans="1:11">
      <c r="A3218" s="434"/>
      <c r="B3218" s="434"/>
      <c r="C3218" s="434"/>
      <c r="D3218" s="434"/>
      <c r="E3218" s="434"/>
      <c r="F3218" s="434" t="s">
        <v>1738</v>
      </c>
      <c r="G3218" s="435">
        <v>1483.75</v>
      </c>
      <c r="H3218" s="434"/>
      <c r="I3218" s="434" t="s">
        <v>1739</v>
      </c>
      <c r="J3218" s="434"/>
      <c r="K3218" s="435">
        <v>7500.6</v>
      </c>
    </row>
    <row r="3219" customHeight="1" spans="1:11">
      <c r="A3219" s="436"/>
      <c r="B3219" s="436"/>
      <c r="C3219" s="436"/>
      <c r="D3219" s="436"/>
      <c r="E3219" s="436"/>
      <c r="F3219" s="436"/>
      <c r="G3219" s="436"/>
      <c r="H3219" s="436" t="s">
        <v>1740</v>
      </c>
      <c r="I3219" s="447" t="s">
        <v>2339</v>
      </c>
      <c r="J3219" s="436" t="s">
        <v>1742</v>
      </c>
      <c r="K3219" s="448">
        <v>22501.8</v>
      </c>
    </row>
    <row r="3220" customHeight="1" spans="1:11">
      <c r="A3220" s="437"/>
      <c r="B3220" s="437"/>
      <c r="C3220" s="437"/>
      <c r="D3220" s="437"/>
      <c r="E3220" s="437"/>
      <c r="F3220" s="437"/>
      <c r="G3220" s="437"/>
      <c r="H3220" s="437"/>
      <c r="I3220" s="437"/>
      <c r="J3220" s="437"/>
      <c r="K3220" s="437"/>
    </row>
    <row r="3221" customHeight="1" spans="1:11">
      <c r="A3221" s="423" t="s">
        <v>977</v>
      </c>
      <c r="B3221" s="424" t="s">
        <v>1714</v>
      </c>
      <c r="C3221" s="423" t="s">
        <v>1715</v>
      </c>
      <c r="D3221" s="423" t="s">
        <v>1716</v>
      </c>
      <c r="E3221" s="423" t="s">
        <v>1717</v>
      </c>
      <c r="F3221" s="423"/>
      <c r="G3221" s="425" t="s">
        <v>1718</v>
      </c>
      <c r="H3221" s="424" t="s">
        <v>1719</v>
      </c>
      <c r="I3221" s="424" t="s">
        <v>1720</v>
      </c>
      <c r="J3221" s="424" t="s">
        <v>1721</v>
      </c>
      <c r="K3221" s="424" t="s">
        <v>1722</v>
      </c>
    </row>
    <row r="3222" customHeight="1" spans="1:11">
      <c r="A3222" s="426" t="s">
        <v>1723</v>
      </c>
      <c r="B3222" s="427" t="s">
        <v>978</v>
      </c>
      <c r="C3222" s="426" t="s">
        <v>512</v>
      </c>
      <c r="D3222" s="426" t="s">
        <v>979</v>
      </c>
      <c r="E3222" s="426" t="s">
        <v>1648</v>
      </c>
      <c r="F3222" s="426"/>
      <c r="G3222" s="428" t="s">
        <v>67</v>
      </c>
      <c r="H3222" s="429">
        <v>1</v>
      </c>
      <c r="I3222" s="445"/>
      <c r="J3222" s="445">
        <v>309.53</v>
      </c>
      <c r="K3222" s="445">
        <v>309.53</v>
      </c>
    </row>
    <row r="3223" customHeight="1" spans="1:11">
      <c r="A3223" s="438" t="s">
        <v>1750</v>
      </c>
      <c r="B3223" s="439" t="s">
        <v>2373</v>
      </c>
      <c r="C3223" s="438" t="s">
        <v>512</v>
      </c>
      <c r="D3223" s="438" t="s">
        <v>2374</v>
      </c>
      <c r="E3223" s="438" t="s">
        <v>1764</v>
      </c>
      <c r="F3223" s="438"/>
      <c r="G3223" s="440" t="s">
        <v>2367</v>
      </c>
      <c r="H3223" s="441">
        <v>2</v>
      </c>
      <c r="I3223" s="441">
        <v>0</v>
      </c>
      <c r="J3223" s="449">
        <v>23.89</v>
      </c>
      <c r="K3223" s="449">
        <v>47.78</v>
      </c>
    </row>
    <row r="3224" customHeight="1" spans="1:11">
      <c r="A3224" s="438" t="s">
        <v>1750</v>
      </c>
      <c r="B3224" s="439" t="s">
        <v>2673</v>
      </c>
      <c r="C3224" s="438" t="s">
        <v>512</v>
      </c>
      <c r="D3224" s="438" t="s">
        <v>2674</v>
      </c>
      <c r="E3224" s="438" t="s">
        <v>1764</v>
      </c>
      <c r="F3224" s="438"/>
      <c r="G3224" s="440" t="s">
        <v>2367</v>
      </c>
      <c r="H3224" s="441">
        <v>2</v>
      </c>
      <c r="I3224" s="441">
        <v>0</v>
      </c>
      <c r="J3224" s="449">
        <v>30.57</v>
      </c>
      <c r="K3224" s="449">
        <v>61.14</v>
      </c>
    </row>
    <row r="3225" customHeight="1" spans="1:11">
      <c r="A3225" s="438" t="s">
        <v>1750</v>
      </c>
      <c r="B3225" s="439" t="s">
        <v>2854</v>
      </c>
      <c r="C3225" s="438" t="s">
        <v>512</v>
      </c>
      <c r="D3225" s="438" t="s">
        <v>2855</v>
      </c>
      <c r="E3225" s="438" t="s">
        <v>1631</v>
      </c>
      <c r="F3225" s="438"/>
      <c r="G3225" s="440" t="s">
        <v>67</v>
      </c>
      <c r="H3225" s="441">
        <v>1</v>
      </c>
      <c r="I3225" s="441">
        <v>0</v>
      </c>
      <c r="J3225" s="449">
        <v>197.35</v>
      </c>
      <c r="K3225" s="449">
        <v>197.35</v>
      </c>
    </row>
    <row r="3226" customHeight="1" spans="1:11">
      <c r="A3226" s="438" t="s">
        <v>1750</v>
      </c>
      <c r="B3226" s="439" t="s">
        <v>2370</v>
      </c>
      <c r="C3226" s="438" t="s">
        <v>512</v>
      </c>
      <c r="D3226" s="438" t="s">
        <v>2371</v>
      </c>
      <c r="E3226" s="438" t="s">
        <v>2372</v>
      </c>
      <c r="F3226" s="438"/>
      <c r="G3226" s="440" t="s">
        <v>1617</v>
      </c>
      <c r="H3226" s="441">
        <v>108.92</v>
      </c>
      <c r="I3226" s="441">
        <v>3</v>
      </c>
      <c r="J3226" s="449">
        <v>1</v>
      </c>
      <c r="K3226" s="449">
        <v>3.26</v>
      </c>
    </row>
    <row r="3227" customHeight="1" spans="1:11">
      <c r="A3227" s="434"/>
      <c r="B3227" s="434"/>
      <c r="C3227" s="434"/>
      <c r="D3227" s="434"/>
      <c r="E3227" s="434"/>
      <c r="F3227" s="434" t="s">
        <v>1735</v>
      </c>
      <c r="G3227" s="435">
        <v>57.07</v>
      </c>
      <c r="H3227" s="434" t="s">
        <v>1736</v>
      </c>
      <c r="I3227" s="435">
        <v>51.85</v>
      </c>
      <c r="J3227" s="434" t="s">
        <v>1737</v>
      </c>
      <c r="K3227" s="435">
        <v>108.92</v>
      </c>
    </row>
    <row r="3228" customHeight="1" spans="1:11">
      <c r="A3228" s="434"/>
      <c r="B3228" s="434"/>
      <c r="C3228" s="434"/>
      <c r="D3228" s="434"/>
      <c r="E3228" s="434"/>
      <c r="F3228" s="434" t="s">
        <v>1738</v>
      </c>
      <c r="G3228" s="435">
        <v>76.33</v>
      </c>
      <c r="H3228" s="434"/>
      <c r="I3228" s="434" t="s">
        <v>1739</v>
      </c>
      <c r="J3228" s="434"/>
      <c r="K3228" s="435">
        <v>385.86</v>
      </c>
    </row>
    <row r="3229" customHeight="1" spans="1:11">
      <c r="A3229" s="436"/>
      <c r="B3229" s="436"/>
      <c r="C3229" s="436"/>
      <c r="D3229" s="436"/>
      <c r="E3229" s="436"/>
      <c r="F3229" s="436"/>
      <c r="G3229" s="436"/>
      <c r="H3229" s="436" t="s">
        <v>1740</v>
      </c>
      <c r="I3229" s="447" t="s">
        <v>2339</v>
      </c>
      <c r="J3229" s="436" t="s">
        <v>1742</v>
      </c>
      <c r="K3229" s="448">
        <v>1157.58</v>
      </c>
    </row>
    <row r="3230" customHeight="1" spans="1:11">
      <c r="A3230" s="437"/>
      <c r="B3230" s="437"/>
      <c r="C3230" s="437"/>
      <c r="D3230" s="437"/>
      <c r="E3230" s="437"/>
      <c r="F3230" s="437"/>
      <c r="G3230" s="437"/>
      <c r="H3230" s="437"/>
      <c r="I3230" s="437"/>
      <c r="J3230" s="437"/>
      <c r="K3230" s="437"/>
    </row>
    <row r="3231" customHeight="1" spans="1:11">
      <c r="A3231" s="423" t="s">
        <v>980</v>
      </c>
      <c r="B3231" s="424" t="s">
        <v>1714</v>
      </c>
      <c r="C3231" s="423" t="s">
        <v>1715</v>
      </c>
      <c r="D3231" s="423" t="s">
        <v>1716</v>
      </c>
      <c r="E3231" s="423" t="s">
        <v>1717</v>
      </c>
      <c r="F3231" s="423"/>
      <c r="G3231" s="425" t="s">
        <v>1718</v>
      </c>
      <c r="H3231" s="424" t="s">
        <v>1719</v>
      </c>
      <c r="I3231" s="424" t="s">
        <v>1720</v>
      </c>
      <c r="J3231" s="424" t="s">
        <v>1721</v>
      </c>
      <c r="K3231" s="424" t="s">
        <v>1722</v>
      </c>
    </row>
    <row r="3232" customHeight="1" spans="1:11">
      <c r="A3232" s="426" t="s">
        <v>1723</v>
      </c>
      <c r="B3232" s="427" t="s">
        <v>981</v>
      </c>
      <c r="C3232" s="426" t="s">
        <v>65</v>
      </c>
      <c r="D3232" s="426" t="s">
        <v>982</v>
      </c>
      <c r="E3232" s="426" t="s">
        <v>62</v>
      </c>
      <c r="F3232" s="426"/>
      <c r="G3232" s="428" t="s">
        <v>67</v>
      </c>
      <c r="H3232" s="429">
        <v>1</v>
      </c>
      <c r="I3232" s="445"/>
      <c r="J3232" s="445">
        <v>1116.23</v>
      </c>
      <c r="K3232" s="445">
        <v>1116.23</v>
      </c>
    </row>
    <row r="3233" customHeight="1" spans="1:11">
      <c r="A3233" s="430" t="s">
        <v>1724</v>
      </c>
      <c r="B3233" s="431" t="s">
        <v>2385</v>
      </c>
      <c r="C3233" s="430" t="s">
        <v>71</v>
      </c>
      <c r="D3233" s="430" t="s">
        <v>2386</v>
      </c>
      <c r="E3233" s="430" t="s">
        <v>1708</v>
      </c>
      <c r="F3233" s="430"/>
      <c r="G3233" s="432" t="s">
        <v>82</v>
      </c>
      <c r="H3233" s="433">
        <v>0.88</v>
      </c>
      <c r="I3233" s="433">
        <v>0</v>
      </c>
      <c r="J3233" s="446">
        <v>30.6</v>
      </c>
      <c r="K3233" s="446">
        <v>26.92</v>
      </c>
    </row>
    <row r="3234" customHeight="1" spans="1:11">
      <c r="A3234" s="430" t="s">
        <v>1724</v>
      </c>
      <c r="B3234" s="431" t="s">
        <v>2856</v>
      </c>
      <c r="C3234" s="430" t="s">
        <v>71</v>
      </c>
      <c r="D3234" s="430" t="s">
        <v>2857</v>
      </c>
      <c r="E3234" s="430" t="s">
        <v>2095</v>
      </c>
      <c r="F3234" s="430"/>
      <c r="G3234" s="432" t="s">
        <v>129</v>
      </c>
      <c r="H3234" s="433">
        <v>0.88</v>
      </c>
      <c r="I3234" s="433">
        <v>0</v>
      </c>
      <c r="J3234" s="446">
        <v>773.95</v>
      </c>
      <c r="K3234" s="446">
        <v>681.07</v>
      </c>
    </row>
    <row r="3235" customHeight="1" spans="1:11">
      <c r="A3235" s="430" t="s">
        <v>1724</v>
      </c>
      <c r="B3235" s="431" t="s">
        <v>2387</v>
      </c>
      <c r="C3235" s="430" t="s">
        <v>71</v>
      </c>
      <c r="D3235" s="430" t="s">
        <v>2388</v>
      </c>
      <c r="E3235" s="430" t="s">
        <v>1708</v>
      </c>
      <c r="F3235" s="430"/>
      <c r="G3235" s="432" t="s">
        <v>82</v>
      </c>
      <c r="H3235" s="433">
        <v>0.88</v>
      </c>
      <c r="I3235" s="433">
        <v>0</v>
      </c>
      <c r="J3235" s="446">
        <v>36.82</v>
      </c>
      <c r="K3235" s="446">
        <v>32.4</v>
      </c>
    </row>
    <row r="3236" customHeight="1" spans="1:11">
      <c r="A3236" s="438" t="s">
        <v>1750</v>
      </c>
      <c r="B3236" s="439" t="s">
        <v>2858</v>
      </c>
      <c r="C3236" s="438" t="s">
        <v>65</v>
      </c>
      <c r="D3236" s="438" t="s">
        <v>2859</v>
      </c>
      <c r="E3236" s="438" t="s">
        <v>1631</v>
      </c>
      <c r="F3236" s="438"/>
      <c r="G3236" s="440" t="s">
        <v>67</v>
      </c>
      <c r="H3236" s="441">
        <v>1</v>
      </c>
      <c r="I3236" s="441">
        <v>0</v>
      </c>
      <c r="J3236" s="449">
        <v>375.84</v>
      </c>
      <c r="K3236" s="449">
        <v>375.84</v>
      </c>
    </row>
    <row r="3237" customHeight="1" spans="1:11">
      <c r="A3237" s="434"/>
      <c r="B3237" s="434"/>
      <c r="C3237" s="434"/>
      <c r="D3237" s="434"/>
      <c r="E3237" s="434"/>
      <c r="F3237" s="434" t="s">
        <v>1735</v>
      </c>
      <c r="G3237" s="435">
        <v>121.34</v>
      </c>
      <c r="H3237" s="434" t="s">
        <v>1736</v>
      </c>
      <c r="I3237" s="435">
        <v>110.22</v>
      </c>
      <c r="J3237" s="434" t="s">
        <v>1737</v>
      </c>
      <c r="K3237" s="435">
        <v>231.56</v>
      </c>
    </row>
    <row r="3238" customHeight="1" spans="1:11">
      <c r="A3238" s="434"/>
      <c r="B3238" s="434"/>
      <c r="C3238" s="434"/>
      <c r="D3238" s="434"/>
      <c r="E3238" s="434"/>
      <c r="F3238" s="434" t="s">
        <v>1738</v>
      </c>
      <c r="G3238" s="435">
        <v>275.26</v>
      </c>
      <c r="H3238" s="434"/>
      <c r="I3238" s="434" t="s">
        <v>1739</v>
      </c>
      <c r="J3238" s="434"/>
      <c r="K3238" s="435">
        <v>1391.49</v>
      </c>
    </row>
    <row r="3239" customHeight="1" spans="1:11">
      <c r="A3239" s="436"/>
      <c r="B3239" s="436"/>
      <c r="C3239" s="436"/>
      <c r="D3239" s="436"/>
      <c r="E3239" s="436"/>
      <c r="F3239" s="436"/>
      <c r="G3239" s="436"/>
      <c r="H3239" s="436" t="s">
        <v>1740</v>
      </c>
      <c r="I3239" s="447" t="s">
        <v>1741</v>
      </c>
      <c r="J3239" s="436" t="s">
        <v>1742</v>
      </c>
      <c r="K3239" s="448">
        <v>1391.49</v>
      </c>
    </row>
    <row r="3240" customHeight="1" spans="1:11">
      <c r="A3240" s="437"/>
      <c r="B3240" s="437"/>
      <c r="C3240" s="437"/>
      <c r="D3240" s="437"/>
      <c r="E3240" s="437"/>
      <c r="F3240" s="437"/>
      <c r="G3240" s="437"/>
      <c r="H3240" s="437"/>
      <c r="I3240" s="437"/>
      <c r="J3240" s="437"/>
      <c r="K3240" s="437"/>
    </row>
    <row r="3241" customHeight="1" spans="1:11">
      <c r="A3241" s="423" t="s">
        <v>983</v>
      </c>
      <c r="B3241" s="424" t="s">
        <v>1714</v>
      </c>
      <c r="C3241" s="423" t="s">
        <v>1715</v>
      </c>
      <c r="D3241" s="423" t="s">
        <v>1716</v>
      </c>
      <c r="E3241" s="423" t="s">
        <v>1717</v>
      </c>
      <c r="F3241" s="423"/>
      <c r="G3241" s="425" t="s">
        <v>1718</v>
      </c>
      <c r="H3241" s="424" t="s">
        <v>1719</v>
      </c>
      <c r="I3241" s="424" t="s">
        <v>1720</v>
      </c>
      <c r="J3241" s="424" t="s">
        <v>1721</v>
      </c>
      <c r="K3241" s="424" t="s">
        <v>1722</v>
      </c>
    </row>
    <row r="3242" customHeight="1" spans="1:11">
      <c r="A3242" s="426" t="s">
        <v>1723</v>
      </c>
      <c r="B3242" s="427" t="s">
        <v>984</v>
      </c>
      <c r="C3242" s="426" t="s">
        <v>512</v>
      </c>
      <c r="D3242" s="426" t="s">
        <v>985</v>
      </c>
      <c r="E3242" s="426" t="s">
        <v>1648</v>
      </c>
      <c r="F3242" s="426"/>
      <c r="G3242" s="428" t="s">
        <v>67</v>
      </c>
      <c r="H3242" s="429">
        <v>1</v>
      </c>
      <c r="I3242" s="445"/>
      <c r="J3242" s="445">
        <v>275</v>
      </c>
      <c r="K3242" s="445">
        <v>275</v>
      </c>
    </row>
    <row r="3243" customHeight="1" spans="1:11">
      <c r="A3243" s="430" t="s">
        <v>1724</v>
      </c>
      <c r="B3243" s="431" t="s">
        <v>2860</v>
      </c>
      <c r="C3243" s="430" t="s">
        <v>512</v>
      </c>
      <c r="D3243" s="430" t="s">
        <v>2861</v>
      </c>
      <c r="E3243" s="430" t="s">
        <v>2862</v>
      </c>
      <c r="F3243" s="430"/>
      <c r="G3243" s="432" t="s">
        <v>129</v>
      </c>
      <c r="H3243" s="433">
        <v>0.024</v>
      </c>
      <c r="I3243" s="433">
        <v>0</v>
      </c>
      <c r="J3243" s="446">
        <v>2877.83</v>
      </c>
      <c r="K3243" s="446">
        <v>69.06</v>
      </c>
    </row>
    <row r="3244" customHeight="1" spans="1:11">
      <c r="A3244" s="438" t="s">
        <v>1750</v>
      </c>
      <c r="B3244" s="439" t="s">
        <v>2373</v>
      </c>
      <c r="C3244" s="438" t="s">
        <v>512</v>
      </c>
      <c r="D3244" s="438" t="s">
        <v>2374</v>
      </c>
      <c r="E3244" s="438" t="s">
        <v>1764</v>
      </c>
      <c r="F3244" s="438"/>
      <c r="G3244" s="440" t="s">
        <v>2367</v>
      </c>
      <c r="H3244" s="441">
        <v>2</v>
      </c>
      <c r="I3244" s="441">
        <v>0</v>
      </c>
      <c r="J3244" s="449">
        <v>23.89</v>
      </c>
      <c r="K3244" s="449">
        <v>47.78</v>
      </c>
    </row>
    <row r="3245" customHeight="1" spans="1:11">
      <c r="A3245" s="438" t="s">
        <v>1750</v>
      </c>
      <c r="B3245" s="439" t="s">
        <v>2370</v>
      </c>
      <c r="C3245" s="438" t="s">
        <v>512</v>
      </c>
      <c r="D3245" s="438" t="s">
        <v>2371</v>
      </c>
      <c r="E3245" s="438" t="s">
        <v>2372</v>
      </c>
      <c r="F3245" s="438"/>
      <c r="G3245" s="440" t="s">
        <v>1617</v>
      </c>
      <c r="H3245" s="441">
        <v>108.92</v>
      </c>
      <c r="I3245" s="441">
        <v>3</v>
      </c>
      <c r="J3245" s="449">
        <v>1</v>
      </c>
      <c r="K3245" s="449">
        <v>3.26</v>
      </c>
    </row>
    <row r="3246" customHeight="1" spans="1:11">
      <c r="A3246" s="438" t="s">
        <v>1750</v>
      </c>
      <c r="B3246" s="439" t="s">
        <v>2673</v>
      </c>
      <c r="C3246" s="438" t="s">
        <v>512</v>
      </c>
      <c r="D3246" s="438" t="s">
        <v>2674</v>
      </c>
      <c r="E3246" s="438" t="s">
        <v>1764</v>
      </c>
      <c r="F3246" s="438"/>
      <c r="G3246" s="440" t="s">
        <v>2367</v>
      </c>
      <c r="H3246" s="441">
        <v>2</v>
      </c>
      <c r="I3246" s="441">
        <v>0</v>
      </c>
      <c r="J3246" s="449">
        <v>30.57</v>
      </c>
      <c r="K3246" s="449">
        <v>61.14</v>
      </c>
    </row>
    <row r="3247" customHeight="1" spans="1:11">
      <c r="A3247" s="438" t="s">
        <v>1750</v>
      </c>
      <c r="B3247" s="439" t="s">
        <v>2863</v>
      </c>
      <c r="C3247" s="438" t="s">
        <v>512</v>
      </c>
      <c r="D3247" s="438" t="s">
        <v>2864</v>
      </c>
      <c r="E3247" s="438" t="s">
        <v>1631</v>
      </c>
      <c r="F3247" s="438"/>
      <c r="G3247" s="440" t="s">
        <v>67</v>
      </c>
      <c r="H3247" s="441">
        <v>1</v>
      </c>
      <c r="I3247" s="441">
        <v>0</v>
      </c>
      <c r="J3247" s="449">
        <v>93.76</v>
      </c>
      <c r="K3247" s="449">
        <v>93.76</v>
      </c>
    </row>
    <row r="3248" customHeight="1" spans="1:11">
      <c r="A3248" s="434"/>
      <c r="B3248" s="434"/>
      <c r="C3248" s="434"/>
      <c r="D3248" s="434"/>
      <c r="E3248" s="434"/>
      <c r="F3248" s="434" t="s">
        <v>1735</v>
      </c>
      <c r="G3248" s="435">
        <v>73.16</v>
      </c>
      <c r="H3248" s="434" t="s">
        <v>1736</v>
      </c>
      <c r="I3248" s="435">
        <v>66.46</v>
      </c>
      <c r="J3248" s="434" t="s">
        <v>1737</v>
      </c>
      <c r="K3248" s="435">
        <v>139.62</v>
      </c>
    </row>
    <row r="3249" customHeight="1" spans="1:11">
      <c r="A3249" s="434"/>
      <c r="B3249" s="434"/>
      <c r="C3249" s="434"/>
      <c r="D3249" s="434"/>
      <c r="E3249" s="434"/>
      <c r="F3249" s="434" t="s">
        <v>1738</v>
      </c>
      <c r="G3249" s="435">
        <v>67.81</v>
      </c>
      <c r="H3249" s="434"/>
      <c r="I3249" s="434" t="s">
        <v>1739</v>
      </c>
      <c r="J3249" s="434"/>
      <c r="K3249" s="435">
        <v>342.81</v>
      </c>
    </row>
    <row r="3250" customHeight="1" spans="1:11">
      <c r="A3250" s="436"/>
      <c r="B3250" s="436"/>
      <c r="C3250" s="436"/>
      <c r="D3250" s="436"/>
      <c r="E3250" s="436"/>
      <c r="F3250" s="436"/>
      <c r="G3250" s="436"/>
      <c r="H3250" s="436" t="s">
        <v>1740</v>
      </c>
      <c r="I3250" s="447" t="s">
        <v>2410</v>
      </c>
      <c r="J3250" s="436" t="s">
        <v>1742</v>
      </c>
      <c r="K3250" s="448">
        <v>8227.44</v>
      </c>
    </row>
    <row r="3251" customHeight="1" spans="1:11">
      <c r="A3251" s="437"/>
      <c r="B3251" s="437"/>
      <c r="C3251" s="437"/>
      <c r="D3251" s="437"/>
      <c r="E3251" s="437"/>
      <c r="F3251" s="437"/>
      <c r="G3251" s="437"/>
      <c r="H3251" s="437"/>
      <c r="I3251" s="437"/>
      <c r="J3251" s="437"/>
      <c r="K3251" s="437"/>
    </row>
    <row r="3252" customHeight="1" spans="1:11">
      <c r="A3252" s="422" t="s">
        <v>986</v>
      </c>
      <c r="B3252" s="422"/>
      <c r="C3252" s="422"/>
      <c r="D3252" s="422" t="s">
        <v>32</v>
      </c>
      <c r="E3252" s="422"/>
      <c r="F3252" s="422"/>
      <c r="G3252" s="422"/>
      <c r="H3252" s="422"/>
      <c r="I3252" s="443"/>
      <c r="J3252" s="422"/>
      <c r="K3252" s="444">
        <v>52484.08</v>
      </c>
    </row>
    <row r="3253" customHeight="1" spans="1:11">
      <c r="A3253" s="423" t="s">
        <v>987</v>
      </c>
      <c r="B3253" s="424" t="s">
        <v>1714</v>
      </c>
      <c r="C3253" s="423" t="s">
        <v>1715</v>
      </c>
      <c r="D3253" s="423" t="s">
        <v>1716</v>
      </c>
      <c r="E3253" s="423" t="s">
        <v>1717</v>
      </c>
      <c r="F3253" s="423"/>
      <c r="G3253" s="425" t="s">
        <v>1718</v>
      </c>
      <c r="H3253" s="424" t="s">
        <v>1719</v>
      </c>
      <c r="I3253" s="424" t="s">
        <v>1720</v>
      </c>
      <c r="J3253" s="424" t="s">
        <v>1721</v>
      </c>
      <c r="K3253" s="424" t="s">
        <v>1722</v>
      </c>
    </row>
    <row r="3254" customHeight="1" spans="1:11">
      <c r="A3254" s="426" t="s">
        <v>1723</v>
      </c>
      <c r="B3254" s="427" t="s">
        <v>988</v>
      </c>
      <c r="C3254" s="426" t="s">
        <v>65</v>
      </c>
      <c r="D3254" s="426" t="s">
        <v>989</v>
      </c>
      <c r="E3254" s="426" t="s">
        <v>1670</v>
      </c>
      <c r="F3254" s="426"/>
      <c r="G3254" s="428" t="s">
        <v>535</v>
      </c>
      <c r="H3254" s="429">
        <v>1</v>
      </c>
      <c r="I3254" s="445"/>
      <c r="J3254" s="445">
        <v>34.33</v>
      </c>
      <c r="K3254" s="445">
        <v>34.33</v>
      </c>
    </row>
    <row r="3255" customHeight="1" spans="1:11">
      <c r="A3255" s="430" t="s">
        <v>1724</v>
      </c>
      <c r="B3255" s="431" t="s">
        <v>2385</v>
      </c>
      <c r="C3255" s="430" t="s">
        <v>71</v>
      </c>
      <c r="D3255" s="430" t="s">
        <v>2386</v>
      </c>
      <c r="E3255" s="430" t="s">
        <v>1708</v>
      </c>
      <c r="F3255" s="430"/>
      <c r="G3255" s="432" t="s">
        <v>82</v>
      </c>
      <c r="H3255" s="433">
        <v>0.3882</v>
      </c>
      <c r="I3255" s="433">
        <v>0</v>
      </c>
      <c r="J3255" s="446">
        <v>30.6</v>
      </c>
      <c r="K3255" s="446">
        <v>11.87</v>
      </c>
    </row>
    <row r="3256" customHeight="1" spans="1:11">
      <c r="A3256" s="430" t="s">
        <v>1724</v>
      </c>
      <c r="B3256" s="431" t="s">
        <v>2387</v>
      </c>
      <c r="C3256" s="430" t="s">
        <v>71</v>
      </c>
      <c r="D3256" s="430" t="s">
        <v>2388</v>
      </c>
      <c r="E3256" s="430" t="s">
        <v>1708</v>
      </c>
      <c r="F3256" s="430"/>
      <c r="G3256" s="432" t="s">
        <v>82</v>
      </c>
      <c r="H3256" s="433">
        <v>0.3882</v>
      </c>
      <c r="I3256" s="433">
        <v>0</v>
      </c>
      <c r="J3256" s="446">
        <v>36.82</v>
      </c>
      <c r="K3256" s="446">
        <v>14.29</v>
      </c>
    </row>
    <row r="3257" customHeight="1" spans="1:11">
      <c r="A3257" s="438" t="s">
        <v>1750</v>
      </c>
      <c r="B3257" s="439" t="s">
        <v>2865</v>
      </c>
      <c r="C3257" s="438" t="s">
        <v>65</v>
      </c>
      <c r="D3257" s="438" t="s">
        <v>2866</v>
      </c>
      <c r="E3257" s="438" t="s">
        <v>1631</v>
      </c>
      <c r="F3257" s="438"/>
      <c r="G3257" s="440" t="s">
        <v>105</v>
      </c>
      <c r="H3257" s="441">
        <v>0.1666667</v>
      </c>
      <c r="I3257" s="441">
        <v>0</v>
      </c>
      <c r="J3257" s="449">
        <v>49.04</v>
      </c>
      <c r="K3257" s="449">
        <v>8.17</v>
      </c>
    </row>
    <row r="3258" customHeight="1" spans="1:11">
      <c r="A3258" s="434"/>
      <c r="B3258" s="434"/>
      <c r="C3258" s="434"/>
      <c r="D3258" s="434"/>
      <c r="E3258" s="434"/>
      <c r="F3258" s="434" t="s">
        <v>1735</v>
      </c>
      <c r="G3258" s="435">
        <v>9.62</v>
      </c>
      <c r="H3258" s="434" t="s">
        <v>1736</v>
      </c>
      <c r="I3258" s="435">
        <v>8.74</v>
      </c>
      <c r="J3258" s="434" t="s">
        <v>1737</v>
      </c>
      <c r="K3258" s="435">
        <v>18.36</v>
      </c>
    </row>
    <row r="3259" customHeight="1" spans="1:11">
      <c r="A3259" s="434"/>
      <c r="B3259" s="434"/>
      <c r="C3259" s="434"/>
      <c r="D3259" s="434"/>
      <c r="E3259" s="434"/>
      <c r="F3259" s="434" t="s">
        <v>1738</v>
      </c>
      <c r="G3259" s="435">
        <v>8.46</v>
      </c>
      <c r="H3259" s="434"/>
      <c r="I3259" s="434" t="s">
        <v>1739</v>
      </c>
      <c r="J3259" s="434"/>
      <c r="K3259" s="435">
        <v>42.79</v>
      </c>
    </row>
    <row r="3260" customHeight="1" spans="1:11">
      <c r="A3260" s="436"/>
      <c r="B3260" s="436"/>
      <c r="C3260" s="436"/>
      <c r="D3260" s="436"/>
      <c r="E3260" s="436"/>
      <c r="F3260" s="436"/>
      <c r="G3260" s="436"/>
      <c r="H3260" s="436" t="s">
        <v>1740</v>
      </c>
      <c r="I3260" s="447" t="s">
        <v>2867</v>
      </c>
      <c r="J3260" s="436" t="s">
        <v>1742</v>
      </c>
      <c r="K3260" s="448">
        <v>6546.87</v>
      </c>
    </row>
    <row r="3261" customHeight="1" spans="1:11">
      <c r="A3261" s="437"/>
      <c r="B3261" s="437"/>
      <c r="C3261" s="437"/>
      <c r="D3261" s="437"/>
      <c r="E3261" s="437"/>
      <c r="F3261" s="437"/>
      <c r="G3261" s="437"/>
      <c r="H3261" s="437"/>
      <c r="I3261" s="437"/>
      <c r="J3261" s="437"/>
      <c r="K3261" s="437"/>
    </row>
    <row r="3262" customHeight="1" spans="1:11">
      <c r="A3262" s="423" t="s">
        <v>990</v>
      </c>
      <c r="B3262" s="424" t="s">
        <v>1714</v>
      </c>
      <c r="C3262" s="423" t="s">
        <v>1715</v>
      </c>
      <c r="D3262" s="423" t="s">
        <v>1716</v>
      </c>
      <c r="E3262" s="423" t="s">
        <v>1717</v>
      </c>
      <c r="F3262" s="423"/>
      <c r="G3262" s="425" t="s">
        <v>1718</v>
      </c>
      <c r="H3262" s="424" t="s">
        <v>1719</v>
      </c>
      <c r="I3262" s="424" t="s">
        <v>1720</v>
      </c>
      <c r="J3262" s="424" t="s">
        <v>1721</v>
      </c>
      <c r="K3262" s="424" t="s">
        <v>1722</v>
      </c>
    </row>
    <row r="3263" customHeight="1" spans="1:11">
      <c r="A3263" s="426" t="s">
        <v>1723</v>
      </c>
      <c r="B3263" s="427" t="s">
        <v>991</v>
      </c>
      <c r="C3263" s="426" t="s">
        <v>65</v>
      </c>
      <c r="D3263" s="426" t="s">
        <v>992</v>
      </c>
      <c r="E3263" s="426" t="s">
        <v>62</v>
      </c>
      <c r="F3263" s="426"/>
      <c r="G3263" s="428" t="s">
        <v>67</v>
      </c>
      <c r="H3263" s="429">
        <v>1</v>
      </c>
      <c r="I3263" s="445"/>
      <c r="J3263" s="445">
        <v>76.17</v>
      </c>
      <c r="K3263" s="445">
        <v>76.17</v>
      </c>
    </row>
    <row r="3264" customHeight="1" spans="1:11">
      <c r="A3264" s="430" t="s">
        <v>1724</v>
      </c>
      <c r="B3264" s="431" t="s">
        <v>2385</v>
      </c>
      <c r="C3264" s="430" t="s">
        <v>71</v>
      </c>
      <c r="D3264" s="430" t="s">
        <v>2386</v>
      </c>
      <c r="E3264" s="430" t="s">
        <v>1708</v>
      </c>
      <c r="F3264" s="430"/>
      <c r="G3264" s="432" t="s">
        <v>82</v>
      </c>
      <c r="H3264" s="433">
        <v>0.382</v>
      </c>
      <c r="I3264" s="433">
        <v>0</v>
      </c>
      <c r="J3264" s="446">
        <v>30.6</v>
      </c>
      <c r="K3264" s="446">
        <v>11.68</v>
      </c>
    </row>
    <row r="3265" customHeight="1" spans="1:11">
      <c r="A3265" s="430" t="s">
        <v>1724</v>
      </c>
      <c r="B3265" s="431" t="s">
        <v>2387</v>
      </c>
      <c r="C3265" s="430" t="s">
        <v>71</v>
      </c>
      <c r="D3265" s="430" t="s">
        <v>2388</v>
      </c>
      <c r="E3265" s="430" t="s">
        <v>1708</v>
      </c>
      <c r="F3265" s="430"/>
      <c r="G3265" s="432" t="s">
        <v>82</v>
      </c>
      <c r="H3265" s="433">
        <v>0.382</v>
      </c>
      <c r="I3265" s="433">
        <v>0</v>
      </c>
      <c r="J3265" s="446">
        <v>36.82</v>
      </c>
      <c r="K3265" s="446">
        <v>14.06</v>
      </c>
    </row>
    <row r="3266" customHeight="1" spans="1:11">
      <c r="A3266" s="438" t="s">
        <v>1750</v>
      </c>
      <c r="B3266" s="439" t="s">
        <v>2868</v>
      </c>
      <c r="C3266" s="438" t="s">
        <v>65</v>
      </c>
      <c r="D3266" s="438" t="s">
        <v>2869</v>
      </c>
      <c r="E3266" s="438" t="s">
        <v>1631</v>
      </c>
      <c r="F3266" s="438"/>
      <c r="G3266" s="440" t="s">
        <v>67</v>
      </c>
      <c r="H3266" s="441">
        <v>1</v>
      </c>
      <c r="I3266" s="441">
        <v>0</v>
      </c>
      <c r="J3266" s="449">
        <v>50.43</v>
      </c>
      <c r="K3266" s="449">
        <v>50.43</v>
      </c>
    </row>
    <row r="3267" customHeight="1" spans="1:11">
      <c r="A3267" s="434"/>
      <c r="B3267" s="434"/>
      <c r="C3267" s="434"/>
      <c r="D3267" s="434"/>
      <c r="E3267" s="434"/>
      <c r="F3267" s="434" t="s">
        <v>1735</v>
      </c>
      <c r="G3267" s="435">
        <v>9.46</v>
      </c>
      <c r="H3267" s="434" t="s">
        <v>1736</v>
      </c>
      <c r="I3267" s="435">
        <v>8.61</v>
      </c>
      <c r="J3267" s="434" t="s">
        <v>1737</v>
      </c>
      <c r="K3267" s="435">
        <v>18.07</v>
      </c>
    </row>
    <row r="3268" customHeight="1" spans="1:11">
      <c r="A3268" s="434"/>
      <c r="B3268" s="434"/>
      <c r="C3268" s="434"/>
      <c r="D3268" s="434"/>
      <c r="E3268" s="434"/>
      <c r="F3268" s="434" t="s">
        <v>1738</v>
      </c>
      <c r="G3268" s="435">
        <v>18.78</v>
      </c>
      <c r="H3268" s="434"/>
      <c r="I3268" s="434" t="s">
        <v>1739</v>
      </c>
      <c r="J3268" s="434"/>
      <c r="K3268" s="435">
        <v>94.95</v>
      </c>
    </row>
    <row r="3269" customHeight="1" spans="1:11">
      <c r="A3269" s="436"/>
      <c r="B3269" s="436"/>
      <c r="C3269" s="436"/>
      <c r="D3269" s="436"/>
      <c r="E3269" s="436"/>
      <c r="F3269" s="436"/>
      <c r="G3269" s="436"/>
      <c r="H3269" s="436" t="s">
        <v>1740</v>
      </c>
      <c r="I3269" s="447" t="s">
        <v>2870</v>
      </c>
      <c r="J3269" s="436" t="s">
        <v>1742</v>
      </c>
      <c r="K3269" s="448">
        <v>37125.45</v>
      </c>
    </row>
    <row r="3270" customHeight="1" spans="1:11">
      <c r="A3270" s="437"/>
      <c r="B3270" s="437"/>
      <c r="C3270" s="437"/>
      <c r="D3270" s="437"/>
      <c r="E3270" s="437"/>
      <c r="F3270" s="437"/>
      <c r="G3270" s="437"/>
      <c r="H3270" s="437"/>
      <c r="I3270" s="437"/>
      <c r="J3270" s="437"/>
      <c r="K3270" s="437"/>
    </row>
    <row r="3271" customHeight="1" spans="1:11">
      <c r="A3271" s="423" t="s">
        <v>993</v>
      </c>
      <c r="B3271" s="424" t="s">
        <v>1714</v>
      </c>
      <c r="C3271" s="423" t="s">
        <v>1715</v>
      </c>
      <c r="D3271" s="423" t="s">
        <v>1716</v>
      </c>
      <c r="E3271" s="423" t="s">
        <v>1717</v>
      </c>
      <c r="F3271" s="423"/>
      <c r="G3271" s="425" t="s">
        <v>1718</v>
      </c>
      <c r="H3271" s="424" t="s">
        <v>1719</v>
      </c>
      <c r="I3271" s="424" t="s">
        <v>1720</v>
      </c>
      <c r="J3271" s="424" t="s">
        <v>1721</v>
      </c>
      <c r="K3271" s="424" t="s">
        <v>1722</v>
      </c>
    </row>
    <row r="3272" customHeight="1" spans="1:11">
      <c r="A3272" s="426" t="s">
        <v>1723</v>
      </c>
      <c r="B3272" s="427" t="s">
        <v>807</v>
      </c>
      <c r="C3272" s="426" t="s">
        <v>71</v>
      </c>
      <c r="D3272" s="426" t="s">
        <v>808</v>
      </c>
      <c r="E3272" s="426" t="s">
        <v>1683</v>
      </c>
      <c r="F3272" s="426"/>
      <c r="G3272" s="428" t="s">
        <v>78</v>
      </c>
      <c r="H3272" s="429">
        <v>1</v>
      </c>
      <c r="I3272" s="445"/>
      <c r="J3272" s="445">
        <v>78.29</v>
      </c>
      <c r="K3272" s="445">
        <v>78.29</v>
      </c>
    </row>
    <row r="3273" customHeight="1" spans="1:11">
      <c r="A3273" s="430" t="s">
        <v>1724</v>
      </c>
      <c r="B3273" s="431" t="s">
        <v>2387</v>
      </c>
      <c r="C3273" s="430" t="s">
        <v>71</v>
      </c>
      <c r="D3273" s="430" t="s">
        <v>2388</v>
      </c>
      <c r="E3273" s="430" t="s">
        <v>1708</v>
      </c>
      <c r="F3273" s="430"/>
      <c r="G3273" s="432" t="s">
        <v>82</v>
      </c>
      <c r="H3273" s="433">
        <v>0.2484</v>
      </c>
      <c r="I3273" s="433">
        <v>0</v>
      </c>
      <c r="J3273" s="446">
        <v>36.82</v>
      </c>
      <c r="K3273" s="446">
        <v>9.14</v>
      </c>
    </row>
    <row r="3274" customHeight="1" spans="1:11">
      <c r="A3274" s="430" t="s">
        <v>1724</v>
      </c>
      <c r="B3274" s="431" t="s">
        <v>2385</v>
      </c>
      <c r="C3274" s="430" t="s">
        <v>71</v>
      </c>
      <c r="D3274" s="430" t="s">
        <v>2386</v>
      </c>
      <c r="E3274" s="430" t="s">
        <v>1708</v>
      </c>
      <c r="F3274" s="430"/>
      <c r="G3274" s="432" t="s">
        <v>82</v>
      </c>
      <c r="H3274" s="433">
        <v>0.2484</v>
      </c>
      <c r="I3274" s="433">
        <v>0</v>
      </c>
      <c r="J3274" s="446">
        <v>30.6</v>
      </c>
      <c r="K3274" s="446">
        <v>7.6</v>
      </c>
    </row>
    <row r="3275" customHeight="1" spans="1:11">
      <c r="A3275" s="430" t="s">
        <v>1724</v>
      </c>
      <c r="B3275" s="431" t="s">
        <v>2665</v>
      </c>
      <c r="C3275" s="430" t="s">
        <v>71</v>
      </c>
      <c r="D3275" s="430" t="s">
        <v>2666</v>
      </c>
      <c r="E3275" s="430" t="s">
        <v>1683</v>
      </c>
      <c r="F3275" s="430"/>
      <c r="G3275" s="432" t="s">
        <v>105</v>
      </c>
      <c r="H3275" s="433">
        <v>0.6667</v>
      </c>
      <c r="I3275" s="433">
        <v>0</v>
      </c>
      <c r="J3275" s="446">
        <v>30.28</v>
      </c>
      <c r="K3275" s="446">
        <v>20.18</v>
      </c>
    </row>
    <row r="3276" customHeight="1" spans="1:11">
      <c r="A3276" s="438" t="s">
        <v>1750</v>
      </c>
      <c r="B3276" s="439" t="s">
        <v>2667</v>
      </c>
      <c r="C3276" s="438" t="s">
        <v>71</v>
      </c>
      <c r="D3276" s="438" t="s">
        <v>2668</v>
      </c>
      <c r="E3276" s="438" t="s">
        <v>1631</v>
      </c>
      <c r="F3276" s="438"/>
      <c r="G3276" s="440" t="s">
        <v>78</v>
      </c>
      <c r="H3276" s="441">
        <v>1.05</v>
      </c>
      <c r="I3276" s="441">
        <v>0</v>
      </c>
      <c r="J3276" s="449">
        <v>39.4</v>
      </c>
      <c r="K3276" s="449">
        <v>41.37</v>
      </c>
    </row>
    <row r="3277" customHeight="1" spans="1:11">
      <c r="A3277" s="434"/>
      <c r="B3277" s="434"/>
      <c r="C3277" s="434"/>
      <c r="D3277" s="434"/>
      <c r="E3277" s="434"/>
      <c r="F3277" s="434" t="s">
        <v>1735</v>
      </c>
      <c r="G3277" s="435">
        <v>11.28</v>
      </c>
      <c r="H3277" s="434" t="s">
        <v>1736</v>
      </c>
      <c r="I3277" s="435">
        <v>10.25</v>
      </c>
      <c r="J3277" s="434" t="s">
        <v>1737</v>
      </c>
      <c r="K3277" s="435">
        <v>21.53</v>
      </c>
    </row>
    <row r="3278" customHeight="1" spans="1:11">
      <c r="A3278" s="434"/>
      <c r="B3278" s="434"/>
      <c r="C3278" s="434"/>
      <c r="D3278" s="434"/>
      <c r="E3278" s="434"/>
      <c r="F3278" s="434" t="s">
        <v>1738</v>
      </c>
      <c r="G3278" s="435">
        <v>19.3</v>
      </c>
      <c r="H3278" s="434"/>
      <c r="I3278" s="434" t="s">
        <v>1739</v>
      </c>
      <c r="J3278" s="434"/>
      <c r="K3278" s="435">
        <v>97.59</v>
      </c>
    </row>
    <row r="3279" customHeight="1" spans="1:11">
      <c r="A3279" s="436"/>
      <c r="B3279" s="436"/>
      <c r="C3279" s="436"/>
      <c r="D3279" s="436"/>
      <c r="E3279" s="436"/>
      <c r="F3279" s="436"/>
      <c r="G3279" s="436"/>
      <c r="H3279" s="436" t="s">
        <v>1740</v>
      </c>
      <c r="I3279" s="447" t="s">
        <v>2321</v>
      </c>
      <c r="J3279" s="436" t="s">
        <v>1742</v>
      </c>
      <c r="K3279" s="448">
        <v>1951.8</v>
      </c>
    </row>
    <row r="3280" customHeight="1" spans="1:11">
      <c r="A3280" s="437"/>
      <c r="B3280" s="437"/>
      <c r="C3280" s="437"/>
      <c r="D3280" s="437"/>
      <c r="E3280" s="437"/>
      <c r="F3280" s="437"/>
      <c r="G3280" s="437"/>
      <c r="H3280" s="437"/>
      <c r="I3280" s="437"/>
      <c r="J3280" s="437"/>
      <c r="K3280" s="437"/>
    </row>
    <row r="3281" customHeight="1" spans="1:11">
      <c r="A3281" s="423" t="s">
        <v>994</v>
      </c>
      <c r="B3281" s="424" t="s">
        <v>1714</v>
      </c>
      <c r="C3281" s="423" t="s">
        <v>1715</v>
      </c>
      <c r="D3281" s="423" t="s">
        <v>1716</v>
      </c>
      <c r="E3281" s="423" t="s">
        <v>1717</v>
      </c>
      <c r="F3281" s="423"/>
      <c r="G3281" s="425" t="s">
        <v>1718</v>
      </c>
      <c r="H3281" s="424" t="s">
        <v>1719</v>
      </c>
      <c r="I3281" s="424" t="s">
        <v>1720</v>
      </c>
      <c r="J3281" s="424" t="s">
        <v>1721</v>
      </c>
      <c r="K3281" s="424" t="s">
        <v>1722</v>
      </c>
    </row>
    <row r="3282" customHeight="1" spans="1:11">
      <c r="A3282" s="426" t="s">
        <v>1723</v>
      </c>
      <c r="B3282" s="427" t="s">
        <v>810</v>
      </c>
      <c r="C3282" s="426" t="s">
        <v>71</v>
      </c>
      <c r="D3282" s="426" t="s">
        <v>811</v>
      </c>
      <c r="E3282" s="426" t="s">
        <v>1683</v>
      </c>
      <c r="F3282" s="426"/>
      <c r="G3282" s="428" t="s">
        <v>78</v>
      </c>
      <c r="H3282" s="429">
        <v>1</v>
      </c>
      <c r="I3282" s="445"/>
      <c r="J3282" s="445">
        <v>61.15</v>
      </c>
      <c r="K3282" s="445">
        <v>61.15</v>
      </c>
    </row>
    <row r="3283" customHeight="1" spans="1:11">
      <c r="A3283" s="430" t="s">
        <v>1724</v>
      </c>
      <c r="B3283" s="431" t="s">
        <v>2385</v>
      </c>
      <c r="C3283" s="430" t="s">
        <v>71</v>
      </c>
      <c r="D3283" s="430" t="s">
        <v>2386</v>
      </c>
      <c r="E3283" s="430" t="s">
        <v>1708</v>
      </c>
      <c r="F3283" s="430"/>
      <c r="G3283" s="432" t="s">
        <v>82</v>
      </c>
      <c r="H3283" s="433">
        <v>0.0331</v>
      </c>
      <c r="I3283" s="433">
        <v>0</v>
      </c>
      <c r="J3283" s="446">
        <v>30.6</v>
      </c>
      <c r="K3283" s="446">
        <v>1.01</v>
      </c>
    </row>
    <row r="3284" customHeight="1" spans="1:11">
      <c r="A3284" s="430" t="s">
        <v>1724</v>
      </c>
      <c r="B3284" s="431" t="s">
        <v>2387</v>
      </c>
      <c r="C3284" s="430" t="s">
        <v>71</v>
      </c>
      <c r="D3284" s="430" t="s">
        <v>2388</v>
      </c>
      <c r="E3284" s="430" t="s">
        <v>1708</v>
      </c>
      <c r="F3284" s="430"/>
      <c r="G3284" s="432" t="s">
        <v>82</v>
      </c>
      <c r="H3284" s="433">
        <v>0.0331</v>
      </c>
      <c r="I3284" s="433">
        <v>0</v>
      </c>
      <c r="J3284" s="446">
        <v>36.82</v>
      </c>
      <c r="K3284" s="446">
        <v>1.21</v>
      </c>
    </row>
    <row r="3285" customHeight="1" spans="1:11">
      <c r="A3285" s="438" t="s">
        <v>1750</v>
      </c>
      <c r="B3285" s="439" t="s">
        <v>2669</v>
      </c>
      <c r="C3285" s="438" t="s">
        <v>71</v>
      </c>
      <c r="D3285" s="438" t="s">
        <v>2670</v>
      </c>
      <c r="E3285" s="438" t="s">
        <v>1631</v>
      </c>
      <c r="F3285" s="438"/>
      <c r="G3285" s="440" t="s">
        <v>78</v>
      </c>
      <c r="H3285" s="441">
        <v>1.05</v>
      </c>
      <c r="I3285" s="441">
        <v>0</v>
      </c>
      <c r="J3285" s="449">
        <v>56.13</v>
      </c>
      <c r="K3285" s="449">
        <v>58.93</v>
      </c>
    </row>
    <row r="3286" customHeight="1" spans="1:11">
      <c r="A3286" s="434"/>
      <c r="B3286" s="434"/>
      <c r="C3286" s="434"/>
      <c r="D3286" s="434"/>
      <c r="E3286" s="434"/>
      <c r="F3286" s="434" t="s">
        <v>1735</v>
      </c>
      <c r="G3286" s="435">
        <v>0.81</v>
      </c>
      <c r="H3286" s="434" t="s">
        <v>1736</v>
      </c>
      <c r="I3286" s="435">
        <v>0.75</v>
      </c>
      <c r="J3286" s="434" t="s">
        <v>1737</v>
      </c>
      <c r="K3286" s="435">
        <v>1.56</v>
      </c>
    </row>
    <row r="3287" customHeight="1" spans="1:11">
      <c r="A3287" s="434"/>
      <c r="B3287" s="434"/>
      <c r="C3287" s="434"/>
      <c r="D3287" s="434"/>
      <c r="E3287" s="434"/>
      <c r="F3287" s="434" t="s">
        <v>1738</v>
      </c>
      <c r="G3287" s="435">
        <v>15.07</v>
      </c>
      <c r="H3287" s="434"/>
      <c r="I3287" s="434" t="s">
        <v>1739</v>
      </c>
      <c r="J3287" s="434"/>
      <c r="K3287" s="435">
        <v>76.22</v>
      </c>
    </row>
    <row r="3288" customHeight="1" spans="1:11">
      <c r="A3288" s="436"/>
      <c r="B3288" s="436"/>
      <c r="C3288" s="436"/>
      <c r="D3288" s="436"/>
      <c r="E3288" s="436"/>
      <c r="F3288" s="436"/>
      <c r="G3288" s="436"/>
      <c r="H3288" s="436" t="s">
        <v>1740</v>
      </c>
      <c r="I3288" s="447" t="s">
        <v>2236</v>
      </c>
      <c r="J3288" s="436" t="s">
        <v>1742</v>
      </c>
      <c r="K3288" s="448">
        <v>381.1</v>
      </c>
    </row>
    <row r="3289" customHeight="1" spans="1:11">
      <c r="A3289" s="437"/>
      <c r="B3289" s="437"/>
      <c r="C3289" s="437"/>
      <c r="D3289" s="437"/>
      <c r="E3289" s="437"/>
      <c r="F3289" s="437"/>
      <c r="G3289" s="437"/>
      <c r="H3289" s="437"/>
      <c r="I3289" s="437"/>
      <c r="J3289" s="437"/>
      <c r="K3289" s="437"/>
    </row>
    <row r="3290" customHeight="1" spans="1:11">
      <c r="A3290" s="423" t="s">
        <v>995</v>
      </c>
      <c r="B3290" s="424" t="s">
        <v>1714</v>
      </c>
      <c r="C3290" s="423" t="s">
        <v>1715</v>
      </c>
      <c r="D3290" s="423" t="s">
        <v>1716</v>
      </c>
      <c r="E3290" s="423" t="s">
        <v>1717</v>
      </c>
      <c r="F3290" s="423"/>
      <c r="G3290" s="425" t="s">
        <v>1718</v>
      </c>
      <c r="H3290" s="424" t="s">
        <v>1719</v>
      </c>
      <c r="I3290" s="424" t="s">
        <v>1720</v>
      </c>
      <c r="J3290" s="424" t="s">
        <v>1721</v>
      </c>
      <c r="K3290" s="424" t="s">
        <v>1722</v>
      </c>
    </row>
    <row r="3291" customHeight="1" spans="1:11">
      <c r="A3291" s="426" t="s">
        <v>1723</v>
      </c>
      <c r="B3291" s="427" t="s">
        <v>996</v>
      </c>
      <c r="C3291" s="426" t="s">
        <v>512</v>
      </c>
      <c r="D3291" s="426" t="s">
        <v>997</v>
      </c>
      <c r="E3291" s="426" t="s">
        <v>1645</v>
      </c>
      <c r="F3291" s="426"/>
      <c r="G3291" s="428" t="s">
        <v>67</v>
      </c>
      <c r="H3291" s="429">
        <v>1</v>
      </c>
      <c r="I3291" s="445"/>
      <c r="J3291" s="445">
        <v>1.85</v>
      </c>
      <c r="K3291" s="445">
        <v>1.85</v>
      </c>
    </row>
    <row r="3292" customHeight="1" spans="1:11">
      <c r="A3292" s="438" t="s">
        <v>1750</v>
      </c>
      <c r="B3292" s="439" t="s">
        <v>2871</v>
      </c>
      <c r="C3292" s="438" t="s">
        <v>512</v>
      </c>
      <c r="D3292" s="438" t="s">
        <v>2872</v>
      </c>
      <c r="E3292" s="438" t="s">
        <v>1631</v>
      </c>
      <c r="F3292" s="438"/>
      <c r="G3292" s="440" t="s">
        <v>67</v>
      </c>
      <c r="H3292" s="441">
        <v>1</v>
      </c>
      <c r="I3292" s="441">
        <v>0</v>
      </c>
      <c r="J3292" s="449">
        <v>1.85</v>
      </c>
      <c r="K3292" s="449">
        <v>1.85</v>
      </c>
    </row>
    <row r="3293" customHeight="1" spans="1:11">
      <c r="A3293" s="434"/>
      <c r="B3293" s="434"/>
      <c r="C3293" s="434"/>
      <c r="D3293" s="434"/>
      <c r="E3293" s="434"/>
      <c r="F3293" s="434" t="s">
        <v>1735</v>
      </c>
      <c r="G3293" s="435">
        <v>0</v>
      </c>
      <c r="H3293" s="434" t="s">
        <v>1736</v>
      </c>
      <c r="I3293" s="435">
        <v>0</v>
      </c>
      <c r="J3293" s="434" t="s">
        <v>1737</v>
      </c>
      <c r="K3293" s="435">
        <v>0</v>
      </c>
    </row>
    <row r="3294" customHeight="1" spans="1:11">
      <c r="A3294" s="434"/>
      <c r="B3294" s="434"/>
      <c r="C3294" s="434"/>
      <c r="D3294" s="434"/>
      <c r="E3294" s="434"/>
      <c r="F3294" s="434" t="s">
        <v>1738</v>
      </c>
      <c r="G3294" s="435">
        <v>0.45</v>
      </c>
      <c r="H3294" s="434"/>
      <c r="I3294" s="434" t="s">
        <v>1739</v>
      </c>
      <c r="J3294" s="434"/>
      <c r="K3294" s="435">
        <v>2.3</v>
      </c>
    </row>
    <row r="3295" customHeight="1" spans="1:11">
      <c r="A3295" s="436"/>
      <c r="B3295" s="436"/>
      <c r="C3295" s="436"/>
      <c r="D3295" s="436"/>
      <c r="E3295" s="436"/>
      <c r="F3295" s="436"/>
      <c r="G3295" s="436"/>
      <c r="H3295" s="436" t="s">
        <v>1740</v>
      </c>
      <c r="I3295" s="447" t="s">
        <v>2867</v>
      </c>
      <c r="J3295" s="436" t="s">
        <v>1742</v>
      </c>
      <c r="K3295" s="448">
        <v>351.9</v>
      </c>
    </row>
    <row r="3296" customHeight="1" spans="1:11">
      <c r="A3296" s="437"/>
      <c r="B3296" s="437"/>
      <c r="C3296" s="437"/>
      <c r="D3296" s="437"/>
      <c r="E3296" s="437"/>
      <c r="F3296" s="437"/>
      <c r="G3296" s="437"/>
      <c r="H3296" s="437"/>
      <c r="I3296" s="437"/>
      <c r="J3296" s="437"/>
      <c r="K3296" s="437"/>
    </row>
    <row r="3297" customHeight="1" spans="1:11">
      <c r="A3297" s="423" t="s">
        <v>998</v>
      </c>
      <c r="B3297" s="424" t="s">
        <v>1714</v>
      </c>
      <c r="C3297" s="423" t="s">
        <v>1715</v>
      </c>
      <c r="D3297" s="423" t="s">
        <v>1716</v>
      </c>
      <c r="E3297" s="423" t="s">
        <v>1717</v>
      </c>
      <c r="F3297" s="423"/>
      <c r="G3297" s="425" t="s">
        <v>1718</v>
      </c>
      <c r="H3297" s="424" t="s">
        <v>1719</v>
      </c>
      <c r="I3297" s="424" t="s">
        <v>1720</v>
      </c>
      <c r="J3297" s="424" t="s">
        <v>1721</v>
      </c>
      <c r="K3297" s="424" t="s">
        <v>1722</v>
      </c>
    </row>
    <row r="3298" customHeight="1" spans="1:11">
      <c r="A3298" s="426" t="s">
        <v>1723</v>
      </c>
      <c r="B3298" s="427" t="s">
        <v>999</v>
      </c>
      <c r="C3298" s="426" t="s">
        <v>65</v>
      </c>
      <c r="D3298" s="426" t="s">
        <v>1000</v>
      </c>
      <c r="E3298" s="426" t="s">
        <v>1694</v>
      </c>
      <c r="F3298" s="426"/>
      <c r="G3298" s="428" t="s">
        <v>67</v>
      </c>
      <c r="H3298" s="429">
        <v>1</v>
      </c>
      <c r="I3298" s="445"/>
      <c r="J3298" s="445">
        <v>17.66</v>
      </c>
      <c r="K3298" s="445">
        <v>17.66</v>
      </c>
    </row>
    <row r="3299" customHeight="1" spans="1:11">
      <c r="A3299" s="438" t="s">
        <v>1750</v>
      </c>
      <c r="B3299" s="439" t="s">
        <v>2873</v>
      </c>
      <c r="C3299" s="438" t="s">
        <v>65</v>
      </c>
      <c r="D3299" s="438" t="s">
        <v>1000</v>
      </c>
      <c r="E3299" s="438" t="s">
        <v>1631</v>
      </c>
      <c r="F3299" s="438"/>
      <c r="G3299" s="440" t="s">
        <v>67</v>
      </c>
      <c r="H3299" s="441">
        <v>1</v>
      </c>
      <c r="I3299" s="441">
        <v>0</v>
      </c>
      <c r="J3299" s="449">
        <v>17.66</v>
      </c>
      <c r="K3299" s="449">
        <v>17.66</v>
      </c>
    </row>
    <row r="3300" customHeight="1" spans="1:11">
      <c r="A3300" s="434"/>
      <c r="B3300" s="434"/>
      <c r="C3300" s="434"/>
      <c r="D3300" s="434"/>
      <c r="E3300" s="434"/>
      <c r="F3300" s="434" t="s">
        <v>1735</v>
      </c>
      <c r="G3300" s="435">
        <v>0</v>
      </c>
      <c r="H3300" s="434" t="s">
        <v>1736</v>
      </c>
      <c r="I3300" s="435">
        <v>0</v>
      </c>
      <c r="J3300" s="434" t="s">
        <v>1737</v>
      </c>
      <c r="K3300" s="435">
        <v>0</v>
      </c>
    </row>
    <row r="3301" customHeight="1" spans="1:11">
      <c r="A3301" s="434"/>
      <c r="B3301" s="434"/>
      <c r="C3301" s="434"/>
      <c r="D3301" s="434"/>
      <c r="E3301" s="434"/>
      <c r="F3301" s="434" t="s">
        <v>1738</v>
      </c>
      <c r="G3301" s="435">
        <v>4.35</v>
      </c>
      <c r="H3301" s="434"/>
      <c r="I3301" s="434" t="s">
        <v>1739</v>
      </c>
      <c r="J3301" s="434"/>
      <c r="K3301" s="435">
        <v>22.01</v>
      </c>
    </row>
    <row r="3302" customHeight="1" spans="1:11">
      <c r="A3302" s="436"/>
      <c r="B3302" s="436"/>
      <c r="C3302" s="436"/>
      <c r="D3302" s="436"/>
      <c r="E3302" s="436"/>
      <c r="F3302" s="436"/>
      <c r="G3302" s="436"/>
      <c r="H3302" s="436" t="s">
        <v>1740</v>
      </c>
      <c r="I3302" s="447" t="s">
        <v>2410</v>
      </c>
      <c r="J3302" s="436" t="s">
        <v>1742</v>
      </c>
      <c r="K3302" s="448">
        <v>528.24</v>
      </c>
    </row>
    <row r="3303" customHeight="1" spans="1:11">
      <c r="A3303" s="437"/>
      <c r="B3303" s="437"/>
      <c r="C3303" s="437"/>
      <c r="D3303" s="437"/>
      <c r="E3303" s="437"/>
      <c r="F3303" s="437"/>
      <c r="G3303" s="437"/>
      <c r="H3303" s="437"/>
      <c r="I3303" s="437"/>
      <c r="J3303" s="437"/>
      <c r="K3303" s="437"/>
    </row>
    <row r="3304" customHeight="1" spans="1:11">
      <c r="A3304" s="423" t="s">
        <v>1001</v>
      </c>
      <c r="B3304" s="424" t="s">
        <v>1714</v>
      </c>
      <c r="C3304" s="423" t="s">
        <v>1715</v>
      </c>
      <c r="D3304" s="423" t="s">
        <v>1716</v>
      </c>
      <c r="E3304" s="423" t="s">
        <v>1717</v>
      </c>
      <c r="F3304" s="423"/>
      <c r="G3304" s="425" t="s">
        <v>1718</v>
      </c>
      <c r="H3304" s="424" t="s">
        <v>1719</v>
      </c>
      <c r="I3304" s="424" t="s">
        <v>1720</v>
      </c>
      <c r="J3304" s="424" t="s">
        <v>1721</v>
      </c>
      <c r="K3304" s="424" t="s">
        <v>1722</v>
      </c>
    </row>
    <row r="3305" customHeight="1" spans="1:11">
      <c r="A3305" s="426" t="s">
        <v>1723</v>
      </c>
      <c r="B3305" s="427" t="s">
        <v>1002</v>
      </c>
      <c r="C3305" s="426" t="s">
        <v>99</v>
      </c>
      <c r="D3305" s="426" t="s">
        <v>1003</v>
      </c>
      <c r="E3305" s="426" t="s">
        <v>1684</v>
      </c>
      <c r="F3305" s="426"/>
      <c r="G3305" s="428" t="s">
        <v>105</v>
      </c>
      <c r="H3305" s="429">
        <v>1</v>
      </c>
      <c r="I3305" s="445"/>
      <c r="J3305" s="445">
        <v>3.87</v>
      </c>
      <c r="K3305" s="445">
        <v>3.87</v>
      </c>
    </row>
    <row r="3306" customHeight="1" spans="1:11">
      <c r="A3306" s="438" t="s">
        <v>1750</v>
      </c>
      <c r="B3306" s="439" t="s">
        <v>1824</v>
      </c>
      <c r="C3306" s="438" t="s">
        <v>99</v>
      </c>
      <c r="D3306" s="438" t="s">
        <v>1825</v>
      </c>
      <c r="E3306" s="438" t="s">
        <v>1764</v>
      </c>
      <c r="F3306" s="438"/>
      <c r="G3306" s="440" t="s">
        <v>82</v>
      </c>
      <c r="H3306" s="441">
        <v>0.025</v>
      </c>
      <c r="I3306" s="441">
        <v>0</v>
      </c>
      <c r="J3306" s="449">
        <v>20.515752</v>
      </c>
      <c r="K3306" s="449">
        <v>0.51</v>
      </c>
    </row>
    <row r="3307" customHeight="1" spans="1:11">
      <c r="A3307" s="438" t="s">
        <v>1750</v>
      </c>
      <c r="B3307" s="439" t="s">
        <v>1832</v>
      </c>
      <c r="C3307" s="438" t="s">
        <v>99</v>
      </c>
      <c r="D3307" s="438" t="s">
        <v>1833</v>
      </c>
      <c r="E3307" s="438" t="s">
        <v>1764</v>
      </c>
      <c r="F3307" s="438"/>
      <c r="G3307" s="440" t="s">
        <v>82</v>
      </c>
      <c r="H3307" s="441">
        <v>0.025</v>
      </c>
      <c r="I3307" s="441">
        <v>0</v>
      </c>
      <c r="J3307" s="449">
        <v>26.928256</v>
      </c>
      <c r="K3307" s="449">
        <v>0.67</v>
      </c>
    </row>
    <row r="3308" customHeight="1" spans="1:11">
      <c r="A3308" s="438" t="s">
        <v>1750</v>
      </c>
      <c r="B3308" s="439" t="s">
        <v>2874</v>
      </c>
      <c r="C3308" s="438" t="s">
        <v>99</v>
      </c>
      <c r="D3308" s="438" t="s">
        <v>2875</v>
      </c>
      <c r="E3308" s="438" t="s">
        <v>1631</v>
      </c>
      <c r="F3308" s="438"/>
      <c r="G3308" s="440" t="s">
        <v>105</v>
      </c>
      <c r="H3308" s="441">
        <v>1</v>
      </c>
      <c r="I3308" s="441">
        <v>0</v>
      </c>
      <c r="J3308" s="449">
        <v>2.69</v>
      </c>
      <c r="K3308" s="449">
        <v>2.69</v>
      </c>
    </row>
    <row r="3309" customHeight="1" spans="1:11">
      <c r="A3309" s="434"/>
      <c r="B3309" s="434"/>
      <c r="C3309" s="434"/>
      <c r="D3309" s="434"/>
      <c r="E3309" s="434"/>
      <c r="F3309" s="434" t="s">
        <v>1735</v>
      </c>
      <c r="G3309" s="435">
        <v>0.61</v>
      </c>
      <c r="H3309" s="434" t="s">
        <v>1736</v>
      </c>
      <c r="I3309" s="435">
        <v>0.57</v>
      </c>
      <c r="J3309" s="434" t="s">
        <v>1737</v>
      </c>
      <c r="K3309" s="435">
        <v>1.18</v>
      </c>
    </row>
    <row r="3310" customHeight="1" spans="1:11">
      <c r="A3310" s="434"/>
      <c r="B3310" s="434"/>
      <c r="C3310" s="434"/>
      <c r="D3310" s="434"/>
      <c r="E3310" s="434"/>
      <c r="F3310" s="434" t="s">
        <v>1738</v>
      </c>
      <c r="G3310" s="435">
        <v>0.95</v>
      </c>
      <c r="H3310" s="434"/>
      <c r="I3310" s="434" t="s">
        <v>1739</v>
      </c>
      <c r="J3310" s="434"/>
      <c r="K3310" s="435">
        <v>4.82</v>
      </c>
    </row>
    <row r="3311" customHeight="1" spans="1:11">
      <c r="A3311" s="436"/>
      <c r="B3311" s="436"/>
      <c r="C3311" s="436"/>
      <c r="D3311" s="436"/>
      <c r="E3311" s="436"/>
      <c r="F3311" s="436"/>
      <c r="G3311" s="436"/>
      <c r="H3311" s="436" t="s">
        <v>1740</v>
      </c>
      <c r="I3311" s="447" t="s">
        <v>2876</v>
      </c>
      <c r="J3311" s="436" t="s">
        <v>1742</v>
      </c>
      <c r="K3311" s="448">
        <v>3325.8</v>
      </c>
    </row>
    <row r="3312" customHeight="1" spans="1:11">
      <c r="A3312" s="437"/>
      <c r="B3312" s="437"/>
      <c r="C3312" s="437"/>
      <c r="D3312" s="437"/>
      <c r="E3312" s="437"/>
      <c r="F3312" s="437"/>
      <c r="G3312" s="437"/>
      <c r="H3312" s="437"/>
      <c r="I3312" s="437"/>
      <c r="J3312" s="437"/>
      <c r="K3312" s="437"/>
    </row>
    <row r="3313" customHeight="1" spans="1:11">
      <c r="A3313" s="423" t="s">
        <v>1004</v>
      </c>
      <c r="B3313" s="424" t="s">
        <v>1714</v>
      </c>
      <c r="C3313" s="423" t="s">
        <v>1715</v>
      </c>
      <c r="D3313" s="423" t="s">
        <v>1716</v>
      </c>
      <c r="E3313" s="423" t="s">
        <v>1717</v>
      </c>
      <c r="F3313" s="423"/>
      <c r="G3313" s="425" t="s">
        <v>1718</v>
      </c>
      <c r="H3313" s="424" t="s">
        <v>1719</v>
      </c>
      <c r="I3313" s="424" t="s">
        <v>1720</v>
      </c>
      <c r="J3313" s="424" t="s">
        <v>1721</v>
      </c>
      <c r="K3313" s="424" t="s">
        <v>1722</v>
      </c>
    </row>
    <row r="3314" customHeight="1" spans="1:11">
      <c r="A3314" s="426" t="s">
        <v>1723</v>
      </c>
      <c r="B3314" s="427" t="s">
        <v>1005</v>
      </c>
      <c r="C3314" s="426" t="s">
        <v>99</v>
      </c>
      <c r="D3314" s="426" t="s">
        <v>1006</v>
      </c>
      <c r="E3314" s="426" t="s">
        <v>1680</v>
      </c>
      <c r="F3314" s="426"/>
      <c r="G3314" s="428" t="s">
        <v>105</v>
      </c>
      <c r="H3314" s="429">
        <v>1</v>
      </c>
      <c r="I3314" s="445"/>
      <c r="J3314" s="445">
        <v>4.01</v>
      </c>
      <c r="K3314" s="445">
        <v>4.01</v>
      </c>
    </row>
    <row r="3315" customHeight="1" spans="1:11">
      <c r="A3315" s="438" t="s">
        <v>1750</v>
      </c>
      <c r="B3315" s="439" t="s">
        <v>1824</v>
      </c>
      <c r="C3315" s="438" t="s">
        <v>99</v>
      </c>
      <c r="D3315" s="438" t="s">
        <v>1825</v>
      </c>
      <c r="E3315" s="438" t="s">
        <v>1764</v>
      </c>
      <c r="F3315" s="438"/>
      <c r="G3315" s="440" t="s">
        <v>82</v>
      </c>
      <c r="H3315" s="441">
        <v>0.025</v>
      </c>
      <c r="I3315" s="441">
        <v>0</v>
      </c>
      <c r="J3315" s="449">
        <v>20.515752</v>
      </c>
      <c r="K3315" s="449">
        <v>0.51</v>
      </c>
    </row>
    <row r="3316" customHeight="1" spans="1:11">
      <c r="A3316" s="438" t="s">
        <v>1750</v>
      </c>
      <c r="B3316" s="439" t="s">
        <v>2877</v>
      </c>
      <c r="C3316" s="438" t="s">
        <v>99</v>
      </c>
      <c r="D3316" s="438" t="s">
        <v>2878</v>
      </c>
      <c r="E3316" s="438" t="s">
        <v>1631</v>
      </c>
      <c r="F3316" s="438"/>
      <c r="G3316" s="440" t="s">
        <v>105</v>
      </c>
      <c r="H3316" s="441">
        <v>1</v>
      </c>
      <c r="I3316" s="441">
        <v>0</v>
      </c>
      <c r="J3316" s="449">
        <v>2.83</v>
      </c>
      <c r="K3316" s="449">
        <v>2.83</v>
      </c>
    </row>
    <row r="3317" customHeight="1" spans="1:11">
      <c r="A3317" s="438" t="s">
        <v>1750</v>
      </c>
      <c r="B3317" s="439" t="s">
        <v>1832</v>
      </c>
      <c r="C3317" s="438" t="s">
        <v>99</v>
      </c>
      <c r="D3317" s="438" t="s">
        <v>1833</v>
      </c>
      <c r="E3317" s="438" t="s">
        <v>1764</v>
      </c>
      <c r="F3317" s="438"/>
      <c r="G3317" s="440" t="s">
        <v>82</v>
      </c>
      <c r="H3317" s="441">
        <v>0.025</v>
      </c>
      <c r="I3317" s="441">
        <v>0</v>
      </c>
      <c r="J3317" s="449">
        <v>26.928256</v>
      </c>
      <c r="K3317" s="449">
        <v>0.67</v>
      </c>
    </row>
    <row r="3318" customHeight="1" spans="1:11">
      <c r="A3318" s="434"/>
      <c r="B3318" s="434"/>
      <c r="C3318" s="434"/>
      <c r="D3318" s="434"/>
      <c r="E3318" s="434"/>
      <c r="F3318" s="434" t="s">
        <v>1735</v>
      </c>
      <c r="G3318" s="435">
        <v>0.61</v>
      </c>
      <c r="H3318" s="434" t="s">
        <v>1736</v>
      </c>
      <c r="I3318" s="435">
        <v>0.57</v>
      </c>
      <c r="J3318" s="434" t="s">
        <v>1737</v>
      </c>
      <c r="K3318" s="435">
        <v>1.18</v>
      </c>
    </row>
    <row r="3319" customHeight="1" spans="1:11">
      <c r="A3319" s="434"/>
      <c r="B3319" s="434"/>
      <c r="C3319" s="434"/>
      <c r="D3319" s="434"/>
      <c r="E3319" s="434"/>
      <c r="F3319" s="434" t="s">
        <v>1738</v>
      </c>
      <c r="G3319" s="435">
        <v>0.98</v>
      </c>
      <c r="H3319" s="434"/>
      <c r="I3319" s="434" t="s">
        <v>1739</v>
      </c>
      <c r="J3319" s="434"/>
      <c r="K3319" s="435">
        <v>4.99</v>
      </c>
    </row>
    <row r="3320" customHeight="1" spans="1:11">
      <c r="A3320" s="436"/>
      <c r="B3320" s="436"/>
      <c r="C3320" s="436"/>
      <c r="D3320" s="436"/>
      <c r="E3320" s="436"/>
      <c r="F3320" s="436"/>
      <c r="G3320" s="436"/>
      <c r="H3320" s="436" t="s">
        <v>1740</v>
      </c>
      <c r="I3320" s="447" t="s">
        <v>1964</v>
      </c>
      <c r="J3320" s="436" t="s">
        <v>1742</v>
      </c>
      <c r="K3320" s="448">
        <v>49.9</v>
      </c>
    </row>
    <row r="3321" customHeight="1" spans="1:11">
      <c r="A3321" s="437"/>
      <c r="B3321" s="437"/>
      <c r="C3321" s="437"/>
      <c r="D3321" s="437"/>
      <c r="E3321" s="437"/>
      <c r="F3321" s="437"/>
      <c r="G3321" s="437"/>
      <c r="H3321" s="437"/>
      <c r="I3321" s="437"/>
      <c r="J3321" s="437"/>
      <c r="K3321" s="437"/>
    </row>
    <row r="3322" customHeight="1" spans="1:11">
      <c r="A3322" s="423" t="s">
        <v>1007</v>
      </c>
      <c r="B3322" s="424" t="s">
        <v>1714</v>
      </c>
      <c r="C3322" s="423" t="s">
        <v>1715</v>
      </c>
      <c r="D3322" s="423" t="s">
        <v>1716</v>
      </c>
      <c r="E3322" s="423" t="s">
        <v>1717</v>
      </c>
      <c r="F3322" s="423"/>
      <c r="G3322" s="425" t="s">
        <v>1718</v>
      </c>
      <c r="H3322" s="424" t="s">
        <v>1719</v>
      </c>
      <c r="I3322" s="424" t="s">
        <v>1720</v>
      </c>
      <c r="J3322" s="424" t="s">
        <v>1721</v>
      </c>
      <c r="K3322" s="424" t="s">
        <v>1722</v>
      </c>
    </row>
    <row r="3323" customHeight="1" spans="1:11">
      <c r="A3323" s="426" t="s">
        <v>1723</v>
      </c>
      <c r="B3323" s="427" t="s">
        <v>1008</v>
      </c>
      <c r="C3323" s="426" t="s">
        <v>65</v>
      </c>
      <c r="D3323" s="426" t="s">
        <v>1009</v>
      </c>
      <c r="E3323" s="426" t="s">
        <v>1694</v>
      </c>
      <c r="F3323" s="426"/>
      <c r="G3323" s="428" t="s">
        <v>67</v>
      </c>
      <c r="H3323" s="429">
        <v>1</v>
      </c>
      <c r="I3323" s="445"/>
      <c r="J3323" s="445">
        <v>65</v>
      </c>
      <c r="K3323" s="445">
        <v>65</v>
      </c>
    </row>
    <row r="3324" customHeight="1" spans="1:11">
      <c r="A3324" s="438" t="s">
        <v>1750</v>
      </c>
      <c r="B3324" s="439" t="s">
        <v>2879</v>
      </c>
      <c r="C3324" s="438" t="s">
        <v>65</v>
      </c>
      <c r="D3324" s="438" t="s">
        <v>1009</v>
      </c>
      <c r="E3324" s="438" t="s">
        <v>1631</v>
      </c>
      <c r="F3324" s="438"/>
      <c r="G3324" s="440" t="s">
        <v>105</v>
      </c>
      <c r="H3324" s="441">
        <v>1</v>
      </c>
      <c r="I3324" s="441">
        <v>0</v>
      </c>
      <c r="J3324" s="449">
        <v>65</v>
      </c>
      <c r="K3324" s="449">
        <v>65</v>
      </c>
    </row>
    <row r="3325" customHeight="1" spans="1:11">
      <c r="A3325" s="434"/>
      <c r="B3325" s="434"/>
      <c r="C3325" s="434"/>
      <c r="D3325" s="434"/>
      <c r="E3325" s="434"/>
      <c r="F3325" s="434" t="s">
        <v>1735</v>
      </c>
      <c r="G3325" s="435">
        <v>0</v>
      </c>
      <c r="H3325" s="434" t="s">
        <v>1736</v>
      </c>
      <c r="I3325" s="435">
        <v>0</v>
      </c>
      <c r="J3325" s="434" t="s">
        <v>1737</v>
      </c>
      <c r="K3325" s="435">
        <v>0</v>
      </c>
    </row>
    <row r="3326" customHeight="1" spans="1:11">
      <c r="A3326" s="434"/>
      <c r="B3326" s="434"/>
      <c r="C3326" s="434"/>
      <c r="D3326" s="434"/>
      <c r="E3326" s="434"/>
      <c r="F3326" s="434" t="s">
        <v>1738</v>
      </c>
      <c r="G3326" s="435">
        <v>16.02</v>
      </c>
      <c r="H3326" s="434"/>
      <c r="I3326" s="434" t="s">
        <v>1739</v>
      </c>
      <c r="J3326" s="434"/>
      <c r="K3326" s="435">
        <v>81.02</v>
      </c>
    </row>
    <row r="3327" customHeight="1" spans="1:11">
      <c r="A3327" s="436"/>
      <c r="B3327" s="436"/>
      <c r="C3327" s="436"/>
      <c r="D3327" s="436"/>
      <c r="E3327" s="436"/>
      <c r="F3327" s="436"/>
      <c r="G3327" s="436"/>
      <c r="H3327" s="436" t="s">
        <v>1740</v>
      </c>
      <c r="I3327" s="447" t="s">
        <v>2597</v>
      </c>
      <c r="J3327" s="436" t="s">
        <v>1742</v>
      </c>
      <c r="K3327" s="448">
        <v>2025.5</v>
      </c>
    </row>
    <row r="3328" customHeight="1" spans="1:11">
      <c r="A3328" s="437"/>
      <c r="B3328" s="437"/>
      <c r="C3328" s="437"/>
      <c r="D3328" s="437"/>
      <c r="E3328" s="437"/>
      <c r="F3328" s="437"/>
      <c r="G3328" s="437"/>
      <c r="H3328" s="437"/>
      <c r="I3328" s="437"/>
      <c r="J3328" s="437"/>
      <c r="K3328" s="437"/>
    </row>
    <row r="3329" customHeight="1" spans="1:11">
      <c r="A3329" s="423" t="s">
        <v>1010</v>
      </c>
      <c r="B3329" s="424" t="s">
        <v>1714</v>
      </c>
      <c r="C3329" s="423" t="s">
        <v>1715</v>
      </c>
      <c r="D3329" s="423" t="s">
        <v>1716</v>
      </c>
      <c r="E3329" s="423" t="s">
        <v>1717</v>
      </c>
      <c r="F3329" s="423"/>
      <c r="G3329" s="425" t="s">
        <v>1718</v>
      </c>
      <c r="H3329" s="424" t="s">
        <v>1719</v>
      </c>
      <c r="I3329" s="424" t="s">
        <v>1720</v>
      </c>
      <c r="J3329" s="424" t="s">
        <v>1721</v>
      </c>
      <c r="K3329" s="424" t="s">
        <v>1722</v>
      </c>
    </row>
    <row r="3330" customHeight="1" spans="1:11">
      <c r="A3330" s="426" t="s">
        <v>1723</v>
      </c>
      <c r="B3330" s="427" t="s">
        <v>1011</v>
      </c>
      <c r="C3330" s="426" t="s">
        <v>99</v>
      </c>
      <c r="D3330" s="426" t="s">
        <v>1012</v>
      </c>
      <c r="E3330" s="426" t="s">
        <v>1684</v>
      </c>
      <c r="F3330" s="426"/>
      <c r="G3330" s="428" t="s">
        <v>105</v>
      </c>
      <c r="H3330" s="429">
        <v>1</v>
      </c>
      <c r="I3330" s="445"/>
      <c r="J3330" s="445">
        <v>52.82</v>
      </c>
      <c r="K3330" s="445">
        <v>52.82</v>
      </c>
    </row>
    <row r="3331" customHeight="1" spans="1:11">
      <c r="A3331" s="438" t="s">
        <v>1750</v>
      </c>
      <c r="B3331" s="439" t="s">
        <v>1824</v>
      </c>
      <c r="C3331" s="438" t="s">
        <v>99</v>
      </c>
      <c r="D3331" s="438" t="s">
        <v>1825</v>
      </c>
      <c r="E3331" s="438" t="s">
        <v>1764</v>
      </c>
      <c r="F3331" s="438"/>
      <c r="G3331" s="440" t="s">
        <v>82</v>
      </c>
      <c r="H3331" s="441">
        <v>0.128</v>
      </c>
      <c r="I3331" s="441">
        <v>0</v>
      </c>
      <c r="J3331" s="449">
        <v>20.515752</v>
      </c>
      <c r="K3331" s="449">
        <v>2.62</v>
      </c>
    </row>
    <row r="3332" customHeight="1" spans="1:11">
      <c r="A3332" s="438" t="s">
        <v>1750</v>
      </c>
      <c r="B3332" s="439" t="s">
        <v>2880</v>
      </c>
      <c r="C3332" s="438" t="s">
        <v>99</v>
      </c>
      <c r="D3332" s="438" t="s">
        <v>2881</v>
      </c>
      <c r="E3332" s="438" t="s">
        <v>1631</v>
      </c>
      <c r="F3332" s="438"/>
      <c r="G3332" s="440" t="s">
        <v>105</v>
      </c>
      <c r="H3332" s="441">
        <v>1</v>
      </c>
      <c r="I3332" s="441">
        <v>0</v>
      </c>
      <c r="J3332" s="449">
        <v>46.76</v>
      </c>
      <c r="K3332" s="449">
        <v>46.76</v>
      </c>
    </row>
    <row r="3333" customHeight="1" spans="1:11">
      <c r="A3333" s="438" t="s">
        <v>1750</v>
      </c>
      <c r="B3333" s="439" t="s">
        <v>1832</v>
      </c>
      <c r="C3333" s="438" t="s">
        <v>99</v>
      </c>
      <c r="D3333" s="438" t="s">
        <v>1833</v>
      </c>
      <c r="E3333" s="438" t="s">
        <v>1764</v>
      </c>
      <c r="F3333" s="438"/>
      <c r="G3333" s="440" t="s">
        <v>82</v>
      </c>
      <c r="H3333" s="441">
        <v>0.128</v>
      </c>
      <c r="I3333" s="441">
        <v>0</v>
      </c>
      <c r="J3333" s="449">
        <v>26.928256</v>
      </c>
      <c r="K3333" s="449">
        <v>3.44</v>
      </c>
    </row>
    <row r="3334" customHeight="1" spans="1:11">
      <c r="A3334" s="434"/>
      <c r="B3334" s="434"/>
      <c r="C3334" s="434"/>
      <c r="D3334" s="434"/>
      <c r="E3334" s="434"/>
      <c r="F3334" s="434" t="s">
        <v>1735</v>
      </c>
      <c r="G3334" s="435">
        <v>3.17</v>
      </c>
      <c r="H3334" s="434" t="s">
        <v>1736</v>
      </c>
      <c r="I3334" s="435">
        <v>2.89</v>
      </c>
      <c r="J3334" s="434" t="s">
        <v>1737</v>
      </c>
      <c r="K3334" s="435">
        <v>6.06</v>
      </c>
    </row>
    <row r="3335" customHeight="1" spans="1:11">
      <c r="A3335" s="434"/>
      <c r="B3335" s="434"/>
      <c r="C3335" s="434"/>
      <c r="D3335" s="434"/>
      <c r="E3335" s="434"/>
      <c r="F3335" s="434" t="s">
        <v>1738</v>
      </c>
      <c r="G3335" s="435">
        <v>13.02</v>
      </c>
      <c r="H3335" s="434"/>
      <c r="I3335" s="434" t="s">
        <v>1739</v>
      </c>
      <c r="J3335" s="434"/>
      <c r="K3335" s="435">
        <v>65.84</v>
      </c>
    </row>
    <row r="3336" customHeight="1" spans="1:11">
      <c r="A3336" s="436"/>
      <c r="B3336" s="436"/>
      <c r="C3336" s="436"/>
      <c r="D3336" s="436"/>
      <c r="E3336" s="436"/>
      <c r="F3336" s="436"/>
      <c r="G3336" s="436"/>
      <c r="H3336" s="436" t="s">
        <v>1740</v>
      </c>
      <c r="I3336" s="447" t="s">
        <v>2339</v>
      </c>
      <c r="J3336" s="436" t="s">
        <v>1742</v>
      </c>
      <c r="K3336" s="448">
        <v>197.52</v>
      </c>
    </row>
    <row r="3337" customHeight="1" spans="1:11">
      <c r="A3337" s="437"/>
      <c r="B3337" s="437"/>
      <c r="C3337" s="437"/>
      <c r="D3337" s="437"/>
      <c r="E3337" s="437"/>
      <c r="F3337" s="437"/>
      <c r="G3337" s="437"/>
      <c r="H3337" s="437"/>
      <c r="I3337" s="437"/>
      <c r="J3337" s="437"/>
      <c r="K3337" s="437"/>
    </row>
    <row r="3338" customHeight="1" spans="1:11">
      <c r="A3338" s="422" t="s">
        <v>1013</v>
      </c>
      <c r="B3338" s="422"/>
      <c r="C3338" s="422"/>
      <c r="D3338" s="422" t="s">
        <v>33</v>
      </c>
      <c r="E3338" s="422"/>
      <c r="F3338" s="422"/>
      <c r="G3338" s="422"/>
      <c r="H3338" s="422"/>
      <c r="I3338" s="443"/>
      <c r="J3338" s="422"/>
      <c r="K3338" s="444">
        <v>164933.41</v>
      </c>
    </row>
    <row r="3339" customHeight="1" spans="1:11">
      <c r="A3339" s="422" t="s">
        <v>1014</v>
      </c>
      <c r="B3339" s="422"/>
      <c r="C3339" s="422"/>
      <c r="D3339" s="422" t="s">
        <v>841</v>
      </c>
      <c r="E3339" s="422"/>
      <c r="F3339" s="422"/>
      <c r="G3339" s="422"/>
      <c r="H3339" s="422"/>
      <c r="I3339" s="443"/>
      <c r="J3339" s="422"/>
      <c r="K3339" s="444">
        <v>12872.56</v>
      </c>
    </row>
    <row r="3340" customHeight="1" spans="1:11">
      <c r="A3340" s="423" t="s">
        <v>1015</v>
      </c>
      <c r="B3340" s="424" t="s">
        <v>1714</v>
      </c>
      <c r="C3340" s="423" t="s">
        <v>1715</v>
      </c>
      <c r="D3340" s="423" t="s">
        <v>1716</v>
      </c>
      <c r="E3340" s="423" t="s">
        <v>1717</v>
      </c>
      <c r="F3340" s="423"/>
      <c r="G3340" s="425" t="s">
        <v>1718</v>
      </c>
      <c r="H3340" s="424" t="s">
        <v>1719</v>
      </c>
      <c r="I3340" s="424" t="s">
        <v>1720</v>
      </c>
      <c r="J3340" s="424" t="s">
        <v>1721</v>
      </c>
      <c r="K3340" s="424" t="s">
        <v>1722</v>
      </c>
    </row>
    <row r="3341" customHeight="1" spans="1:11">
      <c r="A3341" s="426" t="s">
        <v>1723</v>
      </c>
      <c r="B3341" s="427" t="s">
        <v>855</v>
      </c>
      <c r="C3341" s="426" t="s">
        <v>71</v>
      </c>
      <c r="D3341" s="426" t="s">
        <v>856</v>
      </c>
      <c r="E3341" s="426" t="s">
        <v>1658</v>
      </c>
      <c r="F3341" s="426"/>
      <c r="G3341" s="428" t="s">
        <v>78</v>
      </c>
      <c r="H3341" s="429">
        <v>1</v>
      </c>
      <c r="I3341" s="445"/>
      <c r="J3341" s="445">
        <v>24.01</v>
      </c>
      <c r="K3341" s="445">
        <v>24.01</v>
      </c>
    </row>
    <row r="3342" customHeight="1" spans="1:11">
      <c r="A3342" s="430" t="s">
        <v>1724</v>
      </c>
      <c r="B3342" s="431" t="s">
        <v>2385</v>
      </c>
      <c r="C3342" s="430" t="s">
        <v>71</v>
      </c>
      <c r="D3342" s="430" t="s">
        <v>2386</v>
      </c>
      <c r="E3342" s="430" t="s">
        <v>1708</v>
      </c>
      <c r="F3342" s="430"/>
      <c r="G3342" s="432" t="s">
        <v>82</v>
      </c>
      <c r="H3342" s="433">
        <v>0.122</v>
      </c>
      <c r="I3342" s="433">
        <v>0</v>
      </c>
      <c r="J3342" s="446">
        <v>30.6</v>
      </c>
      <c r="K3342" s="446">
        <v>3.73</v>
      </c>
    </row>
    <row r="3343" customHeight="1" spans="1:11">
      <c r="A3343" s="430" t="s">
        <v>1724</v>
      </c>
      <c r="B3343" s="431" t="s">
        <v>2712</v>
      </c>
      <c r="C3343" s="430" t="s">
        <v>71</v>
      </c>
      <c r="D3343" s="430" t="s">
        <v>2713</v>
      </c>
      <c r="E3343" s="430" t="s">
        <v>2714</v>
      </c>
      <c r="F3343" s="430"/>
      <c r="G3343" s="432" t="s">
        <v>78</v>
      </c>
      <c r="H3343" s="433">
        <v>1</v>
      </c>
      <c r="I3343" s="433">
        <v>0</v>
      </c>
      <c r="J3343" s="446">
        <v>12.77</v>
      </c>
      <c r="K3343" s="446">
        <v>12.77</v>
      </c>
    </row>
    <row r="3344" customHeight="1" spans="1:11">
      <c r="A3344" s="430" t="s">
        <v>1724</v>
      </c>
      <c r="B3344" s="431" t="s">
        <v>2387</v>
      </c>
      <c r="C3344" s="430" t="s">
        <v>71</v>
      </c>
      <c r="D3344" s="430" t="s">
        <v>2388</v>
      </c>
      <c r="E3344" s="430" t="s">
        <v>1708</v>
      </c>
      <c r="F3344" s="430"/>
      <c r="G3344" s="432" t="s">
        <v>82</v>
      </c>
      <c r="H3344" s="433">
        <v>0.122</v>
      </c>
      <c r="I3344" s="433">
        <v>0</v>
      </c>
      <c r="J3344" s="446">
        <v>36.82</v>
      </c>
      <c r="K3344" s="446">
        <v>4.49</v>
      </c>
    </row>
    <row r="3345" customHeight="1" spans="1:11">
      <c r="A3345" s="438" t="s">
        <v>1750</v>
      </c>
      <c r="B3345" s="439" t="s">
        <v>2715</v>
      </c>
      <c r="C3345" s="438" t="s">
        <v>71</v>
      </c>
      <c r="D3345" s="438" t="s">
        <v>2716</v>
      </c>
      <c r="E3345" s="438" t="s">
        <v>1631</v>
      </c>
      <c r="F3345" s="438"/>
      <c r="G3345" s="440" t="s">
        <v>78</v>
      </c>
      <c r="H3345" s="441">
        <v>1.0538</v>
      </c>
      <c r="I3345" s="441">
        <v>0</v>
      </c>
      <c r="J3345" s="449">
        <v>2.87</v>
      </c>
      <c r="K3345" s="449">
        <v>3.02</v>
      </c>
    </row>
    <row r="3346" customHeight="1" spans="1:11">
      <c r="A3346" s="434"/>
      <c r="B3346" s="434"/>
      <c r="C3346" s="434"/>
      <c r="D3346" s="434"/>
      <c r="E3346" s="434"/>
      <c r="F3346" s="434" t="s">
        <v>1735</v>
      </c>
      <c r="G3346" s="435">
        <v>6.41</v>
      </c>
      <c r="H3346" s="434" t="s">
        <v>1736</v>
      </c>
      <c r="I3346" s="435">
        <v>5.84</v>
      </c>
      <c r="J3346" s="434" t="s">
        <v>1737</v>
      </c>
      <c r="K3346" s="435">
        <v>12.25</v>
      </c>
    </row>
    <row r="3347" customHeight="1" spans="1:11">
      <c r="A3347" s="434"/>
      <c r="B3347" s="434"/>
      <c r="C3347" s="434"/>
      <c r="D3347" s="434"/>
      <c r="E3347" s="434"/>
      <c r="F3347" s="434" t="s">
        <v>1738</v>
      </c>
      <c r="G3347" s="435">
        <v>5.92</v>
      </c>
      <c r="H3347" s="434"/>
      <c r="I3347" s="434" t="s">
        <v>1739</v>
      </c>
      <c r="J3347" s="434"/>
      <c r="K3347" s="435">
        <v>29.93</v>
      </c>
    </row>
    <row r="3348" customHeight="1" spans="1:11">
      <c r="A3348" s="436"/>
      <c r="B3348" s="436"/>
      <c r="C3348" s="436"/>
      <c r="D3348" s="436"/>
      <c r="E3348" s="436"/>
      <c r="F3348" s="436"/>
      <c r="G3348" s="436"/>
      <c r="H3348" s="436" t="s">
        <v>1740</v>
      </c>
      <c r="I3348" s="447" t="s">
        <v>2882</v>
      </c>
      <c r="J3348" s="436" t="s">
        <v>1742</v>
      </c>
      <c r="K3348" s="448">
        <v>3950.76</v>
      </c>
    </row>
    <row r="3349" customHeight="1" spans="1:11">
      <c r="A3349" s="437"/>
      <c r="B3349" s="437"/>
      <c r="C3349" s="437"/>
      <c r="D3349" s="437"/>
      <c r="E3349" s="437"/>
      <c r="F3349" s="437"/>
      <c r="G3349" s="437"/>
      <c r="H3349" s="437"/>
      <c r="I3349" s="437"/>
      <c r="J3349" s="437"/>
      <c r="K3349" s="437"/>
    </row>
    <row r="3350" customHeight="1" spans="1:11">
      <c r="A3350" s="423" t="s">
        <v>1016</v>
      </c>
      <c r="B3350" s="424" t="s">
        <v>1714</v>
      </c>
      <c r="C3350" s="423" t="s">
        <v>1715</v>
      </c>
      <c r="D3350" s="423" t="s">
        <v>1716</v>
      </c>
      <c r="E3350" s="423" t="s">
        <v>1717</v>
      </c>
      <c r="F3350" s="423"/>
      <c r="G3350" s="425" t="s">
        <v>1718</v>
      </c>
      <c r="H3350" s="424" t="s">
        <v>1719</v>
      </c>
      <c r="I3350" s="424" t="s">
        <v>1720</v>
      </c>
      <c r="J3350" s="424" t="s">
        <v>1721</v>
      </c>
      <c r="K3350" s="424" t="s">
        <v>1722</v>
      </c>
    </row>
    <row r="3351" customHeight="1" spans="1:11">
      <c r="A3351" s="426" t="s">
        <v>1723</v>
      </c>
      <c r="B3351" s="427" t="s">
        <v>858</v>
      </c>
      <c r="C3351" s="426" t="s">
        <v>71</v>
      </c>
      <c r="D3351" s="426" t="s">
        <v>859</v>
      </c>
      <c r="E3351" s="426" t="s">
        <v>1638</v>
      </c>
      <c r="F3351" s="426"/>
      <c r="G3351" s="428" t="s">
        <v>78</v>
      </c>
      <c r="H3351" s="429">
        <v>1</v>
      </c>
      <c r="I3351" s="445"/>
      <c r="J3351" s="445">
        <v>10.4</v>
      </c>
      <c r="K3351" s="445">
        <v>10.4</v>
      </c>
    </row>
    <row r="3352" customHeight="1" spans="1:11">
      <c r="A3352" s="430" t="s">
        <v>1724</v>
      </c>
      <c r="B3352" s="431" t="s">
        <v>2387</v>
      </c>
      <c r="C3352" s="430" t="s">
        <v>71</v>
      </c>
      <c r="D3352" s="430" t="s">
        <v>2388</v>
      </c>
      <c r="E3352" s="430" t="s">
        <v>1708</v>
      </c>
      <c r="F3352" s="430"/>
      <c r="G3352" s="432" t="s">
        <v>82</v>
      </c>
      <c r="H3352" s="433">
        <v>0.0672</v>
      </c>
      <c r="I3352" s="433">
        <v>0</v>
      </c>
      <c r="J3352" s="446">
        <v>36.82</v>
      </c>
      <c r="K3352" s="446">
        <v>2.47</v>
      </c>
    </row>
    <row r="3353" customHeight="1" spans="1:11">
      <c r="A3353" s="430" t="s">
        <v>1724</v>
      </c>
      <c r="B3353" s="431" t="s">
        <v>2385</v>
      </c>
      <c r="C3353" s="430" t="s">
        <v>71</v>
      </c>
      <c r="D3353" s="430" t="s">
        <v>2386</v>
      </c>
      <c r="E3353" s="430" t="s">
        <v>1708</v>
      </c>
      <c r="F3353" s="430"/>
      <c r="G3353" s="432" t="s">
        <v>82</v>
      </c>
      <c r="H3353" s="433">
        <v>0.0672</v>
      </c>
      <c r="I3353" s="433">
        <v>0</v>
      </c>
      <c r="J3353" s="446">
        <v>30.6</v>
      </c>
      <c r="K3353" s="446">
        <v>2.05</v>
      </c>
    </row>
    <row r="3354" customHeight="1" spans="1:11">
      <c r="A3354" s="438" t="s">
        <v>1750</v>
      </c>
      <c r="B3354" s="439" t="s">
        <v>2718</v>
      </c>
      <c r="C3354" s="438" t="s">
        <v>71</v>
      </c>
      <c r="D3354" s="438" t="s">
        <v>2719</v>
      </c>
      <c r="E3354" s="438" t="s">
        <v>1631</v>
      </c>
      <c r="F3354" s="438"/>
      <c r="G3354" s="440" t="s">
        <v>78</v>
      </c>
      <c r="H3354" s="441">
        <v>1.1</v>
      </c>
      <c r="I3354" s="441">
        <v>0</v>
      </c>
      <c r="J3354" s="449">
        <v>5.35</v>
      </c>
      <c r="K3354" s="449">
        <v>5.88</v>
      </c>
    </row>
    <row r="3355" customHeight="1" spans="1:11">
      <c r="A3355" s="434"/>
      <c r="B3355" s="434"/>
      <c r="C3355" s="434"/>
      <c r="D3355" s="434"/>
      <c r="E3355" s="434"/>
      <c r="F3355" s="434" t="s">
        <v>1735</v>
      </c>
      <c r="G3355" s="435">
        <v>1.66</v>
      </c>
      <c r="H3355" s="434" t="s">
        <v>1736</v>
      </c>
      <c r="I3355" s="435">
        <v>1.51</v>
      </c>
      <c r="J3355" s="434" t="s">
        <v>1737</v>
      </c>
      <c r="K3355" s="435">
        <v>3.17</v>
      </c>
    </row>
    <row r="3356" customHeight="1" spans="1:11">
      <c r="A3356" s="434"/>
      <c r="B3356" s="434"/>
      <c r="C3356" s="434"/>
      <c r="D3356" s="434"/>
      <c r="E3356" s="434"/>
      <c r="F3356" s="434" t="s">
        <v>1738</v>
      </c>
      <c r="G3356" s="435">
        <v>2.56</v>
      </c>
      <c r="H3356" s="434"/>
      <c r="I3356" s="434" t="s">
        <v>1739</v>
      </c>
      <c r="J3356" s="434"/>
      <c r="K3356" s="435">
        <v>12.96</v>
      </c>
    </row>
    <row r="3357" customHeight="1" spans="1:11">
      <c r="A3357" s="436"/>
      <c r="B3357" s="436"/>
      <c r="C3357" s="436"/>
      <c r="D3357" s="436"/>
      <c r="E3357" s="436"/>
      <c r="F3357" s="436"/>
      <c r="G3357" s="436"/>
      <c r="H3357" s="436" t="s">
        <v>1740</v>
      </c>
      <c r="I3357" s="447" t="s">
        <v>1904</v>
      </c>
      <c r="J3357" s="436" t="s">
        <v>1742</v>
      </c>
      <c r="K3357" s="448">
        <v>518.4</v>
      </c>
    </row>
    <row r="3358" customHeight="1" spans="1:11">
      <c r="A3358" s="437"/>
      <c r="B3358" s="437"/>
      <c r="C3358" s="437"/>
      <c r="D3358" s="437"/>
      <c r="E3358" s="437"/>
      <c r="F3358" s="437"/>
      <c r="G3358" s="437"/>
      <c r="H3358" s="437"/>
      <c r="I3358" s="437"/>
      <c r="J3358" s="437"/>
      <c r="K3358" s="437"/>
    </row>
    <row r="3359" customHeight="1" spans="1:11">
      <c r="A3359" s="423" t="s">
        <v>1017</v>
      </c>
      <c r="B3359" s="424" t="s">
        <v>1714</v>
      </c>
      <c r="C3359" s="423" t="s">
        <v>1715</v>
      </c>
      <c r="D3359" s="423" t="s">
        <v>1716</v>
      </c>
      <c r="E3359" s="423" t="s">
        <v>1717</v>
      </c>
      <c r="F3359" s="423"/>
      <c r="G3359" s="425" t="s">
        <v>1718</v>
      </c>
      <c r="H3359" s="424" t="s">
        <v>1719</v>
      </c>
      <c r="I3359" s="424" t="s">
        <v>1720</v>
      </c>
      <c r="J3359" s="424" t="s">
        <v>1721</v>
      </c>
      <c r="K3359" s="424" t="s">
        <v>1722</v>
      </c>
    </row>
    <row r="3360" customHeight="1" spans="1:11">
      <c r="A3360" s="426" t="s">
        <v>1723</v>
      </c>
      <c r="B3360" s="427" t="s">
        <v>861</v>
      </c>
      <c r="C3360" s="426" t="s">
        <v>71</v>
      </c>
      <c r="D3360" s="426" t="s">
        <v>862</v>
      </c>
      <c r="E3360" s="426" t="s">
        <v>1638</v>
      </c>
      <c r="F3360" s="426"/>
      <c r="G3360" s="428" t="s">
        <v>78</v>
      </c>
      <c r="H3360" s="429">
        <v>1</v>
      </c>
      <c r="I3360" s="445"/>
      <c r="J3360" s="445">
        <v>14.8</v>
      </c>
      <c r="K3360" s="445">
        <v>14.8</v>
      </c>
    </row>
    <row r="3361" customHeight="1" spans="1:11">
      <c r="A3361" s="430" t="s">
        <v>1724</v>
      </c>
      <c r="B3361" s="431" t="s">
        <v>2385</v>
      </c>
      <c r="C3361" s="430" t="s">
        <v>71</v>
      </c>
      <c r="D3361" s="430" t="s">
        <v>2386</v>
      </c>
      <c r="E3361" s="430" t="s">
        <v>1708</v>
      </c>
      <c r="F3361" s="430"/>
      <c r="G3361" s="432" t="s">
        <v>82</v>
      </c>
      <c r="H3361" s="433">
        <v>0.0945</v>
      </c>
      <c r="I3361" s="433">
        <v>0</v>
      </c>
      <c r="J3361" s="446">
        <v>30.6</v>
      </c>
      <c r="K3361" s="446">
        <v>2.89</v>
      </c>
    </row>
    <row r="3362" customHeight="1" spans="1:11">
      <c r="A3362" s="430" t="s">
        <v>1724</v>
      </c>
      <c r="B3362" s="431" t="s">
        <v>2387</v>
      </c>
      <c r="C3362" s="430" t="s">
        <v>71</v>
      </c>
      <c r="D3362" s="430" t="s">
        <v>2388</v>
      </c>
      <c r="E3362" s="430" t="s">
        <v>1708</v>
      </c>
      <c r="F3362" s="430"/>
      <c r="G3362" s="432" t="s">
        <v>82</v>
      </c>
      <c r="H3362" s="433">
        <v>0.0945</v>
      </c>
      <c r="I3362" s="433">
        <v>0</v>
      </c>
      <c r="J3362" s="446">
        <v>36.82</v>
      </c>
      <c r="K3362" s="446">
        <v>3.47</v>
      </c>
    </row>
    <row r="3363" customHeight="1" spans="1:11">
      <c r="A3363" s="438" t="s">
        <v>1750</v>
      </c>
      <c r="B3363" s="439" t="s">
        <v>2721</v>
      </c>
      <c r="C3363" s="438" t="s">
        <v>71</v>
      </c>
      <c r="D3363" s="438" t="s">
        <v>2722</v>
      </c>
      <c r="E3363" s="438" t="s">
        <v>1631</v>
      </c>
      <c r="F3363" s="438"/>
      <c r="G3363" s="440" t="s">
        <v>78</v>
      </c>
      <c r="H3363" s="441">
        <v>1.1</v>
      </c>
      <c r="I3363" s="441">
        <v>0</v>
      </c>
      <c r="J3363" s="449">
        <v>7.68</v>
      </c>
      <c r="K3363" s="449">
        <v>8.44</v>
      </c>
    </row>
    <row r="3364" customHeight="1" spans="1:11">
      <c r="A3364" s="434"/>
      <c r="B3364" s="434"/>
      <c r="C3364" s="434"/>
      <c r="D3364" s="434"/>
      <c r="E3364" s="434"/>
      <c r="F3364" s="434" t="s">
        <v>1735</v>
      </c>
      <c r="G3364" s="435">
        <v>2.33</v>
      </c>
      <c r="H3364" s="434" t="s">
        <v>1736</v>
      </c>
      <c r="I3364" s="435">
        <v>2.13</v>
      </c>
      <c r="J3364" s="434" t="s">
        <v>1737</v>
      </c>
      <c r="K3364" s="435">
        <v>4.46</v>
      </c>
    </row>
    <row r="3365" customHeight="1" spans="1:11">
      <c r="A3365" s="434"/>
      <c r="B3365" s="434"/>
      <c r="C3365" s="434"/>
      <c r="D3365" s="434"/>
      <c r="E3365" s="434"/>
      <c r="F3365" s="434" t="s">
        <v>1738</v>
      </c>
      <c r="G3365" s="435">
        <v>3.64</v>
      </c>
      <c r="H3365" s="434"/>
      <c r="I3365" s="434" t="s">
        <v>1739</v>
      </c>
      <c r="J3365" s="434"/>
      <c r="K3365" s="435">
        <v>18.44</v>
      </c>
    </row>
    <row r="3366" customHeight="1" spans="1:11">
      <c r="A3366" s="436"/>
      <c r="B3366" s="436"/>
      <c r="C3366" s="436"/>
      <c r="D3366" s="436"/>
      <c r="E3366" s="436"/>
      <c r="F3366" s="436"/>
      <c r="G3366" s="436"/>
      <c r="H3366" s="436" t="s">
        <v>1740</v>
      </c>
      <c r="I3366" s="447" t="s">
        <v>2883</v>
      </c>
      <c r="J3366" s="436" t="s">
        <v>1742</v>
      </c>
      <c r="K3366" s="448">
        <v>2305</v>
      </c>
    </row>
    <row r="3367" customHeight="1" spans="1:11">
      <c r="A3367" s="437"/>
      <c r="B3367" s="437"/>
      <c r="C3367" s="437"/>
      <c r="D3367" s="437"/>
      <c r="E3367" s="437"/>
      <c r="F3367" s="437"/>
      <c r="G3367" s="437"/>
      <c r="H3367" s="437"/>
      <c r="I3367" s="437"/>
      <c r="J3367" s="437"/>
      <c r="K3367" s="437"/>
    </row>
    <row r="3368" customHeight="1" spans="1:11">
      <c r="A3368" s="423" t="s">
        <v>1018</v>
      </c>
      <c r="B3368" s="424" t="s">
        <v>1714</v>
      </c>
      <c r="C3368" s="423" t="s">
        <v>1715</v>
      </c>
      <c r="D3368" s="423" t="s">
        <v>1716</v>
      </c>
      <c r="E3368" s="423" t="s">
        <v>1717</v>
      </c>
      <c r="F3368" s="423"/>
      <c r="G3368" s="425" t="s">
        <v>1718</v>
      </c>
      <c r="H3368" s="424" t="s">
        <v>1719</v>
      </c>
      <c r="I3368" s="424" t="s">
        <v>1720</v>
      </c>
      <c r="J3368" s="424" t="s">
        <v>1721</v>
      </c>
      <c r="K3368" s="424" t="s">
        <v>1722</v>
      </c>
    </row>
    <row r="3369" customHeight="1" spans="1:11">
      <c r="A3369" s="426" t="s">
        <v>1723</v>
      </c>
      <c r="B3369" s="427" t="s">
        <v>843</v>
      </c>
      <c r="C3369" s="426" t="s">
        <v>512</v>
      </c>
      <c r="D3369" s="426" t="s">
        <v>844</v>
      </c>
      <c r="E3369" s="426" t="s">
        <v>1648</v>
      </c>
      <c r="F3369" s="426"/>
      <c r="G3369" s="428" t="s">
        <v>535</v>
      </c>
      <c r="H3369" s="429">
        <v>1</v>
      </c>
      <c r="I3369" s="445"/>
      <c r="J3369" s="445">
        <v>20.39</v>
      </c>
      <c r="K3369" s="445">
        <v>20.39</v>
      </c>
    </row>
    <row r="3370" customHeight="1" spans="1:11">
      <c r="A3370" s="438" t="s">
        <v>1750</v>
      </c>
      <c r="B3370" s="439" t="s">
        <v>2370</v>
      </c>
      <c r="C3370" s="438" t="s">
        <v>512</v>
      </c>
      <c r="D3370" s="438" t="s">
        <v>2371</v>
      </c>
      <c r="E3370" s="438" t="s">
        <v>2372</v>
      </c>
      <c r="F3370" s="438"/>
      <c r="G3370" s="440" t="s">
        <v>1617</v>
      </c>
      <c r="H3370" s="441">
        <v>8.3</v>
      </c>
      <c r="I3370" s="441">
        <v>3</v>
      </c>
      <c r="J3370" s="449">
        <v>1</v>
      </c>
      <c r="K3370" s="449">
        <v>0.24</v>
      </c>
    </row>
    <row r="3371" customHeight="1" spans="1:11">
      <c r="A3371" s="438" t="s">
        <v>1750</v>
      </c>
      <c r="B3371" s="439" t="s">
        <v>2689</v>
      </c>
      <c r="C3371" s="438" t="s">
        <v>512</v>
      </c>
      <c r="D3371" s="438" t="s">
        <v>2690</v>
      </c>
      <c r="E3371" s="438" t="s">
        <v>1764</v>
      </c>
      <c r="F3371" s="438"/>
      <c r="G3371" s="440" t="s">
        <v>2367</v>
      </c>
      <c r="H3371" s="441">
        <v>0.14</v>
      </c>
      <c r="I3371" s="441">
        <v>0</v>
      </c>
      <c r="J3371" s="449">
        <v>33.39</v>
      </c>
      <c r="K3371" s="449">
        <v>4.67</v>
      </c>
    </row>
    <row r="3372" customHeight="1" spans="1:11">
      <c r="A3372" s="438" t="s">
        <v>1750</v>
      </c>
      <c r="B3372" s="439" t="s">
        <v>2698</v>
      </c>
      <c r="C3372" s="438" t="s">
        <v>512</v>
      </c>
      <c r="D3372" s="438" t="s">
        <v>2699</v>
      </c>
      <c r="E3372" s="438" t="s">
        <v>1631</v>
      </c>
      <c r="F3372" s="438"/>
      <c r="G3372" s="440" t="s">
        <v>2700</v>
      </c>
      <c r="H3372" s="441">
        <v>0.333</v>
      </c>
      <c r="I3372" s="441">
        <v>0</v>
      </c>
      <c r="J3372" s="449">
        <v>35.61</v>
      </c>
      <c r="K3372" s="449">
        <v>11.85</v>
      </c>
    </row>
    <row r="3373" customHeight="1" spans="1:11">
      <c r="A3373" s="438" t="s">
        <v>1750</v>
      </c>
      <c r="B3373" s="439" t="s">
        <v>2391</v>
      </c>
      <c r="C3373" s="438" t="s">
        <v>512</v>
      </c>
      <c r="D3373" s="438" t="s">
        <v>2392</v>
      </c>
      <c r="E3373" s="438" t="s">
        <v>1764</v>
      </c>
      <c r="F3373" s="438"/>
      <c r="G3373" s="440" t="s">
        <v>2367</v>
      </c>
      <c r="H3373" s="441">
        <v>0.14</v>
      </c>
      <c r="I3373" s="441">
        <v>0</v>
      </c>
      <c r="J3373" s="449">
        <v>25.93</v>
      </c>
      <c r="K3373" s="449">
        <v>3.63</v>
      </c>
    </row>
    <row r="3374" customHeight="1" spans="1:11">
      <c r="A3374" s="434"/>
      <c r="B3374" s="434"/>
      <c r="C3374" s="434"/>
      <c r="D3374" s="434"/>
      <c r="E3374" s="434"/>
      <c r="F3374" s="434" t="s">
        <v>1735</v>
      </c>
      <c r="G3374" s="435">
        <v>4.34</v>
      </c>
      <c r="H3374" s="434" t="s">
        <v>1736</v>
      </c>
      <c r="I3374" s="435">
        <v>3.96</v>
      </c>
      <c r="J3374" s="434" t="s">
        <v>1737</v>
      </c>
      <c r="K3374" s="435">
        <v>8.3</v>
      </c>
    </row>
    <row r="3375" customHeight="1" spans="1:11">
      <c r="A3375" s="434"/>
      <c r="B3375" s="434"/>
      <c r="C3375" s="434"/>
      <c r="D3375" s="434"/>
      <c r="E3375" s="434"/>
      <c r="F3375" s="434" t="s">
        <v>1738</v>
      </c>
      <c r="G3375" s="435">
        <v>5.02</v>
      </c>
      <c r="H3375" s="434"/>
      <c r="I3375" s="434" t="s">
        <v>1739</v>
      </c>
      <c r="J3375" s="434"/>
      <c r="K3375" s="435">
        <v>25.41</v>
      </c>
    </row>
    <row r="3376" customHeight="1" spans="1:11">
      <c r="A3376" s="436"/>
      <c r="B3376" s="436"/>
      <c r="C3376" s="436"/>
      <c r="D3376" s="436"/>
      <c r="E3376" s="436"/>
      <c r="F3376" s="436"/>
      <c r="G3376" s="436"/>
      <c r="H3376" s="436" t="s">
        <v>1740</v>
      </c>
      <c r="I3376" s="447" t="s">
        <v>2884</v>
      </c>
      <c r="J3376" s="436" t="s">
        <v>1742</v>
      </c>
      <c r="K3376" s="448">
        <v>6098.4</v>
      </c>
    </row>
    <row r="3377" customHeight="1" spans="1:11">
      <c r="A3377" s="437"/>
      <c r="B3377" s="437"/>
      <c r="C3377" s="437"/>
      <c r="D3377" s="437"/>
      <c r="E3377" s="437"/>
      <c r="F3377" s="437"/>
      <c r="G3377" s="437"/>
      <c r="H3377" s="437"/>
      <c r="I3377" s="437"/>
      <c r="J3377" s="437"/>
      <c r="K3377" s="437"/>
    </row>
    <row r="3378" customHeight="1" spans="1:11">
      <c r="A3378" s="422" t="s">
        <v>1019</v>
      </c>
      <c r="B3378" s="422"/>
      <c r="C3378" s="422"/>
      <c r="D3378" s="422" t="s">
        <v>873</v>
      </c>
      <c r="E3378" s="422"/>
      <c r="F3378" s="422"/>
      <c r="G3378" s="422"/>
      <c r="H3378" s="422"/>
      <c r="I3378" s="443"/>
      <c r="J3378" s="422"/>
      <c r="K3378" s="444">
        <v>11304.89</v>
      </c>
    </row>
    <row r="3379" customHeight="1" spans="1:11">
      <c r="A3379" s="423" t="s">
        <v>1020</v>
      </c>
      <c r="B3379" s="424" t="s">
        <v>1714</v>
      </c>
      <c r="C3379" s="423" t="s">
        <v>1715</v>
      </c>
      <c r="D3379" s="423" t="s">
        <v>1716</v>
      </c>
      <c r="E3379" s="423" t="s">
        <v>1717</v>
      </c>
      <c r="F3379" s="423"/>
      <c r="G3379" s="425" t="s">
        <v>1718</v>
      </c>
      <c r="H3379" s="424" t="s">
        <v>1719</v>
      </c>
      <c r="I3379" s="424" t="s">
        <v>1720</v>
      </c>
      <c r="J3379" s="424" t="s">
        <v>1721</v>
      </c>
      <c r="K3379" s="424" t="s">
        <v>1722</v>
      </c>
    </row>
    <row r="3380" customHeight="1" spans="1:11">
      <c r="A3380" s="426" t="s">
        <v>1723</v>
      </c>
      <c r="B3380" s="427" t="s">
        <v>1021</v>
      </c>
      <c r="C3380" s="426" t="s">
        <v>76</v>
      </c>
      <c r="D3380" s="426" t="s">
        <v>1022</v>
      </c>
      <c r="E3380" s="426">
        <v>15</v>
      </c>
      <c r="F3380" s="426"/>
      <c r="G3380" s="428" t="s">
        <v>78</v>
      </c>
      <c r="H3380" s="429">
        <v>1</v>
      </c>
      <c r="I3380" s="445"/>
      <c r="J3380" s="445">
        <v>61.23</v>
      </c>
      <c r="K3380" s="445">
        <v>61.23</v>
      </c>
    </row>
    <row r="3381" customHeight="1" spans="1:11">
      <c r="A3381" s="438" t="s">
        <v>1750</v>
      </c>
      <c r="B3381" s="439" t="s">
        <v>2885</v>
      </c>
      <c r="C3381" s="438" t="s">
        <v>76</v>
      </c>
      <c r="D3381" s="438" t="s">
        <v>2886</v>
      </c>
      <c r="E3381" s="438" t="s">
        <v>1631</v>
      </c>
      <c r="F3381" s="438"/>
      <c r="G3381" s="440" t="s">
        <v>105</v>
      </c>
      <c r="H3381" s="441">
        <v>0.33</v>
      </c>
      <c r="I3381" s="441">
        <v>0</v>
      </c>
      <c r="J3381" s="449">
        <v>43</v>
      </c>
      <c r="K3381" s="449">
        <v>14.19</v>
      </c>
    </row>
    <row r="3382" customHeight="1" spans="1:11">
      <c r="A3382" s="438" t="s">
        <v>1750</v>
      </c>
      <c r="B3382" s="439" t="s">
        <v>1767</v>
      </c>
      <c r="C3382" s="438" t="s">
        <v>76</v>
      </c>
      <c r="D3382" s="438" t="s">
        <v>1768</v>
      </c>
      <c r="E3382" s="438" t="s">
        <v>1764</v>
      </c>
      <c r="F3382" s="438"/>
      <c r="G3382" s="440" t="s">
        <v>82</v>
      </c>
      <c r="H3382" s="441">
        <v>1</v>
      </c>
      <c r="I3382" s="441">
        <v>3</v>
      </c>
      <c r="J3382" s="449">
        <v>19.16</v>
      </c>
      <c r="K3382" s="449">
        <v>19.73</v>
      </c>
    </row>
    <row r="3383" customHeight="1" spans="1:11">
      <c r="A3383" s="438" t="s">
        <v>1750</v>
      </c>
      <c r="B3383" s="439" t="s">
        <v>2660</v>
      </c>
      <c r="C3383" s="438" t="s">
        <v>76</v>
      </c>
      <c r="D3383" s="438" t="s">
        <v>2661</v>
      </c>
      <c r="E3383" s="438" t="s">
        <v>1764</v>
      </c>
      <c r="F3383" s="438"/>
      <c r="G3383" s="440" t="s">
        <v>82</v>
      </c>
      <c r="H3383" s="441">
        <v>1</v>
      </c>
      <c r="I3383" s="441">
        <v>3</v>
      </c>
      <c r="J3383" s="449">
        <v>26.52</v>
      </c>
      <c r="K3383" s="449">
        <v>27.31</v>
      </c>
    </row>
    <row r="3384" customHeight="1" spans="1:11">
      <c r="A3384" s="434"/>
      <c r="B3384" s="434"/>
      <c r="C3384" s="434"/>
      <c r="D3384" s="434"/>
      <c r="E3384" s="434"/>
      <c r="F3384" s="434" t="s">
        <v>1735</v>
      </c>
      <c r="G3384" s="435">
        <v>24.65</v>
      </c>
      <c r="H3384" s="434" t="s">
        <v>1736</v>
      </c>
      <c r="I3384" s="435">
        <v>22.39</v>
      </c>
      <c r="J3384" s="434" t="s">
        <v>1737</v>
      </c>
      <c r="K3384" s="435">
        <v>47.04</v>
      </c>
    </row>
    <row r="3385" customHeight="1" spans="1:11">
      <c r="A3385" s="434"/>
      <c r="B3385" s="434"/>
      <c r="C3385" s="434"/>
      <c r="D3385" s="434"/>
      <c r="E3385" s="434"/>
      <c r="F3385" s="434" t="s">
        <v>1738</v>
      </c>
      <c r="G3385" s="435">
        <v>15.09</v>
      </c>
      <c r="H3385" s="434"/>
      <c r="I3385" s="434" t="s">
        <v>1739</v>
      </c>
      <c r="J3385" s="434"/>
      <c r="K3385" s="435">
        <v>76.32</v>
      </c>
    </row>
    <row r="3386" customHeight="1" spans="1:11">
      <c r="A3386" s="436"/>
      <c r="B3386" s="436"/>
      <c r="C3386" s="436"/>
      <c r="D3386" s="436"/>
      <c r="E3386" s="436"/>
      <c r="F3386" s="436"/>
      <c r="G3386" s="436"/>
      <c r="H3386" s="436" t="s">
        <v>1740</v>
      </c>
      <c r="I3386" s="447" t="s">
        <v>1990</v>
      </c>
      <c r="J3386" s="436" t="s">
        <v>1742</v>
      </c>
      <c r="K3386" s="448">
        <v>5495.04</v>
      </c>
    </row>
    <row r="3387" customHeight="1" spans="1:11">
      <c r="A3387" s="437"/>
      <c r="B3387" s="437"/>
      <c r="C3387" s="437"/>
      <c r="D3387" s="437"/>
      <c r="E3387" s="437"/>
      <c r="F3387" s="437"/>
      <c r="G3387" s="437"/>
      <c r="H3387" s="437"/>
      <c r="I3387" s="437"/>
      <c r="J3387" s="437"/>
      <c r="K3387" s="437"/>
    </row>
    <row r="3388" customHeight="1" spans="1:11">
      <c r="A3388" s="423" t="s">
        <v>1023</v>
      </c>
      <c r="B3388" s="424" t="s">
        <v>1714</v>
      </c>
      <c r="C3388" s="423" t="s">
        <v>1715</v>
      </c>
      <c r="D3388" s="423" t="s">
        <v>1716</v>
      </c>
      <c r="E3388" s="423" t="s">
        <v>1717</v>
      </c>
      <c r="F3388" s="423"/>
      <c r="G3388" s="425" t="s">
        <v>1718</v>
      </c>
      <c r="H3388" s="424" t="s">
        <v>1719</v>
      </c>
      <c r="I3388" s="424" t="s">
        <v>1720</v>
      </c>
      <c r="J3388" s="424" t="s">
        <v>1721</v>
      </c>
      <c r="K3388" s="424" t="s">
        <v>1722</v>
      </c>
    </row>
    <row r="3389" customHeight="1" spans="1:11">
      <c r="A3389" s="426" t="s">
        <v>1723</v>
      </c>
      <c r="B3389" s="427" t="s">
        <v>1024</v>
      </c>
      <c r="C3389" s="426" t="s">
        <v>65</v>
      </c>
      <c r="D3389" s="426" t="s">
        <v>1025</v>
      </c>
      <c r="E3389" s="426" t="s">
        <v>62</v>
      </c>
      <c r="F3389" s="426"/>
      <c r="G3389" s="428" t="s">
        <v>67</v>
      </c>
      <c r="H3389" s="429">
        <v>1</v>
      </c>
      <c r="I3389" s="445"/>
      <c r="J3389" s="445">
        <v>5.02</v>
      </c>
      <c r="K3389" s="445">
        <v>5.02</v>
      </c>
    </row>
    <row r="3390" customHeight="1" spans="1:11">
      <c r="A3390" s="430" t="s">
        <v>1724</v>
      </c>
      <c r="B3390" s="431" t="s">
        <v>2387</v>
      </c>
      <c r="C3390" s="430" t="s">
        <v>71</v>
      </c>
      <c r="D3390" s="430" t="s">
        <v>2388</v>
      </c>
      <c r="E3390" s="430" t="s">
        <v>1708</v>
      </c>
      <c r="F3390" s="430"/>
      <c r="G3390" s="432" t="s">
        <v>82</v>
      </c>
      <c r="H3390" s="433">
        <v>0.05</v>
      </c>
      <c r="I3390" s="433">
        <v>0</v>
      </c>
      <c r="J3390" s="446">
        <v>36.82</v>
      </c>
      <c r="K3390" s="446">
        <v>1.84</v>
      </c>
    </row>
    <row r="3391" customHeight="1" spans="1:11">
      <c r="A3391" s="430" t="s">
        <v>1724</v>
      </c>
      <c r="B3391" s="431" t="s">
        <v>2385</v>
      </c>
      <c r="C3391" s="430" t="s">
        <v>71</v>
      </c>
      <c r="D3391" s="430" t="s">
        <v>2386</v>
      </c>
      <c r="E3391" s="430" t="s">
        <v>1708</v>
      </c>
      <c r="F3391" s="430"/>
      <c r="G3391" s="432" t="s">
        <v>82</v>
      </c>
      <c r="H3391" s="433">
        <v>0.05</v>
      </c>
      <c r="I3391" s="433">
        <v>0</v>
      </c>
      <c r="J3391" s="446">
        <v>30.6</v>
      </c>
      <c r="K3391" s="446">
        <v>1.53</v>
      </c>
    </row>
    <row r="3392" customHeight="1" spans="1:11">
      <c r="A3392" s="438" t="s">
        <v>1750</v>
      </c>
      <c r="B3392" s="439" t="s">
        <v>2887</v>
      </c>
      <c r="C3392" s="438" t="s">
        <v>65</v>
      </c>
      <c r="D3392" s="438" t="s">
        <v>2888</v>
      </c>
      <c r="E3392" s="438" t="s">
        <v>1631</v>
      </c>
      <c r="F3392" s="438"/>
      <c r="G3392" s="440" t="s">
        <v>67</v>
      </c>
      <c r="H3392" s="441">
        <v>1</v>
      </c>
      <c r="I3392" s="441">
        <v>0</v>
      </c>
      <c r="J3392" s="449">
        <v>1.65</v>
      </c>
      <c r="K3392" s="449">
        <v>1.65</v>
      </c>
    </row>
    <row r="3393" customHeight="1" spans="1:11">
      <c r="A3393" s="434"/>
      <c r="B3393" s="434"/>
      <c r="C3393" s="434"/>
      <c r="D3393" s="434"/>
      <c r="E3393" s="434"/>
      <c r="F3393" s="434" t="s">
        <v>1735</v>
      </c>
      <c r="G3393" s="435">
        <v>1.23</v>
      </c>
      <c r="H3393" s="434" t="s">
        <v>1736</v>
      </c>
      <c r="I3393" s="435">
        <v>1.12</v>
      </c>
      <c r="J3393" s="434" t="s">
        <v>1737</v>
      </c>
      <c r="K3393" s="435">
        <v>2.35</v>
      </c>
    </row>
    <row r="3394" customHeight="1" spans="1:11">
      <c r="A3394" s="434"/>
      <c r="B3394" s="434"/>
      <c r="C3394" s="434"/>
      <c r="D3394" s="434"/>
      <c r="E3394" s="434"/>
      <c r="F3394" s="434" t="s">
        <v>1738</v>
      </c>
      <c r="G3394" s="435">
        <v>1.23</v>
      </c>
      <c r="H3394" s="434"/>
      <c r="I3394" s="434" t="s">
        <v>1739</v>
      </c>
      <c r="J3394" s="434"/>
      <c r="K3394" s="435">
        <v>6.25</v>
      </c>
    </row>
    <row r="3395" customHeight="1" spans="1:11">
      <c r="A3395" s="436"/>
      <c r="B3395" s="436"/>
      <c r="C3395" s="436"/>
      <c r="D3395" s="436"/>
      <c r="E3395" s="436"/>
      <c r="F3395" s="436"/>
      <c r="G3395" s="436"/>
      <c r="H3395" s="436" t="s">
        <v>1740</v>
      </c>
      <c r="I3395" s="447" t="s">
        <v>2889</v>
      </c>
      <c r="J3395" s="436" t="s">
        <v>1742</v>
      </c>
      <c r="K3395" s="448">
        <v>237.5</v>
      </c>
    </row>
    <row r="3396" customHeight="1" spans="1:11">
      <c r="A3396" s="437"/>
      <c r="B3396" s="437"/>
      <c r="C3396" s="437"/>
      <c r="D3396" s="437"/>
      <c r="E3396" s="437"/>
      <c r="F3396" s="437"/>
      <c r="G3396" s="437"/>
      <c r="H3396" s="437"/>
      <c r="I3396" s="437"/>
      <c r="J3396" s="437"/>
      <c r="K3396" s="437"/>
    </row>
    <row r="3397" customHeight="1" spans="1:11">
      <c r="A3397" s="423" t="s">
        <v>1026</v>
      </c>
      <c r="B3397" s="424" t="s">
        <v>1714</v>
      </c>
      <c r="C3397" s="423" t="s">
        <v>1715</v>
      </c>
      <c r="D3397" s="423" t="s">
        <v>1716</v>
      </c>
      <c r="E3397" s="423" t="s">
        <v>1717</v>
      </c>
      <c r="F3397" s="423"/>
      <c r="G3397" s="425" t="s">
        <v>1718</v>
      </c>
      <c r="H3397" s="424" t="s">
        <v>1719</v>
      </c>
      <c r="I3397" s="424" t="s">
        <v>1720</v>
      </c>
      <c r="J3397" s="424" t="s">
        <v>1721</v>
      </c>
      <c r="K3397" s="424" t="s">
        <v>1722</v>
      </c>
    </row>
    <row r="3398" customHeight="1" spans="1:11">
      <c r="A3398" s="426" t="s">
        <v>1723</v>
      </c>
      <c r="B3398" s="427" t="s">
        <v>1027</v>
      </c>
      <c r="C3398" s="426" t="s">
        <v>76</v>
      </c>
      <c r="D3398" s="426" t="s">
        <v>1028</v>
      </c>
      <c r="E3398" s="426">
        <v>15</v>
      </c>
      <c r="F3398" s="426"/>
      <c r="G3398" s="428" t="s">
        <v>78</v>
      </c>
      <c r="H3398" s="429">
        <v>1</v>
      </c>
      <c r="I3398" s="445"/>
      <c r="J3398" s="445">
        <v>70.96</v>
      </c>
      <c r="K3398" s="445">
        <v>70.96</v>
      </c>
    </row>
    <row r="3399" customHeight="1" spans="1:11">
      <c r="A3399" s="438" t="s">
        <v>1750</v>
      </c>
      <c r="B3399" s="439" t="s">
        <v>2660</v>
      </c>
      <c r="C3399" s="438" t="s">
        <v>76</v>
      </c>
      <c r="D3399" s="438" t="s">
        <v>2661</v>
      </c>
      <c r="E3399" s="438" t="s">
        <v>1764</v>
      </c>
      <c r="F3399" s="438"/>
      <c r="G3399" s="440" t="s">
        <v>82</v>
      </c>
      <c r="H3399" s="441">
        <v>1</v>
      </c>
      <c r="I3399" s="441">
        <v>3</v>
      </c>
      <c r="J3399" s="449">
        <v>26.52</v>
      </c>
      <c r="K3399" s="449">
        <v>27.31</v>
      </c>
    </row>
    <row r="3400" customHeight="1" spans="1:11">
      <c r="A3400" s="438" t="s">
        <v>1750</v>
      </c>
      <c r="B3400" s="439" t="s">
        <v>1767</v>
      </c>
      <c r="C3400" s="438" t="s">
        <v>76</v>
      </c>
      <c r="D3400" s="438" t="s">
        <v>1768</v>
      </c>
      <c r="E3400" s="438" t="s">
        <v>1764</v>
      </c>
      <c r="F3400" s="438"/>
      <c r="G3400" s="440" t="s">
        <v>82</v>
      </c>
      <c r="H3400" s="441">
        <v>1</v>
      </c>
      <c r="I3400" s="441">
        <v>3</v>
      </c>
      <c r="J3400" s="449">
        <v>19.16</v>
      </c>
      <c r="K3400" s="449">
        <v>19.73</v>
      </c>
    </row>
    <row r="3401" customHeight="1" spans="1:11">
      <c r="A3401" s="438" t="s">
        <v>1750</v>
      </c>
      <c r="B3401" s="439" t="s">
        <v>2730</v>
      </c>
      <c r="C3401" s="438" t="s">
        <v>76</v>
      </c>
      <c r="D3401" s="438" t="s">
        <v>2731</v>
      </c>
      <c r="E3401" s="438" t="s">
        <v>1631</v>
      </c>
      <c r="F3401" s="438"/>
      <c r="G3401" s="440" t="s">
        <v>105</v>
      </c>
      <c r="H3401" s="441">
        <v>0.33</v>
      </c>
      <c r="I3401" s="441">
        <v>0</v>
      </c>
      <c r="J3401" s="449">
        <v>72.51</v>
      </c>
      <c r="K3401" s="449">
        <v>23.92</v>
      </c>
    </row>
    <row r="3402" customHeight="1" spans="1:11">
      <c r="A3402" s="434"/>
      <c r="B3402" s="434"/>
      <c r="C3402" s="434"/>
      <c r="D3402" s="434"/>
      <c r="E3402" s="434"/>
      <c r="F3402" s="434" t="s">
        <v>1735</v>
      </c>
      <c r="G3402" s="435">
        <v>24.65</v>
      </c>
      <c r="H3402" s="434" t="s">
        <v>1736</v>
      </c>
      <c r="I3402" s="435">
        <v>22.39</v>
      </c>
      <c r="J3402" s="434" t="s">
        <v>1737</v>
      </c>
      <c r="K3402" s="435">
        <v>47.04</v>
      </c>
    </row>
    <row r="3403" customHeight="1" spans="1:11">
      <c r="A3403" s="434"/>
      <c r="B3403" s="434"/>
      <c r="C3403" s="434"/>
      <c r="D3403" s="434"/>
      <c r="E3403" s="434"/>
      <c r="F3403" s="434" t="s">
        <v>1738</v>
      </c>
      <c r="G3403" s="435">
        <v>17.49</v>
      </c>
      <c r="H3403" s="434"/>
      <c r="I3403" s="434" t="s">
        <v>1739</v>
      </c>
      <c r="J3403" s="434"/>
      <c r="K3403" s="435">
        <v>88.45</v>
      </c>
    </row>
    <row r="3404" customHeight="1" spans="1:11">
      <c r="A3404" s="436"/>
      <c r="B3404" s="436"/>
      <c r="C3404" s="436"/>
      <c r="D3404" s="436"/>
      <c r="E3404" s="436"/>
      <c r="F3404" s="436"/>
      <c r="G3404" s="436"/>
      <c r="H3404" s="436" t="s">
        <v>1740</v>
      </c>
      <c r="I3404" s="447" t="s">
        <v>2890</v>
      </c>
      <c r="J3404" s="436" t="s">
        <v>1742</v>
      </c>
      <c r="K3404" s="448">
        <v>5572.35</v>
      </c>
    </row>
    <row r="3405" customHeight="1" spans="1:11">
      <c r="A3405" s="437"/>
      <c r="B3405" s="437"/>
      <c r="C3405" s="437"/>
      <c r="D3405" s="437"/>
      <c r="E3405" s="437"/>
      <c r="F3405" s="437"/>
      <c r="G3405" s="437"/>
      <c r="H3405" s="437"/>
      <c r="I3405" s="437"/>
      <c r="J3405" s="437"/>
      <c r="K3405" s="437"/>
    </row>
    <row r="3406" customHeight="1" spans="1:11">
      <c r="A3406" s="422" t="s">
        <v>1029</v>
      </c>
      <c r="B3406" s="422"/>
      <c r="C3406" s="422"/>
      <c r="D3406" s="422" t="s">
        <v>1030</v>
      </c>
      <c r="E3406" s="422"/>
      <c r="F3406" s="422"/>
      <c r="G3406" s="422"/>
      <c r="H3406" s="422"/>
      <c r="I3406" s="443"/>
      <c r="J3406" s="422"/>
      <c r="K3406" s="444">
        <v>6422.15</v>
      </c>
    </row>
    <row r="3407" customHeight="1" spans="1:11">
      <c r="A3407" s="423" t="s">
        <v>1031</v>
      </c>
      <c r="B3407" s="424" t="s">
        <v>1714</v>
      </c>
      <c r="C3407" s="423" t="s">
        <v>1715</v>
      </c>
      <c r="D3407" s="423" t="s">
        <v>1716</v>
      </c>
      <c r="E3407" s="423" t="s">
        <v>1717</v>
      </c>
      <c r="F3407" s="423"/>
      <c r="G3407" s="425" t="s">
        <v>1718</v>
      </c>
      <c r="H3407" s="424" t="s">
        <v>1719</v>
      </c>
      <c r="I3407" s="424" t="s">
        <v>1720</v>
      </c>
      <c r="J3407" s="424" t="s">
        <v>1721</v>
      </c>
      <c r="K3407" s="424" t="s">
        <v>1722</v>
      </c>
    </row>
    <row r="3408" customHeight="1" spans="1:11">
      <c r="A3408" s="426" t="s">
        <v>1723</v>
      </c>
      <c r="B3408" s="427" t="s">
        <v>1032</v>
      </c>
      <c r="C3408" s="426" t="s">
        <v>76</v>
      </c>
      <c r="D3408" s="426" t="s">
        <v>1033</v>
      </c>
      <c r="E3408" s="426">
        <v>15</v>
      </c>
      <c r="F3408" s="426"/>
      <c r="G3408" s="428" t="s">
        <v>105</v>
      </c>
      <c r="H3408" s="429">
        <v>1</v>
      </c>
      <c r="I3408" s="445"/>
      <c r="J3408" s="445">
        <v>38.86</v>
      </c>
      <c r="K3408" s="445">
        <v>38.86</v>
      </c>
    </row>
    <row r="3409" customHeight="1" spans="1:11">
      <c r="A3409" s="438" t="s">
        <v>1750</v>
      </c>
      <c r="B3409" s="439" t="s">
        <v>2660</v>
      </c>
      <c r="C3409" s="438" t="s">
        <v>76</v>
      </c>
      <c r="D3409" s="438" t="s">
        <v>2661</v>
      </c>
      <c r="E3409" s="438" t="s">
        <v>1764</v>
      </c>
      <c r="F3409" s="438"/>
      <c r="G3409" s="440" t="s">
        <v>82</v>
      </c>
      <c r="H3409" s="441">
        <v>0.5</v>
      </c>
      <c r="I3409" s="441">
        <v>3</v>
      </c>
      <c r="J3409" s="449">
        <v>26.52</v>
      </c>
      <c r="K3409" s="449">
        <v>13.65</v>
      </c>
    </row>
    <row r="3410" customHeight="1" spans="1:11">
      <c r="A3410" s="438" t="s">
        <v>1750</v>
      </c>
      <c r="B3410" s="439" t="s">
        <v>2891</v>
      </c>
      <c r="C3410" s="438" t="s">
        <v>76</v>
      </c>
      <c r="D3410" s="438" t="s">
        <v>2892</v>
      </c>
      <c r="E3410" s="438" t="s">
        <v>1631</v>
      </c>
      <c r="F3410" s="438"/>
      <c r="G3410" s="440" t="s">
        <v>105</v>
      </c>
      <c r="H3410" s="441">
        <v>1</v>
      </c>
      <c r="I3410" s="441">
        <v>0</v>
      </c>
      <c r="J3410" s="449">
        <v>25.21</v>
      </c>
      <c r="K3410" s="449">
        <v>25.21</v>
      </c>
    </row>
    <row r="3411" customHeight="1" spans="1:11">
      <c r="A3411" s="434"/>
      <c r="B3411" s="434"/>
      <c r="C3411" s="434"/>
      <c r="D3411" s="434"/>
      <c r="E3411" s="434"/>
      <c r="F3411" s="434" t="s">
        <v>1735</v>
      </c>
      <c r="G3411" s="435">
        <v>7.15</v>
      </c>
      <c r="H3411" s="434" t="s">
        <v>1736</v>
      </c>
      <c r="I3411" s="435">
        <v>6.5</v>
      </c>
      <c r="J3411" s="434" t="s">
        <v>1737</v>
      </c>
      <c r="K3411" s="435">
        <v>13.65</v>
      </c>
    </row>
    <row r="3412" customHeight="1" spans="1:11">
      <c r="A3412" s="434"/>
      <c r="B3412" s="434"/>
      <c r="C3412" s="434"/>
      <c r="D3412" s="434"/>
      <c r="E3412" s="434"/>
      <c r="F3412" s="434" t="s">
        <v>1738</v>
      </c>
      <c r="G3412" s="435">
        <v>9.58</v>
      </c>
      <c r="H3412" s="434"/>
      <c r="I3412" s="434" t="s">
        <v>1739</v>
      </c>
      <c r="J3412" s="434"/>
      <c r="K3412" s="435">
        <v>48.44</v>
      </c>
    </row>
    <row r="3413" customHeight="1" spans="1:11">
      <c r="A3413" s="436"/>
      <c r="B3413" s="436"/>
      <c r="C3413" s="436"/>
      <c r="D3413" s="436"/>
      <c r="E3413" s="436"/>
      <c r="F3413" s="436"/>
      <c r="G3413" s="436"/>
      <c r="H3413" s="436" t="s">
        <v>1740</v>
      </c>
      <c r="I3413" s="447" t="s">
        <v>2893</v>
      </c>
      <c r="J3413" s="436" t="s">
        <v>1742</v>
      </c>
      <c r="K3413" s="448">
        <v>2228.24</v>
      </c>
    </row>
    <row r="3414" customHeight="1" spans="1:11">
      <c r="A3414" s="437"/>
      <c r="B3414" s="437"/>
      <c r="C3414" s="437"/>
      <c r="D3414" s="437"/>
      <c r="E3414" s="437"/>
      <c r="F3414" s="437"/>
      <c r="G3414" s="437"/>
      <c r="H3414" s="437"/>
      <c r="I3414" s="437"/>
      <c r="J3414" s="437"/>
      <c r="K3414" s="437"/>
    </row>
    <row r="3415" customHeight="1" spans="1:11">
      <c r="A3415" s="423" t="s">
        <v>1034</v>
      </c>
      <c r="B3415" s="424" t="s">
        <v>1714</v>
      </c>
      <c r="C3415" s="423" t="s">
        <v>1715</v>
      </c>
      <c r="D3415" s="423" t="s">
        <v>1716</v>
      </c>
      <c r="E3415" s="423" t="s">
        <v>1717</v>
      </c>
      <c r="F3415" s="423"/>
      <c r="G3415" s="425" t="s">
        <v>1718</v>
      </c>
      <c r="H3415" s="424" t="s">
        <v>1719</v>
      </c>
      <c r="I3415" s="424" t="s">
        <v>1720</v>
      </c>
      <c r="J3415" s="424" t="s">
        <v>1721</v>
      </c>
      <c r="K3415" s="424" t="s">
        <v>1722</v>
      </c>
    </row>
    <row r="3416" customHeight="1" spans="1:11">
      <c r="A3416" s="426" t="s">
        <v>1723</v>
      </c>
      <c r="B3416" s="427" t="s">
        <v>1035</v>
      </c>
      <c r="C3416" s="426" t="s">
        <v>65</v>
      </c>
      <c r="D3416" s="426" t="s">
        <v>1036</v>
      </c>
      <c r="E3416" s="426" t="s">
        <v>62</v>
      </c>
      <c r="F3416" s="426"/>
      <c r="G3416" s="428" t="s">
        <v>67</v>
      </c>
      <c r="H3416" s="429">
        <v>1</v>
      </c>
      <c r="I3416" s="445"/>
      <c r="J3416" s="445">
        <v>68.66</v>
      </c>
      <c r="K3416" s="445">
        <v>68.66</v>
      </c>
    </row>
    <row r="3417" customHeight="1" spans="1:11">
      <c r="A3417" s="430" t="s">
        <v>1724</v>
      </c>
      <c r="B3417" s="431" t="s">
        <v>2385</v>
      </c>
      <c r="C3417" s="430" t="s">
        <v>71</v>
      </c>
      <c r="D3417" s="430" t="s">
        <v>2386</v>
      </c>
      <c r="E3417" s="430" t="s">
        <v>1708</v>
      </c>
      <c r="F3417" s="430"/>
      <c r="G3417" s="432" t="s">
        <v>82</v>
      </c>
      <c r="H3417" s="433">
        <v>0.3</v>
      </c>
      <c r="I3417" s="433">
        <v>0</v>
      </c>
      <c r="J3417" s="446">
        <v>30.6</v>
      </c>
      <c r="K3417" s="446">
        <v>9.18</v>
      </c>
    </row>
    <row r="3418" customHeight="1" spans="1:11">
      <c r="A3418" s="430" t="s">
        <v>1724</v>
      </c>
      <c r="B3418" s="431" t="s">
        <v>2387</v>
      </c>
      <c r="C3418" s="430" t="s">
        <v>71</v>
      </c>
      <c r="D3418" s="430" t="s">
        <v>2388</v>
      </c>
      <c r="E3418" s="430" t="s">
        <v>1708</v>
      </c>
      <c r="F3418" s="430"/>
      <c r="G3418" s="432" t="s">
        <v>82</v>
      </c>
      <c r="H3418" s="433">
        <v>0.3</v>
      </c>
      <c r="I3418" s="433">
        <v>0</v>
      </c>
      <c r="J3418" s="446">
        <v>36.82</v>
      </c>
      <c r="K3418" s="446">
        <v>11.04</v>
      </c>
    </row>
    <row r="3419" customHeight="1" spans="1:11">
      <c r="A3419" s="438" t="s">
        <v>1750</v>
      </c>
      <c r="B3419" s="439" t="s">
        <v>2894</v>
      </c>
      <c r="C3419" s="438" t="s">
        <v>71</v>
      </c>
      <c r="D3419" s="438" t="s">
        <v>2895</v>
      </c>
      <c r="E3419" s="438" t="s">
        <v>1631</v>
      </c>
      <c r="F3419" s="438"/>
      <c r="G3419" s="440" t="s">
        <v>105</v>
      </c>
      <c r="H3419" s="441">
        <v>1</v>
      </c>
      <c r="I3419" s="441">
        <v>0</v>
      </c>
      <c r="J3419" s="449">
        <v>16.63</v>
      </c>
      <c r="K3419" s="449">
        <v>16.63</v>
      </c>
    </row>
    <row r="3420" customHeight="1" spans="1:11">
      <c r="A3420" s="438" t="s">
        <v>1750</v>
      </c>
      <c r="B3420" s="439" t="s">
        <v>2896</v>
      </c>
      <c r="C3420" s="438" t="s">
        <v>71</v>
      </c>
      <c r="D3420" s="438" t="s">
        <v>2897</v>
      </c>
      <c r="E3420" s="438" t="s">
        <v>1631</v>
      </c>
      <c r="F3420" s="438"/>
      <c r="G3420" s="440" t="s">
        <v>105</v>
      </c>
      <c r="H3420" s="441">
        <v>1</v>
      </c>
      <c r="I3420" s="441">
        <v>0</v>
      </c>
      <c r="J3420" s="449">
        <v>31.81</v>
      </c>
      <c r="K3420" s="449">
        <v>31.81</v>
      </c>
    </row>
    <row r="3421" customHeight="1" spans="1:11">
      <c r="A3421" s="434"/>
      <c r="B3421" s="434"/>
      <c r="C3421" s="434"/>
      <c r="D3421" s="434"/>
      <c r="E3421" s="434"/>
      <c r="F3421" s="434" t="s">
        <v>1735</v>
      </c>
      <c r="G3421" s="435">
        <v>7.43</v>
      </c>
      <c r="H3421" s="434" t="s">
        <v>1736</v>
      </c>
      <c r="I3421" s="435">
        <v>6.76</v>
      </c>
      <c r="J3421" s="434" t="s">
        <v>1737</v>
      </c>
      <c r="K3421" s="435">
        <v>14.19</v>
      </c>
    </row>
    <row r="3422" customHeight="1" spans="1:11">
      <c r="A3422" s="434"/>
      <c r="B3422" s="434"/>
      <c r="C3422" s="434"/>
      <c r="D3422" s="434"/>
      <c r="E3422" s="434"/>
      <c r="F3422" s="434" t="s">
        <v>1738</v>
      </c>
      <c r="G3422" s="435">
        <v>16.93</v>
      </c>
      <c r="H3422" s="434"/>
      <c r="I3422" s="434" t="s">
        <v>1739</v>
      </c>
      <c r="J3422" s="434"/>
      <c r="K3422" s="435">
        <v>85.59</v>
      </c>
    </row>
    <row r="3423" customHeight="1" spans="1:11">
      <c r="A3423" s="436"/>
      <c r="B3423" s="436"/>
      <c r="C3423" s="436"/>
      <c r="D3423" s="436"/>
      <c r="E3423" s="436"/>
      <c r="F3423" s="436"/>
      <c r="G3423" s="436"/>
      <c r="H3423" s="436" t="s">
        <v>1740</v>
      </c>
      <c r="I3423" s="447" t="s">
        <v>2898</v>
      </c>
      <c r="J3423" s="436" t="s">
        <v>1742</v>
      </c>
      <c r="K3423" s="448">
        <v>4193.91</v>
      </c>
    </row>
    <row r="3424" customHeight="1" spans="1:11">
      <c r="A3424" s="437"/>
      <c r="B3424" s="437"/>
      <c r="C3424" s="437"/>
      <c r="D3424" s="437"/>
      <c r="E3424" s="437"/>
      <c r="F3424" s="437"/>
      <c r="G3424" s="437"/>
      <c r="H3424" s="437"/>
      <c r="I3424" s="437"/>
      <c r="J3424" s="437"/>
      <c r="K3424" s="437"/>
    </row>
    <row r="3425" customHeight="1" spans="1:11">
      <c r="A3425" s="422" t="s">
        <v>1037</v>
      </c>
      <c r="B3425" s="422"/>
      <c r="C3425" s="422"/>
      <c r="D3425" s="422" t="s">
        <v>43</v>
      </c>
      <c r="E3425" s="422"/>
      <c r="F3425" s="422"/>
      <c r="G3425" s="422"/>
      <c r="H3425" s="422"/>
      <c r="I3425" s="443"/>
      <c r="J3425" s="422"/>
      <c r="K3425" s="444">
        <v>37988.46</v>
      </c>
    </row>
    <row r="3426" customHeight="1" spans="1:11">
      <c r="A3426" s="423" t="s">
        <v>1038</v>
      </c>
      <c r="B3426" s="424" t="s">
        <v>1714</v>
      </c>
      <c r="C3426" s="423" t="s">
        <v>1715</v>
      </c>
      <c r="D3426" s="423" t="s">
        <v>1716</v>
      </c>
      <c r="E3426" s="423" t="s">
        <v>1717</v>
      </c>
      <c r="F3426" s="423"/>
      <c r="G3426" s="425" t="s">
        <v>1718</v>
      </c>
      <c r="H3426" s="424" t="s">
        <v>1719</v>
      </c>
      <c r="I3426" s="424" t="s">
        <v>1720</v>
      </c>
      <c r="J3426" s="424" t="s">
        <v>1721</v>
      </c>
      <c r="K3426" s="424" t="s">
        <v>1722</v>
      </c>
    </row>
    <row r="3427" customHeight="1" spans="1:11">
      <c r="A3427" s="426" t="s">
        <v>1723</v>
      </c>
      <c r="B3427" s="427" t="s">
        <v>1039</v>
      </c>
      <c r="C3427" s="426" t="s">
        <v>71</v>
      </c>
      <c r="D3427" s="426" t="s">
        <v>1040</v>
      </c>
      <c r="E3427" s="426" t="s">
        <v>1630</v>
      </c>
      <c r="F3427" s="426"/>
      <c r="G3427" s="428" t="s">
        <v>105</v>
      </c>
      <c r="H3427" s="429">
        <v>1</v>
      </c>
      <c r="I3427" s="445"/>
      <c r="J3427" s="445">
        <v>2843.1</v>
      </c>
      <c r="K3427" s="445">
        <v>2843.1</v>
      </c>
    </row>
    <row r="3428" customHeight="1" spans="1:11">
      <c r="A3428" s="430" t="s">
        <v>1724</v>
      </c>
      <c r="B3428" s="431" t="s">
        <v>2387</v>
      </c>
      <c r="C3428" s="430" t="s">
        <v>71</v>
      </c>
      <c r="D3428" s="430" t="s">
        <v>2388</v>
      </c>
      <c r="E3428" s="430" t="s">
        <v>1708</v>
      </c>
      <c r="F3428" s="430"/>
      <c r="G3428" s="432" t="s">
        <v>82</v>
      </c>
      <c r="H3428" s="433">
        <v>1.0259</v>
      </c>
      <c r="I3428" s="433">
        <v>0</v>
      </c>
      <c r="J3428" s="446">
        <v>36.82</v>
      </c>
      <c r="K3428" s="446">
        <v>37.77</v>
      </c>
    </row>
    <row r="3429" customHeight="1" spans="1:11">
      <c r="A3429" s="430" t="s">
        <v>1724</v>
      </c>
      <c r="B3429" s="431" t="s">
        <v>2385</v>
      </c>
      <c r="C3429" s="430" t="s">
        <v>71</v>
      </c>
      <c r="D3429" s="430" t="s">
        <v>2386</v>
      </c>
      <c r="E3429" s="430" t="s">
        <v>1708</v>
      </c>
      <c r="F3429" s="430"/>
      <c r="G3429" s="432" t="s">
        <v>82</v>
      </c>
      <c r="H3429" s="433">
        <v>1.0259</v>
      </c>
      <c r="I3429" s="433">
        <v>0</v>
      </c>
      <c r="J3429" s="446">
        <v>30.6</v>
      </c>
      <c r="K3429" s="446">
        <v>31.39</v>
      </c>
    </row>
    <row r="3430" customHeight="1" spans="1:11">
      <c r="A3430" s="438" t="s">
        <v>1750</v>
      </c>
      <c r="B3430" s="439" t="s">
        <v>2899</v>
      </c>
      <c r="C3430" s="438" t="s">
        <v>71</v>
      </c>
      <c r="D3430" s="438" t="s">
        <v>2900</v>
      </c>
      <c r="E3430" s="438" t="s">
        <v>1631</v>
      </c>
      <c r="F3430" s="438"/>
      <c r="G3430" s="440" t="s">
        <v>105</v>
      </c>
      <c r="H3430" s="441">
        <v>1</v>
      </c>
      <c r="I3430" s="441">
        <v>0</v>
      </c>
      <c r="J3430" s="449">
        <v>2773.94</v>
      </c>
      <c r="K3430" s="449">
        <v>2773.94</v>
      </c>
    </row>
    <row r="3431" customHeight="1" spans="1:11">
      <c r="A3431" s="434"/>
      <c r="B3431" s="434"/>
      <c r="C3431" s="434"/>
      <c r="D3431" s="434"/>
      <c r="E3431" s="434"/>
      <c r="F3431" s="434" t="s">
        <v>1735</v>
      </c>
      <c r="G3431" s="435">
        <v>25.43</v>
      </c>
      <c r="H3431" s="434" t="s">
        <v>1736</v>
      </c>
      <c r="I3431" s="435">
        <v>23.11</v>
      </c>
      <c r="J3431" s="434" t="s">
        <v>1737</v>
      </c>
      <c r="K3431" s="435">
        <v>48.54</v>
      </c>
    </row>
    <row r="3432" customHeight="1" spans="1:11">
      <c r="A3432" s="434"/>
      <c r="B3432" s="434"/>
      <c r="C3432" s="434"/>
      <c r="D3432" s="434"/>
      <c r="E3432" s="434"/>
      <c r="F3432" s="434" t="s">
        <v>1738</v>
      </c>
      <c r="G3432" s="435">
        <v>701.1</v>
      </c>
      <c r="H3432" s="434"/>
      <c r="I3432" s="434" t="s">
        <v>1739</v>
      </c>
      <c r="J3432" s="434"/>
      <c r="K3432" s="435">
        <v>3544.2</v>
      </c>
    </row>
    <row r="3433" customHeight="1" spans="1:11">
      <c r="A3433" s="436"/>
      <c r="B3433" s="436"/>
      <c r="C3433" s="436"/>
      <c r="D3433" s="436"/>
      <c r="E3433" s="436"/>
      <c r="F3433" s="436"/>
      <c r="G3433" s="436"/>
      <c r="H3433" s="436" t="s">
        <v>1740</v>
      </c>
      <c r="I3433" s="447" t="s">
        <v>1741</v>
      </c>
      <c r="J3433" s="436" t="s">
        <v>1742</v>
      </c>
      <c r="K3433" s="448">
        <v>3544.2</v>
      </c>
    </row>
    <row r="3434" customHeight="1" spans="1:11">
      <c r="A3434" s="437"/>
      <c r="B3434" s="437"/>
      <c r="C3434" s="437"/>
      <c r="D3434" s="437"/>
      <c r="E3434" s="437"/>
      <c r="F3434" s="437"/>
      <c r="G3434" s="437"/>
      <c r="H3434" s="437"/>
      <c r="I3434" s="437"/>
      <c r="J3434" s="437"/>
      <c r="K3434" s="437"/>
    </row>
    <row r="3435" customHeight="1" spans="1:11">
      <c r="A3435" s="423" t="s">
        <v>1041</v>
      </c>
      <c r="B3435" s="424" t="s">
        <v>1714</v>
      </c>
      <c r="C3435" s="423" t="s">
        <v>1715</v>
      </c>
      <c r="D3435" s="423" t="s">
        <v>1716</v>
      </c>
      <c r="E3435" s="423" t="s">
        <v>1717</v>
      </c>
      <c r="F3435" s="423"/>
      <c r="G3435" s="425" t="s">
        <v>1718</v>
      </c>
      <c r="H3435" s="424" t="s">
        <v>1719</v>
      </c>
      <c r="I3435" s="424" t="s">
        <v>1720</v>
      </c>
      <c r="J3435" s="424" t="s">
        <v>1721</v>
      </c>
      <c r="K3435" s="424" t="s">
        <v>1722</v>
      </c>
    </row>
    <row r="3436" customHeight="1" spans="1:11">
      <c r="A3436" s="426" t="s">
        <v>1723</v>
      </c>
      <c r="B3436" s="427" t="s">
        <v>1042</v>
      </c>
      <c r="C3436" s="426" t="s">
        <v>71</v>
      </c>
      <c r="D3436" s="426" t="s">
        <v>1043</v>
      </c>
      <c r="E3436" s="426" t="s">
        <v>1630</v>
      </c>
      <c r="F3436" s="426"/>
      <c r="G3436" s="428" t="s">
        <v>105</v>
      </c>
      <c r="H3436" s="429">
        <v>1</v>
      </c>
      <c r="I3436" s="445"/>
      <c r="J3436" s="445">
        <v>1330.92</v>
      </c>
      <c r="K3436" s="445">
        <v>1330.92</v>
      </c>
    </row>
    <row r="3437" customHeight="1" spans="1:11">
      <c r="A3437" s="430" t="s">
        <v>1724</v>
      </c>
      <c r="B3437" s="431" t="s">
        <v>2387</v>
      </c>
      <c r="C3437" s="430" t="s">
        <v>71</v>
      </c>
      <c r="D3437" s="430" t="s">
        <v>2388</v>
      </c>
      <c r="E3437" s="430" t="s">
        <v>1708</v>
      </c>
      <c r="F3437" s="430"/>
      <c r="G3437" s="432" t="s">
        <v>82</v>
      </c>
      <c r="H3437" s="433">
        <v>6.2007</v>
      </c>
      <c r="I3437" s="433">
        <v>0</v>
      </c>
      <c r="J3437" s="446">
        <v>36.82</v>
      </c>
      <c r="K3437" s="446">
        <v>228.3</v>
      </c>
    </row>
    <row r="3438" customHeight="1" spans="1:11">
      <c r="A3438" s="430" t="s">
        <v>1724</v>
      </c>
      <c r="B3438" s="431" t="s">
        <v>2385</v>
      </c>
      <c r="C3438" s="430" t="s">
        <v>71</v>
      </c>
      <c r="D3438" s="430" t="s">
        <v>2386</v>
      </c>
      <c r="E3438" s="430" t="s">
        <v>1708</v>
      </c>
      <c r="F3438" s="430"/>
      <c r="G3438" s="432" t="s">
        <v>82</v>
      </c>
      <c r="H3438" s="433">
        <v>6.2007</v>
      </c>
      <c r="I3438" s="433">
        <v>0</v>
      </c>
      <c r="J3438" s="446">
        <v>30.6</v>
      </c>
      <c r="K3438" s="446">
        <v>189.74</v>
      </c>
    </row>
    <row r="3439" customHeight="1" spans="1:11">
      <c r="A3439" s="438" t="s">
        <v>1750</v>
      </c>
      <c r="B3439" s="439" t="s">
        <v>2901</v>
      </c>
      <c r="C3439" s="438" t="s">
        <v>71</v>
      </c>
      <c r="D3439" s="438" t="s">
        <v>2902</v>
      </c>
      <c r="E3439" s="438" t="s">
        <v>1631</v>
      </c>
      <c r="F3439" s="438"/>
      <c r="G3439" s="440" t="s">
        <v>105</v>
      </c>
      <c r="H3439" s="441">
        <v>1</v>
      </c>
      <c r="I3439" s="441">
        <v>0</v>
      </c>
      <c r="J3439" s="449">
        <v>912.88</v>
      </c>
      <c r="K3439" s="449">
        <v>912.88</v>
      </c>
    </row>
    <row r="3440" customHeight="1" spans="1:11">
      <c r="A3440" s="434"/>
      <c r="B3440" s="434"/>
      <c r="C3440" s="434"/>
      <c r="D3440" s="434"/>
      <c r="E3440" s="434"/>
      <c r="F3440" s="434" t="s">
        <v>1735</v>
      </c>
      <c r="G3440" s="435">
        <v>153.75</v>
      </c>
      <c r="H3440" s="434" t="s">
        <v>1736</v>
      </c>
      <c r="I3440" s="435">
        <v>139.66</v>
      </c>
      <c r="J3440" s="434" t="s">
        <v>1737</v>
      </c>
      <c r="K3440" s="435">
        <v>293.41</v>
      </c>
    </row>
    <row r="3441" customHeight="1" spans="1:11">
      <c r="A3441" s="434"/>
      <c r="B3441" s="434"/>
      <c r="C3441" s="434"/>
      <c r="D3441" s="434"/>
      <c r="E3441" s="434"/>
      <c r="F3441" s="434" t="s">
        <v>1738</v>
      </c>
      <c r="G3441" s="435">
        <v>328.2</v>
      </c>
      <c r="H3441" s="434"/>
      <c r="I3441" s="434" t="s">
        <v>1739</v>
      </c>
      <c r="J3441" s="434"/>
      <c r="K3441" s="435">
        <v>1659.12</v>
      </c>
    </row>
    <row r="3442" customHeight="1" spans="1:11">
      <c r="A3442" s="436"/>
      <c r="B3442" s="436"/>
      <c r="C3442" s="436"/>
      <c r="D3442" s="436"/>
      <c r="E3442" s="436"/>
      <c r="F3442" s="436"/>
      <c r="G3442" s="436"/>
      <c r="H3442" s="436" t="s">
        <v>1740</v>
      </c>
      <c r="I3442" s="447" t="s">
        <v>2336</v>
      </c>
      <c r="J3442" s="436" t="s">
        <v>1742</v>
      </c>
      <c r="K3442" s="448">
        <v>13272.96</v>
      </c>
    </row>
    <row r="3443" customHeight="1" spans="1:11">
      <c r="A3443" s="437"/>
      <c r="B3443" s="437"/>
      <c r="C3443" s="437"/>
      <c r="D3443" s="437"/>
      <c r="E3443" s="437"/>
      <c r="F3443" s="437"/>
      <c r="G3443" s="437"/>
      <c r="H3443" s="437"/>
      <c r="I3443" s="437"/>
      <c r="J3443" s="437"/>
      <c r="K3443" s="437"/>
    </row>
    <row r="3444" customHeight="1" spans="1:11">
      <c r="A3444" s="423" t="s">
        <v>1044</v>
      </c>
      <c r="B3444" s="424" t="s">
        <v>1714</v>
      </c>
      <c r="C3444" s="423" t="s">
        <v>1715</v>
      </c>
      <c r="D3444" s="423" t="s">
        <v>1716</v>
      </c>
      <c r="E3444" s="423" t="s">
        <v>1717</v>
      </c>
      <c r="F3444" s="423"/>
      <c r="G3444" s="425" t="s">
        <v>1718</v>
      </c>
      <c r="H3444" s="424" t="s">
        <v>1719</v>
      </c>
      <c r="I3444" s="424" t="s">
        <v>1720</v>
      </c>
      <c r="J3444" s="424" t="s">
        <v>1721</v>
      </c>
      <c r="K3444" s="424" t="s">
        <v>1722</v>
      </c>
    </row>
    <row r="3445" customHeight="1" spans="1:11">
      <c r="A3445" s="426" t="s">
        <v>1723</v>
      </c>
      <c r="B3445" s="427" t="s">
        <v>1045</v>
      </c>
      <c r="C3445" s="426" t="s">
        <v>65</v>
      </c>
      <c r="D3445" s="426" t="s">
        <v>1046</v>
      </c>
      <c r="E3445" s="426" t="s">
        <v>62</v>
      </c>
      <c r="F3445" s="426"/>
      <c r="G3445" s="428" t="s">
        <v>67</v>
      </c>
      <c r="H3445" s="429">
        <v>1</v>
      </c>
      <c r="I3445" s="445"/>
      <c r="J3445" s="445">
        <v>2301.99</v>
      </c>
      <c r="K3445" s="445">
        <v>2301.99</v>
      </c>
    </row>
    <row r="3446" customHeight="1" spans="1:11">
      <c r="A3446" s="430" t="s">
        <v>1724</v>
      </c>
      <c r="B3446" s="431" t="s">
        <v>2903</v>
      </c>
      <c r="C3446" s="430" t="s">
        <v>71</v>
      </c>
      <c r="D3446" s="430" t="s">
        <v>2904</v>
      </c>
      <c r="E3446" s="430" t="s">
        <v>1708</v>
      </c>
      <c r="F3446" s="430"/>
      <c r="G3446" s="432" t="s">
        <v>82</v>
      </c>
      <c r="H3446" s="433">
        <v>2</v>
      </c>
      <c r="I3446" s="433">
        <v>0</v>
      </c>
      <c r="J3446" s="446">
        <v>40.65</v>
      </c>
      <c r="K3446" s="446">
        <v>81.3</v>
      </c>
    </row>
    <row r="3447" customHeight="1" spans="1:11">
      <c r="A3447" s="430" t="s">
        <v>1724</v>
      </c>
      <c r="B3447" s="431" t="s">
        <v>2247</v>
      </c>
      <c r="C3447" s="430" t="s">
        <v>71</v>
      </c>
      <c r="D3447" s="430" t="s">
        <v>2248</v>
      </c>
      <c r="E3447" s="430" t="s">
        <v>1708</v>
      </c>
      <c r="F3447" s="430"/>
      <c r="G3447" s="432" t="s">
        <v>82</v>
      </c>
      <c r="H3447" s="433">
        <v>2</v>
      </c>
      <c r="I3447" s="433">
        <v>0</v>
      </c>
      <c r="J3447" s="446">
        <v>30.31</v>
      </c>
      <c r="K3447" s="446">
        <v>60.62</v>
      </c>
    </row>
    <row r="3448" customHeight="1" spans="1:11">
      <c r="A3448" s="438" t="s">
        <v>1750</v>
      </c>
      <c r="B3448" s="439" t="s">
        <v>2905</v>
      </c>
      <c r="C3448" s="438" t="s">
        <v>65</v>
      </c>
      <c r="D3448" s="438" t="s">
        <v>2906</v>
      </c>
      <c r="E3448" s="438" t="s">
        <v>2907</v>
      </c>
      <c r="F3448" s="438"/>
      <c r="G3448" s="440" t="s">
        <v>67</v>
      </c>
      <c r="H3448" s="441">
        <v>1</v>
      </c>
      <c r="I3448" s="441">
        <v>0</v>
      </c>
      <c r="J3448" s="449">
        <v>2160.07</v>
      </c>
      <c r="K3448" s="449">
        <v>2160.07</v>
      </c>
    </row>
    <row r="3449" customHeight="1" spans="1:11">
      <c r="A3449" s="434"/>
      <c r="B3449" s="434"/>
      <c r="C3449" s="434"/>
      <c r="D3449" s="434"/>
      <c r="E3449" s="434"/>
      <c r="F3449" s="434" t="s">
        <v>1735</v>
      </c>
      <c r="G3449" s="435">
        <v>53.42</v>
      </c>
      <c r="H3449" s="434" t="s">
        <v>1736</v>
      </c>
      <c r="I3449" s="435">
        <v>48.54</v>
      </c>
      <c r="J3449" s="434" t="s">
        <v>1737</v>
      </c>
      <c r="K3449" s="435">
        <v>101.96</v>
      </c>
    </row>
    <row r="3450" customHeight="1" spans="1:11">
      <c r="A3450" s="434"/>
      <c r="B3450" s="434"/>
      <c r="C3450" s="434"/>
      <c r="D3450" s="434"/>
      <c r="E3450" s="434"/>
      <c r="F3450" s="434" t="s">
        <v>1738</v>
      </c>
      <c r="G3450" s="435">
        <v>567.67</v>
      </c>
      <c r="H3450" s="434"/>
      <c r="I3450" s="434" t="s">
        <v>1739</v>
      </c>
      <c r="J3450" s="434"/>
      <c r="K3450" s="435">
        <v>2869.66</v>
      </c>
    </row>
    <row r="3451" customHeight="1" spans="1:11">
      <c r="A3451" s="436"/>
      <c r="B3451" s="436"/>
      <c r="C3451" s="436"/>
      <c r="D3451" s="436"/>
      <c r="E3451" s="436"/>
      <c r="F3451" s="436"/>
      <c r="G3451" s="436"/>
      <c r="H3451" s="436" t="s">
        <v>1740</v>
      </c>
      <c r="I3451" s="447" t="s">
        <v>1741</v>
      </c>
      <c r="J3451" s="436" t="s">
        <v>1742</v>
      </c>
      <c r="K3451" s="448">
        <v>2869.66</v>
      </c>
    </row>
    <row r="3452" customHeight="1" spans="1:11">
      <c r="A3452" s="437"/>
      <c r="B3452" s="437"/>
      <c r="C3452" s="437"/>
      <c r="D3452" s="437"/>
      <c r="E3452" s="437"/>
      <c r="F3452" s="437"/>
      <c r="G3452" s="437"/>
      <c r="H3452" s="437"/>
      <c r="I3452" s="437"/>
      <c r="J3452" s="437"/>
      <c r="K3452" s="437"/>
    </row>
    <row r="3453" customHeight="1" spans="1:11">
      <c r="A3453" s="423" t="s">
        <v>1047</v>
      </c>
      <c r="B3453" s="424" t="s">
        <v>1714</v>
      </c>
      <c r="C3453" s="423" t="s">
        <v>1715</v>
      </c>
      <c r="D3453" s="423" t="s">
        <v>1716</v>
      </c>
      <c r="E3453" s="423" t="s">
        <v>1717</v>
      </c>
      <c r="F3453" s="423"/>
      <c r="G3453" s="425" t="s">
        <v>1718</v>
      </c>
      <c r="H3453" s="424" t="s">
        <v>1719</v>
      </c>
      <c r="I3453" s="424" t="s">
        <v>1720</v>
      </c>
      <c r="J3453" s="424" t="s">
        <v>1721</v>
      </c>
      <c r="K3453" s="424" t="s">
        <v>1722</v>
      </c>
    </row>
    <row r="3454" customHeight="1" spans="1:11">
      <c r="A3454" s="426" t="s">
        <v>1723</v>
      </c>
      <c r="B3454" s="427" t="s">
        <v>1048</v>
      </c>
      <c r="C3454" s="426" t="s">
        <v>99</v>
      </c>
      <c r="D3454" s="426" t="s">
        <v>1049</v>
      </c>
      <c r="E3454" s="426">
        <v>79</v>
      </c>
      <c r="F3454" s="426"/>
      <c r="G3454" s="428" t="s">
        <v>105</v>
      </c>
      <c r="H3454" s="429">
        <v>1</v>
      </c>
      <c r="I3454" s="445"/>
      <c r="J3454" s="445">
        <v>42.25</v>
      </c>
      <c r="K3454" s="445">
        <v>42.25</v>
      </c>
    </row>
    <row r="3455" customHeight="1" spans="1:11">
      <c r="A3455" s="438" t="s">
        <v>1750</v>
      </c>
      <c r="B3455" s="439" t="s">
        <v>2908</v>
      </c>
      <c r="C3455" s="438" t="s">
        <v>99</v>
      </c>
      <c r="D3455" s="438" t="s">
        <v>2909</v>
      </c>
      <c r="E3455" s="438" t="s">
        <v>1631</v>
      </c>
      <c r="F3455" s="438"/>
      <c r="G3455" s="440" t="s">
        <v>105</v>
      </c>
      <c r="H3455" s="441">
        <v>1</v>
      </c>
      <c r="I3455" s="441">
        <v>0</v>
      </c>
      <c r="J3455" s="449">
        <v>32</v>
      </c>
      <c r="K3455" s="449">
        <v>32</v>
      </c>
    </row>
    <row r="3456" customHeight="1" spans="1:11">
      <c r="A3456" s="438" t="s">
        <v>1750</v>
      </c>
      <c r="B3456" s="439" t="s">
        <v>2910</v>
      </c>
      <c r="C3456" s="438" t="s">
        <v>99</v>
      </c>
      <c r="D3456" s="438" t="s">
        <v>2911</v>
      </c>
      <c r="E3456" s="438" t="s">
        <v>1764</v>
      </c>
      <c r="F3456" s="438"/>
      <c r="G3456" s="440" t="s">
        <v>82</v>
      </c>
      <c r="H3456" s="441">
        <v>0.5</v>
      </c>
      <c r="I3456" s="441">
        <v>0</v>
      </c>
      <c r="J3456" s="449">
        <v>20.515752</v>
      </c>
      <c r="K3456" s="449">
        <v>10.25</v>
      </c>
    </row>
    <row r="3457" customHeight="1" spans="1:11">
      <c r="A3457" s="434"/>
      <c r="B3457" s="434"/>
      <c r="C3457" s="434"/>
      <c r="D3457" s="434"/>
      <c r="E3457" s="434"/>
      <c r="F3457" s="434" t="s">
        <v>1735</v>
      </c>
      <c r="G3457" s="435">
        <v>5.37</v>
      </c>
      <c r="H3457" s="434" t="s">
        <v>1736</v>
      </c>
      <c r="I3457" s="435">
        <v>4.88</v>
      </c>
      <c r="J3457" s="434" t="s">
        <v>1737</v>
      </c>
      <c r="K3457" s="435">
        <v>10.25</v>
      </c>
    </row>
    <row r="3458" customHeight="1" spans="1:11">
      <c r="A3458" s="434"/>
      <c r="B3458" s="434"/>
      <c r="C3458" s="434"/>
      <c r="D3458" s="434"/>
      <c r="E3458" s="434"/>
      <c r="F3458" s="434" t="s">
        <v>1738</v>
      </c>
      <c r="G3458" s="435">
        <v>10.41</v>
      </c>
      <c r="H3458" s="434"/>
      <c r="I3458" s="434" t="s">
        <v>1739</v>
      </c>
      <c r="J3458" s="434"/>
      <c r="K3458" s="435">
        <v>52.66</v>
      </c>
    </row>
    <row r="3459" customHeight="1" spans="1:11">
      <c r="A3459" s="436"/>
      <c r="B3459" s="436"/>
      <c r="C3459" s="436"/>
      <c r="D3459" s="436"/>
      <c r="E3459" s="436"/>
      <c r="F3459" s="436"/>
      <c r="G3459" s="436"/>
      <c r="H3459" s="436" t="s">
        <v>1740</v>
      </c>
      <c r="I3459" s="447" t="s">
        <v>1819</v>
      </c>
      <c r="J3459" s="436" t="s">
        <v>1742</v>
      </c>
      <c r="K3459" s="448">
        <v>684.58</v>
      </c>
    </row>
    <row r="3460" customHeight="1" spans="1:11">
      <c r="A3460" s="437"/>
      <c r="B3460" s="437"/>
      <c r="C3460" s="437"/>
      <c r="D3460" s="437"/>
      <c r="E3460" s="437"/>
      <c r="F3460" s="437"/>
      <c r="G3460" s="437"/>
      <c r="H3460" s="437"/>
      <c r="I3460" s="437"/>
      <c r="J3460" s="437"/>
      <c r="K3460" s="437"/>
    </row>
    <row r="3461" customHeight="1" spans="1:11">
      <c r="A3461" s="423" t="s">
        <v>1050</v>
      </c>
      <c r="B3461" s="424" t="s">
        <v>1714</v>
      </c>
      <c r="C3461" s="423" t="s">
        <v>1715</v>
      </c>
      <c r="D3461" s="423" t="s">
        <v>1716</v>
      </c>
      <c r="E3461" s="423" t="s">
        <v>1717</v>
      </c>
      <c r="F3461" s="423"/>
      <c r="G3461" s="425" t="s">
        <v>1718</v>
      </c>
      <c r="H3461" s="424" t="s">
        <v>1719</v>
      </c>
      <c r="I3461" s="424" t="s">
        <v>1720</v>
      </c>
      <c r="J3461" s="424" t="s">
        <v>1721</v>
      </c>
      <c r="K3461" s="424" t="s">
        <v>1722</v>
      </c>
    </row>
    <row r="3462" customHeight="1" spans="1:11">
      <c r="A3462" s="426" t="s">
        <v>1723</v>
      </c>
      <c r="B3462" s="427" t="s">
        <v>1051</v>
      </c>
      <c r="C3462" s="426" t="s">
        <v>65</v>
      </c>
      <c r="D3462" s="426" t="s">
        <v>1052</v>
      </c>
      <c r="E3462" s="426" t="s">
        <v>62</v>
      </c>
      <c r="F3462" s="426"/>
      <c r="G3462" s="428" t="s">
        <v>67</v>
      </c>
      <c r="H3462" s="429">
        <v>1</v>
      </c>
      <c r="I3462" s="445"/>
      <c r="J3462" s="445">
        <v>81.89</v>
      </c>
      <c r="K3462" s="445">
        <v>81.89</v>
      </c>
    </row>
    <row r="3463" customHeight="1" spans="1:11">
      <c r="A3463" s="430" t="s">
        <v>1724</v>
      </c>
      <c r="B3463" s="431" t="s">
        <v>2387</v>
      </c>
      <c r="C3463" s="430" t="s">
        <v>71</v>
      </c>
      <c r="D3463" s="430" t="s">
        <v>2388</v>
      </c>
      <c r="E3463" s="430" t="s">
        <v>1708</v>
      </c>
      <c r="F3463" s="430"/>
      <c r="G3463" s="432" t="s">
        <v>82</v>
      </c>
      <c r="H3463" s="433">
        <v>0.1</v>
      </c>
      <c r="I3463" s="433">
        <v>0</v>
      </c>
      <c r="J3463" s="446">
        <v>36.82</v>
      </c>
      <c r="K3463" s="446">
        <v>3.68</v>
      </c>
    </row>
    <row r="3464" customHeight="1" spans="1:11">
      <c r="A3464" s="438" t="s">
        <v>1750</v>
      </c>
      <c r="B3464" s="439" t="s">
        <v>2912</v>
      </c>
      <c r="C3464" s="438" t="s">
        <v>65</v>
      </c>
      <c r="D3464" s="438" t="s">
        <v>2913</v>
      </c>
      <c r="E3464" s="438" t="s">
        <v>1631</v>
      </c>
      <c r="F3464" s="438"/>
      <c r="G3464" s="440" t="s">
        <v>67</v>
      </c>
      <c r="H3464" s="441">
        <v>1</v>
      </c>
      <c r="I3464" s="441">
        <v>0</v>
      </c>
      <c r="J3464" s="449">
        <v>78.21</v>
      </c>
      <c r="K3464" s="449">
        <v>78.21</v>
      </c>
    </row>
    <row r="3465" customHeight="1" spans="1:11">
      <c r="A3465" s="434"/>
      <c r="B3465" s="434"/>
      <c r="C3465" s="434"/>
      <c r="D3465" s="434"/>
      <c r="E3465" s="434"/>
      <c r="F3465" s="434" t="s">
        <v>1735</v>
      </c>
      <c r="G3465" s="435">
        <v>1.39</v>
      </c>
      <c r="H3465" s="434" t="s">
        <v>1736</v>
      </c>
      <c r="I3465" s="435">
        <v>1.28</v>
      </c>
      <c r="J3465" s="434" t="s">
        <v>1737</v>
      </c>
      <c r="K3465" s="435">
        <v>2.67</v>
      </c>
    </row>
    <row r="3466" customHeight="1" spans="1:11">
      <c r="A3466" s="434"/>
      <c r="B3466" s="434"/>
      <c r="C3466" s="434"/>
      <c r="D3466" s="434"/>
      <c r="E3466" s="434"/>
      <c r="F3466" s="434" t="s">
        <v>1738</v>
      </c>
      <c r="G3466" s="435">
        <v>20.19</v>
      </c>
      <c r="H3466" s="434"/>
      <c r="I3466" s="434" t="s">
        <v>1739</v>
      </c>
      <c r="J3466" s="434"/>
      <c r="K3466" s="435">
        <v>102.08</v>
      </c>
    </row>
    <row r="3467" customHeight="1" spans="1:11">
      <c r="A3467" s="436"/>
      <c r="B3467" s="436"/>
      <c r="C3467" s="436"/>
      <c r="D3467" s="436"/>
      <c r="E3467" s="436"/>
      <c r="F3467" s="436"/>
      <c r="G3467" s="436"/>
      <c r="H3467" s="436" t="s">
        <v>1740</v>
      </c>
      <c r="I3467" s="447" t="s">
        <v>1971</v>
      </c>
      <c r="J3467" s="436" t="s">
        <v>1742</v>
      </c>
      <c r="K3467" s="448">
        <v>204.16</v>
      </c>
    </row>
    <row r="3468" customHeight="1" spans="1:11">
      <c r="A3468" s="437"/>
      <c r="B3468" s="437"/>
      <c r="C3468" s="437"/>
      <c r="D3468" s="437"/>
      <c r="E3468" s="437"/>
      <c r="F3468" s="437"/>
      <c r="G3468" s="437"/>
      <c r="H3468" s="437"/>
      <c r="I3468" s="437"/>
      <c r="J3468" s="437"/>
      <c r="K3468" s="437"/>
    </row>
    <row r="3469" customHeight="1" spans="1:11">
      <c r="A3469" s="423" t="s">
        <v>1053</v>
      </c>
      <c r="B3469" s="424" t="s">
        <v>1714</v>
      </c>
      <c r="C3469" s="423" t="s">
        <v>1715</v>
      </c>
      <c r="D3469" s="423" t="s">
        <v>1716</v>
      </c>
      <c r="E3469" s="423" t="s">
        <v>1717</v>
      </c>
      <c r="F3469" s="423"/>
      <c r="G3469" s="425" t="s">
        <v>1718</v>
      </c>
      <c r="H3469" s="424" t="s">
        <v>1719</v>
      </c>
      <c r="I3469" s="424" t="s">
        <v>1720</v>
      </c>
      <c r="J3469" s="424" t="s">
        <v>1721</v>
      </c>
      <c r="K3469" s="424" t="s">
        <v>1722</v>
      </c>
    </row>
    <row r="3470" customHeight="1" spans="1:11">
      <c r="A3470" s="426" t="s">
        <v>1723</v>
      </c>
      <c r="B3470" s="427" t="s">
        <v>1054</v>
      </c>
      <c r="C3470" s="426" t="s">
        <v>99</v>
      </c>
      <c r="D3470" s="426" t="s">
        <v>1055</v>
      </c>
      <c r="E3470" s="426" t="s">
        <v>1644</v>
      </c>
      <c r="F3470" s="426"/>
      <c r="G3470" s="428" t="s">
        <v>105</v>
      </c>
      <c r="H3470" s="429">
        <v>1</v>
      </c>
      <c r="I3470" s="445"/>
      <c r="J3470" s="445">
        <v>1712.73</v>
      </c>
      <c r="K3470" s="445">
        <v>1712.73</v>
      </c>
    </row>
    <row r="3471" customHeight="1" spans="1:11">
      <c r="A3471" s="438" t="s">
        <v>1750</v>
      </c>
      <c r="B3471" s="439" t="s">
        <v>2914</v>
      </c>
      <c r="C3471" s="438" t="s">
        <v>99</v>
      </c>
      <c r="D3471" s="438" t="s">
        <v>2915</v>
      </c>
      <c r="E3471" s="438" t="s">
        <v>1631</v>
      </c>
      <c r="F3471" s="438"/>
      <c r="G3471" s="440" t="s">
        <v>105</v>
      </c>
      <c r="H3471" s="441">
        <v>1</v>
      </c>
      <c r="I3471" s="441">
        <v>0</v>
      </c>
      <c r="J3471" s="449">
        <v>1614.91</v>
      </c>
      <c r="K3471" s="449">
        <v>1614.91</v>
      </c>
    </row>
    <row r="3472" customHeight="1" spans="1:11">
      <c r="A3472" s="438" t="s">
        <v>1750</v>
      </c>
      <c r="B3472" s="439" t="s">
        <v>1824</v>
      </c>
      <c r="C3472" s="438" t="s">
        <v>99</v>
      </c>
      <c r="D3472" s="438" t="s">
        <v>1825</v>
      </c>
      <c r="E3472" s="438" t="s">
        <v>1764</v>
      </c>
      <c r="F3472" s="438"/>
      <c r="G3472" s="440" t="s">
        <v>82</v>
      </c>
      <c r="H3472" s="441">
        <v>2.062</v>
      </c>
      <c r="I3472" s="441">
        <v>0</v>
      </c>
      <c r="J3472" s="449">
        <v>20.515752</v>
      </c>
      <c r="K3472" s="449">
        <v>42.3</v>
      </c>
    </row>
    <row r="3473" customHeight="1" spans="1:11">
      <c r="A3473" s="438" t="s">
        <v>1750</v>
      </c>
      <c r="B3473" s="439" t="s">
        <v>1832</v>
      </c>
      <c r="C3473" s="438" t="s">
        <v>99</v>
      </c>
      <c r="D3473" s="438" t="s">
        <v>1833</v>
      </c>
      <c r="E3473" s="438" t="s">
        <v>1764</v>
      </c>
      <c r="F3473" s="438"/>
      <c r="G3473" s="440" t="s">
        <v>82</v>
      </c>
      <c r="H3473" s="441">
        <v>2.062</v>
      </c>
      <c r="I3473" s="441">
        <v>0</v>
      </c>
      <c r="J3473" s="449">
        <v>26.928256</v>
      </c>
      <c r="K3473" s="449">
        <v>55.52</v>
      </c>
    </row>
    <row r="3474" customHeight="1" spans="1:11">
      <c r="A3474" s="434"/>
      <c r="B3474" s="434"/>
      <c r="C3474" s="434"/>
      <c r="D3474" s="434"/>
      <c r="E3474" s="434"/>
      <c r="F3474" s="434" t="s">
        <v>1735</v>
      </c>
      <c r="G3474" s="435">
        <v>51.26</v>
      </c>
      <c r="H3474" s="434" t="s">
        <v>1736</v>
      </c>
      <c r="I3474" s="435">
        <v>46.56</v>
      </c>
      <c r="J3474" s="434" t="s">
        <v>1737</v>
      </c>
      <c r="K3474" s="435">
        <v>97.82</v>
      </c>
    </row>
    <row r="3475" customHeight="1" spans="1:11">
      <c r="A3475" s="434"/>
      <c r="B3475" s="434"/>
      <c r="C3475" s="434"/>
      <c r="D3475" s="434"/>
      <c r="E3475" s="434"/>
      <c r="F3475" s="434" t="s">
        <v>1738</v>
      </c>
      <c r="G3475" s="435">
        <v>422.35</v>
      </c>
      <c r="H3475" s="434"/>
      <c r="I3475" s="434" t="s">
        <v>1739</v>
      </c>
      <c r="J3475" s="434"/>
      <c r="K3475" s="435">
        <v>2135.08</v>
      </c>
    </row>
    <row r="3476" customHeight="1" spans="1:11">
      <c r="A3476" s="436"/>
      <c r="B3476" s="436"/>
      <c r="C3476" s="436"/>
      <c r="D3476" s="436"/>
      <c r="E3476" s="436"/>
      <c r="F3476" s="436"/>
      <c r="G3476" s="436"/>
      <c r="H3476" s="436" t="s">
        <v>1740</v>
      </c>
      <c r="I3476" s="447" t="s">
        <v>2236</v>
      </c>
      <c r="J3476" s="436" t="s">
        <v>1742</v>
      </c>
      <c r="K3476" s="448">
        <v>10675.4</v>
      </c>
    </row>
    <row r="3477" customHeight="1" spans="1:11">
      <c r="A3477" s="437"/>
      <c r="B3477" s="437"/>
      <c r="C3477" s="437"/>
      <c r="D3477" s="437"/>
      <c r="E3477" s="437"/>
      <c r="F3477" s="437"/>
      <c r="G3477" s="437"/>
      <c r="H3477" s="437"/>
      <c r="I3477" s="437"/>
      <c r="J3477" s="437"/>
      <c r="K3477" s="437"/>
    </row>
    <row r="3478" customHeight="1" spans="1:11">
      <c r="A3478" s="423" t="s">
        <v>1056</v>
      </c>
      <c r="B3478" s="424" t="s">
        <v>1714</v>
      </c>
      <c r="C3478" s="423" t="s">
        <v>1715</v>
      </c>
      <c r="D3478" s="423" t="s">
        <v>1716</v>
      </c>
      <c r="E3478" s="423" t="s">
        <v>1717</v>
      </c>
      <c r="F3478" s="423"/>
      <c r="G3478" s="425" t="s">
        <v>1718</v>
      </c>
      <c r="H3478" s="424" t="s">
        <v>1719</v>
      </c>
      <c r="I3478" s="424" t="s">
        <v>1720</v>
      </c>
      <c r="J3478" s="424" t="s">
        <v>1721</v>
      </c>
      <c r="K3478" s="424" t="s">
        <v>1722</v>
      </c>
    </row>
    <row r="3479" customHeight="1" spans="1:11">
      <c r="A3479" s="426" t="s">
        <v>1723</v>
      </c>
      <c r="B3479" s="427" t="s">
        <v>1057</v>
      </c>
      <c r="C3479" s="426" t="s">
        <v>99</v>
      </c>
      <c r="D3479" s="426" t="s">
        <v>1058</v>
      </c>
      <c r="E3479" s="426" t="s">
        <v>1644</v>
      </c>
      <c r="F3479" s="426"/>
      <c r="G3479" s="428" t="s">
        <v>105</v>
      </c>
      <c r="H3479" s="429">
        <v>1</v>
      </c>
      <c r="I3479" s="445"/>
      <c r="J3479" s="445">
        <v>27.32</v>
      </c>
      <c r="K3479" s="445">
        <v>27.32</v>
      </c>
    </row>
    <row r="3480" customHeight="1" spans="1:11">
      <c r="A3480" s="438" t="s">
        <v>1750</v>
      </c>
      <c r="B3480" s="439" t="s">
        <v>2910</v>
      </c>
      <c r="C3480" s="438" t="s">
        <v>99</v>
      </c>
      <c r="D3480" s="438" t="s">
        <v>2911</v>
      </c>
      <c r="E3480" s="438" t="s">
        <v>1764</v>
      </c>
      <c r="F3480" s="438"/>
      <c r="G3480" s="440" t="s">
        <v>82</v>
      </c>
      <c r="H3480" s="441">
        <v>0.06</v>
      </c>
      <c r="I3480" s="441">
        <v>0</v>
      </c>
      <c r="J3480" s="449">
        <v>20.515752</v>
      </c>
      <c r="K3480" s="449">
        <v>1.23</v>
      </c>
    </row>
    <row r="3481" customHeight="1" spans="1:11">
      <c r="A3481" s="438" t="s">
        <v>1750</v>
      </c>
      <c r="B3481" s="439" t="s">
        <v>2916</v>
      </c>
      <c r="C3481" s="438" t="s">
        <v>99</v>
      </c>
      <c r="D3481" s="438" t="s">
        <v>2917</v>
      </c>
      <c r="E3481" s="438" t="s">
        <v>1631</v>
      </c>
      <c r="F3481" s="438"/>
      <c r="G3481" s="440" t="s">
        <v>105</v>
      </c>
      <c r="H3481" s="441">
        <v>1</v>
      </c>
      <c r="I3481" s="441">
        <v>0</v>
      </c>
      <c r="J3481" s="449">
        <v>26.09</v>
      </c>
      <c r="K3481" s="449">
        <v>26.09</v>
      </c>
    </row>
    <row r="3482" customHeight="1" spans="1:11">
      <c r="A3482" s="434"/>
      <c r="B3482" s="434"/>
      <c r="C3482" s="434"/>
      <c r="D3482" s="434"/>
      <c r="E3482" s="434"/>
      <c r="F3482" s="434" t="s">
        <v>1735</v>
      </c>
      <c r="G3482" s="435">
        <v>0.64</v>
      </c>
      <c r="H3482" s="434" t="s">
        <v>1736</v>
      </c>
      <c r="I3482" s="435">
        <v>0.59</v>
      </c>
      <c r="J3482" s="434" t="s">
        <v>1737</v>
      </c>
      <c r="K3482" s="435">
        <v>1.23</v>
      </c>
    </row>
    <row r="3483" customHeight="1" spans="1:11">
      <c r="A3483" s="434"/>
      <c r="B3483" s="434"/>
      <c r="C3483" s="434"/>
      <c r="D3483" s="434"/>
      <c r="E3483" s="434"/>
      <c r="F3483" s="434" t="s">
        <v>1738</v>
      </c>
      <c r="G3483" s="435">
        <v>6.73</v>
      </c>
      <c r="H3483" s="434"/>
      <c r="I3483" s="434" t="s">
        <v>1739</v>
      </c>
      <c r="J3483" s="434"/>
      <c r="K3483" s="435">
        <v>34.05</v>
      </c>
    </row>
    <row r="3484" customHeight="1" spans="1:11">
      <c r="A3484" s="436"/>
      <c r="B3484" s="436"/>
      <c r="C3484" s="436"/>
      <c r="D3484" s="436"/>
      <c r="E3484" s="436"/>
      <c r="F3484" s="436"/>
      <c r="G3484" s="436"/>
      <c r="H3484" s="436" t="s">
        <v>1740</v>
      </c>
      <c r="I3484" s="447" t="s">
        <v>2918</v>
      </c>
      <c r="J3484" s="436" t="s">
        <v>1742</v>
      </c>
      <c r="K3484" s="448">
        <v>5856.6</v>
      </c>
    </row>
    <row r="3485" customHeight="1" spans="1:11">
      <c r="A3485" s="437"/>
      <c r="B3485" s="437"/>
      <c r="C3485" s="437"/>
      <c r="D3485" s="437"/>
      <c r="E3485" s="437"/>
      <c r="F3485" s="437"/>
      <c r="G3485" s="437"/>
      <c r="H3485" s="437"/>
      <c r="I3485" s="437"/>
      <c r="J3485" s="437"/>
      <c r="K3485" s="437"/>
    </row>
    <row r="3486" customHeight="1" spans="1:11">
      <c r="A3486" s="423" t="s">
        <v>1059</v>
      </c>
      <c r="B3486" s="424" t="s">
        <v>1714</v>
      </c>
      <c r="C3486" s="423" t="s">
        <v>1715</v>
      </c>
      <c r="D3486" s="423" t="s">
        <v>1716</v>
      </c>
      <c r="E3486" s="423" t="s">
        <v>1717</v>
      </c>
      <c r="F3486" s="423"/>
      <c r="G3486" s="425" t="s">
        <v>1718</v>
      </c>
      <c r="H3486" s="424" t="s">
        <v>1719</v>
      </c>
      <c r="I3486" s="424" t="s">
        <v>1720</v>
      </c>
      <c r="J3486" s="424" t="s">
        <v>1721</v>
      </c>
      <c r="K3486" s="424" t="s">
        <v>1722</v>
      </c>
    </row>
    <row r="3487" customHeight="1" spans="1:11">
      <c r="A3487" s="426" t="s">
        <v>1723</v>
      </c>
      <c r="B3487" s="427" t="s">
        <v>1060</v>
      </c>
      <c r="C3487" s="426" t="s">
        <v>99</v>
      </c>
      <c r="D3487" s="426" t="s">
        <v>1061</v>
      </c>
      <c r="E3487" s="426" t="s">
        <v>1644</v>
      </c>
      <c r="F3487" s="426"/>
      <c r="G3487" s="428" t="s">
        <v>105</v>
      </c>
      <c r="H3487" s="429">
        <v>1</v>
      </c>
      <c r="I3487" s="445"/>
      <c r="J3487" s="445">
        <v>445.83</v>
      </c>
      <c r="K3487" s="445">
        <v>445.83</v>
      </c>
    </row>
    <row r="3488" customHeight="1" spans="1:11">
      <c r="A3488" s="438" t="s">
        <v>1750</v>
      </c>
      <c r="B3488" s="439" t="s">
        <v>2919</v>
      </c>
      <c r="C3488" s="438" t="s">
        <v>99</v>
      </c>
      <c r="D3488" s="438" t="s">
        <v>2920</v>
      </c>
      <c r="E3488" s="438" t="s">
        <v>1631</v>
      </c>
      <c r="F3488" s="438"/>
      <c r="G3488" s="440" t="s">
        <v>105</v>
      </c>
      <c r="H3488" s="441">
        <v>1</v>
      </c>
      <c r="I3488" s="441">
        <v>0</v>
      </c>
      <c r="J3488" s="449">
        <v>325</v>
      </c>
      <c r="K3488" s="449">
        <v>325</v>
      </c>
    </row>
    <row r="3489" customHeight="1" spans="1:11">
      <c r="A3489" s="438" t="s">
        <v>1750</v>
      </c>
      <c r="B3489" s="439" t="s">
        <v>2921</v>
      </c>
      <c r="C3489" s="438" t="s">
        <v>99</v>
      </c>
      <c r="D3489" s="438" t="s">
        <v>2922</v>
      </c>
      <c r="E3489" s="438" t="s">
        <v>1764</v>
      </c>
      <c r="F3489" s="438"/>
      <c r="G3489" s="440" t="s">
        <v>82</v>
      </c>
      <c r="H3489" s="441">
        <v>2.1</v>
      </c>
      <c r="I3489" s="441">
        <v>0</v>
      </c>
      <c r="J3489" s="449">
        <v>37.026352</v>
      </c>
      <c r="K3489" s="449">
        <v>77.75</v>
      </c>
    </row>
    <row r="3490" customHeight="1" spans="1:11">
      <c r="A3490" s="438" t="s">
        <v>1750</v>
      </c>
      <c r="B3490" s="439" t="s">
        <v>2910</v>
      </c>
      <c r="C3490" s="438" t="s">
        <v>99</v>
      </c>
      <c r="D3490" s="438" t="s">
        <v>2911</v>
      </c>
      <c r="E3490" s="438" t="s">
        <v>1764</v>
      </c>
      <c r="F3490" s="438"/>
      <c r="G3490" s="440" t="s">
        <v>82</v>
      </c>
      <c r="H3490" s="441">
        <v>2.1</v>
      </c>
      <c r="I3490" s="441">
        <v>0</v>
      </c>
      <c r="J3490" s="449">
        <v>20.515752</v>
      </c>
      <c r="K3490" s="449">
        <v>43.08</v>
      </c>
    </row>
    <row r="3491" customHeight="1" spans="1:11">
      <c r="A3491" s="434"/>
      <c r="B3491" s="434"/>
      <c r="C3491" s="434"/>
      <c r="D3491" s="434"/>
      <c r="E3491" s="434"/>
      <c r="F3491" s="434" t="s">
        <v>1735</v>
      </c>
      <c r="G3491" s="435">
        <v>63.31</v>
      </c>
      <c r="H3491" s="434" t="s">
        <v>1736</v>
      </c>
      <c r="I3491" s="435">
        <v>57.52</v>
      </c>
      <c r="J3491" s="434" t="s">
        <v>1737</v>
      </c>
      <c r="K3491" s="435">
        <v>120.83</v>
      </c>
    </row>
    <row r="3492" customHeight="1" spans="1:11">
      <c r="A3492" s="434"/>
      <c r="B3492" s="434"/>
      <c r="C3492" s="434"/>
      <c r="D3492" s="434"/>
      <c r="E3492" s="434"/>
      <c r="F3492" s="434" t="s">
        <v>1738</v>
      </c>
      <c r="G3492" s="435">
        <v>109.94</v>
      </c>
      <c r="H3492" s="434"/>
      <c r="I3492" s="434" t="s">
        <v>1739</v>
      </c>
      <c r="J3492" s="434"/>
      <c r="K3492" s="435">
        <v>555.77</v>
      </c>
    </row>
    <row r="3493" customHeight="1" spans="1:11">
      <c r="A3493" s="436"/>
      <c r="B3493" s="436"/>
      <c r="C3493" s="436"/>
      <c r="D3493" s="436"/>
      <c r="E3493" s="436"/>
      <c r="F3493" s="436"/>
      <c r="G3493" s="436"/>
      <c r="H3493" s="436" t="s">
        <v>1740</v>
      </c>
      <c r="I3493" s="447" t="s">
        <v>1741</v>
      </c>
      <c r="J3493" s="436" t="s">
        <v>1742</v>
      </c>
      <c r="K3493" s="448">
        <v>555.77</v>
      </c>
    </row>
    <row r="3494" customHeight="1" spans="1:11">
      <c r="A3494" s="437"/>
      <c r="B3494" s="437"/>
      <c r="C3494" s="437"/>
      <c r="D3494" s="437"/>
      <c r="E3494" s="437"/>
      <c r="F3494" s="437"/>
      <c r="G3494" s="437"/>
      <c r="H3494" s="437"/>
      <c r="I3494" s="437"/>
      <c r="J3494" s="437"/>
      <c r="K3494" s="437"/>
    </row>
    <row r="3495" customHeight="1" spans="1:11">
      <c r="A3495" s="423"/>
      <c r="B3495" s="424" t="s">
        <v>1714</v>
      </c>
      <c r="C3495" s="423" t="s">
        <v>1715</v>
      </c>
      <c r="D3495" s="423" t="s">
        <v>1716</v>
      </c>
      <c r="E3495" s="423" t="s">
        <v>1717</v>
      </c>
      <c r="F3495" s="423"/>
      <c r="G3495" s="425" t="s">
        <v>1718</v>
      </c>
      <c r="H3495" s="424" t="s">
        <v>1719</v>
      </c>
      <c r="I3495" s="424" t="s">
        <v>1720</v>
      </c>
      <c r="J3495" s="424" t="s">
        <v>1721</v>
      </c>
      <c r="K3495" s="424" t="s">
        <v>1722</v>
      </c>
    </row>
    <row r="3496" customHeight="1" spans="1:11">
      <c r="A3496" s="450" t="s">
        <v>1750</v>
      </c>
      <c r="B3496" s="451" t="s">
        <v>1063</v>
      </c>
      <c r="C3496" s="450" t="s">
        <v>99</v>
      </c>
      <c r="D3496" s="450" t="s">
        <v>1064</v>
      </c>
      <c r="E3496" s="450" t="s">
        <v>1631</v>
      </c>
      <c r="F3496" s="450"/>
      <c r="G3496" s="452" t="s">
        <v>105</v>
      </c>
      <c r="H3496" s="453">
        <v>1</v>
      </c>
      <c r="I3496" s="454"/>
      <c r="J3496" s="454">
        <v>260.82</v>
      </c>
      <c r="K3496" s="454">
        <v>260.82</v>
      </c>
    </row>
    <row r="3497" customHeight="1" spans="1:11">
      <c r="A3497" s="434"/>
      <c r="B3497" s="434"/>
      <c r="C3497" s="434"/>
      <c r="D3497" s="434"/>
      <c r="E3497" s="434"/>
      <c r="F3497" s="434" t="s">
        <v>1735</v>
      </c>
      <c r="G3497" s="435">
        <v>0</v>
      </c>
      <c r="H3497" s="434" t="s">
        <v>1736</v>
      </c>
      <c r="I3497" s="435">
        <v>0</v>
      </c>
      <c r="J3497" s="434" t="s">
        <v>1737</v>
      </c>
      <c r="K3497" s="435">
        <v>0</v>
      </c>
    </row>
    <row r="3498" customHeight="1" spans="1:11">
      <c r="A3498" s="434"/>
      <c r="B3498" s="434"/>
      <c r="C3498" s="434"/>
      <c r="D3498" s="434"/>
      <c r="E3498" s="434"/>
      <c r="F3498" s="434" t="s">
        <v>1738</v>
      </c>
      <c r="G3498" s="435"/>
      <c r="H3498" s="434"/>
      <c r="I3498" s="434" t="s">
        <v>1739</v>
      </c>
      <c r="J3498" s="434"/>
      <c r="K3498" s="435">
        <v>325.13</v>
      </c>
    </row>
    <row r="3499" customHeight="1" spans="1:11">
      <c r="A3499" s="436"/>
      <c r="B3499" s="436"/>
      <c r="C3499" s="436"/>
      <c r="D3499" s="436"/>
      <c r="E3499" s="436"/>
      <c r="F3499" s="436"/>
      <c r="G3499" s="436"/>
      <c r="H3499" s="436" t="s">
        <v>1740</v>
      </c>
      <c r="I3499" s="447" t="s">
        <v>1741</v>
      </c>
      <c r="J3499" s="436" t="s">
        <v>1742</v>
      </c>
      <c r="K3499" s="448">
        <v>325.13</v>
      </c>
    </row>
    <row r="3500" customHeight="1" spans="1:11">
      <c r="A3500" s="437"/>
      <c r="B3500" s="437"/>
      <c r="C3500" s="437"/>
      <c r="D3500" s="437"/>
      <c r="E3500" s="437"/>
      <c r="F3500" s="437"/>
      <c r="G3500" s="437"/>
      <c r="H3500" s="437"/>
      <c r="I3500" s="437"/>
      <c r="J3500" s="437"/>
      <c r="K3500" s="437"/>
    </row>
    <row r="3501" customHeight="1" spans="1:11">
      <c r="A3501" s="422" t="s">
        <v>1065</v>
      </c>
      <c r="B3501" s="422"/>
      <c r="C3501" s="422"/>
      <c r="D3501" s="422" t="s">
        <v>1066</v>
      </c>
      <c r="E3501" s="422"/>
      <c r="F3501" s="422"/>
      <c r="G3501" s="422"/>
      <c r="H3501" s="422"/>
      <c r="I3501" s="443"/>
      <c r="J3501" s="422"/>
      <c r="K3501" s="444">
        <v>87382.68</v>
      </c>
    </row>
    <row r="3502" customHeight="1" spans="1:11">
      <c r="A3502" s="423" t="s">
        <v>1067</v>
      </c>
      <c r="B3502" s="424" t="s">
        <v>1714</v>
      </c>
      <c r="C3502" s="423" t="s">
        <v>1715</v>
      </c>
      <c r="D3502" s="423" t="s">
        <v>1716</v>
      </c>
      <c r="E3502" s="423" t="s">
        <v>1717</v>
      </c>
      <c r="F3502" s="423"/>
      <c r="G3502" s="425" t="s">
        <v>1718</v>
      </c>
      <c r="H3502" s="424" t="s">
        <v>1719</v>
      </c>
      <c r="I3502" s="424" t="s">
        <v>1720</v>
      </c>
      <c r="J3502" s="424" t="s">
        <v>1721</v>
      </c>
      <c r="K3502" s="424" t="s">
        <v>1722</v>
      </c>
    </row>
    <row r="3503" customHeight="1" spans="1:11">
      <c r="A3503" s="426" t="s">
        <v>1723</v>
      </c>
      <c r="B3503" s="427" t="s">
        <v>1068</v>
      </c>
      <c r="C3503" s="426" t="s">
        <v>71</v>
      </c>
      <c r="D3503" s="426" t="s">
        <v>1069</v>
      </c>
      <c r="E3503" s="426" t="s">
        <v>1630</v>
      </c>
      <c r="F3503" s="426"/>
      <c r="G3503" s="428" t="s">
        <v>78</v>
      </c>
      <c r="H3503" s="429">
        <v>1</v>
      </c>
      <c r="I3503" s="445"/>
      <c r="J3503" s="445">
        <v>8.3</v>
      </c>
      <c r="K3503" s="445">
        <v>8.3</v>
      </c>
    </row>
    <row r="3504" customHeight="1" spans="1:11">
      <c r="A3504" s="430" t="s">
        <v>1724</v>
      </c>
      <c r="B3504" s="431" t="s">
        <v>2385</v>
      </c>
      <c r="C3504" s="430" t="s">
        <v>71</v>
      </c>
      <c r="D3504" s="430" t="s">
        <v>2386</v>
      </c>
      <c r="E3504" s="430" t="s">
        <v>1708</v>
      </c>
      <c r="F3504" s="430"/>
      <c r="G3504" s="432" t="s">
        <v>82</v>
      </c>
      <c r="H3504" s="433">
        <v>0.0045</v>
      </c>
      <c r="I3504" s="433">
        <v>0</v>
      </c>
      <c r="J3504" s="446">
        <v>30.6</v>
      </c>
      <c r="K3504" s="446">
        <v>0.13</v>
      </c>
    </row>
    <row r="3505" customHeight="1" spans="1:11">
      <c r="A3505" s="430" t="s">
        <v>1724</v>
      </c>
      <c r="B3505" s="431" t="s">
        <v>2387</v>
      </c>
      <c r="C3505" s="430" t="s">
        <v>71</v>
      </c>
      <c r="D3505" s="430" t="s">
        <v>2388</v>
      </c>
      <c r="E3505" s="430" t="s">
        <v>1708</v>
      </c>
      <c r="F3505" s="430"/>
      <c r="G3505" s="432" t="s">
        <v>82</v>
      </c>
      <c r="H3505" s="433">
        <v>0.0045</v>
      </c>
      <c r="I3505" s="433">
        <v>0</v>
      </c>
      <c r="J3505" s="446">
        <v>36.82</v>
      </c>
      <c r="K3505" s="446">
        <v>0.16</v>
      </c>
    </row>
    <row r="3506" customHeight="1" spans="1:11">
      <c r="A3506" s="438" t="s">
        <v>1750</v>
      </c>
      <c r="B3506" s="439" t="s">
        <v>2923</v>
      </c>
      <c r="C3506" s="438" t="s">
        <v>71</v>
      </c>
      <c r="D3506" s="438" t="s">
        <v>2924</v>
      </c>
      <c r="E3506" s="438" t="s">
        <v>1631</v>
      </c>
      <c r="F3506" s="438"/>
      <c r="G3506" s="440" t="s">
        <v>78</v>
      </c>
      <c r="H3506" s="441">
        <v>1.05</v>
      </c>
      <c r="I3506" s="441">
        <v>0</v>
      </c>
      <c r="J3506" s="449">
        <v>7.63</v>
      </c>
      <c r="K3506" s="449">
        <v>8.01</v>
      </c>
    </row>
    <row r="3507" customHeight="1" spans="1:11">
      <c r="A3507" s="434"/>
      <c r="B3507" s="434"/>
      <c r="C3507" s="434"/>
      <c r="D3507" s="434"/>
      <c r="E3507" s="434"/>
      <c r="F3507" s="434" t="s">
        <v>1735</v>
      </c>
      <c r="G3507" s="435">
        <v>0.11</v>
      </c>
      <c r="H3507" s="434" t="s">
        <v>1736</v>
      </c>
      <c r="I3507" s="435">
        <v>0.1</v>
      </c>
      <c r="J3507" s="434" t="s">
        <v>1737</v>
      </c>
      <c r="K3507" s="435">
        <v>0.21</v>
      </c>
    </row>
    <row r="3508" customHeight="1" spans="1:11">
      <c r="A3508" s="434"/>
      <c r="B3508" s="434"/>
      <c r="C3508" s="434"/>
      <c r="D3508" s="434"/>
      <c r="E3508" s="434"/>
      <c r="F3508" s="434" t="s">
        <v>1738</v>
      </c>
      <c r="G3508" s="435">
        <v>2.04</v>
      </c>
      <c r="H3508" s="434"/>
      <c r="I3508" s="434" t="s">
        <v>1739</v>
      </c>
      <c r="J3508" s="434"/>
      <c r="K3508" s="435">
        <v>10.34</v>
      </c>
    </row>
    <row r="3509" customHeight="1" spans="1:11">
      <c r="A3509" s="436"/>
      <c r="B3509" s="436"/>
      <c r="C3509" s="436"/>
      <c r="D3509" s="436"/>
      <c r="E3509" s="436"/>
      <c r="F3509" s="436"/>
      <c r="G3509" s="436"/>
      <c r="H3509" s="436" t="s">
        <v>1740</v>
      </c>
      <c r="I3509" s="447" t="s">
        <v>2925</v>
      </c>
      <c r="J3509" s="436" t="s">
        <v>1742</v>
      </c>
      <c r="K3509" s="448">
        <v>75688.8</v>
      </c>
    </row>
    <row r="3510" customHeight="1" spans="1:11">
      <c r="A3510" s="437"/>
      <c r="B3510" s="437"/>
      <c r="C3510" s="437"/>
      <c r="D3510" s="437"/>
      <c r="E3510" s="437"/>
      <c r="F3510" s="437"/>
      <c r="G3510" s="437"/>
      <c r="H3510" s="437"/>
      <c r="I3510" s="437"/>
      <c r="J3510" s="437"/>
      <c r="K3510" s="437"/>
    </row>
    <row r="3511" customHeight="1" spans="1:11">
      <c r="A3511" s="423" t="s">
        <v>1070</v>
      </c>
      <c r="B3511" s="424" t="s">
        <v>1714</v>
      </c>
      <c r="C3511" s="423" t="s">
        <v>1715</v>
      </c>
      <c r="D3511" s="423" t="s">
        <v>1716</v>
      </c>
      <c r="E3511" s="423" t="s">
        <v>1717</v>
      </c>
      <c r="F3511" s="423"/>
      <c r="G3511" s="425" t="s">
        <v>1718</v>
      </c>
      <c r="H3511" s="424" t="s">
        <v>1719</v>
      </c>
      <c r="I3511" s="424" t="s">
        <v>1720</v>
      </c>
      <c r="J3511" s="424" t="s">
        <v>1721</v>
      </c>
      <c r="K3511" s="424" t="s">
        <v>1722</v>
      </c>
    </row>
    <row r="3512" customHeight="1" spans="1:11">
      <c r="A3512" s="426" t="s">
        <v>1723</v>
      </c>
      <c r="B3512" s="427" t="s">
        <v>1071</v>
      </c>
      <c r="C3512" s="426" t="s">
        <v>99</v>
      </c>
      <c r="D3512" s="426" t="s">
        <v>1072</v>
      </c>
      <c r="E3512" s="426" t="s">
        <v>1644</v>
      </c>
      <c r="F3512" s="426"/>
      <c r="G3512" s="428" t="s">
        <v>78</v>
      </c>
      <c r="H3512" s="429">
        <v>1</v>
      </c>
      <c r="I3512" s="445"/>
      <c r="J3512" s="445">
        <v>15.34</v>
      </c>
      <c r="K3512" s="445">
        <v>15.34</v>
      </c>
    </row>
    <row r="3513" customHeight="1" spans="1:11">
      <c r="A3513" s="438" t="s">
        <v>1750</v>
      </c>
      <c r="B3513" s="439" t="s">
        <v>1832</v>
      </c>
      <c r="C3513" s="438" t="s">
        <v>99</v>
      </c>
      <c r="D3513" s="438" t="s">
        <v>1833</v>
      </c>
      <c r="E3513" s="438" t="s">
        <v>1764</v>
      </c>
      <c r="F3513" s="438"/>
      <c r="G3513" s="440" t="s">
        <v>82</v>
      </c>
      <c r="H3513" s="441">
        <v>0.1</v>
      </c>
      <c r="I3513" s="441">
        <v>0</v>
      </c>
      <c r="J3513" s="449">
        <v>26.928256</v>
      </c>
      <c r="K3513" s="449">
        <v>2.69</v>
      </c>
    </row>
    <row r="3514" customHeight="1" spans="1:11">
      <c r="A3514" s="438" t="s">
        <v>1750</v>
      </c>
      <c r="B3514" s="439" t="s">
        <v>1824</v>
      </c>
      <c r="C3514" s="438" t="s">
        <v>99</v>
      </c>
      <c r="D3514" s="438" t="s">
        <v>1825</v>
      </c>
      <c r="E3514" s="438" t="s">
        <v>1764</v>
      </c>
      <c r="F3514" s="438"/>
      <c r="G3514" s="440" t="s">
        <v>82</v>
      </c>
      <c r="H3514" s="441">
        <v>0.1</v>
      </c>
      <c r="I3514" s="441">
        <v>0</v>
      </c>
      <c r="J3514" s="449">
        <v>20.515752</v>
      </c>
      <c r="K3514" s="449">
        <v>2.05</v>
      </c>
    </row>
    <row r="3515" customHeight="1" spans="1:11">
      <c r="A3515" s="438" t="s">
        <v>1750</v>
      </c>
      <c r="B3515" s="439" t="s">
        <v>2926</v>
      </c>
      <c r="C3515" s="438" t="s">
        <v>99</v>
      </c>
      <c r="D3515" s="438" t="s">
        <v>2927</v>
      </c>
      <c r="E3515" s="438" t="s">
        <v>1631</v>
      </c>
      <c r="F3515" s="438"/>
      <c r="G3515" s="440" t="s">
        <v>78</v>
      </c>
      <c r="H3515" s="441">
        <v>1.02</v>
      </c>
      <c r="I3515" s="441">
        <v>0</v>
      </c>
      <c r="J3515" s="449">
        <v>10.4</v>
      </c>
      <c r="K3515" s="449">
        <v>10.6</v>
      </c>
    </row>
    <row r="3516" customHeight="1" spans="1:11">
      <c r="A3516" s="434"/>
      <c r="B3516" s="434"/>
      <c r="C3516" s="434"/>
      <c r="D3516" s="434"/>
      <c r="E3516" s="434"/>
      <c r="F3516" s="434" t="s">
        <v>1735</v>
      </c>
      <c r="G3516" s="435">
        <v>2.48</v>
      </c>
      <c r="H3516" s="434" t="s">
        <v>1736</v>
      </c>
      <c r="I3516" s="435">
        <v>2.26</v>
      </c>
      <c r="J3516" s="434" t="s">
        <v>1737</v>
      </c>
      <c r="K3516" s="435">
        <v>4.74</v>
      </c>
    </row>
    <row r="3517" customHeight="1" spans="1:11">
      <c r="A3517" s="434"/>
      <c r="B3517" s="434"/>
      <c r="C3517" s="434"/>
      <c r="D3517" s="434"/>
      <c r="E3517" s="434"/>
      <c r="F3517" s="434" t="s">
        <v>1738</v>
      </c>
      <c r="G3517" s="435">
        <v>3.78</v>
      </c>
      <c r="H3517" s="434"/>
      <c r="I3517" s="434" t="s">
        <v>1739</v>
      </c>
      <c r="J3517" s="434"/>
      <c r="K3517" s="435">
        <v>19.12</v>
      </c>
    </row>
    <row r="3518" customHeight="1" spans="1:11">
      <c r="A3518" s="436"/>
      <c r="B3518" s="436"/>
      <c r="C3518" s="436"/>
      <c r="D3518" s="436"/>
      <c r="E3518" s="436"/>
      <c r="F3518" s="436"/>
      <c r="G3518" s="436"/>
      <c r="H3518" s="436" t="s">
        <v>1740</v>
      </c>
      <c r="I3518" s="447" t="s">
        <v>2015</v>
      </c>
      <c r="J3518" s="436" t="s">
        <v>1742</v>
      </c>
      <c r="K3518" s="448">
        <v>3441.6</v>
      </c>
    </row>
    <row r="3519" customHeight="1" spans="1:11">
      <c r="A3519" s="437"/>
      <c r="B3519" s="437"/>
      <c r="C3519" s="437"/>
      <c r="D3519" s="437"/>
      <c r="E3519" s="437"/>
      <c r="F3519" s="437"/>
      <c r="G3519" s="437"/>
      <c r="H3519" s="437"/>
      <c r="I3519" s="437"/>
      <c r="J3519" s="437"/>
      <c r="K3519" s="437"/>
    </row>
    <row r="3520" customHeight="1" spans="1:11">
      <c r="A3520" s="423" t="s">
        <v>1073</v>
      </c>
      <c r="B3520" s="424" t="s">
        <v>1714</v>
      </c>
      <c r="C3520" s="423" t="s">
        <v>1715</v>
      </c>
      <c r="D3520" s="423" t="s">
        <v>1716</v>
      </c>
      <c r="E3520" s="423" t="s">
        <v>1717</v>
      </c>
      <c r="F3520" s="423"/>
      <c r="G3520" s="425" t="s">
        <v>1718</v>
      </c>
      <c r="H3520" s="424" t="s">
        <v>1719</v>
      </c>
      <c r="I3520" s="424" t="s">
        <v>1720</v>
      </c>
      <c r="J3520" s="424" t="s">
        <v>1721</v>
      </c>
      <c r="K3520" s="424" t="s">
        <v>1722</v>
      </c>
    </row>
    <row r="3521" customHeight="1" spans="1:11">
      <c r="A3521" s="426" t="s">
        <v>1723</v>
      </c>
      <c r="B3521" s="427" t="s">
        <v>1074</v>
      </c>
      <c r="C3521" s="426" t="s">
        <v>65</v>
      </c>
      <c r="D3521" s="426" t="s">
        <v>1075</v>
      </c>
      <c r="E3521" s="426" t="s">
        <v>1650</v>
      </c>
      <c r="F3521" s="426"/>
      <c r="G3521" s="428" t="s">
        <v>67</v>
      </c>
      <c r="H3521" s="429">
        <v>1</v>
      </c>
      <c r="I3521" s="445"/>
      <c r="J3521" s="445">
        <v>35</v>
      </c>
      <c r="K3521" s="445">
        <v>35</v>
      </c>
    </row>
    <row r="3522" customHeight="1" spans="1:11">
      <c r="A3522" s="438" t="s">
        <v>1750</v>
      </c>
      <c r="B3522" s="439" t="s">
        <v>2928</v>
      </c>
      <c r="C3522" s="438" t="s">
        <v>65</v>
      </c>
      <c r="D3522" s="438" t="s">
        <v>1075</v>
      </c>
      <c r="E3522" s="438" t="s">
        <v>2253</v>
      </c>
      <c r="F3522" s="438"/>
      <c r="G3522" s="440" t="s">
        <v>105</v>
      </c>
      <c r="H3522" s="441">
        <v>1</v>
      </c>
      <c r="I3522" s="441">
        <v>0</v>
      </c>
      <c r="J3522" s="449">
        <v>35</v>
      </c>
      <c r="K3522" s="449">
        <v>35</v>
      </c>
    </row>
    <row r="3523" customHeight="1" spans="1:11">
      <c r="A3523" s="434"/>
      <c r="B3523" s="434"/>
      <c r="C3523" s="434"/>
      <c r="D3523" s="434"/>
      <c r="E3523" s="434"/>
      <c r="F3523" s="434" t="s">
        <v>1735</v>
      </c>
      <c r="G3523" s="435">
        <v>0</v>
      </c>
      <c r="H3523" s="434" t="s">
        <v>1736</v>
      </c>
      <c r="I3523" s="435">
        <v>0</v>
      </c>
      <c r="J3523" s="434" t="s">
        <v>1737</v>
      </c>
      <c r="K3523" s="435">
        <v>0</v>
      </c>
    </row>
    <row r="3524" customHeight="1" spans="1:11">
      <c r="A3524" s="434"/>
      <c r="B3524" s="434"/>
      <c r="C3524" s="434"/>
      <c r="D3524" s="434"/>
      <c r="E3524" s="434"/>
      <c r="F3524" s="434" t="s">
        <v>1738</v>
      </c>
      <c r="G3524" s="435">
        <v>8.63</v>
      </c>
      <c r="H3524" s="434"/>
      <c r="I3524" s="434" t="s">
        <v>1739</v>
      </c>
      <c r="J3524" s="434"/>
      <c r="K3524" s="435">
        <v>43.63</v>
      </c>
    </row>
    <row r="3525" customHeight="1" spans="1:11">
      <c r="A3525" s="436"/>
      <c r="B3525" s="436"/>
      <c r="C3525" s="436"/>
      <c r="D3525" s="436"/>
      <c r="E3525" s="436"/>
      <c r="F3525" s="436"/>
      <c r="G3525" s="436"/>
      <c r="H3525" s="436" t="s">
        <v>1740</v>
      </c>
      <c r="I3525" s="447" t="s">
        <v>2918</v>
      </c>
      <c r="J3525" s="436" t="s">
        <v>1742</v>
      </c>
      <c r="K3525" s="448">
        <v>7504.36</v>
      </c>
    </row>
    <row r="3526" customHeight="1" spans="1:11">
      <c r="A3526" s="437"/>
      <c r="B3526" s="437"/>
      <c r="C3526" s="437"/>
      <c r="D3526" s="437"/>
      <c r="E3526" s="437"/>
      <c r="F3526" s="437"/>
      <c r="G3526" s="437"/>
      <c r="H3526" s="437"/>
      <c r="I3526" s="437"/>
      <c r="J3526" s="437"/>
      <c r="K3526" s="437"/>
    </row>
    <row r="3527" customHeight="1" spans="1:11">
      <c r="A3527" s="423" t="s">
        <v>1076</v>
      </c>
      <c r="B3527" s="424" t="s">
        <v>1714</v>
      </c>
      <c r="C3527" s="423" t="s">
        <v>1715</v>
      </c>
      <c r="D3527" s="423" t="s">
        <v>1716</v>
      </c>
      <c r="E3527" s="423" t="s">
        <v>1717</v>
      </c>
      <c r="F3527" s="423"/>
      <c r="G3527" s="425" t="s">
        <v>1718</v>
      </c>
      <c r="H3527" s="424" t="s">
        <v>1719</v>
      </c>
      <c r="I3527" s="424" t="s">
        <v>1720</v>
      </c>
      <c r="J3527" s="424" t="s">
        <v>1721</v>
      </c>
      <c r="K3527" s="424" t="s">
        <v>1722</v>
      </c>
    </row>
    <row r="3528" customHeight="1" spans="1:11">
      <c r="A3528" s="426" t="s">
        <v>1723</v>
      </c>
      <c r="B3528" s="427" t="s">
        <v>1077</v>
      </c>
      <c r="C3528" s="426" t="s">
        <v>99</v>
      </c>
      <c r="D3528" s="426" t="s">
        <v>1078</v>
      </c>
      <c r="E3528" s="426" t="s">
        <v>1644</v>
      </c>
      <c r="F3528" s="426"/>
      <c r="G3528" s="428" t="s">
        <v>1079</v>
      </c>
      <c r="H3528" s="429">
        <v>1</v>
      </c>
      <c r="I3528" s="445"/>
      <c r="J3528" s="445">
        <v>75</v>
      </c>
      <c r="K3528" s="445">
        <v>75</v>
      </c>
    </row>
    <row r="3529" customHeight="1" spans="1:11">
      <c r="A3529" s="438" t="s">
        <v>1750</v>
      </c>
      <c r="B3529" s="439" t="s">
        <v>2929</v>
      </c>
      <c r="C3529" s="438" t="s">
        <v>99</v>
      </c>
      <c r="D3529" s="438" t="s">
        <v>2930</v>
      </c>
      <c r="E3529" s="438" t="s">
        <v>1631</v>
      </c>
      <c r="F3529" s="438"/>
      <c r="G3529" s="440" t="s">
        <v>105</v>
      </c>
      <c r="H3529" s="441">
        <v>1</v>
      </c>
      <c r="I3529" s="441">
        <v>0</v>
      </c>
      <c r="J3529" s="449">
        <v>75</v>
      </c>
      <c r="K3529" s="449">
        <v>75</v>
      </c>
    </row>
    <row r="3530" customHeight="1" spans="1:11">
      <c r="A3530" s="434"/>
      <c r="B3530" s="434"/>
      <c r="C3530" s="434"/>
      <c r="D3530" s="434"/>
      <c r="E3530" s="434"/>
      <c r="F3530" s="434" t="s">
        <v>1735</v>
      </c>
      <c r="G3530" s="435">
        <v>0</v>
      </c>
      <c r="H3530" s="434" t="s">
        <v>1736</v>
      </c>
      <c r="I3530" s="435">
        <v>0</v>
      </c>
      <c r="J3530" s="434" t="s">
        <v>1737</v>
      </c>
      <c r="K3530" s="435">
        <v>0</v>
      </c>
    </row>
    <row r="3531" customHeight="1" spans="1:11">
      <c r="A3531" s="434"/>
      <c r="B3531" s="434"/>
      <c r="C3531" s="434"/>
      <c r="D3531" s="434"/>
      <c r="E3531" s="434"/>
      <c r="F3531" s="434" t="s">
        <v>1738</v>
      </c>
      <c r="G3531" s="435">
        <v>18.49</v>
      </c>
      <c r="H3531" s="434"/>
      <c r="I3531" s="434" t="s">
        <v>1739</v>
      </c>
      <c r="J3531" s="434"/>
      <c r="K3531" s="435">
        <v>93.49</v>
      </c>
    </row>
    <row r="3532" customHeight="1" spans="1:11">
      <c r="A3532" s="436"/>
      <c r="B3532" s="436"/>
      <c r="C3532" s="436"/>
      <c r="D3532" s="436"/>
      <c r="E3532" s="436"/>
      <c r="F3532" s="436"/>
      <c r="G3532" s="436"/>
      <c r="H3532" s="436" t="s">
        <v>1740</v>
      </c>
      <c r="I3532" s="447" t="s">
        <v>2336</v>
      </c>
      <c r="J3532" s="436" t="s">
        <v>1742</v>
      </c>
      <c r="K3532" s="448">
        <v>747.92</v>
      </c>
    </row>
    <row r="3533" customHeight="1" spans="1:11">
      <c r="A3533" s="437"/>
      <c r="B3533" s="437"/>
      <c r="C3533" s="437"/>
      <c r="D3533" s="437"/>
      <c r="E3533" s="437"/>
      <c r="F3533" s="437"/>
      <c r="G3533" s="437"/>
      <c r="H3533" s="437"/>
      <c r="I3533" s="437"/>
      <c r="J3533" s="437"/>
      <c r="K3533" s="437"/>
    </row>
    <row r="3534" customHeight="1" spans="1:11">
      <c r="A3534" s="422" t="s">
        <v>1080</v>
      </c>
      <c r="B3534" s="422"/>
      <c r="C3534" s="422"/>
      <c r="D3534" s="422" t="s">
        <v>1081</v>
      </c>
      <c r="E3534" s="422"/>
      <c r="F3534" s="422"/>
      <c r="G3534" s="422"/>
      <c r="H3534" s="422"/>
      <c r="I3534" s="443"/>
      <c r="J3534" s="422"/>
      <c r="K3534" s="444">
        <v>8962.67</v>
      </c>
    </row>
    <row r="3535" customHeight="1" spans="1:11">
      <c r="A3535" s="423" t="s">
        <v>1082</v>
      </c>
      <c r="B3535" s="424" t="s">
        <v>1714</v>
      </c>
      <c r="C3535" s="423" t="s">
        <v>1715</v>
      </c>
      <c r="D3535" s="423" t="s">
        <v>1716</v>
      </c>
      <c r="E3535" s="423" t="s">
        <v>1717</v>
      </c>
      <c r="F3535" s="423"/>
      <c r="G3535" s="425" t="s">
        <v>1718</v>
      </c>
      <c r="H3535" s="424" t="s">
        <v>1719</v>
      </c>
      <c r="I3535" s="424" t="s">
        <v>1720</v>
      </c>
      <c r="J3535" s="424" t="s">
        <v>1721</v>
      </c>
      <c r="K3535" s="424" t="s">
        <v>1722</v>
      </c>
    </row>
    <row r="3536" customHeight="1" spans="1:11">
      <c r="A3536" s="426" t="s">
        <v>1723</v>
      </c>
      <c r="B3536" s="427" t="s">
        <v>827</v>
      </c>
      <c r="C3536" s="426" t="s">
        <v>512</v>
      </c>
      <c r="D3536" s="426" t="s">
        <v>828</v>
      </c>
      <c r="E3536" s="426" t="s">
        <v>1648</v>
      </c>
      <c r="F3536" s="426"/>
      <c r="G3536" s="428" t="s">
        <v>67</v>
      </c>
      <c r="H3536" s="429">
        <v>1</v>
      </c>
      <c r="I3536" s="445"/>
      <c r="J3536" s="445">
        <v>130.75</v>
      </c>
      <c r="K3536" s="445">
        <v>130.75</v>
      </c>
    </row>
    <row r="3537" customHeight="1" spans="1:11">
      <c r="A3537" s="438" t="s">
        <v>1750</v>
      </c>
      <c r="B3537" s="439" t="s">
        <v>2370</v>
      </c>
      <c r="C3537" s="438" t="s">
        <v>512</v>
      </c>
      <c r="D3537" s="438" t="s">
        <v>2371</v>
      </c>
      <c r="E3537" s="438" t="s">
        <v>2372</v>
      </c>
      <c r="F3537" s="438"/>
      <c r="G3537" s="440" t="s">
        <v>1617</v>
      </c>
      <c r="H3537" s="441">
        <v>21.39</v>
      </c>
      <c r="I3537" s="441">
        <v>3</v>
      </c>
      <c r="J3537" s="449">
        <v>1</v>
      </c>
      <c r="K3537" s="449">
        <v>0.64</v>
      </c>
    </row>
    <row r="3538" customHeight="1" spans="1:11">
      <c r="A3538" s="438" t="s">
        <v>1750</v>
      </c>
      <c r="B3538" s="439" t="s">
        <v>2673</v>
      </c>
      <c r="C3538" s="438" t="s">
        <v>512</v>
      </c>
      <c r="D3538" s="438" t="s">
        <v>2674</v>
      </c>
      <c r="E3538" s="438" t="s">
        <v>1764</v>
      </c>
      <c r="F3538" s="438"/>
      <c r="G3538" s="440" t="s">
        <v>2367</v>
      </c>
      <c r="H3538" s="441">
        <v>0.7</v>
      </c>
      <c r="I3538" s="441">
        <v>0</v>
      </c>
      <c r="J3538" s="449">
        <v>30.57</v>
      </c>
      <c r="K3538" s="449">
        <v>21.39</v>
      </c>
    </row>
    <row r="3539" customHeight="1" spans="1:11">
      <c r="A3539" s="438" t="s">
        <v>1750</v>
      </c>
      <c r="B3539" s="439" t="s">
        <v>2687</v>
      </c>
      <c r="C3539" s="438" t="s">
        <v>512</v>
      </c>
      <c r="D3539" s="438" t="s">
        <v>2688</v>
      </c>
      <c r="E3539" s="438" t="s">
        <v>1631</v>
      </c>
      <c r="F3539" s="438"/>
      <c r="G3539" s="440" t="s">
        <v>67</v>
      </c>
      <c r="H3539" s="441">
        <v>1</v>
      </c>
      <c r="I3539" s="441">
        <v>0</v>
      </c>
      <c r="J3539" s="449">
        <v>108.72</v>
      </c>
      <c r="K3539" s="449">
        <v>108.72</v>
      </c>
    </row>
    <row r="3540" customHeight="1" spans="1:11">
      <c r="A3540" s="434"/>
      <c r="B3540" s="434"/>
      <c r="C3540" s="434"/>
      <c r="D3540" s="434"/>
      <c r="E3540" s="434"/>
      <c r="F3540" s="434" t="s">
        <v>1735</v>
      </c>
      <c r="G3540" s="435">
        <v>11.2</v>
      </c>
      <c r="H3540" s="434" t="s">
        <v>1736</v>
      </c>
      <c r="I3540" s="435">
        <v>10.19</v>
      </c>
      <c r="J3540" s="434" t="s">
        <v>1737</v>
      </c>
      <c r="K3540" s="435">
        <v>21.39</v>
      </c>
    </row>
    <row r="3541" customHeight="1" spans="1:11">
      <c r="A3541" s="434"/>
      <c r="B3541" s="434"/>
      <c r="C3541" s="434"/>
      <c r="D3541" s="434"/>
      <c r="E3541" s="434"/>
      <c r="F3541" s="434" t="s">
        <v>1738</v>
      </c>
      <c r="G3541" s="435">
        <v>32.24</v>
      </c>
      <c r="H3541" s="434"/>
      <c r="I3541" s="434" t="s">
        <v>1739</v>
      </c>
      <c r="J3541" s="434"/>
      <c r="K3541" s="435">
        <v>162.99</v>
      </c>
    </row>
    <row r="3542" customHeight="1" spans="1:11">
      <c r="A3542" s="436"/>
      <c r="B3542" s="436"/>
      <c r="C3542" s="436"/>
      <c r="D3542" s="436"/>
      <c r="E3542" s="436"/>
      <c r="F3542" s="436"/>
      <c r="G3542" s="436"/>
      <c r="H3542" s="436" t="s">
        <v>1740</v>
      </c>
      <c r="I3542" s="447" t="s">
        <v>1964</v>
      </c>
      <c r="J3542" s="436" t="s">
        <v>1742</v>
      </c>
      <c r="K3542" s="448">
        <v>1629.9</v>
      </c>
    </row>
    <row r="3543" customHeight="1" spans="1:11">
      <c r="A3543" s="437"/>
      <c r="B3543" s="437"/>
      <c r="C3543" s="437"/>
      <c r="D3543" s="437"/>
      <c r="E3543" s="437"/>
      <c r="F3543" s="437"/>
      <c r="G3543" s="437"/>
      <c r="H3543" s="437"/>
      <c r="I3543" s="437"/>
      <c r="J3543" s="437"/>
      <c r="K3543" s="437"/>
    </row>
    <row r="3544" customHeight="1" spans="1:11">
      <c r="A3544" s="423" t="s">
        <v>1083</v>
      </c>
      <c r="B3544" s="424" t="s">
        <v>1714</v>
      </c>
      <c r="C3544" s="423" t="s">
        <v>1715</v>
      </c>
      <c r="D3544" s="423" t="s">
        <v>1716</v>
      </c>
      <c r="E3544" s="423" t="s">
        <v>1717</v>
      </c>
      <c r="F3544" s="423"/>
      <c r="G3544" s="425" t="s">
        <v>1718</v>
      </c>
      <c r="H3544" s="424" t="s">
        <v>1719</v>
      </c>
      <c r="I3544" s="424" t="s">
        <v>1720</v>
      </c>
      <c r="J3544" s="424" t="s">
        <v>1721</v>
      </c>
      <c r="K3544" s="424" t="s">
        <v>1722</v>
      </c>
    </row>
    <row r="3545" customHeight="1" spans="1:11">
      <c r="A3545" s="426" t="s">
        <v>1723</v>
      </c>
      <c r="B3545" s="427" t="s">
        <v>1084</v>
      </c>
      <c r="C3545" s="426" t="s">
        <v>76</v>
      </c>
      <c r="D3545" s="426" t="s">
        <v>1085</v>
      </c>
      <c r="E3545" s="426">
        <v>15</v>
      </c>
      <c r="F3545" s="426"/>
      <c r="G3545" s="428" t="s">
        <v>105</v>
      </c>
      <c r="H3545" s="429">
        <v>1</v>
      </c>
      <c r="I3545" s="445"/>
      <c r="J3545" s="445">
        <v>111.31</v>
      </c>
      <c r="K3545" s="445">
        <v>111.31</v>
      </c>
    </row>
    <row r="3546" customHeight="1" spans="1:11">
      <c r="A3546" s="430" t="s">
        <v>1724</v>
      </c>
      <c r="B3546" s="431" t="s">
        <v>2931</v>
      </c>
      <c r="C3546" s="430" t="s">
        <v>76</v>
      </c>
      <c r="D3546" s="430" t="s">
        <v>2932</v>
      </c>
      <c r="E3546" s="430">
        <v>7</v>
      </c>
      <c r="F3546" s="430"/>
      <c r="G3546" s="432" t="s">
        <v>129</v>
      </c>
      <c r="H3546" s="433">
        <v>0.0063</v>
      </c>
      <c r="I3546" s="433">
        <v>0</v>
      </c>
      <c r="J3546" s="446">
        <v>506.72</v>
      </c>
      <c r="K3546" s="446">
        <v>3.19</v>
      </c>
    </row>
    <row r="3547" customHeight="1" spans="1:11">
      <c r="A3547" s="438" t="s">
        <v>1750</v>
      </c>
      <c r="B3547" s="439" t="s">
        <v>2660</v>
      </c>
      <c r="C3547" s="438" t="s">
        <v>76</v>
      </c>
      <c r="D3547" s="438" t="s">
        <v>2661</v>
      </c>
      <c r="E3547" s="438" t="s">
        <v>1764</v>
      </c>
      <c r="F3547" s="438"/>
      <c r="G3547" s="440" t="s">
        <v>82</v>
      </c>
      <c r="H3547" s="441">
        <v>0.88</v>
      </c>
      <c r="I3547" s="441">
        <v>3</v>
      </c>
      <c r="J3547" s="449">
        <v>26.52</v>
      </c>
      <c r="K3547" s="449">
        <v>24.03</v>
      </c>
    </row>
    <row r="3548" customHeight="1" spans="1:11">
      <c r="A3548" s="438" t="s">
        <v>1750</v>
      </c>
      <c r="B3548" s="439" t="s">
        <v>1767</v>
      </c>
      <c r="C3548" s="438" t="s">
        <v>76</v>
      </c>
      <c r="D3548" s="438" t="s">
        <v>1768</v>
      </c>
      <c r="E3548" s="438" t="s">
        <v>1764</v>
      </c>
      <c r="F3548" s="438"/>
      <c r="G3548" s="440" t="s">
        <v>82</v>
      </c>
      <c r="H3548" s="441">
        <v>0.88</v>
      </c>
      <c r="I3548" s="441">
        <v>3</v>
      </c>
      <c r="J3548" s="449">
        <v>19.16</v>
      </c>
      <c r="K3548" s="449">
        <v>17.36</v>
      </c>
    </row>
    <row r="3549" customHeight="1" spans="1:11">
      <c r="A3549" s="438" t="s">
        <v>1750</v>
      </c>
      <c r="B3549" s="439" t="s">
        <v>2933</v>
      </c>
      <c r="C3549" s="438" t="s">
        <v>76</v>
      </c>
      <c r="D3549" s="438" t="s">
        <v>2934</v>
      </c>
      <c r="E3549" s="438" t="s">
        <v>1631</v>
      </c>
      <c r="F3549" s="438"/>
      <c r="G3549" s="440" t="s">
        <v>105</v>
      </c>
      <c r="H3549" s="441">
        <v>1</v>
      </c>
      <c r="I3549" s="441">
        <v>0</v>
      </c>
      <c r="J3549" s="449">
        <v>66.73</v>
      </c>
      <c r="K3549" s="449">
        <v>66.73</v>
      </c>
    </row>
    <row r="3550" customHeight="1" spans="1:11">
      <c r="A3550" s="434"/>
      <c r="B3550" s="434"/>
      <c r="C3550" s="434"/>
      <c r="D3550" s="434"/>
      <c r="E3550" s="434"/>
      <c r="F3550" s="434" t="s">
        <v>1735</v>
      </c>
      <c r="G3550" s="435">
        <v>22.4</v>
      </c>
      <c r="H3550" s="434" t="s">
        <v>1736</v>
      </c>
      <c r="I3550" s="435">
        <v>20.35</v>
      </c>
      <c r="J3550" s="434" t="s">
        <v>1737</v>
      </c>
      <c r="K3550" s="435">
        <v>42.75</v>
      </c>
    </row>
    <row r="3551" customHeight="1" spans="1:11">
      <c r="A3551" s="434"/>
      <c r="B3551" s="434"/>
      <c r="C3551" s="434"/>
      <c r="D3551" s="434"/>
      <c r="E3551" s="434"/>
      <c r="F3551" s="434" t="s">
        <v>1738</v>
      </c>
      <c r="G3551" s="435">
        <v>27.44</v>
      </c>
      <c r="H3551" s="434"/>
      <c r="I3551" s="434" t="s">
        <v>1739</v>
      </c>
      <c r="J3551" s="434"/>
      <c r="K3551" s="435">
        <v>138.75</v>
      </c>
    </row>
    <row r="3552" customHeight="1" spans="1:11">
      <c r="A3552" s="436"/>
      <c r="B3552" s="436"/>
      <c r="C3552" s="436"/>
      <c r="D3552" s="436"/>
      <c r="E3552" s="436"/>
      <c r="F3552" s="436"/>
      <c r="G3552" s="436"/>
      <c r="H3552" s="436" t="s">
        <v>1740</v>
      </c>
      <c r="I3552" s="447" t="s">
        <v>1971</v>
      </c>
      <c r="J3552" s="436" t="s">
        <v>1742</v>
      </c>
      <c r="K3552" s="448">
        <v>277.5</v>
      </c>
    </row>
    <row r="3553" customHeight="1" spans="1:11">
      <c r="A3553" s="437"/>
      <c r="B3553" s="437"/>
      <c r="C3553" s="437"/>
      <c r="D3553" s="437"/>
      <c r="E3553" s="437"/>
      <c r="F3553" s="437"/>
      <c r="G3553" s="437"/>
      <c r="H3553" s="437"/>
      <c r="I3553" s="437"/>
      <c r="J3553" s="437"/>
      <c r="K3553" s="437"/>
    </row>
    <row r="3554" customHeight="1" spans="1:11">
      <c r="A3554" s="423" t="s">
        <v>1086</v>
      </c>
      <c r="B3554" s="424" t="s">
        <v>1714</v>
      </c>
      <c r="C3554" s="423" t="s">
        <v>1715</v>
      </c>
      <c r="D3554" s="423" t="s">
        <v>1716</v>
      </c>
      <c r="E3554" s="423" t="s">
        <v>1717</v>
      </c>
      <c r="F3554" s="423"/>
      <c r="G3554" s="425" t="s">
        <v>1718</v>
      </c>
      <c r="H3554" s="424" t="s">
        <v>1719</v>
      </c>
      <c r="I3554" s="424" t="s">
        <v>1720</v>
      </c>
      <c r="J3554" s="424" t="s">
        <v>1721</v>
      </c>
      <c r="K3554" s="424" t="s">
        <v>1722</v>
      </c>
    </row>
    <row r="3555" customHeight="1" spans="1:11">
      <c r="A3555" s="426" t="s">
        <v>1723</v>
      </c>
      <c r="B3555" s="427" t="s">
        <v>1087</v>
      </c>
      <c r="C3555" s="426" t="s">
        <v>512</v>
      </c>
      <c r="D3555" s="426" t="s">
        <v>1088</v>
      </c>
      <c r="E3555" s="426" t="s">
        <v>1648</v>
      </c>
      <c r="F3555" s="426"/>
      <c r="G3555" s="428" t="s">
        <v>67</v>
      </c>
      <c r="H3555" s="429">
        <v>1</v>
      </c>
      <c r="I3555" s="445"/>
      <c r="J3555" s="445">
        <v>18.25</v>
      </c>
      <c r="K3555" s="445">
        <v>18.25</v>
      </c>
    </row>
    <row r="3556" customHeight="1" spans="1:11">
      <c r="A3556" s="438" t="s">
        <v>1750</v>
      </c>
      <c r="B3556" s="439" t="s">
        <v>2673</v>
      </c>
      <c r="C3556" s="438" t="s">
        <v>512</v>
      </c>
      <c r="D3556" s="438" t="s">
        <v>2674</v>
      </c>
      <c r="E3556" s="438" t="s">
        <v>1764</v>
      </c>
      <c r="F3556" s="438"/>
      <c r="G3556" s="440" t="s">
        <v>2367</v>
      </c>
      <c r="H3556" s="441">
        <v>0.25</v>
      </c>
      <c r="I3556" s="441">
        <v>0</v>
      </c>
      <c r="J3556" s="449">
        <v>30.57</v>
      </c>
      <c r="K3556" s="449">
        <v>7.64</v>
      </c>
    </row>
    <row r="3557" customHeight="1" spans="1:11">
      <c r="A3557" s="438" t="s">
        <v>1750</v>
      </c>
      <c r="B3557" s="439" t="s">
        <v>2935</v>
      </c>
      <c r="C3557" s="438" t="s">
        <v>512</v>
      </c>
      <c r="D3557" s="438" t="s">
        <v>2936</v>
      </c>
      <c r="E3557" s="438" t="s">
        <v>1631</v>
      </c>
      <c r="F3557" s="438"/>
      <c r="G3557" s="440" t="s">
        <v>67</v>
      </c>
      <c r="H3557" s="441">
        <v>1</v>
      </c>
      <c r="I3557" s="441">
        <v>0</v>
      </c>
      <c r="J3557" s="449">
        <v>4.24</v>
      </c>
      <c r="K3557" s="449">
        <v>4.24</v>
      </c>
    </row>
    <row r="3558" customHeight="1" spans="1:11">
      <c r="A3558" s="438" t="s">
        <v>1750</v>
      </c>
      <c r="B3558" s="439" t="s">
        <v>2370</v>
      </c>
      <c r="C3558" s="438" t="s">
        <v>512</v>
      </c>
      <c r="D3558" s="438" t="s">
        <v>2371</v>
      </c>
      <c r="E3558" s="438" t="s">
        <v>2372</v>
      </c>
      <c r="F3558" s="438"/>
      <c r="G3558" s="440" t="s">
        <v>1617</v>
      </c>
      <c r="H3558" s="441">
        <v>13.61</v>
      </c>
      <c r="I3558" s="441">
        <v>3</v>
      </c>
      <c r="J3558" s="449">
        <v>1</v>
      </c>
      <c r="K3558" s="449">
        <v>0.4</v>
      </c>
    </row>
    <row r="3559" customHeight="1" spans="1:11">
      <c r="A3559" s="438" t="s">
        <v>1750</v>
      </c>
      <c r="B3559" s="439" t="s">
        <v>2937</v>
      </c>
      <c r="C3559" s="438" t="s">
        <v>512</v>
      </c>
      <c r="D3559" s="438" t="s">
        <v>2938</v>
      </c>
      <c r="E3559" s="438" t="s">
        <v>1764</v>
      </c>
      <c r="F3559" s="438"/>
      <c r="G3559" s="440" t="s">
        <v>2367</v>
      </c>
      <c r="H3559" s="441">
        <v>0.25</v>
      </c>
      <c r="I3559" s="441">
        <v>0</v>
      </c>
      <c r="J3559" s="449">
        <v>23.89</v>
      </c>
      <c r="K3559" s="449">
        <v>5.97</v>
      </c>
    </row>
    <row r="3560" customHeight="1" spans="1:11">
      <c r="A3560" s="434"/>
      <c r="B3560" s="434"/>
      <c r="C3560" s="434"/>
      <c r="D3560" s="434"/>
      <c r="E3560" s="434"/>
      <c r="F3560" s="434" t="s">
        <v>1735</v>
      </c>
      <c r="G3560" s="435">
        <v>7.13</v>
      </c>
      <c r="H3560" s="434" t="s">
        <v>1736</v>
      </c>
      <c r="I3560" s="435">
        <v>6.48</v>
      </c>
      <c r="J3560" s="434" t="s">
        <v>1737</v>
      </c>
      <c r="K3560" s="435">
        <v>13.61</v>
      </c>
    </row>
    <row r="3561" customHeight="1" spans="1:11">
      <c r="A3561" s="434"/>
      <c r="B3561" s="434"/>
      <c r="C3561" s="434"/>
      <c r="D3561" s="434"/>
      <c r="E3561" s="434"/>
      <c r="F3561" s="434" t="s">
        <v>1738</v>
      </c>
      <c r="G3561" s="435">
        <v>4.5</v>
      </c>
      <c r="H3561" s="434"/>
      <c r="I3561" s="434" t="s">
        <v>1739</v>
      </c>
      <c r="J3561" s="434"/>
      <c r="K3561" s="435">
        <v>22.75</v>
      </c>
    </row>
    <row r="3562" customHeight="1" spans="1:11">
      <c r="A3562" s="436"/>
      <c r="B3562" s="436"/>
      <c r="C3562" s="436"/>
      <c r="D3562" s="436"/>
      <c r="E3562" s="436"/>
      <c r="F3562" s="436"/>
      <c r="G3562" s="436"/>
      <c r="H3562" s="436" t="s">
        <v>1740</v>
      </c>
      <c r="I3562" s="447" t="s">
        <v>1741</v>
      </c>
      <c r="J3562" s="436" t="s">
        <v>1742</v>
      </c>
      <c r="K3562" s="448">
        <v>22.75</v>
      </c>
    </row>
    <row r="3563" customHeight="1" spans="1:11">
      <c r="A3563" s="437"/>
      <c r="B3563" s="437"/>
      <c r="C3563" s="437"/>
      <c r="D3563" s="437"/>
      <c r="E3563" s="437"/>
      <c r="F3563" s="437"/>
      <c r="G3563" s="437"/>
      <c r="H3563" s="437"/>
      <c r="I3563" s="437"/>
      <c r="J3563" s="437"/>
      <c r="K3563" s="437"/>
    </row>
    <row r="3564" customHeight="1" spans="1:11">
      <c r="A3564" s="423" t="s">
        <v>1089</v>
      </c>
      <c r="B3564" s="424" t="s">
        <v>1714</v>
      </c>
      <c r="C3564" s="423" t="s">
        <v>1715</v>
      </c>
      <c r="D3564" s="423" t="s">
        <v>1716</v>
      </c>
      <c r="E3564" s="423" t="s">
        <v>1717</v>
      </c>
      <c r="F3564" s="423"/>
      <c r="G3564" s="425" t="s">
        <v>1718</v>
      </c>
      <c r="H3564" s="424" t="s">
        <v>1719</v>
      </c>
      <c r="I3564" s="424" t="s">
        <v>1720</v>
      </c>
      <c r="J3564" s="424" t="s">
        <v>1721</v>
      </c>
      <c r="K3564" s="424" t="s">
        <v>1722</v>
      </c>
    </row>
    <row r="3565" customHeight="1" spans="1:11">
      <c r="A3565" s="426" t="s">
        <v>1723</v>
      </c>
      <c r="B3565" s="427" t="s">
        <v>1090</v>
      </c>
      <c r="C3565" s="426" t="s">
        <v>76</v>
      </c>
      <c r="D3565" s="426" t="s">
        <v>1091</v>
      </c>
      <c r="E3565" s="426">
        <v>15</v>
      </c>
      <c r="F3565" s="426"/>
      <c r="G3565" s="428" t="s">
        <v>105</v>
      </c>
      <c r="H3565" s="429">
        <v>1</v>
      </c>
      <c r="I3565" s="445"/>
      <c r="J3565" s="445">
        <v>233.63</v>
      </c>
      <c r="K3565" s="445">
        <v>233.63</v>
      </c>
    </row>
    <row r="3566" customHeight="1" spans="1:11">
      <c r="A3566" s="438" t="s">
        <v>1750</v>
      </c>
      <c r="B3566" s="439" t="s">
        <v>2660</v>
      </c>
      <c r="C3566" s="438" t="s">
        <v>76</v>
      </c>
      <c r="D3566" s="438" t="s">
        <v>2661</v>
      </c>
      <c r="E3566" s="438" t="s">
        <v>1764</v>
      </c>
      <c r="F3566" s="438"/>
      <c r="G3566" s="440" t="s">
        <v>82</v>
      </c>
      <c r="H3566" s="441">
        <v>0.8</v>
      </c>
      <c r="I3566" s="441">
        <v>3</v>
      </c>
      <c r="J3566" s="449">
        <v>26.52</v>
      </c>
      <c r="K3566" s="449">
        <v>21.85</v>
      </c>
    </row>
    <row r="3567" customHeight="1" spans="1:11">
      <c r="A3567" s="438" t="s">
        <v>1750</v>
      </c>
      <c r="B3567" s="439" t="s">
        <v>2939</v>
      </c>
      <c r="C3567" s="438" t="s">
        <v>76</v>
      </c>
      <c r="D3567" s="438" t="s">
        <v>2940</v>
      </c>
      <c r="E3567" s="438" t="s">
        <v>1631</v>
      </c>
      <c r="F3567" s="438"/>
      <c r="G3567" s="440" t="s">
        <v>105</v>
      </c>
      <c r="H3567" s="441">
        <v>1</v>
      </c>
      <c r="I3567" s="441">
        <v>0</v>
      </c>
      <c r="J3567" s="449">
        <v>211.78</v>
      </c>
      <c r="K3567" s="449">
        <v>211.78</v>
      </c>
    </row>
    <row r="3568" customHeight="1" spans="1:11">
      <c r="A3568" s="434"/>
      <c r="B3568" s="434"/>
      <c r="C3568" s="434"/>
      <c r="D3568" s="434"/>
      <c r="E3568" s="434"/>
      <c r="F3568" s="434" t="s">
        <v>1735</v>
      </c>
      <c r="G3568" s="435">
        <v>11.44</v>
      </c>
      <c r="H3568" s="434" t="s">
        <v>1736</v>
      </c>
      <c r="I3568" s="435">
        <v>10.41</v>
      </c>
      <c r="J3568" s="434" t="s">
        <v>1737</v>
      </c>
      <c r="K3568" s="435">
        <v>21.85</v>
      </c>
    </row>
    <row r="3569" customHeight="1" spans="1:11">
      <c r="A3569" s="434"/>
      <c r="B3569" s="434"/>
      <c r="C3569" s="434"/>
      <c r="D3569" s="434"/>
      <c r="E3569" s="434"/>
      <c r="F3569" s="434" t="s">
        <v>1738</v>
      </c>
      <c r="G3569" s="435">
        <v>57.61</v>
      </c>
      <c r="H3569" s="434"/>
      <c r="I3569" s="434" t="s">
        <v>1739</v>
      </c>
      <c r="J3569" s="434"/>
      <c r="K3569" s="435">
        <v>291.24</v>
      </c>
    </row>
    <row r="3570" customHeight="1" spans="1:11">
      <c r="A3570" s="436"/>
      <c r="B3570" s="436"/>
      <c r="C3570" s="436"/>
      <c r="D3570" s="436"/>
      <c r="E3570" s="436"/>
      <c r="F3570" s="436"/>
      <c r="G3570" s="436"/>
      <c r="H3570" s="436" t="s">
        <v>1740</v>
      </c>
      <c r="I3570" s="447" t="s">
        <v>1741</v>
      </c>
      <c r="J3570" s="436" t="s">
        <v>1742</v>
      </c>
      <c r="K3570" s="448">
        <v>291.24</v>
      </c>
    </row>
    <row r="3571" customHeight="1" spans="1:11">
      <c r="A3571" s="437"/>
      <c r="B3571" s="437"/>
      <c r="C3571" s="437"/>
      <c r="D3571" s="437"/>
      <c r="E3571" s="437"/>
      <c r="F3571" s="437"/>
      <c r="G3571" s="437"/>
      <c r="H3571" s="437"/>
      <c r="I3571" s="437"/>
      <c r="J3571" s="437"/>
      <c r="K3571" s="437"/>
    </row>
    <row r="3572" customHeight="1" spans="1:11">
      <c r="A3572" s="423" t="s">
        <v>1092</v>
      </c>
      <c r="B3572" s="424" t="s">
        <v>1714</v>
      </c>
      <c r="C3572" s="423" t="s">
        <v>1715</v>
      </c>
      <c r="D3572" s="423" t="s">
        <v>1716</v>
      </c>
      <c r="E3572" s="423" t="s">
        <v>1717</v>
      </c>
      <c r="F3572" s="423"/>
      <c r="G3572" s="425" t="s">
        <v>1718</v>
      </c>
      <c r="H3572" s="424" t="s">
        <v>1719</v>
      </c>
      <c r="I3572" s="424" t="s">
        <v>1720</v>
      </c>
      <c r="J3572" s="424" t="s">
        <v>1721</v>
      </c>
      <c r="K3572" s="424" t="s">
        <v>1722</v>
      </c>
    </row>
    <row r="3573" customHeight="1" spans="1:11">
      <c r="A3573" s="426" t="s">
        <v>1723</v>
      </c>
      <c r="B3573" s="427" t="s">
        <v>833</v>
      </c>
      <c r="C3573" s="426" t="s">
        <v>76</v>
      </c>
      <c r="D3573" s="426" t="s">
        <v>834</v>
      </c>
      <c r="E3573" s="426">
        <v>6</v>
      </c>
      <c r="F3573" s="426"/>
      <c r="G3573" s="428" t="s">
        <v>105</v>
      </c>
      <c r="H3573" s="429">
        <v>1</v>
      </c>
      <c r="I3573" s="445"/>
      <c r="J3573" s="445">
        <v>772.54</v>
      </c>
      <c r="K3573" s="445">
        <v>772.54</v>
      </c>
    </row>
    <row r="3574" customHeight="1" spans="1:11">
      <c r="A3574" s="430" t="s">
        <v>1724</v>
      </c>
      <c r="B3574" s="431" t="s">
        <v>2485</v>
      </c>
      <c r="C3574" s="430" t="s">
        <v>76</v>
      </c>
      <c r="D3574" s="430" t="s">
        <v>2486</v>
      </c>
      <c r="E3574" s="430">
        <v>11</v>
      </c>
      <c r="F3574" s="430"/>
      <c r="G3574" s="432" t="s">
        <v>129</v>
      </c>
      <c r="H3574" s="433">
        <v>0.102</v>
      </c>
      <c r="I3574" s="433">
        <v>0</v>
      </c>
      <c r="J3574" s="446">
        <v>359.88</v>
      </c>
      <c r="K3574" s="446">
        <v>36.7</v>
      </c>
    </row>
    <row r="3575" customHeight="1" spans="1:11">
      <c r="A3575" s="430" t="s">
        <v>1724</v>
      </c>
      <c r="B3575" s="431" t="s">
        <v>2487</v>
      </c>
      <c r="C3575" s="430" t="s">
        <v>76</v>
      </c>
      <c r="D3575" s="430" t="s">
        <v>2488</v>
      </c>
      <c r="E3575" s="430">
        <v>12</v>
      </c>
      <c r="F3575" s="430"/>
      <c r="G3575" s="432" t="s">
        <v>73</v>
      </c>
      <c r="H3575" s="433">
        <v>1.44</v>
      </c>
      <c r="I3575" s="433">
        <v>0</v>
      </c>
      <c r="J3575" s="446">
        <v>319.76</v>
      </c>
      <c r="K3575" s="446">
        <v>460.45</v>
      </c>
    </row>
    <row r="3576" customHeight="1" spans="1:11">
      <c r="A3576" s="430" t="s">
        <v>1724</v>
      </c>
      <c r="B3576" s="431" t="s">
        <v>2489</v>
      </c>
      <c r="C3576" s="430" t="s">
        <v>76</v>
      </c>
      <c r="D3576" s="430" t="s">
        <v>2490</v>
      </c>
      <c r="E3576" s="430">
        <v>13</v>
      </c>
      <c r="F3576" s="430"/>
      <c r="G3576" s="432" t="s">
        <v>73</v>
      </c>
      <c r="H3576" s="433">
        <v>1.01</v>
      </c>
      <c r="I3576" s="433">
        <v>0</v>
      </c>
      <c r="J3576" s="446">
        <v>33.44</v>
      </c>
      <c r="K3576" s="446">
        <v>33.77</v>
      </c>
    </row>
    <row r="3577" customHeight="1" spans="1:11">
      <c r="A3577" s="430" t="s">
        <v>1724</v>
      </c>
      <c r="B3577" s="431" t="s">
        <v>2691</v>
      </c>
      <c r="C3577" s="430" t="s">
        <v>76</v>
      </c>
      <c r="D3577" s="430" t="s">
        <v>2692</v>
      </c>
      <c r="E3577" s="430">
        <v>11</v>
      </c>
      <c r="F3577" s="430"/>
      <c r="G3577" s="432" t="s">
        <v>129</v>
      </c>
      <c r="H3577" s="433">
        <v>0.072</v>
      </c>
      <c r="I3577" s="433">
        <v>0</v>
      </c>
      <c r="J3577" s="446">
        <v>382.58</v>
      </c>
      <c r="K3577" s="446">
        <v>27.54</v>
      </c>
    </row>
    <row r="3578" customHeight="1" spans="1:11">
      <c r="A3578" s="438" t="s">
        <v>1750</v>
      </c>
      <c r="B3578" s="439" t="s">
        <v>1773</v>
      </c>
      <c r="C3578" s="438" t="s">
        <v>76</v>
      </c>
      <c r="D3578" s="438" t="s">
        <v>1774</v>
      </c>
      <c r="E3578" s="438" t="s">
        <v>1631</v>
      </c>
      <c r="F3578" s="438"/>
      <c r="G3578" s="440" t="s">
        <v>78</v>
      </c>
      <c r="H3578" s="441">
        <v>1.2</v>
      </c>
      <c r="I3578" s="441">
        <v>0</v>
      </c>
      <c r="J3578" s="449">
        <v>12.67</v>
      </c>
      <c r="K3578" s="449">
        <v>15.2</v>
      </c>
    </row>
    <row r="3579" customHeight="1" spans="1:11">
      <c r="A3579" s="438" t="s">
        <v>1750</v>
      </c>
      <c r="B3579" s="439" t="s">
        <v>1769</v>
      </c>
      <c r="C3579" s="438" t="s">
        <v>76</v>
      </c>
      <c r="D3579" s="438" t="s">
        <v>1770</v>
      </c>
      <c r="E3579" s="438" t="s">
        <v>1631</v>
      </c>
      <c r="F3579" s="438"/>
      <c r="G3579" s="440" t="s">
        <v>158</v>
      </c>
      <c r="H3579" s="441">
        <v>0.05</v>
      </c>
      <c r="I3579" s="441">
        <v>0</v>
      </c>
      <c r="J3579" s="449">
        <v>15.35</v>
      </c>
      <c r="K3579" s="449">
        <v>0.76</v>
      </c>
    </row>
    <row r="3580" customHeight="1" spans="1:11">
      <c r="A3580" s="438" t="s">
        <v>1750</v>
      </c>
      <c r="B3580" s="439" t="s">
        <v>2149</v>
      </c>
      <c r="C3580" s="438" t="s">
        <v>76</v>
      </c>
      <c r="D3580" s="438" t="s">
        <v>2150</v>
      </c>
      <c r="E3580" s="438" t="s">
        <v>1764</v>
      </c>
      <c r="F3580" s="438"/>
      <c r="G3580" s="440" t="s">
        <v>82</v>
      </c>
      <c r="H3580" s="441">
        <v>2.88</v>
      </c>
      <c r="I3580" s="441">
        <v>3</v>
      </c>
      <c r="J3580" s="449">
        <v>26.52</v>
      </c>
      <c r="K3580" s="449">
        <v>78.66</v>
      </c>
    </row>
    <row r="3581" customHeight="1" spans="1:11">
      <c r="A3581" s="438" t="s">
        <v>1750</v>
      </c>
      <c r="B3581" s="439" t="s">
        <v>1762</v>
      </c>
      <c r="C3581" s="438" t="s">
        <v>76</v>
      </c>
      <c r="D3581" s="438" t="s">
        <v>1763</v>
      </c>
      <c r="E3581" s="438" t="s">
        <v>1764</v>
      </c>
      <c r="F3581" s="438"/>
      <c r="G3581" s="440" t="s">
        <v>82</v>
      </c>
      <c r="H3581" s="441">
        <v>0.8</v>
      </c>
      <c r="I3581" s="441">
        <v>3</v>
      </c>
      <c r="J3581" s="449">
        <v>26.52</v>
      </c>
      <c r="K3581" s="449">
        <v>21.85</v>
      </c>
    </row>
    <row r="3582" customHeight="1" spans="1:11">
      <c r="A3582" s="438" t="s">
        <v>1750</v>
      </c>
      <c r="B3582" s="439" t="s">
        <v>1767</v>
      </c>
      <c r="C3582" s="438" t="s">
        <v>76</v>
      </c>
      <c r="D3582" s="438" t="s">
        <v>1768</v>
      </c>
      <c r="E3582" s="438" t="s">
        <v>1764</v>
      </c>
      <c r="F3582" s="438"/>
      <c r="G3582" s="440" t="s">
        <v>82</v>
      </c>
      <c r="H3582" s="441">
        <v>2.38</v>
      </c>
      <c r="I3582" s="441">
        <v>3</v>
      </c>
      <c r="J3582" s="449">
        <v>19.16</v>
      </c>
      <c r="K3582" s="449">
        <v>46.96</v>
      </c>
    </row>
    <row r="3583" customHeight="1" spans="1:11">
      <c r="A3583" s="438" t="s">
        <v>1750</v>
      </c>
      <c r="B3583" s="439" t="s">
        <v>2693</v>
      </c>
      <c r="C3583" s="438" t="s">
        <v>76</v>
      </c>
      <c r="D3583" s="438" t="s">
        <v>2694</v>
      </c>
      <c r="E3583" s="438" t="s">
        <v>1631</v>
      </c>
      <c r="F3583" s="438"/>
      <c r="G3583" s="440" t="s">
        <v>158</v>
      </c>
      <c r="H3583" s="441">
        <v>5.5</v>
      </c>
      <c r="I3583" s="441">
        <v>0</v>
      </c>
      <c r="J3583" s="449">
        <v>9.21</v>
      </c>
      <c r="K3583" s="449">
        <v>50.65</v>
      </c>
    </row>
    <row r="3584" customHeight="1" spans="1:11">
      <c r="A3584" s="434"/>
      <c r="B3584" s="434"/>
      <c r="C3584" s="434"/>
      <c r="D3584" s="434"/>
      <c r="E3584" s="434"/>
      <c r="F3584" s="434" t="s">
        <v>1735</v>
      </c>
      <c r="G3584" s="435">
        <v>176.52</v>
      </c>
      <c r="H3584" s="434" t="s">
        <v>1736</v>
      </c>
      <c r="I3584" s="435">
        <v>160.34</v>
      </c>
      <c r="J3584" s="434" t="s">
        <v>1737</v>
      </c>
      <c r="K3584" s="435">
        <v>336.86</v>
      </c>
    </row>
    <row r="3585" customHeight="1" spans="1:11">
      <c r="A3585" s="434"/>
      <c r="B3585" s="434"/>
      <c r="C3585" s="434"/>
      <c r="D3585" s="434"/>
      <c r="E3585" s="434"/>
      <c r="F3585" s="434" t="s">
        <v>1738</v>
      </c>
      <c r="G3585" s="435">
        <v>190.5</v>
      </c>
      <c r="H3585" s="434"/>
      <c r="I3585" s="434" t="s">
        <v>1739</v>
      </c>
      <c r="J3585" s="434"/>
      <c r="K3585" s="435">
        <v>963.04</v>
      </c>
    </row>
    <row r="3586" customHeight="1" spans="1:11">
      <c r="A3586" s="436"/>
      <c r="B3586" s="436"/>
      <c r="C3586" s="436"/>
      <c r="D3586" s="436"/>
      <c r="E3586" s="436"/>
      <c r="F3586" s="436"/>
      <c r="G3586" s="436"/>
      <c r="H3586" s="436" t="s">
        <v>1740</v>
      </c>
      <c r="I3586" s="447" t="s">
        <v>2384</v>
      </c>
      <c r="J3586" s="436" t="s">
        <v>1742</v>
      </c>
      <c r="K3586" s="448">
        <v>6741.28</v>
      </c>
    </row>
    <row r="3587" customHeight="1" spans="1:11">
      <c r="A3587" s="437"/>
      <c r="B3587" s="437"/>
      <c r="C3587" s="437"/>
      <c r="D3587" s="437"/>
      <c r="E3587" s="437"/>
      <c r="F3587" s="437"/>
      <c r="G3587" s="437"/>
      <c r="H3587" s="437"/>
      <c r="I3587" s="437"/>
      <c r="J3587" s="437"/>
      <c r="K3587" s="437"/>
    </row>
    <row r="3588" customHeight="1" spans="1:11">
      <c r="A3588" s="422" t="s">
        <v>1093</v>
      </c>
      <c r="B3588" s="422"/>
      <c r="C3588" s="422"/>
      <c r="D3588" s="422" t="s">
        <v>34</v>
      </c>
      <c r="E3588" s="422"/>
      <c r="F3588" s="422"/>
      <c r="G3588" s="422"/>
      <c r="H3588" s="422"/>
      <c r="I3588" s="443"/>
      <c r="J3588" s="422"/>
      <c r="K3588" s="444">
        <v>13854.74</v>
      </c>
    </row>
    <row r="3589" customHeight="1" spans="1:11">
      <c r="A3589" s="423" t="s">
        <v>1094</v>
      </c>
      <c r="B3589" s="424" t="s">
        <v>1714</v>
      </c>
      <c r="C3589" s="423" t="s">
        <v>1715</v>
      </c>
      <c r="D3589" s="423" t="s">
        <v>1716</v>
      </c>
      <c r="E3589" s="423" t="s">
        <v>1717</v>
      </c>
      <c r="F3589" s="423"/>
      <c r="G3589" s="425" t="s">
        <v>1718</v>
      </c>
      <c r="H3589" s="424" t="s">
        <v>1719</v>
      </c>
      <c r="I3589" s="424" t="s">
        <v>1720</v>
      </c>
      <c r="J3589" s="424" t="s">
        <v>1721</v>
      </c>
      <c r="K3589" s="424" t="s">
        <v>1722</v>
      </c>
    </row>
    <row r="3590" customHeight="1" spans="1:11">
      <c r="A3590" s="426" t="s">
        <v>1723</v>
      </c>
      <c r="B3590" s="427" t="s">
        <v>1095</v>
      </c>
      <c r="C3590" s="426" t="s">
        <v>99</v>
      </c>
      <c r="D3590" s="426" t="s">
        <v>1096</v>
      </c>
      <c r="E3590" s="426" t="s">
        <v>1663</v>
      </c>
      <c r="F3590" s="426"/>
      <c r="G3590" s="428" t="s">
        <v>105</v>
      </c>
      <c r="H3590" s="429">
        <v>1</v>
      </c>
      <c r="I3590" s="445"/>
      <c r="J3590" s="445">
        <v>255.66</v>
      </c>
      <c r="K3590" s="445">
        <v>255.66</v>
      </c>
    </row>
    <row r="3591" customHeight="1" spans="1:11">
      <c r="A3591" s="438" t="s">
        <v>1750</v>
      </c>
      <c r="B3591" s="439" t="s">
        <v>1832</v>
      </c>
      <c r="C3591" s="438" t="s">
        <v>99</v>
      </c>
      <c r="D3591" s="438" t="s">
        <v>1833</v>
      </c>
      <c r="E3591" s="438" t="s">
        <v>1764</v>
      </c>
      <c r="F3591" s="438"/>
      <c r="G3591" s="440" t="s">
        <v>82</v>
      </c>
      <c r="H3591" s="441">
        <v>1</v>
      </c>
      <c r="I3591" s="441">
        <v>0</v>
      </c>
      <c r="J3591" s="449">
        <v>26.928256</v>
      </c>
      <c r="K3591" s="449">
        <v>26.92</v>
      </c>
    </row>
    <row r="3592" customHeight="1" spans="1:11">
      <c r="A3592" s="438" t="s">
        <v>1750</v>
      </c>
      <c r="B3592" s="439" t="s">
        <v>1830</v>
      </c>
      <c r="C3592" s="438" t="s">
        <v>99</v>
      </c>
      <c r="D3592" s="438" t="s">
        <v>1831</v>
      </c>
      <c r="E3592" s="438" t="s">
        <v>1631</v>
      </c>
      <c r="F3592" s="438"/>
      <c r="G3592" s="440" t="s">
        <v>78</v>
      </c>
      <c r="H3592" s="441">
        <v>0.1</v>
      </c>
      <c r="I3592" s="441">
        <v>0</v>
      </c>
      <c r="J3592" s="449">
        <v>0.73</v>
      </c>
      <c r="K3592" s="449">
        <v>0.07</v>
      </c>
    </row>
    <row r="3593" customHeight="1" spans="1:11">
      <c r="A3593" s="438" t="s">
        <v>1750</v>
      </c>
      <c r="B3593" s="439" t="s">
        <v>1824</v>
      </c>
      <c r="C3593" s="438" t="s">
        <v>99</v>
      </c>
      <c r="D3593" s="438" t="s">
        <v>1825</v>
      </c>
      <c r="E3593" s="438" t="s">
        <v>1764</v>
      </c>
      <c r="F3593" s="438"/>
      <c r="G3593" s="440" t="s">
        <v>82</v>
      </c>
      <c r="H3593" s="441">
        <v>1</v>
      </c>
      <c r="I3593" s="441">
        <v>0</v>
      </c>
      <c r="J3593" s="449">
        <v>20.515752</v>
      </c>
      <c r="K3593" s="449">
        <v>20.51</v>
      </c>
    </row>
    <row r="3594" customHeight="1" spans="1:11">
      <c r="A3594" s="438" t="s">
        <v>1750</v>
      </c>
      <c r="B3594" s="439" t="s">
        <v>2941</v>
      </c>
      <c r="C3594" s="438" t="s">
        <v>99</v>
      </c>
      <c r="D3594" s="438" t="s">
        <v>2942</v>
      </c>
      <c r="E3594" s="438" t="s">
        <v>1631</v>
      </c>
      <c r="F3594" s="438"/>
      <c r="G3594" s="440" t="s">
        <v>105</v>
      </c>
      <c r="H3594" s="441">
        <v>1</v>
      </c>
      <c r="I3594" s="441">
        <v>0</v>
      </c>
      <c r="J3594" s="449">
        <v>208.16</v>
      </c>
      <c r="K3594" s="449">
        <v>208.16</v>
      </c>
    </row>
    <row r="3595" customHeight="1" spans="1:11">
      <c r="A3595" s="434"/>
      <c r="B3595" s="434"/>
      <c r="C3595" s="434"/>
      <c r="D3595" s="434"/>
      <c r="E3595" s="434"/>
      <c r="F3595" s="434" t="s">
        <v>1735</v>
      </c>
      <c r="G3595" s="435">
        <v>24.85</v>
      </c>
      <c r="H3595" s="434" t="s">
        <v>1736</v>
      </c>
      <c r="I3595" s="435">
        <v>22.58</v>
      </c>
      <c r="J3595" s="434" t="s">
        <v>1737</v>
      </c>
      <c r="K3595" s="435">
        <v>47.43</v>
      </c>
    </row>
    <row r="3596" customHeight="1" spans="1:11">
      <c r="A3596" s="434"/>
      <c r="B3596" s="434"/>
      <c r="C3596" s="434"/>
      <c r="D3596" s="434"/>
      <c r="E3596" s="434"/>
      <c r="F3596" s="434" t="s">
        <v>1738</v>
      </c>
      <c r="G3596" s="435">
        <v>63.04</v>
      </c>
      <c r="H3596" s="434"/>
      <c r="I3596" s="434" t="s">
        <v>1739</v>
      </c>
      <c r="J3596" s="434"/>
      <c r="K3596" s="435">
        <v>318.7</v>
      </c>
    </row>
    <row r="3597" customHeight="1" spans="1:11">
      <c r="A3597" s="436"/>
      <c r="B3597" s="436"/>
      <c r="C3597" s="436"/>
      <c r="D3597" s="436"/>
      <c r="E3597" s="436"/>
      <c r="F3597" s="436"/>
      <c r="G3597" s="436"/>
      <c r="H3597" s="436" t="s">
        <v>1740</v>
      </c>
      <c r="I3597" s="447" t="s">
        <v>2429</v>
      </c>
      <c r="J3597" s="436" t="s">
        <v>1742</v>
      </c>
      <c r="K3597" s="448">
        <v>8923.6</v>
      </c>
    </row>
    <row r="3598" customHeight="1" spans="1:11">
      <c r="A3598" s="437"/>
      <c r="B3598" s="437"/>
      <c r="C3598" s="437"/>
      <c r="D3598" s="437"/>
      <c r="E3598" s="437"/>
      <c r="F3598" s="437"/>
      <c r="G3598" s="437"/>
      <c r="H3598" s="437"/>
      <c r="I3598" s="437"/>
      <c r="J3598" s="437"/>
      <c r="K3598" s="437"/>
    </row>
    <row r="3599" customHeight="1" spans="1:11">
      <c r="A3599" s="423" t="s">
        <v>1097</v>
      </c>
      <c r="B3599" s="424" t="s">
        <v>1714</v>
      </c>
      <c r="C3599" s="423" t="s">
        <v>1715</v>
      </c>
      <c r="D3599" s="423" t="s">
        <v>1716</v>
      </c>
      <c r="E3599" s="423" t="s">
        <v>1717</v>
      </c>
      <c r="F3599" s="423"/>
      <c r="G3599" s="425" t="s">
        <v>1718</v>
      </c>
      <c r="H3599" s="424" t="s">
        <v>1719</v>
      </c>
      <c r="I3599" s="424" t="s">
        <v>1720</v>
      </c>
      <c r="J3599" s="424" t="s">
        <v>1721</v>
      </c>
      <c r="K3599" s="424" t="s">
        <v>1722</v>
      </c>
    </row>
    <row r="3600" customHeight="1" spans="1:11">
      <c r="A3600" s="426" t="s">
        <v>1723</v>
      </c>
      <c r="B3600" s="427" t="s">
        <v>1098</v>
      </c>
      <c r="C3600" s="426" t="s">
        <v>99</v>
      </c>
      <c r="D3600" s="426" t="s">
        <v>1099</v>
      </c>
      <c r="E3600" s="426" t="s">
        <v>1663</v>
      </c>
      <c r="F3600" s="426"/>
      <c r="G3600" s="428" t="s">
        <v>105</v>
      </c>
      <c r="H3600" s="429">
        <v>1</v>
      </c>
      <c r="I3600" s="445"/>
      <c r="J3600" s="445">
        <v>111.23</v>
      </c>
      <c r="K3600" s="445">
        <v>111.23</v>
      </c>
    </row>
    <row r="3601" customHeight="1" spans="1:11">
      <c r="A3601" s="438" t="s">
        <v>1750</v>
      </c>
      <c r="B3601" s="439" t="s">
        <v>2943</v>
      </c>
      <c r="C3601" s="438" t="s">
        <v>99</v>
      </c>
      <c r="D3601" s="438" t="s">
        <v>2944</v>
      </c>
      <c r="E3601" s="438" t="s">
        <v>1631</v>
      </c>
      <c r="F3601" s="438"/>
      <c r="G3601" s="440" t="s">
        <v>105</v>
      </c>
      <c r="H3601" s="441">
        <v>1</v>
      </c>
      <c r="I3601" s="441">
        <v>0</v>
      </c>
      <c r="J3601" s="449">
        <v>63.8</v>
      </c>
      <c r="K3601" s="449">
        <v>63.8</v>
      </c>
    </row>
    <row r="3602" customHeight="1" spans="1:11">
      <c r="A3602" s="438" t="s">
        <v>1750</v>
      </c>
      <c r="B3602" s="439" t="s">
        <v>1824</v>
      </c>
      <c r="C3602" s="438" t="s">
        <v>99</v>
      </c>
      <c r="D3602" s="438" t="s">
        <v>1825</v>
      </c>
      <c r="E3602" s="438" t="s">
        <v>1764</v>
      </c>
      <c r="F3602" s="438"/>
      <c r="G3602" s="440" t="s">
        <v>82</v>
      </c>
      <c r="H3602" s="441">
        <v>1</v>
      </c>
      <c r="I3602" s="441">
        <v>0</v>
      </c>
      <c r="J3602" s="449">
        <v>20.515752</v>
      </c>
      <c r="K3602" s="449">
        <v>20.51</v>
      </c>
    </row>
    <row r="3603" customHeight="1" spans="1:11">
      <c r="A3603" s="438" t="s">
        <v>1750</v>
      </c>
      <c r="B3603" s="439" t="s">
        <v>1832</v>
      </c>
      <c r="C3603" s="438" t="s">
        <v>99</v>
      </c>
      <c r="D3603" s="438" t="s">
        <v>1833</v>
      </c>
      <c r="E3603" s="438" t="s">
        <v>1764</v>
      </c>
      <c r="F3603" s="438"/>
      <c r="G3603" s="440" t="s">
        <v>82</v>
      </c>
      <c r="H3603" s="441">
        <v>1</v>
      </c>
      <c r="I3603" s="441">
        <v>0</v>
      </c>
      <c r="J3603" s="449">
        <v>26.928256</v>
      </c>
      <c r="K3603" s="449">
        <v>26.92</v>
      </c>
    </row>
    <row r="3604" customHeight="1" spans="1:11">
      <c r="A3604" s="434"/>
      <c r="B3604" s="434"/>
      <c r="C3604" s="434"/>
      <c r="D3604" s="434"/>
      <c r="E3604" s="434"/>
      <c r="F3604" s="434" t="s">
        <v>1735</v>
      </c>
      <c r="G3604" s="435">
        <v>24.85</v>
      </c>
      <c r="H3604" s="434" t="s">
        <v>1736</v>
      </c>
      <c r="I3604" s="435">
        <v>22.58</v>
      </c>
      <c r="J3604" s="434" t="s">
        <v>1737</v>
      </c>
      <c r="K3604" s="435">
        <v>47.43</v>
      </c>
    </row>
    <row r="3605" customHeight="1" spans="1:11">
      <c r="A3605" s="434"/>
      <c r="B3605" s="434"/>
      <c r="C3605" s="434"/>
      <c r="D3605" s="434"/>
      <c r="E3605" s="434"/>
      <c r="F3605" s="434" t="s">
        <v>1738</v>
      </c>
      <c r="G3605" s="435">
        <v>27.42</v>
      </c>
      <c r="H3605" s="434"/>
      <c r="I3605" s="434" t="s">
        <v>1739</v>
      </c>
      <c r="J3605" s="434"/>
      <c r="K3605" s="435">
        <v>138.65</v>
      </c>
    </row>
    <row r="3606" customHeight="1" spans="1:11">
      <c r="A3606" s="436"/>
      <c r="B3606" s="436"/>
      <c r="C3606" s="436"/>
      <c r="D3606" s="436"/>
      <c r="E3606" s="436"/>
      <c r="F3606" s="436"/>
      <c r="G3606" s="436"/>
      <c r="H3606" s="436" t="s">
        <v>1740</v>
      </c>
      <c r="I3606" s="447" t="s">
        <v>1971</v>
      </c>
      <c r="J3606" s="436" t="s">
        <v>1742</v>
      </c>
      <c r="K3606" s="448">
        <v>277.3</v>
      </c>
    </row>
    <row r="3607" customHeight="1" spans="1:11">
      <c r="A3607" s="437"/>
      <c r="B3607" s="437"/>
      <c r="C3607" s="437"/>
      <c r="D3607" s="437"/>
      <c r="E3607" s="437"/>
      <c r="F3607" s="437"/>
      <c r="G3607" s="437"/>
      <c r="H3607" s="437"/>
      <c r="I3607" s="437"/>
      <c r="J3607" s="437"/>
      <c r="K3607" s="437"/>
    </row>
    <row r="3608" customHeight="1" spans="1:11">
      <c r="A3608" s="423" t="s">
        <v>1100</v>
      </c>
      <c r="B3608" s="424" t="s">
        <v>1714</v>
      </c>
      <c r="C3608" s="423" t="s">
        <v>1715</v>
      </c>
      <c r="D3608" s="423" t="s">
        <v>1716</v>
      </c>
      <c r="E3608" s="423" t="s">
        <v>1717</v>
      </c>
      <c r="F3608" s="423"/>
      <c r="G3608" s="425" t="s">
        <v>1718</v>
      </c>
      <c r="H3608" s="424" t="s">
        <v>1719</v>
      </c>
      <c r="I3608" s="424" t="s">
        <v>1720</v>
      </c>
      <c r="J3608" s="424" t="s">
        <v>1721</v>
      </c>
      <c r="K3608" s="424" t="s">
        <v>1722</v>
      </c>
    </row>
    <row r="3609" customHeight="1" spans="1:11">
      <c r="A3609" s="426" t="s">
        <v>1723</v>
      </c>
      <c r="B3609" s="427" t="s">
        <v>1101</v>
      </c>
      <c r="C3609" s="426" t="s">
        <v>65</v>
      </c>
      <c r="D3609" s="426" t="s">
        <v>1102</v>
      </c>
      <c r="E3609" s="426" t="s">
        <v>62</v>
      </c>
      <c r="F3609" s="426"/>
      <c r="G3609" s="428" t="s">
        <v>67</v>
      </c>
      <c r="H3609" s="429">
        <v>1</v>
      </c>
      <c r="I3609" s="445"/>
      <c r="J3609" s="445">
        <v>155.18</v>
      </c>
      <c r="K3609" s="445">
        <v>155.18</v>
      </c>
    </row>
    <row r="3610" customHeight="1" spans="1:11">
      <c r="A3610" s="438" t="s">
        <v>1750</v>
      </c>
      <c r="B3610" s="439" t="s">
        <v>2945</v>
      </c>
      <c r="C3610" s="438" t="s">
        <v>65</v>
      </c>
      <c r="D3610" s="438" t="s">
        <v>2946</v>
      </c>
      <c r="E3610" s="438" t="s">
        <v>1631</v>
      </c>
      <c r="F3610" s="438"/>
      <c r="G3610" s="440" t="s">
        <v>67</v>
      </c>
      <c r="H3610" s="441">
        <v>1</v>
      </c>
      <c r="I3610" s="441">
        <v>0</v>
      </c>
      <c r="J3610" s="449">
        <v>155.18</v>
      </c>
      <c r="K3610" s="449">
        <v>155.18</v>
      </c>
    </row>
    <row r="3611" customHeight="1" spans="1:11">
      <c r="A3611" s="434"/>
      <c r="B3611" s="434"/>
      <c r="C3611" s="434"/>
      <c r="D3611" s="434"/>
      <c r="E3611" s="434"/>
      <c r="F3611" s="434" t="s">
        <v>1735</v>
      </c>
      <c r="G3611" s="435">
        <v>0</v>
      </c>
      <c r="H3611" s="434" t="s">
        <v>1736</v>
      </c>
      <c r="I3611" s="435">
        <v>0</v>
      </c>
      <c r="J3611" s="434" t="s">
        <v>1737</v>
      </c>
      <c r="K3611" s="435">
        <v>0</v>
      </c>
    </row>
    <row r="3612" customHeight="1" spans="1:11">
      <c r="A3612" s="434"/>
      <c r="B3612" s="434"/>
      <c r="C3612" s="434"/>
      <c r="D3612" s="434"/>
      <c r="E3612" s="434"/>
      <c r="F3612" s="434" t="s">
        <v>1738</v>
      </c>
      <c r="G3612" s="435">
        <v>38.26</v>
      </c>
      <c r="H3612" s="434"/>
      <c r="I3612" s="434" t="s">
        <v>1739</v>
      </c>
      <c r="J3612" s="434"/>
      <c r="K3612" s="435">
        <v>193.44</v>
      </c>
    </row>
    <row r="3613" customHeight="1" spans="1:11">
      <c r="A3613" s="436"/>
      <c r="B3613" s="436"/>
      <c r="C3613" s="436"/>
      <c r="D3613" s="436"/>
      <c r="E3613" s="436"/>
      <c r="F3613" s="436"/>
      <c r="G3613" s="436"/>
      <c r="H3613" s="436" t="s">
        <v>1740</v>
      </c>
      <c r="I3613" s="447" t="s">
        <v>2336</v>
      </c>
      <c r="J3613" s="436" t="s">
        <v>1742</v>
      </c>
      <c r="K3613" s="448">
        <v>1547.52</v>
      </c>
    </row>
    <row r="3614" customHeight="1" spans="1:11">
      <c r="A3614" s="437"/>
      <c r="B3614" s="437"/>
      <c r="C3614" s="437"/>
      <c r="D3614" s="437"/>
      <c r="E3614" s="437"/>
      <c r="F3614" s="437"/>
      <c r="G3614" s="437"/>
      <c r="H3614" s="437"/>
      <c r="I3614" s="437"/>
      <c r="J3614" s="437"/>
      <c r="K3614" s="437"/>
    </row>
    <row r="3615" customHeight="1" spans="1:11">
      <c r="A3615" s="423" t="s">
        <v>1103</v>
      </c>
      <c r="B3615" s="424" t="s">
        <v>1714</v>
      </c>
      <c r="C3615" s="423" t="s">
        <v>1715</v>
      </c>
      <c r="D3615" s="423" t="s">
        <v>1716</v>
      </c>
      <c r="E3615" s="423" t="s">
        <v>1717</v>
      </c>
      <c r="F3615" s="423"/>
      <c r="G3615" s="425" t="s">
        <v>1718</v>
      </c>
      <c r="H3615" s="424" t="s">
        <v>1719</v>
      </c>
      <c r="I3615" s="424" t="s">
        <v>1720</v>
      </c>
      <c r="J3615" s="424" t="s">
        <v>1721</v>
      </c>
      <c r="K3615" s="424" t="s">
        <v>1722</v>
      </c>
    </row>
    <row r="3616" customHeight="1" spans="1:11">
      <c r="A3616" s="426" t="s">
        <v>1723</v>
      </c>
      <c r="B3616" s="427" t="s">
        <v>1104</v>
      </c>
      <c r="C3616" s="426" t="s">
        <v>71</v>
      </c>
      <c r="D3616" s="426" t="s">
        <v>1105</v>
      </c>
      <c r="E3616" s="426" t="s">
        <v>1693</v>
      </c>
      <c r="F3616" s="426"/>
      <c r="G3616" s="428" t="s">
        <v>105</v>
      </c>
      <c r="H3616" s="429">
        <v>1</v>
      </c>
      <c r="I3616" s="445"/>
      <c r="J3616" s="445">
        <v>901.47</v>
      </c>
      <c r="K3616" s="445">
        <v>901.47</v>
      </c>
    </row>
    <row r="3617" customHeight="1" spans="1:11">
      <c r="A3617" s="430" t="s">
        <v>1724</v>
      </c>
      <c r="B3617" s="431" t="s">
        <v>1854</v>
      </c>
      <c r="C3617" s="430" t="s">
        <v>71</v>
      </c>
      <c r="D3617" s="430" t="s">
        <v>1855</v>
      </c>
      <c r="E3617" s="430" t="s">
        <v>1708</v>
      </c>
      <c r="F3617" s="430"/>
      <c r="G3617" s="432" t="s">
        <v>82</v>
      </c>
      <c r="H3617" s="433">
        <v>0.4574</v>
      </c>
      <c r="I3617" s="433">
        <v>0</v>
      </c>
      <c r="J3617" s="446">
        <v>35.55</v>
      </c>
      <c r="K3617" s="446">
        <v>16.26</v>
      </c>
    </row>
    <row r="3618" customHeight="1" spans="1:11">
      <c r="A3618" s="430" t="s">
        <v>1724</v>
      </c>
      <c r="B3618" s="431" t="s">
        <v>1859</v>
      </c>
      <c r="C3618" s="430" t="s">
        <v>71</v>
      </c>
      <c r="D3618" s="430" t="s">
        <v>1860</v>
      </c>
      <c r="E3618" s="430" t="s">
        <v>1708</v>
      </c>
      <c r="F3618" s="430"/>
      <c r="G3618" s="432" t="s">
        <v>82</v>
      </c>
      <c r="H3618" s="433">
        <v>0.4574</v>
      </c>
      <c r="I3618" s="433">
        <v>0</v>
      </c>
      <c r="J3618" s="446">
        <v>29.54</v>
      </c>
      <c r="K3618" s="446">
        <v>13.51</v>
      </c>
    </row>
    <row r="3619" customHeight="1" spans="1:11">
      <c r="A3619" s="438" t="s">
        <v>1750</v>
      </c>
      <c r="B3619" s="439" t="s">
        <v>2947</v>
      </c>
      <c r="C3619" s="438" t="s">
        <v>71</v>
      </c>
      <c r="D3619" s="438" t="s">
        <v>2948</v>
      </c>
      <c r="E3619" s="438" t="s">
        <v>1631</v>
      </c>
      <c r="F3619" s="438"/>
      <c r="G3619" s="440" t="s">
        <v>105</v>
      </c>
      <c r="H3619" s="441">
        <v>1</v>
      </c>
      <c r="I3619" s="441">
        <v>0</v>
      </c>
      <c r="J3619" s="449">
        <v>870</v>
      </c>
      <c r="K3619" s="449">
        <v>870</v>
      </c>
    </row>
    <row r="3620" customHeight="1" spans="1:11">
      <c r="A3620" s="438" t="s">
        <v>1750</v>
      </c>
      <c r="B3620" s="439" t="s">
        <v>2949</v>
      </c>
      <c r="C3620" s="438" t="s">
        <v>71</v>
      </c>
      <c r="D3620" s="438" t="s">
        <v>2950</v>
      </c>
      <c r="E3620" s="438" t="s">
        <v>1631</v>
      </c>
      <c r="F3620" s="438"/>
      <c r="G3620" s="440" t="s">
        <v>105</v>
      </c>
      <c r="H3620" s="441">
        <v>2</v>
      </c>
      <c r="I3620" s="441">
        <v>0</v>
      </c>
      <c r="J3620" s="449">
        <v>0.85</v>
      </c>
      <c r="K3620" s="449">
        <v>1.7</v>
      </c>
    </row>
    <row r="3621" customHeight="1" spans="1:11">
      <c r="A3621" s="434"/>
      <c r="B3621" s="434"/>
      <c r="C3621" s="434"/>
      <c r="D3621" s="434"/>
      <c r="E3621" s="434"/>
      <c r="F3621" s="434" t="s">
        <v>1735</v>
      </c>
      <c r="G3621" s="435">
        <v>11.1</v>
      </c>
      <c r="H3621" s="434" t="s">
        <v>1736</v>
      </c>
      <c r="I3621" s="435">
        <v>10.09</v>
      </c>
      <c r="J3621" s="434" t="s">
        <v>1737</v>
      </c>
      <c r="K3621" s="435">
        <v>21.19</v>
      </c>
    </row>
    <row r="3622" customHeight="1" spans="1:11">
      <c r="A3622" s="434"/>
      <c r="B3622" s="434"/>
      <c r="C3622" s="434"/>
      <c r="D3622" s="434"/>
      <c r="E3622" s="434"/>
      <c r="F3622" s="434" t="s">
        <v>1738</v>
      </c>
      <c r="G3622" s="435">
        <v>222.3</v>
      </c>
      <c r="H3622" s="434"/>
      <c r="I3622" s="434" t="s">
        <v>1739</v>
      </c>
      <c r="J3622" s="434"/>
      <c r="K3622" s="435">
        <v>1123.77</v>
      </c>
    </row>
    <row r="3623" customHeight="1" spans="1:11">
      <c r="A3623" s="436"/>
      <c r="B3623" s="436"/>
      <c r="C3623" s="436"/>
      <c r="D3623" s="436"/>
      <c r="E3623" s="436"/>
      <c r="F3623" s="436"/>
      <c r="G3623" s="436"/>
      <c r="H3623" s="436" t="s">
        <v>1740</v>
      </c>
      <c r="I3623" s="447" t="s">
        <v>1971</v>
      </c>
      <c r="J3623" s="436" t="s">
        <v>1742</v>
      </c>
      <c r="K3623" s="448">
        <v>2247.54</v>
      </c>
    </row>
    <row r="3624" customHeight="1" spans="1:11">
      <c r="A3624" s="437"/>
      <c r="B3624" s="437"/>
      <c r="C3624" s="437"/>
      <c r="D3624" s="437"/>
      <c r="E3624" s="437"/>
      <c r="F3624" s="437"/>
      <c r="G3624" s="437"/>
      <c r="H3624" s="437"/>
      <c r="I3624" s="437"/>
      <c r="J3624" s="437"/>
      <c r="K3624" s="437"/>
    </row>
    <row r="3625" customHeight="1" spans="1:11">
      <c r="A3625" s="423" t="s">
        <v>1106</v>
      </c>
      <c r="B3625" s="424" t="s">
        <v>1714</v>
      </c>
      <c r="C3625" s="423" t="s">
        <v>1715</v>
      </c>
      <c r="D3625" s="423" t="s">
        <v>1716</v>
      </c>
      <c r="E3625" s="423" t="s">
        <v>1717</v>
      </c>
      <c r="F3625" s="423"/>
      <c r="G3625" s="425" t="s">
        <v>1718</v>
      </c>
      <c r="H3625" s="424" t="s">
        <v>1719</v>
      </c>
      <c r="I3625" s="424" t="s">
        <v>1720</v>
      </c>
      <c r="J3625" s="424" t="s">
        <v>1721</v>
      </c>
      <c r="K3625" s="424" t="s">
        <v>1722</v>
      </c>
    </row>
    <row r="3626" customHeight="1" spans="1:11">
      <c r="A3626" s="426" t="s">
        <v>1723</v>
      </c>
      <c r="B3626" s="427" t="s">
        <v>1107</v>
      </c>
      <c r="C3626" s="426" t="s">
        <v>65</v>
      </c>
      <c r="D3626" s="426" t="s">
        <v>1108</v>
      </c>
      <c r="E3626" s="426" t="s">
        <v>1694</v>
      </c>
      <c r="F3626" s="426"/>
      <c r="G3626" s="428" t="s">
        <v>67</v>
      </c>
      <c r="H3626" s="429">
        <v>1</v>
      </c>
      <c r="I3626" s="445"/>
      <c r="J3626" s="445">
        <v>23.98</v>
      </c>
      <c r="K3626" s="445">
        <v>23.98</v>
      </c>
    </row>
    <row r="3627" customHeight="1" spans="1:11">
      <c r="A3627" s="438" t="s">
        <v>1750</v>
      </c>
      <c r="B3627" s="439" t="s">
        <v>2951</v>
      </c>
      <c r="C3627" s="438" t="s">
        <v>76</v>
      </c>
      <c r="D3627" s="438" t="s">
        <v>2952</v>
      </c>
      <c r="E3627" s="438" t="s">
        <v>2907</v>
      </c>
      <c r="F3627" s="438"/>
      <c r="G3627" s="440" t="s">
        <v>105</v>
      </c>
      <c r="H3627" s="441">
        <v>1</v>
      </c>
      <c r="I3627" s="441">
        <v>0</v>
      </c>
      <c r="J3627" s="449">
        <v>23.98</v>
      </c>
      <c r="K3627" s="449">
        <v>23.98</v>
      </c>
    </row>
    <row r="3628" customHeight="1" spans="1:11">
      <c r="A3628" s="434"/>
      <c r="B3628" s="434"/>
      <c r="C3628" s="434"/>
      <c r="D3628" s="434"/>
      <c r="E3628" s="434"/>
      <c r="F3628" s="434" t="s">
        <v>1735</v>
      </c>
      <c r="G3628" s="435">
        <v>0</v>
      </c>
      <c r="H3628" s="434" t="s">
        <v>1736</v>
      </c>
      <c r="I3628" s="435">
        <v>0</v>
      </c>
      <c r="J3628" s="434" t="s">
        <v>1737</v>
      </c>
      <c r="K3628" s="435">
        <v>0</v>
      </c>
    </row>
    <row r="3629" customHeight="1" spans="1:11">
      <c r="A3629" s="434"/>
      <c r="B3629" s="434"/>
      <c r="C3629" s="434"/>
      <c r="D3629" s="434"/>
      <c r="E3629" s="434"/>
      <c r="F3629" s="434" t="s">
        <v>1738</v>
      </c>
      <c r="G3629" s="435">
        <v>5.91</v>
      </c>
      <c r="H3629" s="434"/>
      <c r="I3629" s="434" t="s">
        <v>1739</v>
      </c>
      <c r="J3629" s="434"/>
      <c r="K3629" s="435">
        <v>29.89</v>
      </c>
    </row>
    <row r="3630" customHeight="1" spans="1:11">
      <c r="A3630" s="436"/>
      <c r="B3630" s="436"/>
      <c r="C3630" s="436"/>
      <c r="D3630" s="436"/>
      <c r="E3630" s="436"/>
      <c r="F3630" s="436"/>
      <c r="G3630" s="436"/>
      <c r="H3630" s="436" t="s">
        <v>1740</v>
      </c>
      <c r="I3630" s="447" t="s">
        <v>1964</v>
      </c>
      <c r="J3630" s="436" t="s">
        <v>1742</v>
      </c>
      <c r="K3630" s="448">
        <v>298.9</v>
      </c>
    </row>
    <row r="3631" customHeight="1" spans="1:11">
      <c r="A3631" s="437"/>
      <c r="B3631" s="437"/>
      <c r="C3631" s="437"/>
      <c r="D3631" s="437"/>
      <c r="E3631" s="437"/>
      <c r="F3631" s="437"/>
      <c r="G3631" s="437"/>
      <c r="H3631" s="437"/>
      <c r="I3631" s="437"/>
      <c r="J3631" s="437"/>
      <c r="K3631" s="437"/>
    </row>
    <row r="3632" customHeight="1" spans="1:11">
      <c r="A3632" s="423" t="s">
        <v>1109</v>
      </c>
      <c r="B3632" s="424" t="s">
        <v>1714</v>
      </c>
      <c r="C3632" s="423" t="s">
        <v>1715</v>
      </c>
      <c r="D3632" s="423" t="s">
        <v>1716</v>
      </c>
      <c r="E3632" s="423" t="s">
        <v>1717</v>
      </c>
      <c r="F3632" s="423"/>
      <c r="G3632" s="425" t="s">
        <v>1718</v>
      </c>
      <c r="H3632" s="424" t="s">
        <v>1719</v>
      </c>
      <c r="I3632" s="424" t="s">
        <v>1720</v>
      </c>
      <c r="J3632" s="424" t="s">
        <v>1721</v>
      </c>
      <c r="K3632" s="424" t="s">
        <v>1722</v>
      </c>
    </row>
    <row r="3633" customHeight="1" spans="1:11">
      <c r="A3633" s="426" t="s">
        <v>1723</v>
      </c>
      <c r="B3633" s="427" t="s">
        <v>1110</v>
      </c>
      <c r="C3633" s="426" t="s">
        <v>65</v>
      </c>
      <c r="D3633" s="426" t="s">
        <v>1111</v>
      </c>
      <c r="E3633" s="426" t="s">
        <v>62</v>
      </c>
      <c r="F3633" s="426"/>
      <c r="G3633" s="428" t="s">
        <v>67</v>
      </c>
      <c r="H3633" s="429">
        <v>1</v>
      </c>
      <c r="I3633" s="445"/>
      <c r="J3633" s="445">
        <v>5.83</v>
      </c>
      <c r="K3633" s="445">
        <v>5.83</v>
      </c>
    </row>
    <row r="3634" customHeight="1" spans="1:11">
      <c r="A3634" s="430" t="s">
        <v>1724</v>
      </c>
      <c r="B3634" s="431" t="s">
        <v>1745</v>
      </c>
      <c r="C3634" s="430" t="s">
        <v>71</v>
      </c>
      <c r="D3634" s="430" t="s">
        <v>1746</v>
      </c>
      <c r="E3634" s="430" t="s">
        <v>1708</v>
      </c>
      <c r="F3634" s="430"/>
      <c r="G3634" s="432" t="s">
        <v>82</v>
      </c>
      <c r="H3634" s="433">
        <v>0.2</v>
      </c>
      <c r="I3634" s="433">
        <v>0</v>
      </c>
      <c r="J3634" s="446">
        <v>29.15</v>
      </c>
      <c r="K3634" s="446">
        <v>5.83</v>
      </c>
    </row>
    <row r="3635" customHeight="1" spans="1:11">
      <c r="A3635" s="438" t="s">
        <v>1750</v>
      </c>
      <c r="B3635" s="439" t="s">
        <v>2953</v>
      </c>
      <c r="C3635" s="438" t="s">
        <v>65</v>
      </c>
      <c r="D3635" s="438" t="s">
        <v>2954</v>
      </c>
      <c r="E3635" s="438" t="s">
        <v>1631</v>
      </c>
      <c r="F3635" s="438"/>
      <c r="G3635" s="440" t="s">
        <v>67</v>
      </c>
      <c r="H3635" s="441">
        <v>0</v>
      </c>
      <c r="I3635" s="441">
        <v>0</v>
      </c>
      <c r="J3635" s="449">
        <v>52.62</v>
      </c>
      <c r="K3635" s="449">
        <v>0</v>
      </c>
    </row>
    <row r="3636" customHeight="1" spans="1:11">
      <c r="A3636" s="434"/>
      <c r="B3636" s="434"/>
      <c r="C3636" s="434"/>
      <c r="D3636" s="434"/>
      <c r="E3636" s="434"/>
      <c r="F3636" s="434" t="s">
        <v>1735</v>
      </c>
      <c r="G3636" s="435">
        <v>2.01</v>
      </c>
      <c r="H3636" s="434" t="s">
        <v>1736</v>
      </c>
      <c r="I3636" s="435">
        <v>1.83</v>
      </c>
      <c r="J3636" s="434" t="s">
        <v>1737</v>
      </c>
      <c r="K3636" s="435">
        <v>3.84</v>
      </c>
    </row>
    <row r="3637" customHeight="1" spans="1:11">
      <c r="A3637" s="434"/>
      <c r="B3637" s="434"/>
      <c r="C3637" s="434"/>
      <c r="D3637" s="434"/>
      <c r="E3637" s="434"/>
      <c r="F3637" s="434" t="s">
        <v>1738</v>
      </c>
      <c r="G3637" s="435">
        <v>1.43</v>
      </c>
      <c r="H3637" s="434"/>
      <c r="I3637" s="434" t="s">
        <v>1739</v>
      </c>
      <c r="J3637" s="434"/>
      <c r="K3637" s="435">
        <v>7.26</v>
      </c>
    </row>
    <row r="3638" customHeight="1" spans="1:11">
      <c r="A3638" s="436"/>
      <c r="B3638" s="436"/>
      <c r="C3638" s="436"/>
      <c r="D3638" s="436"/>
      <c r="E3638" s="436"/>
      <c r="F3638" s="436"/>
      <c r="G3638" s="436"/>
      <c r="H3638" s="436" t="s">
        <v>1740</v>
      </c>
      <c r="I3638" s="447" t="s">
        <v>1741</v>
      </c>
      <c r="J3638" s="436" t="s">
        <v>1742</v>
      </c>
      <c r="K3638" s="448">
        <v>7.26</v>
      </c>
    </row>
    <row r="3639" customHeight="1" spans="1:11">
      <c r="A3639" s="437"/>
      <c r="B3639" s="437"/>
      <c r="C3639" s="437"/>
      <c r="D3639" s="437"/>
      <c r="E3639" s="437"/>
      <c r="F3639" s="437"/>
      <c r="G3639" s="437"/>
      <c r="H3639" s="437"/>
      <c r="I3639" s="437"/>
      <c r="J3639" s="437"/>
      <c r="K3639" s="437"/>
    </row>
    <row r="3640" customHeight="1" spans="1:11">
      <c r="A3640" s="423" t="s">
        <v>1112</v>
      </c>
      <c r="B3640" s="424" t="s">
        <v>1714</v>
      </c>
      <c r="C3640" s="423" t="s">
        <v>1715</v>
      </c>
      <c r="D3640" s="423" t="s">
        <v>1716</v>
      </c>
      <c r="E3640" s="423" t="s">
        <v>1717</v>
      </c>
      <c r="F3640" s="423"/>
      <c r="G3640" s="425" t="s">
        <v>1718</v>
      </c>
      <c r="H3640" s="424" t="s">
        <v>1719</v>
      </c>
      <c r="I3640" s="424" t="s">
        <v>1720</v>
      </c>
      <c r="J3640" s="424" t="s">
        <v>1721</v>
      </c>
      <c r="K3640" s="424" t="s">
        <v>1722</v>
      </c>
    </row>
    <row r="3641" customHeight="1" spans="1:11">
      <c r="A3641" s="426" t="s">
        <v>1723</v>
      </c>
      <c r="B3641" s="427" t="s">
        <v>1113</v>
      </c>
      <c r="C3641" s="426" t="s">
        <v>65</v>
      </c>
      <c r="D3641" s="426" t="s">
        <v>1114</v>
      </c>
      <c r="E3641" s="426" t="s">
        <v>62</v>
      </c>
      <c r="F3641" s="426"/>
      <c r="G3641" s="428" t="s">
        <v>67</v>
      </c>
      <c r="H3641" s="429">
        <v>1</v>
      </c>
      <c r="I3641" s="445"/>
      <c r="J3641" s="445">
        <v>30.13</v>
      </c>
      <c r="K3641" s="445">
        <v>30.13</v>
      </c>
    </row>
    <row r="3642" customHeight="1" spans="1:11">
      <c r="A3642" s="430" t="s">
        <v>1724</v>
      </c>
      <c r="B3642" s="431" t="s">
        <v>1745</v>
      </c>
      <c r="C3642" s="430" t="s">
        <v>71</v>
      </c>
      <c r="D3642" s="430" t="s">
        <v>1746</v>
      </c>
      <c r="E3642" s="430" t="s">
        <v>1708</v>
      </c>
      <c r="F3642" s="430"/>
      <c r="G3642" s="432" t="s">
        <v>82</v>
      </c>
      <c r="H3642" s="433">
        <v>0.2</v>
      </c>
      <c r="I3642" s="433">
        <v>0</v>
      </c>
      <c r="J3642" s="446">
        <v>29.15</v>
      </c>
      <c r="K3642" s="446">
        <v>5.83</v>
      </c>
    </row>
    <row r="3643" customHeight="1" spans="1:11">
      <c r="A3643" s="438" t="s">
        <v>1750</v>
      </c>
      <c r="B3643" s="439" t="s">
        <v>2955</v>
      </c>
      <c r="C3643" s="438" t="s">
        <v>65</v>
      </c>
      <c r="D3643" s="438" t="s">
        <v>2956</v>
      </c>
      <c r="E3643" s="438" t="s">
        <v>1631</v>
      </c>
      <c r="F3643" s="438"/>
      <c r="G3643" s="440" t="s">
        <v>67</v>
      </c>
      <c r="H3643" s="441">
        <v>1</v>
      </c>
      <c r="I3643" s="441">
        <v>0</v>
      </c>
      <c r="J3643" s="449">
        <v>24.3</v>
      </c>
      <c r="K3643" s="449">
        <v>24.3</v>
      </c>
    </row>
    <row r="3644" customHeight="1" spans="1:11">
      <c r="A3644" s="434"/>
      <c r="B3644" s="434"/>
      <c r="C3644" s="434"/>
      <c r="D3644" s="434"/>
      <c r="E3644" s="434"/>
      <c r="F3644" s="434" t="s">
        <v>1735</v>
      </c>
      <c r="G3644" s="435">
        <v>2.01</v>
      </c>
      <c r="H3644" s="434" t="s">
        <v>1736</v>
      </c>
      <c r="I3644" s="435">
        <v>1.83</v>
      </c>
      <c r="J3644" s="434" t="s">
        <v>1737</v>
      </c>
      <c r="K3644" s="435">
        <v>3.84</v>
      </c>
    </row>
    <row r="3645" customHeight="1" spans="1:11">
      <c r="A3645" s="434"/>
      <c r="B3645" s="434"/>
      <c r="C3645" s="434"/>
      <c r="D3645" s="434"/>
      <c r="E3645" s="434"/>
      <c r="F3645" s="434" t="s">
        <v>1738</v>
      </c>
      <c r="G3645" s="435">
        <v>7.43</v>
      </c>
      <c r="H3645" s="434"/>
      <c r="I3645" s="434" t="s">
        <v>1739</v>
      </c>
      <c r="J3645" s="434"/>
      <c r="K3645" s="435">
        <v>37.56</v>
      </c>
    </row>
    <row r="3646" customHeight="1" spans="1:11">
      <c r="A3646" s="436"/>
      <c r="B3646" s="436"/>
      <c r="C3646" s="436"/>
      <c r="D3646" s="436"/>
      <c r="E3646" s="436"/>
      <c r="F3646" s="436"/>
      <c r="G3646" s="436"/>
      <c r="H3646" s="436" t="s">
        <v>1740</v>
      </c>
      <c r="I3646" s="447" t="s">
        <v>1741</v>
      </c>
      <c r="J3646" s="436" t="s">
        <v>1742</v>
      </c>
      <c r="K3646" s="448">
        <v>37.56</v>
      </c>
    </row>
    <row r="3647" customHeight="1" spans="1:11">
      <c r="A3647" s="437"/>
      <c r="B3647" s="437"/>
      <c r="C3647" s="437"/>
      <c r="D3647" s="437"/>
      <c r="E3647" s="437"/>
      <c r="F3647" s="437"/>
      <c r="G3647" s="437"/>
      <c r="H3647" s="437"/>
      <c r="I3647" s="437"/>
      <c r="J3647" s="437"/>
      <c r="K3647" s="437"/>
    </row>
    <row r="3648" customHeight="1" spans="1:11">
      <c r="A3648" s="423" t="s">
        <v>1115</v>
      </c>
      <c r="B3648" s="424" t="s">
        <v>1714</v>
      </c>
      <c r="C3648" s="423" t="s">
        <v>1715</v>
      </c>
      <c r="D3648" s="423" t="s">
        <v>1716</v>
      </c>
      <c r="E3648" s="423" t="s">
        <v>1717</v>
      </c>
      <c r="F3648" s="423"/>
      <c r="G3648" s="425" t="s">
        <v>1718</v>
      </c>
      <c r="H3648" s="424" t="s">
        <v>1719</v>
      </c>
      <c r="I3648" s="424" t="s">
        <v>1720</v>
      </c>
      <c r="J3648" s="424" t="s">
        <v>1721</v>
      </c>
      <c r="K3648" s="424" t="s">
        <v>1722</v>
      </c>
    </row>
    <row r="3649" customHeight="1" spans="1:11">
      <c r="A3649" s="426" t="s">
        <v>1723</v>
      </c>
      <c r="B3649" s="427" t="s">
        <v>1116</v>
      </c>
      <c r="C3649" s="426" t="s">
        <v>76</v>
      </c>
      <c r="D3649" s="426" t="s">
        <v>1117</v>
      </c>
      <c r="E3649" s="426">
        <v>5</v>
      </c>
      <c r="F3649" s="426"/>
      <c r="G3649" s="428" t="s">
        <v>105</v>
      </c>
      <c r="H3649" s="429">
        <v>1</v>
      </c>
      <c r="I3649" s="445"/>
      <c r="J3649" s="445">
        <v>10.67</v>
      </c>
      <c r="K3649" s="445">
        <v>10.67</v>
      </c>
    </row>
    <row r="3650" customHeight="1" spans="1:11">
      <c r="A3650" s="438" t="s">
        <v>1750</v>
      </c>
      <c r="B3650" s="439" t="s">
        <v>2149</v>
      </c>
      <c r="C3650" s="438" t="s">
        <v>76</v>
      </c>
      <c r="D3650" s="438" t="s">
        <v>2150</v>
      </c>
      <c r="E3650" s="438" t="s">
        <v>1764</v>
      </c>
      <c r="F3650" s="438"/>
      <c r="G3650" s="440" t="s">
        <v>82</v>
      </c>
      <c r="H3650" s="441">
        <v>0.2</v>
      </c>
      <c r="I3650" s="441">
        <v>3</v>
      </c>
      <c r="J3650" s="449">
        <v>26.52</v>
      </c>
      <c r="K3650" s="449">
        <v>5.46</v>
      </c>
    </row>
    <row r="3651" customHeight="1" spans="1:11">
      <c r="A3651" s="438" t="s">
        <v>1750</v>
      </c>
      <c r="B3651" s="439" t="s">
        <v>2957</v>
      </c>
      <c r="C3651" s="438" t="s">
        <v>76</v>
      </c>
      <c r="D3651" s="438" t="s">
        <v>2958</v>
      </c>
      <c r="E3651" s="438" t="s">
        <v>1631</v>
      </c>
      <c r="F3651" s="438"/>
      <c r="G3651" s="440" t="s">
        <v>105</v>
      </c>
      <c r="H3651" s="441">
        <v>1</v>
      </c>
      <c r="I3651" s="441">
        <v>0</v>
      </c>
      <c r="J3651" s="449">
        <v>5.21</v>
      </c>
      <c r="K3651" s="449">
        <v>5.21</v>
      </c>
    </row>
    <row r="3652" customHeight="1" spans="1:11">
      <c r="A3652" s="434"/>
      <c r="B3652" s="434"/>
      <c r="C3652" s="434"/>
      <c r="D3652" s="434"/>
      <c r="E3652" s="434"/>
      <c r="F3652" s="434" t="s">
        <v>1735</v>
      </c>
      <c r="G3652" s="435">
        <v>2.86</v>
      </c>
      <c r="H3652" s="434" t="s">
        <v>1736</v>
      </c>
      <c r="I3652" s="435">
        <v>2.6</v>
      </c>
      <c r="J3652" s="434" t="s">
        <v>1737</v>
      </c>
      <c r="K3652" s="435">
        <v>5.46</v>
      </c>
    </row>
    <row r="3653" customHeight="1" spans="1:11">
      <c r="A3653" s="434"/>
      <c r="B3653" s="434"/>
      <c r="C3653" s="434"/>
      <c r="D3653" s="434"/>
      <c r="E3653" s="434"/>
      <c r="F3653" s="434" t="s">
        <v>1738</v>
      </c>
      <c r="G3653" s="435">
        <v>2.63</v>
      </c>
      <c r="H3653" s="434"/>
      <c r="I3653" s="434" t="s">
        <v>1739</v>
      </c>
      <c r="J3653" s="434"/>
      <c r="K3653" s="435">
        <v>13.3</v>
      </c>
    </row>
    <row r="3654" customHeight="1" spans="1:11">
      <c r="A3654" s="436"/>
      <c r="B3654" s="436"/>
      <c r="C3654" s="436"/>
      <c r="D3654" s="436"/>
      <c r="E3654" s="436"/>
      <c r="F3654" s="436"/>
      <c r="G3654" s="436"/>
      <c r="H3654" s="436" t="s">
        <v>1740</v>
      </c>
      <c r="I3654" s="447" t="s">
        <v>2597</v>
      </c>
      <c r="J3654" s="436" t="s">
        <v>1742</v>
      </c>
      <c r="K3654" s="448">
        <v>332.5</v>
      </c>
    </row>
    <row r="3655" customHeight="1" spans="1:11">
      <c r="A3655" s="437"/>
      <c r="B3655" s="437"/>
      <c r="C3655" s="437"/>
      <c r="D3655" s="437"/>
      <c r="E3655" s="437"/>
      <c r="F3655" s="437"/>
      <c r="G3655" s="437"/>
      <c r="H3655" s="437"/>
      <c r="I3655" s="437"/>
      <c r="J3655" s="437"/>
      <c r="K3655" s="437"/>
    </row>
    <row r="3656" customHeight="1" spans="1:11">
      <c r="A3656" s="423" t="s">
        <v>1118</v>
      </c>
      <c r="B3656" s="424" t="s">
        <v>1714</v>
      </c>
      <c r="C3656" s="423" t="s">
        <v>1715</v>
      </c>
      <c r="D3656" s="423" t="s">
        <v>1716</v>
      </c>
      <c r="E3656" s="423" t="s">
        <v>1717</v>
      </c>
      <c r="F3656" s="423"/>
      <c r="G3656" s="425" t="s">
        <v>1718</v>
      </c>
      <c r="H3656" s="424" t="s">
        <v>1719</v>
      </c>
      <c r="I3656" s="424" t="s">
        <v>1720</v>
      </c>
      <c r="J3656" s="424" t="s">
        <v>1721</v>
      </c>
      <c r="K3656" s="424" t="s">
        <v>1722</v>
      </c>
    </row>
    <row r="3657" customHeight="1" spans="1:11">
      <c r="A3657" s="426" t="s">
        <v>1723</v>
      </c>
      <c r="B3657" s="427" t="s">
        <v>1119</v>
      </c>
      <c r="C3657" s="426" t="s">
        <v>76</v>
      </c>
      <c r="D3657" s="426" t="s">
        <v>1120</v>
      </c>
      <c r="E3657" s="426">
        <v>5</v>
      </c>
      <c r="F3657" s="426"/>
      <c r="G3657" s="428" t="s">
        <v>105</v>
      </c>
      <c r="H3657" s="429">
        <v>1</v>
      </c>
      <c r="I3657" s="445"/>
      <c r="J3657" s="445">
        <v>11.38</v>
      </c>
      <c r="K3657" s="445">
        <v>11.38</v>
      </c>
    </row>
    <row r="3658" customHeight="1" spans="1:11">
      <c r="A3658" s="438" t="s">
        <v>1750</v>
      </c>
      <c r="B3658" s="439" t="s">
        <v>2149</v>
      </c>
      <c r="C3658" s="438" t="s">
        <v>76</v>
      </c>
      <c r="D3658" s="438" t="s">
        <v>2150</v>
      </c>
      <c r="E3658" s="438" t="s">
        <v>1764</v>
      </c>
      <c r="F3658" s="438"/>
      <c r="G3658" s="440" t="s">
        <v>82</v>
      </c>
      <c r="H3658" s="441">
        <v>0.2</v>
      </c>
      <c r="I3658" s="441">
        <v>3</v>
      </c>
      <c r="J3658" s="449">
        <v>26.52</v>
      </c>
      <c r="K3658" s="449">
        <v>5.46</v>
      </c>
    </row>
    <row r="3659" customHeight="1" spans="1:11">
      <c r="A3659" s="438" t="s">
        <v>1750</v>
      </c>
      <c r="B3659" s="439" t="s">
        <v>2959</v>
      </c>
      <c r="C3659" s="438" t="s">
        <v>76</v>
      </c>
      <c r="D3659" s="438" t="s">
        <v>2960</v>
      </c>
      <c r="E3659" s="438" t="s">
        <v>1631</v>
      </c>
      <c r="F3659" s="438"/>
      <c r="G3659" s="440" t="s">
        <v>105</v>
      </c>
      <c r="H3659" s="441">
        <v>1</v>
      </c>
      <c r="I3659" s="441">
        <v>0</v>
      </c>
      <c r="J3659" s="449">
        <v>5.92</v>
      </c>
      <c r="K3659" s="449">
        <v>5.92</v>
      </c>
    </row>
    <row r="3660" customHeight="1" spans="1:11">
      <c r="A3660" s="434"/>
      <c r="B3660" s="434"/>
      <c r="C3660" s="434"/>
      <c r="D3660" s="434"/>
      <c r="E3660" s="434"/>
      <c r="F3660" s="434" t="s">
        <v>1735</v>
      </c>
      <c r="G3660" s="435">
        <v>2.86</v>
      </c>
      <c r="H3660" s="434" t="s">
        <v>1736</v>
      </c>
      <c r="I3660" s="435">
        <v>2.6</v>
      </c>
      <c r="J3660" s="434" t="s">
        <v>1737</v>
      </c>
      <c r="K3660" s="435">
        <v>5.46</v>
      </c>
    </row>
    <row r="3661" customHeight="1" spans="1:11">
      <c r="A3661" s="434"/>
      <c r="B3661" s="434"/>
      <c r="C3661" s="434"/>
      <c r="D3661" s="434"/>
      <c r="E3661" s="434"/>
      <c r="F3661" s="434" t="s">
        <v>1738</v>
      </c>
      <c r="G3661" s="435">
        <v>2.8</v>
      </c>
      <c r="H3661" s="434"/>
      <c r="I3661" s="434" t="s">
        <v>1739</v>
      </c>
      <c r="J3661" s="434"/>
      <c r="K3661" s="435">
        <v>14.18</v>
      </c>
    </row>
    <row r="3662" customHeight="1" spans="1:11">
      <c r="A3662" s="436"/>
      <c r="B3662" s="436"/>
      <c r="C3662" s="436"/>
      <c r="D3662" s="436"/>
      <c r="E3662" s="436"/>
      <c r="F3662" s="436"/>
      <c r="G3662" s="436"/>
      <c r="H3662" s="436" t="s">
        <v>1740</v>
      </c>
      <c r="I3662" s="447" t="s">
        <v>2336</v>
      </c>
      <c r="J3662" s="436" t="s">
        <v>1742</v>
      </c>
      <c r="K3662" s="448">
        <v>113.44</v>
      </c>
    </row>
    <row r="3663" customHeight="1" spans="1:11">
      <c r="A3663" s="437"/>
      <c r="B3663" s="437"/>
      <c r="C3663" s="437"/>
      <c r="D3663" s="437"/>
      <c r="E3663" s="437"/>
      <c r="F3663" s="437"/>
      <c r="G3663" s="437"/>
      <c r="H3663" s="437"/>
      <c r="I3663" s="437"/>
      <c r="J3663" s="437"/>
      <c r="K3663" s="437"/>
    </row>
    <row r="3664" customHeight="1" spans="1:11">
      <c r="A3664" s="423" t="s">
        <v>1121</v>
      </c>
      <c r="B3664" s="424" t="s">
        <v>1714</v>
      </c>
      <c r="C3664" s="423" t="s">
        <v>1715</v>
      </c>
      <c r="D3664" s="423" t="s">
        <v>1716</v>
      </c>
      <c r="E3664" s="423" t="s">
        <v>1717</v>
      </c>
      <c r="F3664" s="423"/>
      <c r="G3664" s="425" t="s">
        <v>1718</v>
      </c>
      <c r="H3664" s="424" t="s">
        <v>1719</v>
      </c>
      <c r="I3664" s="424" t="s">
        <v>1720</v>
      </c>
      <c r="J3664" s="424" t="s">
        <v>1721</v>
      </c>
      <c r="K3664" s="424" t="s">
        <v>1722</v>
      </c>
    </row>
    <row r="3665" customHeight="1" spans="1:11">
      <c r="A3665" s="426" t="s">
        <v>1723</v>
      </c>
      <c r="B3665" s="427" t="s">
        <v>1122</v>
      </c>
      <c r="C3665" s="426" t="s">
        <v>65</v>
      </c>
      <c r="D3665" s="426" t="s">
        <v>1123</v>
      </c>
      <c r="E3665" s="426" t="s">
        <v>62</v>
      </c>
      <c r="F3665" s="426"/>
      <c r="G3665" s="428" t="s">
        <v>67</v>
      </c>
      <c r="H3665" s="429">
        <v>1</v>
      </c>
      <c r="I3665" s="445"/>
      <c r="J3665" s="445">
        <v>27.73</v>
      </c>
      <c r="K3665" s="445">
        <v>27.73</v>
      </c>
    </row>
    <row r="3666" customHeight="1" spans="1:11">
      <c r="A3666" s="430" t="s">
        <v>1724</v>
      </c>
      <c r="B3666" s="431" t="s">
        <v>1745</v>
      </c>
      <c r="C3666" s="430" t="s">
        <v>71</v>
      </c>
      <c r="D3666" s="430" t="s">
        <v>1746</v>
      </c>
      <c r="E3666" s="430" t="s">
        <v>1708</v>
      </c>
      <c r="F3666" s="430"/>
      <c r="G3666" s="432" t="s">
        <v>82</v>
      </c>
      <c r="H3666" s="433">
        <v>0.2</v>
      </c>
      <c r="I3666" s="433">
        <v>0</v>
      </c>
      <c r="J3666" s="446">
        <v>29.15</v>
      </c>
      <c r="K3666" s="446">
        <v>5.83</v>
      </c>
    </row>
    <row r="3667" customHeight="1" spans="1:11">
      <c r="A3667" s="438" t="s">
        <v>1750</v>
      </c>
      <c r="B3667" s="439" t="s">
        <v>2961</v>
      </c>
      <c r="C3667" s="438" t="s">
        <v>65</v>
      </c>
      <c r="D3667" s="438" t="s">
        <v>2962</v>
      </c>
      <c r="E3667" s="438" t="s">
        <v>1631</v>
      </c>
      <c r="F3667" s="438"/>
      <c r="G3667" s="440" t="s">
        <v>67</v>
      </c>
      <c r="H3667" s="441">
        <v>1</v>
      </c>
      <c r="I3667" s="441">
        <v>0</v>
      </c>
      <c r="J3667" s="449">
        <v>21.9</v>
      </c>
      <c r="K3667" s="449">
        <v>21.9</v>
      </c>
    </row>
    <row r="3668" customHeight="1" spans="1:11">
      <c r="A3668" s="434"/>
      <c r="B3668" s="434"/>
      <c r="C3668" s="434"/>
      <c r="D3668" s="434"/>
      <c r="E3668" s="434"/>
      <c r="F3668" s="434" t="s">
        <v>1735</v>
      </c>
      <c r="G3668" s="435">
        <v>2.01</v>
      </c>
      <c r="H3668" s="434" t="s">
        <v>1736</v>
      </c>
      <c r="I3668" s="435">
        <v>1.83</v>
      </c>
      <c r="J3668" s="434" t="s">
        <v>1737</v>
      </c>
      <c r="K3668" s="435">
        <v>3.84</v>
      </c>
    </row>
    <row r="3669" customHeight="1" spans="1:11">
      <c r="A3669" s="434"/>
      <c r="B3669" s="434"/>
      <c r="C3669" s="434"/>
      <c r="D3669" s="434"/>
      <c r="E3669" s="434"/>
      <c r="F3669" s="434" t="s">
        <v>1738</v>
      </c>
      <c r="G3669" s="435">
        <v>6.83</v>
      </c>
      <c r="H3669" s="434"/>
      <c r="I3669" s="434" t="s">
        <v>1739</v>
      </c>
      <c r="J3669" s="434"/>
      <c r="K3669" s="435">
        <v>34.56</v>
      </c>
    </row>
    <row r="3670" customHeight="1" spans="1:11">
      <c r="A3670" s="436"/>
      <c r="B3670" s="436"/>
      <c r="C3670" s="436"/>
      <c r="D3670" s="436"/>
      <c r="E3670" s="436"/>
      <c r="F3670" s="436"/>
      <c r="G3670" s="436"/>
      <c r="H3670" s="436" t="s">
        <v>1740</v>
      </c>
      <c r="I3670" s="447" t="s">
        <v>1971</v>
      </c>
      <c r="J3670" s="436" t="s">
        <v>1742</v>
      </c>
      <c r="K3670" s="448">
        <v>69.12</v>
      </c>
    </row>
    <row r="3671" customHeight="1" spans="1:11">
      <c r="A3671" s="437"/>
      <c r="B3671" s="437"/>
      <c r="C3671" s="437"/>
      <c r="D3671" s="437"/>
      <c r="E3671" s="437"/>
      <c r="F3671" s="437"/>
      <c r="G3671" s="437"/>
      <c r="H3671" s="437"/>
      <c r="I3671" s="437"/>
      <c r="J3671" s="437"/>
      <c r="K3671" s="437"/>
    </row>
    <row r="3672" customHeight="1" spans="1:11">
      <c r="A3672" s="422" t="s">
        <v>1124</v>
      </c>
      <c r="B3672" s="422"/>
      <c r="C3672" s="422"/>
      <c r="D3672" s="422" t="s">
        <v>35</v>
      </c>
      <c r="E3672" s="422"/>
      <c r="F3672" s="422"/>
      <c r="G3672" s="422"/>
      <c r="H3672" s="422"/>
      <c r="I3672" s="443"/>
      <c r="J3672" s="422"/>
      <c r="K3672" s="444">
        <v>52263.88</v>
      </c>
    </row>
    <row r="3673" customHeight="1" spans="1:11">
      <c r="A3673" s="422" t="s">
        <v>1125</v>
      </c>
      <c r="B3673" s="422"/>
      <c r="C3673" s="422"/>
      <c r="D3673" s="422" t="s">
        <v>43</v>
      </c>
      <c r="E3673" s="422"/>
      <c r="F3673" s="422"/>
      <c r="G3673" s="422"/>
      <c r="H3673" s="422"/>
      <c r="I3673" s="443"/>
      <c r="J3673" s="422"/>
      <c r="K3673" s="444">
        <v>36805.03</v>
      </c>
    </row>
    <row r="3674" customHeight="1" spans="1:11">
      <c r="A3674" s="423" t="s">
        <v>1126</v>
      </c>
      <c r="B3674" s="424" t="s">
        <v>1714</v>
      </c>
      <c r="C3674" s="423" t="s">
        <v>1715</v>
      </c>
      <c r="D3674" s="423" t="s">
        <v>1716</v>
      </c>
      <c r="E3674" s="423" t="s">
        <v>1717</v>
      </c>
      <c r="F3674" s="423"/>
      <c r="G3674" s="425" t="s">
        <v>1718</v>
      </c>
      <c r="H3674" s="424" t="s">
        <v>1719</v>
      </c>
      <c r="I3674" s="424" t="s">
        <v>1720</v>
      </c>
      <c r="J3674" s="424" t="s">
        <v>1721</v>
      </c>
      <c r="K3674" s="424" t="s">
        <v>1722</v>
      </c>
    </row>
    <row r="3675" customHeight="1" spans="1:11">
      <c r="A3675" s="426" t="s">
        <v>1723</v>
      </c>
      <c r="B3675" s="427" t="s">
        <v>1127</v>
      </c>
      <c r="C3675" s="426" t="s">
        <v>65</v>
      </c>
      <c r="D3675" s="426" t="s">
        <v>1128</v>
      </c>
      <c r="E3675" s="426" t="s">
        <v>62</v>
      </c>
      <c r="F3675" s="426"/>
      <c r="G3675" s="428" t="s">
        <v>67</v>
      </c>
      <c r="H3675" s="429">
        <v>1</v>
      </c>
      <c r="I3675" s="445"/>
      <c r="J3675" s="445">
        <v>221.8</v>
      </c>
      <c r="K3675" s="445">
        <v>221.8</v>
      </c>
    </row>
    <row r="3676" customHeight="1" spans="1:11">
      <c r="A3676" s="430" t="s">
        <v>1724</v>
      </c>
      <c r="B3676" s="431" t="s">
        <v>2247</v>
      </c>
      <c r="C3676" s="430" t="s">
        <v>71</v>
      </c>
      <c r="D3676" s="430" t="s">
        <v>2248</v>
      </c>
      <c r="E3676" s="430" t="s">
        <v>1708</v>
      </c>
      <c r="F3676" s="430"/>
      <c r="G3676" s="432" t="s">
        <v>82</v>
      </c>
      <c r="H3676" s="433">
        <v>0.546</v>
      </c>
      <c r="I3676" s="433">
        <v>0</v>
      </c>
      <c r="J3676" s="446">
        <v>30.31</v>
      </c>
      <c r="K3676" s="446">
        <v>16.54</v>
      </c>
    </row>
    <row r="3677" customHeight="1" spans="1:11">
      <c r="A3677" s="430" t="s">
        <v>1724</v>
      </c>
      <c r="B3677" s="431" t="s">
        <v>2903</v>
      </c>
      <c r="C3677" s="430" t="s">
        <v>71</v>
      </c>
      <c r="D3677" s="430" t="s">
        <v>2904</v>
      </c>
      <c r="E3677" s="430" t="s">
        <v>1708</v>
      </c>
      <c r="F3677" s="430"/>
      <c r="G3677" s="432" t="s">
        <v>82</v>
      </c>
      <c r="H3677" s="433">
        <v>0.546</v>
      </c>
      <c r="I3677" s="433">
        <v>0</v>
      </c>
      <c r="J3677" s="446">
        <v>40.65</v>
      </c>
      <c r="K3677" s="446">
        <v>22.19</v>
      </c>
    </row>
    <row r="3678" customHeight="1" spans="1:11">
      <c r="A3678" s="438" t="s">
        <v>1750</v>
      </c>
      <c r="B3678" s="439" t="s">
        <v>2963</v>
      </c>
      <c r="C3678" s="438" t="s">
        <v>99</v>
      </c>
      <c r="D3678" s="438" t="s">
        <v>1128</v>
      </c>
      <c r="E3678" s="438" t="s">
        <v>1631</v>
      </c>
      <c r="F3678" s="438"/>
      <c r="G3678" s="440" t="s">
        <v>105</v>
      </c>
      <c r="H3678" s="441">
        <v>1</v>
      </c>
      <c r="I3678" s="441">
        <v>0</v>
      </c>
      <c r="J3678" s="449">
        <v>183.07</v>
      </c>
      <c r="K3678" s="449">
        <v>183.07</v>
      </c>
    </row>
    <row r="3679" customHeight="1" spans="1:11">
      <c r="A3679" s="434"/>
      <c r="B3679" s="434"/>
      <c r="C3679" s="434"/>
      <c r="D3679" s="434"/>
      <c r="E3679" s="434"/>
      <c r="F3679" s="434" t="s">
        <v>1735</v>
      </c>
      <c r="G3679" s="435">
        <v>14.57</v>
      </c>
      <c r="H3679" s="434" t="s">
        <v>1736</v>
      </c>
      <c r="I3679" s="435">
        <v>13.25</v>
      </c>
      <c r="J3679" s="434" t="s">
        <v>1737</v>
      </c>
      <c r="K3679" s="435">
        <v>27.82</v>
      </c>
    </row>
    <row r="3680" customHeight="1" spans="1:11">
      <c r="A3680" s="434"/>
      <c r="B3680" s="434"/>
      <c r="C3680" s="434"/>
      <c r="D3680" s="434"/>
      <c r="E3680" s="434"/>
      <c r="F3680" s="434" t="s">
        <v>1738</v>
      </c>
      <c r="G3680" s="435">
        <v>54.69</v>
      </c>
      <c r="H3680" s="434"/>
      <c r="I3680" s="434" t="s">
        <v>1739</v>
      </c>
      <c r="J3680" s="434"/>
      <c r="K3680" s="435">
        <v>276.49</v>
      </c>
    </row>
    <row r="3681" customHeight="1" spans="1:11">
      <c r="A3681" s="436"/>
      <c r="B3681" s="436"/>
      <c r="C3681" s="436"/>
      <c r="D3681" s="436"/>
      <c r="E3681" s="436"/>
      <c r="F3681" s="436"/>
      <c r="G3681" s="436"/>
      <c r="H3681" s="436" t="s">
        <v>1740</v>
      </c>
      <c r="I3681" s="447" t="s">
        <v>2964</v>
      </c>
      <c r="J3681" s="436" t="s">
        <v>1742</v>
      </c>
      <c r="K3681" s="448">
        <v>3870.86</v>
      </c>
    </row>
    <row r="3682" customHeight="1" spans="1:11">
      <c r="A3682" s="437"/>
      <c r="B3682" s="437"/>
      <c r="C3682" s="437"/>
      <c r="D3682" s="437"/>
      <c r="E3682" s="437"/>
      <c r="F3682" s="437"/>
      <c r="G3682" s="437"/>
      <c r="H3682" s="437"/>
      <c r="I3682" s="437"/>
      <c r="J3682" s="437"/>
      <c r="K3682" s="437"/>
    </row>
    <row r="3683" customHeight="1" spans="1:11">
      <c r="A3683" s="423" t="s">
        <v>1129</v>
      </c>
      <c r="B3683" s="424" t="s">
        <v>1714</v>
      </c>
      <c r="C3683" s="423" t="s">
        <v>1715</v>
      </c>
      <c r="D3683" s="423" t="s">
        <v>1716</v>
      </c>
      <c r="E3683" s="423" t="s">
        <v>1717</v>
      </c>
      <c r="F3683" s="423"/>
      <c r="G3683" s="425" t="s">
        <v>1718</v>
      </c>
      <c r="H3683" s="424" t="s">
        <v>1719</v>
      </c>
      <c r="I3683" s="424" t="s">
        <v>1720</v>
      </c>
      <c r="J3683" s="424" t="s">
        <v>1721</v>
      </c>
      <c r="K3683" s="424" t="s">
        <v>1722</v>
      </c>
    </row>
    <row r="3684" customHeight="1" spans="1:11">
      <c r="A3684" s="426" t="s">
        <v>1723</v>
      </c>
      <c r="B3684" s="427" t="s">
        <v>1130</v>
      </c>
      <c r="C3684" s="426" t="s">
        <v>99</v>
      </c>
      <c r="D3684" s="426" t="s">
        <v>1131</v>
      </c>
      <c r="E3684" s="426" t="s">
        <v>1675</v>
      </c>
      <c r="F3684" s="426"/>
      <c r="G3684" s="428" t="s">
        <v>105</v>
      </c>
      <c r="H3684" s="429">
        <v>1</v>
      </c>
      <c r="I3684" s="445"/>
      <c r="J3684" s="445">
        <v>428.28</v>
      </c>
      <c r="K3684" s="445">
        <v>428.28</v>
      </c>
    </row>
    <row r="3685" customHeight="1" spans="1:11">
      <c r="A3685" s="438" t="s">
        <v>1750</v>
      </c>
      <c r="B3685" s="439" t="s">
        <v>2965</v>
      </c>
      <c r="C3685" s="438" t="s">
        <v>99</v>
      </c>
      <c r="D3685" s="438" t="s">
        <v>1131</v>
      </c>
      <c r="E3685" s="438" t="s">
        <v>1631</v>
      </c>
      <c r="F3685" s="438"/>
      <c r="G3685" s="440" t="s">
        <v>105</v>
      </c>
      <c r="H3685" s="441">
        <v>1</v>
      </c>
      <c r="I3685" s="441">
        <v>0</v>
      </c>
      <c r="J3685" s="449">
        <v>336.42</v>
      </c>
      <c r="K3685" s="449">
        <v>336.42</v>
      </c>
    </row>
    <row r="3686" customHeight="1" spans="1:11">
      <c r="A3686" s="438" t="s">
        <v>1750</v>
      </c>
      <c r="B3686" s="439" t="s">
        <v>2910</v>
      </c>
      <c r="C3686" s="438" t="s">
        <v>99</v>
      </c>
      <c r="D3686" s="438" t="s">
        <v>2911</v>
      </c>
      <c r="E3686" s="438" t="s">
        <v>1764</v>
      </c>
      <c r="F3686" s="438"/>
      <c r="G3686" s="440" t="s">
        <v>82</v>
      </c>
      <c r="H3686" s="441">
        <v>1.5</v>
      </c>
      <c r="I3686" s="441">
        <v>0</v>
      </c>
      <c r="J3686" s="449">
        <v>20.515752</v>
      </c>
      <c r="K3686" s="449">
        <v>30.77</v>
      </c>
    </row>
    <row r="3687" customHeight="1" spans="1:11">
      <c r="A3687" s="438" t="s">
        <v>1750</v>
      </c>
      <c r="B3687" s="439" t="s">
        <v>2921</v>
      </c>
      <c r="C3687" s="438" t="s">
        <v>99</v>
      </c>
      <c r="D3687" s="438" t="s">
        <v>2922</v>
      </c>
      <c r="E3687" s="438" t="s">
        <v>1764</v>
      </c>
      <c r="F3687" s="438"/>
      <c r="G3687" s="440" t="s">
        <v>82</v>
      </c>
      <c r="H3687" s="441">
        <v>1.65</v>
      </c>
      <c r="I3687" s="441">
        <v>0</v>
      </c>
      <c r="J3687" s="449">
        <v>37.026352</v>
      </c>
      <c r="K3687" s="449">
        <v>61.09</v>
      </c>
    </row>
    <row r="3688" customHeight="1" spans="1:11">
      <c r="A3688" s="434"/>
      <c r="B3688" s="434"/>
      <c r="C3688" s="434"/>
      <c r="D3688" s="434"/>
      <c r="E3688" s="434"/>
      <c r="F3688" s="434" t="s">
        <v>1735</v>
      </c>
      <c r="G3688" s="435">
        <v>48.13</v>
      </c>
      <c r="H3688" s="434" t="s">
        <v>1736</v>
      </c>
      <c r="I3688" s="435">
        <v>43.73</v>
      </c>
      <c r="J3688" s="434" t="s">
        <v>1737</v>
      </c>
      <c r="K3688" s="435">
        <v>91.86</v>
      </c>
    </row>
    <row r="3689" customHeight="1" spans="1:11">
      <c r="A3689" s="434"/>
      <c r="B3689" s="434"/>
      <c r="C3689" s="434"/>
      <c r="D3689" s="434"/>
      <c r="E3689" s="434"/>
      <c r="F3689" s="434" t="s">
        <v>1738</v>
      </c>
      <c r="G3689" s="435">
        <v>105.61</v>
      </c>
      <c r="H3689" s="434"/>
      <c r="I3689" s="434" t="s">
        <v>1739</v>
      </c>
      <c r="J3689" s="434"/>
      <c r="K3689" s="435">
        <v>533.89</v>
      </c>
    </row>
    <row r="3690" customHeight="1" spans="1:11">
      <c r="A3690" s="436"/>
      <c r="B3690" s="436"/>
      <c r="C3690" s="436"/>
      <c r="D3690" s="436"/>
      <c r="E3690" s="436"/>
      <c r="F3690" s="436"/>
      <c r="G3690" s="436"/>
      <c r="H3690" s="436" t="s">
        <v>1740</v>
      </c>
      <c r="I3690" s="447" t="s">
        <v>2310</v>
      </c>
      <c r="J3690" s="436" t="s">
        <v>1742</v>
      </c>
      <c r="K3690" s="448">
        <v>5872.79</v>
      </c>
    </row>
    <row r="3691" customHeight="1" spans="1:11">
      <c r="A3691" s="437"/>
      <c r="B3691" s="437"/>
      <c r="C3691" s="437"/>
      <c r="D3691" s="437"/>
      <c r="E3691" s="437"/>
      <c r="F3691" s="437"/>
      <c r="G3691" s="437"/>
      <c r="H3691" s="437"/>
      <c r="I3691" s="437"/>
      <c r="J3691" s="437"/>
      <c r="K3691" s="437"/>
    </row>
    <row r="3692" customHeight="1" spans="1:11">
      <c r="A3692" s="423" t="s">
        <v>1132</v>
      </c>
      <c r="B3692" s="424" t="s">
        <v>1714</v>
      </c>
      <c r="C3692" s="423" t="s">
        <v>1715</v>
      </c>
      <c r="D3692" s="423" t="s">
        <v>1716</v>
      </c>
      <c r="E3692" s="423" t="s">
        <v>1717</v>
      </c>
      <c r="F3692" s="423"/>
      <c r="G3692" s="425" t="s">
        <v>1718</v>
      </c>
      <c r="H3692" s="424" t="s">
        <v>1719</v>
      </c>
      <c r="I3692" s="424" t="s">
        <v>1720</v>
      </c>
      <c r="J3692" s="424" t="s">
        <v>1721</v>
      </c>
      <c r="K3692" s="424" t="s">
        <v>1722</v>
      </c>
    </row>
    <row r="3693" customHeight="1" spans="1:11">
      <c r="A3693" s="426" t="s">
        <v>1723</v>
      </c>
      <c r="B3693" s="427" t="s">
        <v>1133</v>
      </c>
      <c r="C3693" s="426" t="s">
        <v>71</v>
      </c>
      <c r="D3693" s="426" t="s">
        <v>1134</v>
      </c>
      <c r="E3693" s="426" t="s">
        <v>1630</v>
      </c>
      <c r="F3693" s="426"/>
      <c r="G3693" s="428" t="s">
        <v>105</v>
      </c>
      <c r="H3693" s="429">
        <v>1</v>
      </c>
      <c r="I3693" s="445"/>
      <c r="J3693" s="445">
        <v>1432.39</v>
      </c>
      <c r="K3693" s="445">
        <v>1432.39</v>
      </c>
    </row>
    <row r="3694" customHeight="1" spans="1:11">
      <c r="A3694" s="430" t="s">
        <v>1724</v>
      </c>
      <c r="B3694" s="431" t="s">
        <v>2387</v>
      </c>
      <c r="C3694" s="430" t="s">
        <v>71</v>
      </c>
      <c r="D3694" s="430" t="s">
        <v>2388</v>
      </c>
      <c r="E3694" s="430" t="s">
        <v>1708</v>
      </c>
      <c r="F3694" s="430"/>
      <c r="G3694" s="432" t="s">
        <v>82</v>
      </c>
      <c r="H3694" s="433">
        <v>1.026</v>
      </c>
      <c r="I3694" s="433">
        <v>0</v>
      </c>
      <c r="J3694" s="446">
        <v>36.82</v>
      </c>
      <c r="K3694" s="446">
        <v>37.77</v>
      </c>
    </row>
    <row r="3695" customHeight="1" spans="1:11">
      <c r="A3695" s="430" t="s">
        <v>1724</v>
      </c>
      <c r="B3695" s="431" t="s">
        <v>2385</v>
      </c>
      <c r="C3695" s="430" t="s">
        <v>71</v>
      </c>
      <c r="D3695" s="430" t="s">
        <v>2386</v>
      </c>
      <c r="E3695" s="430" t="s">
        <v>1708</v>
      </c>
      <c r="F3695" s="430"/>
      <c r="G3695" s="432" t="s">
        <v>82</v>
      </c>
      <c r="H3695" s="433">
        <v>1.026</v>
      </c>
      <c r="I3695" s="433">
        <v>0</v>
      </c>
      <c r="J3695" s="446">
        <v>30.6</v>
      </c>
      <c r="K3695" s="446">
        <v>31.39</v>
      </c>
    </row>
    <row r="3696" customHeight="1" spans="1:11">
      <c r="A3696" s="438" t="s">
        <v>1750</v>
      </c>
      <c r="B3696" s="439" t="s">
        <v>2966</v>
      </c>
      <c r="C3696" s="438" t="s">
        <v>71</v>
      </c>
      <c r="D3696" s="438" t="s">
        <v>2967</v>
      </c>
      <c r="E3696" s="438" t="s">
        <v>1631</v>
      </c>
      <c r="F3696" s="438"/>
      <c r="G3696" s="440" t="s">
        <v>105</v>
      </c>
      <c r="H3696" s="441">
        <v>1</v>
      </c>
      <c r="I3696" s="441">
        <v>0</v>
      </c>
      <c r="J3696" s="449">
        <v>1363.23</v>
      </c>
      <c r="K3696" s="449">
        <v>1363.23</v>
      </c>
    </row>
    <row r="3697" customHeight="1" spans="1:11">
      <c r="A3697" s="434"/>
      <c r="B3697" s="434"/>
      <c r="C3697" s="434"/>
      <c r="D3697" s="434"/>
      <c r="E3697" s="434"/>
      <c r="F3697" s="434" t="s">
        <v>1735</v>
      </c>
      <c r="G3697" s="435">
        <v>25.43</v>
      </c>
      <c r="H3697" s="434" t="s">
        <v>1736</v>
      </c>
      <c r="I3697" s="435">
        <v>23.11</v>
      </c>
      <c r="J3697" s="434" t="s">
        <v>1737</v>
      </c>
      <c r="K3697" s="435">
        <v>48.54</v>
      </c>
    </row>
    <row r="3698" customHeight="1" spans="1:11">
      <c r="A3698" s="434"/>
      <c r="B3698" s="434"/>
      <c r="C3698" s="434"/>
      <c r="D3698" s="434"/>
      <c r="E3698" s="434"/>
      <c r="F3698" s="434" t="s">
        <v>1738</v>
      </c>
      <c r="G3698" s="435">
        <v>353.22</v>
      </c>
      <c r="H3698" s="434"/>
      <c r="I3698" s="434" t="s">
        <v>1739</v>
      </c>
      <c r="J3698" s="434"/>
      <c r="K3698" s="435">
        <v>1785.61</v>
      </c>
    </row>
    <row r="3699" customHeight="1" spans="1:11">
      <c r="A3699" s="436"/>
      <c r="B3699" s="436"/>
      <c r="C3699" s="436"/>
      <c r="D3699" s="436"/>
      <c r="E3699" s="436"/>
      <c r="F3699" s="436"/>
      <c r="G3699" s="436"/>
      <c r="H3699" s="436" t="s">
        <v>1740</v>
      </c>
      <c r="I3699" s="447" t="s">
        <v>1741</v>
      </c>
      <c r="J3699" s="436" t="s">
        <v>1742</v>
      </c>
      <c r="K3699" s="448">
        <v>1785.61</v>
      </c>
    </row>
    <row r="3700" customHeight="1" spans="1:11">
      <c r="A3700" s="437"/>
      <c r="B3700" s="437"/>
      <c r="C3700" s="437"/>
      <c r="D3700" s="437"/>
      <c r="E3700" s="437"/>
      <c r="F3700" s="437"/>
      <c r="G3700" s="437"/>
      <c r="H3700" s="437"/>
      <c r="I3700" s="437"/>
      <c r="J3700" s="437"/>
      <c r="K3700" s="437"/>
    </row>
    <row r="3701" customHeight="1" spans="1:11">
      <c r="A3701" s="423" t="s">
        <v>1135</v>
      </c>
      <c r="B3701" s="424" t="s">
        <v>1714</v>
      </c>
      <c r="C3701" s="423" t="s">
        <v>1715</v>
      </c>
      <c r="D3701" s="423" t="s">
        <v>1716</v>
      </c>
      <c r="E3701" s="423" t="s">
        <v>1717</v>
      </c>
      <c r="F3701" s="423"/>
      <c r="G3701" s="425" t="s">
        <v>1718</v>
      </c>
      <c r="H3701" s="424" t="s">
        <v>1719</v>
      </c>
      <c r="I3701" s="424" t="s">
        <v>1720</v>
      </c>
      <c r="J3701" s="424" t="s">
        <v>1721</v>
      </c>
      <c r="K3701" s="424" t="s">
        <v>1722</v>
      </c>
    </row>
    <row r="3702" customHeight="1" spans="1:11">
      <c r="A3702" s="426" t="s">
        <v>1723</v>
      </c>
      <c r="B3702" s="427" t="s">
        <v>1136</v>
      </c>
      <c r="C3702" s="426" t="s">
        <v>99</v>
      </c>
      <c r="D3702" s="426" t="s">
        <v>1137</v>
      </c>
      <c r="E3702" s="426" t="s">
        <v>1644</v>
      </c>
      <c r="F3702" s="426"/>
      <c r="G3702" s="428" t="s">
        <v>105</v>
      </c>
      <c r="H3702" s="429">
        <v>1</v>
      </c>
      <c r="I3702" s="445"/>
      <c r="J3702" s="445">
        <v>20275.77</v>
      </c>
      <c r="K3702" s="445">
        <v>20275.77</v>
      </c>
    </row>
    <row r="3703" customHeight="1" spans="1:11">
      <c r="A3703" s="438" t="s">
        <v>1750</v>
      </c>
      <c r="B3703" s="439" t="s">
        <v>2910</v>
      </c>
      <c r="C3703" s="438" t="s">
        <v>99</v>
      </c>
      <c r="D3703" s="438" t="s">
        <v>2911</v>
      </c>
      <c r="E3703" s="438" t="s">
        <v>1764</v>
      </c>
      <c r="F3703" s="438"/>
      <c r="G3703" s="440" t="s">
        <v>82</v>
      </c>
      <c r="H3703" s="441">
        <v>4.81</v>
      </c>
      <c r="I3703" s="441">
        <v>0</v>
      </c>
      <c r="J3703" s="449">
        <v>20.515752</v>
      </c>
      <c r="K3703" s="449">
        <v>98.68</v>
      </c>
    </row>
    <row r="3704" customHeight="1" spans="1:11">
      <c r="A3704" s="438" t="s">
        <v>1750</v>
      </c>
      <c r="B3704" s="439" t="s">
        <v>2968</v>
      </c>
      <c r="C3704" s="438" t="s">
        <v>99</v>
      </c>
      <c r="D3704" s="438" t="s">
        <v>2969</v>
      </c>
      <c r="E3704" s="438" t="s">
        <v>1631</v>
      </c>
      <c r="F3704" s="438"/>
      <c r="G3704" s="440" t="s">
        <v>105</v>
      </c>
      <c r="H3704" s="441">
        <v>1</v>
      </c>
      <c r="I3704" s="441">
        <v>0</v>
      </c>
      <c r="J3704" s="449">
        <v>19999</v>
      </c>
      <c r="K3704" s="449">
        <v>19999</v>
      </c>
    </row>
    <row r="3705" customHeight="1" spans="1:11">
      <c r="A3705" s="438" t="s">
        <v>1750</v>
      </c>
      <c r="B3705" s="439" t="s">
        <v>2921</v>
      </c>
      <c r="C3705" s="438" t="s">
        <v>99</v>
      </c>
      <c r="D3705" s="438" t="s">
        <v>2922</v>
      </c>
      <c r="E3705" s="438" t="s">
        <v>1764</v>
      </c>
      <c r="F3705" s="438"/>
      <c r="G3705" s="440" t="s">
        <v>82</v>
      </c>
      <c r="H3705" s="441">
        <v>4.81</v>
      </c>
      <c r="I3705" s="441">
        <v>0</v>
      </c>
      <c r="J3705" s="449">
        <v>37.026352</v>
      </c>
      <c r="K3705" s="449">
        <v>178.09</v>
      </c>
    </row>
    <row r="3706" customHeight="1" spans="1:11">
      <c r="A3706" s="434"/>
      <c r="B3706" s="434"/>
      <c r="C3706" s="434"/>
      <c r="D3706" s="434"/>
      <c r="E3706" s="434"/>
      <c r="F3706" s="434" t="s">
        <v>1735</v>
      </c>
      <c r="G3706" s="435">
        <v>145.03</v>
      </c>
      <c r="H3706" s="434" t="s">
        <v>1736</v>
      </c>
      <c r="I3706" s="435">
        <v>131.74</v>
      </c>
      <c r="J3706" s="434" t="s">
        <v>1737</v>
      </c>
      <c r="K3706" s="435">
        <v>276.77</v>
      </c>
    </row>
    <row r="3707" customHeight="1" spans="1:11">
      <c r="A3707" s="434"/>
      <c r="B3707" s="434"/>
      <c r="C3707" s="434"/>
      <c r="D3707" s="434"/>
      <c r="E3707" s="434"/>
      <c r="F3707" s="434" t="s">
        <v>1738</v>
      </c>
      <c r="G3707" s="435">
        <v>5000</v>
      </c>
      <c r="H3707" s="434"/>
      <c r="I3707" s="434" t="s">
        <v>1739</v>
      </c>
      <c r="J3707" s="434"/>
      <c r="K3707" s="435">
        <v>25275.77</v>
      </c>
    </row>
    <row r="3708" customHeight="1" spans="1:11">
      <c r="A3708" s="436"/>
      <c r="B3708" s="436"/>
      <c r="C3708" s="436"/>
      <c r="D3708" s="436"/>
      <c r="E3708" s="436"/>
      <c r="F3708" s="436"/>
      <c r="G3708" s="436"/>
      <c r="H3708" s="436" t="s">
        <v>1740</v>
      </c>
      <c r="I3708" s="447" t="s">
        <v>1741</v>
      </c>
      <c r="J3708" s="436" t="s">
        <v>1742</v>
      </c>
      <c r="K3708" s="448">
        <v>25275.77</v>
      </c>
    </row>
    <row r="3709" customHeight="1" spans="1:11">
      <c r="A3709" s="437"/>
      <c r="B3709" s="437"/>
      <c r="C3709" s="437"/>
      <c r="D3709" s="437"/>
      <c r="E3709" s="437"/>
      <c r="F3709" s="437"/>
      <c r="G3709" s="437"/>
      <c r="H3709" s="437"/>
      <c r="I3709" s="437"/>
      <c r="J3709" s="437"/>
      <c r="K3709" s="437"/>
    </row>
    <row r="3710" customHeight="1" spans="1:11">
      <c r="A3710" s="422" t="s">
        <v>1138</v>
      </c>
      <c r="B3710" s="422"/>
      <c r="C3710" s="422"/>
      <c r="D3710" s="422" t="s">
        <v>1139</v>
      </c>
      <c r="E3710" s="422"/>
      <c r="F3710" s="422"/>
      <c r="G3710" s="422"/>
      <c r="H3710" s="422"/>
      <c r="I3710" s="443"/>
      <c r="J3710" s="422"/>
      <c r="K3710" s="444">
        <v>4446.75</v>
      </c>
    </row>
    <row r="3711" customHeight="1" spans="1:11">
      <c r="A3711" s="423" t="s">
        <v>1140</v>
      </c>
      <c r="B3711" s="424" t="s">
        <v>1714</v>
      </c>
      <c r="C3711" s="423" t="s">
        <v>1715</v>
      </c>
      <c r="D3711" s="423" t="s">
        <v>1716</v>
      </c>
      <c r="E3711" s="423" t="s">
        <v>1717</v>
      </c>
      <c r="F3711" s="423"/>
      <c r="G3711" s="425" t="s">
        <v>1718</v>
      </c>
      <c r="H3711" s="424" t="s">
        <v>1719</v>
      </c>
      <c r="I3711" s="424" t="s">
        <v>1720</v>
      </c>
      <c r="J3711" s="424" t="s">
        <v>1721</v>
      </c>
      <c r="K3711" s="424" t="s">
        <v>1722</v>
      </c>
    </row>
    <row r="3712" customHeight="1" spans="1:11">
      <c r="A3712" s="426" t="s">
        <v>1723</v>
      </c>
      <c r="B3712" s="427" t="s">
        <v>942</v>
      </c>
      <c r="C3712" s="426" t="s">
        <v>71</v>
      </c>
      <c r="D3712" s="426" t="s">
        <v>943</v>
      </c>
      <c r="E3712" s="426" t="s">
        <v>1658</v>
      </c>
      <c r="F3712" s="426"/>
      <c r="G3712" s="428" t="s">
        <v>105</v>
      </c>
      <c r="H3712" s="429">
        <v>1</v>
      </c>
      <c r="I3712" s="445"/>
      <c r="J3712" s="445">
        <v>45</v>
      </c>
      <c r="K3712" s="445">
        <v>45</v>
      </c>
    </row>
    <row r="3713" customHeight="1" spans="1:11">
      <c r="A3713" s="430" t="s">
        <v>1724</v>
      </c>
      <c r="B3713" s="431" t="s">
        <v>2385</v>
      </c>
      <c r="C3713" s="430" t="s">
        <v>71</v>
      </c>
      <c r="D3713" s="430" t="s">
        <v>2386</v>
      </c>
      <c r="E3713" s="430" t="s">
        <v>1708</v>
      </c>
      <c r="F3713" s="430"/>
      <c r="G3713" s="432" t="s">
        <v>82</v>
      </c>
      <c r="H3713" s="433">
        <v>0.4008</v>
      </c>
      <c r="I3713" s="433">
        <v>0</v>
      </c>
      <c r="J3713" s="446">
        <v>30.6</v>
      </c>
      <c r="K3713" s="446">
        <v>12.26</v>
      </c>
    </row>
    <row r="3714" customHeight="1" spans="1:11">
      <c r="A3714" s="430" t="s">
        <v>1724</v>
      </c>
      <c r="B3714" s="431" t="s">
        <v>2387</v>
      </c>
      <c r="C3714" s="430" t="s">
        <v>71</v>
      </c>
      <c r="D3714" s="430" t="s">
        <v>2388</v>
      </c>
      <c r="E3714" s="430" t="s">
        <v>1708</v>
      </c>
      <c r="F3714" s="430"/>
      <c r="G3714" s="432" t="s">
        <v>82</v>
      </c>
      <c r="H3714" s="433">
        <v>0.4008</v>
      </c>
      <c r="I3714" s="433">
        <v>0</v>
      </c>
      <c r="J3714" s="446">
        <v>36.82</v>
      </c>
      <c r="K3714" s="446">
        <v>14.75</v>
      </c>
    </row>
    <row r="3715" customHeight="1" spans="1:11">
      <c r="A3715" s="438" t="s">
        <v>1750</v>
      </c>
      <c r="B3715" s="439" t="s">
        <v>2816</v>
      </c>
      <c r="C3715" s="438" t="s">
        <v>71</v>
      </c>
      <c r="D3715" s="438" t="s">
        <v>2817</v>
      </c>
      <c r="E3715" s="438" t="s">
        <v>1631</v>
      </c>
      <c r="F3715" s="438"/>
      <c r="G3715" s="440" t="s">
        <v>105</v>
      </c>
      <c r="H3715" s="441">
        <v>2</v>
      </c>
      <c r="I3715" s="441">
        <v>0</v>
      </c>
      <c r="J3715" s="449">
        <v>0.26</v>
      </c>
      <c r="K3715" s="449">
        <v>0.52</v>
      </c>
    </row>
    <row r="3716" customHeight="1" spans="1:11">
      <c r="A3716" s="438" t="s">
        <v>1750</v>
      </c>
      <c r="B3716" s="439" t="s">
        <v>2818</v>
      </c>
      <c r="C3716" s="438" t="s">
        <v>71</v>
      </c>
      <c r="D3716" s="438" t="s">
        <v>2819</v>
      </c>
      <c r="E3716" s="438" t="s">
        <v>1631</v>
      </c>
      <c r="F3716" s="438"/>
      <c r="G3716" s="440" t="s">
        <v>105</v>
      </c>
      <c r="H3716" s="441">
        <v>1</v>
      </c>
      <c r="I3716" s="441">
        <v>0</v>
      </c>
      <c r="J3716" s="449">
        <v>17.47</v>
      </c>
      <c r="K3716" s="449">
        <v>17.47</v>
      </c>
    </row>
    <row r="3717" customHeight="1" spans="1:11">
      <c r="A3717" s="434"/>
      <c r="B3717" s="434"/>
      <c r="C3717" s="434"/>
      <c r="D3717" s="434"/>
      <c r="E3717" s="434"/>
      <c r="F3717" s="434" t="s">
        <v>1735</v>
      </c>
      <c r="G3717" s="435">
        <v>9.93</v>
      </c>
      <c r="H3717" s="434" t="s">
        <v>1736</v>
      </c>
      <c r="I3717" s="435">
        <v>9.02</v>
      </c>
      <c r="J3717" s="434" t="s">
        <v>1737</v>
      </c>
      <c r="K3717" s="435">
        <v>18.95</v>
      </c>
    </row>
    <row r="3718" customHeight="1" spans="1:11">
      <c r="A3718" s="434"/>
      <c r="B3718" s="434"/>
      <c r="C3718" s="434"/>
      <c r="D3718" s="434"/>
      <c r="E3718" s="434"/>
      <c r="F3718" s="434" t="s">
        <v>1738</v>
      </c>
      <c r="G3718" s="435">
        <v>11.09</v>
      </c>
      <c r="H3718" s="434"/>
      <c r="I3718" s="434" t="s">
        <v>1739</v>
      </c>
      <c r="J3718" s="434"/>
      <c r="K3718" s="435">
        <v>56.09</v>
      </c>
    </row>
    <row r="3719" customHeight="1" spans="1:11">
      <c r="A3719" s="436"/>
      <c r="B3719" s="436"/>
      <c r="C3719" s="436"/>
      <c r="D3719" s="436"/>
      <c r="E3719" s="436"/>
      <c r="F3719" s="436"/>
      <c r="G3719" s="436"/>
      <c r="H3719" s="436" t="s">
        <v>1740</v>
      </c>
      <c r="I3719" s="447" t="s">
        <v>2410</v>
      </c>
      <c r="J3719" s="436" t="s">
        <v>1742</v>
      </c>
      <c r="K3719" s="448">
        <v>1346.16</v>
      </c>
    </row>
    <row r="3720" customHeight="1" spans="1:11">
      <c r="A3720" s="437"/>
      <c r="B3720" s="437"/>
      <c r="C3720" s="437"/>
      <c r="D3720" s="437"/>
      <c r="E3720" s="437"/>
      <c r="F3720" s="437"/>
      <c r="G3720" s="437"/>
      <c r="H3720" s="437"/>
      <c r="I3720" s="437"/>
      <c r="J3720" s="437"/>
      <c r="K3720" s="437"/>
    </row>
    <row r="3721" customHeight="1" spans="1:11">
      <c r="A3721" s="423" t="s">
        <v>1141</v>
      </c>
      <c r="B3721" s="424" t="s">
        <v>1714</v>
      </c>
      <c r="C3721" s="423" t="s">
        <v>1715</v>
      </c>
      <c r="D3721" s="423" t="s">
        <v>1716</v>
      </c>
      <c r="E3721" s="423" t="s">
        <v>1717</v>
      </c>
      <c r="F3721" s="423"/>
      <c r="G3721" s="425" t="s">
        <v>1718</v>
      </c>
      <c r="H3721" s="424" t="s">
        <v>1719</v>
      </c>
      <c r="I3721" s="424" t="s">
        <v>1720</v>
      </c>
      <c r="J3721" s="424" t="s">
        <v>1721</v>
      </c>
      <c r="K3721" s="424" t="s">
        <v>1722</v>
      </c>
    </row>
    <row r="3722" customHeight="1" spans="1:11">
      <c r="A3722" s="426" t="s">
        <v>1723</v>
      </c>
      <c r="B3722" s="427" t="s">
        <v>843</v>
      </c>
      <c r="C3722" s="426" t="s">
        <v>512</v>
      </c>
      <c r="D3722" s="426" t="s">
        <v>844</v>
      </c>
      <c r="E3722" s="426" t="s">
        <v>1648</v>
      </c>
      <c r="F3722" s="426"/>
      <c r="G3722" s="428" t="s">
        <v>535</v>
      </c>
      <c r="H3722" s="429">
        <v>1</v>
      </c>
      <c r="I3722" s="445"/>
      <c r="J3722" s="445">
        <v>20.39</v>
      </c>
      <c r="K3722" s="445">
        <v>20.39</v>
      </c>
    </row>
    <row r="3723" customHeight="1" spans="1:11">
      <c r="A3723" s="438" t="s">
        <v>1750</v>
      </c>
      <c r="B3723" s="439" t="s">
        <v>2370</v>
      </c>
      <c r="C3723" s="438" t="s">
        <v>512</v>
      </c>
      <c r="D3723" s="438" t="s">
        <v>2371</v>
      </c>
      <c r="E3723" s="438" t="s">
        <v>2372</v>
      </c>
      <c r="F3723" s="438"/>
      <c r="G3723" s="440" t="s">
        <v>1617</v>
      </c>
      <c r="H3723" s="441">
        <v>8.3</v>
      </c>
      <c r="I3723" s="441">
        <v>3</v>
      </c>
      <c r="J3723" s="449">
        <v>1</v>
      </c>
      <c r="K3723" s="449">
        <v>0.24</v>
      </c>
    </row>
    <row r="3724" customHeight="1" spans="1:11">
      <c r="A3724" s="438" t="s">
        <v>1750</v>
      </c>
      <c r="B3724" s="439" t="s">
        <v>2689</v>
      </c>
      <c r="C3724" s="438" t="s">
        <v>512</v>
      </c>
      <c r="D3724" s="438" t="s">
        <v>2690</v>
      </c>
      <c r="E3724" s="438" t="s">
        <v>1764</v>
      </c>
      <c r="F3724" s="438"/>
      <c r="G3724" s="440" t="s">
        <v>2367</v>
      </c>
      <c r="H3724" s="441">
        <v>0.14</v>
      </c>
      <c r="I3724" s="441">
        <v>0</v>
      </c>
      <c r="J3724" s="449">
        <v>33.39</v>
      </c>
      <c r="K3724" s="449">
        <v>4.67</v>
      </c>
    </row>
    <row r="3725" customHeight="1" spans="1:11">
      <c r="A3725" s="438" t="s">
        <v>1750</v>
      </c>
      <c r="B3725" s="439" t="s">
        <v>2698</v>
      </c>
      <c r="C3725" s="438" t="s">
        <v>512</v>
      </c>
      <c r="D3725" s="438" t="s">
        <v>2699</v>
      </c>
      <c r="E3725" s="438" t="s">
        <v>1631</v>
      </c>
      <c r="F3725" s="438"/>
      <c r="G3725" s="440" t="s">
        <v>2700</v>
      </c>
      <c r="H3725" s="441">
        <v>0.333</v>
      </c>
      <c r="I3725" s="441">
        <v>0</v>
      </c>
      <c r="J3725" s="449">
        <v>35.61</v>
      </c>
      <c r="K3725" s="449">
        <v>11.85</v>
      </c>
    </row>
    <row r="3726" customHeight="1" spans="1:11">
      <c r="A3726" s="438" t="s">
        <v>1750</v>
      </c>
      <c r="B3726" s="439" t="s">
        <v>2391</v>
      </c>
      <c r="C3726" s="438" t="s">
        <v>512</v>
      </c>
      <c r="D3726" s="438" t="s">
        <v>2392</v>
      </c>
      <c r="E3726" s="438" t="s">
        <v>1764</v>
      </c>
      <c r="F3726" s="438"/>
      <c r="G3726" s="440" t="s">
        <v>2367</v>
      </c>
      <c r="H3726" s="441">
        <v>0.14</v>
      </c>
      <c r="I3726" s="441">
        <v>0</v>
      </c>
      <c r="J3726" s="449">
        <v>25.93</v>
      </c>
      <c r="K3726" s="449">
        <v>3.63</v>
      </c>
    </row>
    <row r="3727" customHeight="1" spans="1:11">
      <c r="A3727" s="434"/>
      <c r="B3727" s="434"/>
      <c r="C3727" s="434"/>
      <c r="D3727" s="434"/>
      <c r="E3727" s="434"/>
      <c r="F3727" s="434" t="s">
        <v>1735</v>
      </c>
      <c r="G3727" s="435">
        <v>4.34</v>
      </c>
      <c r="H3727" s="434" t="s">
        <v>1736</v>
      </c>
      <c r="I3727" s="435">
        <v>3.96</v>
      </c>
      <c r="J3727" s="434" t="s">
        <v>1737</v>
      </c>
      <c r="K3727" s="435">
        <v>8.3</v>
      </c>
    </row>
    <row r="3728" customHeight="1" spans="1:11">
      <c r="A3728" s="434"/>
      <c r="B3728" s="434"/>
      <c r="C3728" s="434"/>
      <c r="D3728" s="434"/>
      <c r="E3728" s="434"/>
      <c r="F3728" s="434" t="s">
        <v>1738</v>
      </c>
      <c r="G3728" s="435">
        <v>5.02</v>
      </c>
      <c r="H3728" s="434"/>
      <c r="I3728" s="434" t="s">
        <v>1739</v>
      </c>
      <c r="J3728" s="434"/>
      <c r="K3728" s="435">
        <v>25.41</v>
      </c>
    </row>
    <row r="3729" customHeight="1" spans="1:11">
      <c r="A3729" s="436"/>
      <c r="B3729" s="436"/>
      <c r="C3729" s="436"/>
      <c r="D3729" s="436"/>
      <c r="E3729" s="436"/>
      <c r="F3729" s="436"/>
      <c r="G3729" s="436"/>
      <c r="H3729" s="436" t="s">
        <v>1740</v>
      </c>
      <c r="I3729" s="447" t="s">
        <v>2970</v>
      </c>
      <c r="J3729" s="436" t="s">
        <v>1742</v>
      </c>
      <c r="K3729" s="448">
        <v>1524.6</v>
      </c>
    </row>
    <row r="3730" customHeight="1" spans="1:11">
      <c r="A3730" s="437"/>
      <c r="B3730" s="437"/>
      <c r="C3730" s="437"/>
      <c r="D3730" s="437"/>
      <c r="E3730" s="437"/>
      <c r="F3730" s="437"/>
      <c r="G3730" s="437"/>
      <c r="H3730" s="437"/>
      <c r="I3730" s="437"/>
      <c r="J3730" s="437"/>
      <c r="K3730" s="437"/>
    </row>
    <row r="3731" customHeight="1" spans="1:11">
      <c r="A3731" s="423" t="s">
        <v>1142</v>
      </c>
      <c r="B3731" s="424" t="s">
        <v>1714</v>
      </c>
      <c r="C3731" s="423" t="s">
        <v>1715</v>
      </c>
      <c r="D3731" s="423" t="s">
        <v>1716</v>
      </c>
      <c r="E3731" s="423" t="s">
        <v>1717</v>
      </c>
      <c r="F3731" s="423"/>
      <c r="G3731" s="425" t="s">
        <v>1718</v>
      </c>
      <c r="H3731" s="424" t="s">
        <v>1719</v>
      </c>
      <c r="I3731" s="424" t="s">
        <v>1720</v>
      </c>
      <c r="J3731" s="424" t="s">
        <v>1721</v>
      </c>
      <c r="K3731" s="424" t="s">
        <v>1722</v>
      </c>
    </row>
    <row r="3732" customHeight="1" spans="1:11">
      <c r="A3732" s="426" t="s">
        <v>1723</v>
      </c>
      <c r="B3732" s="427" t="s">
        <v>858</v>
      </c>
      <c r="C3732" s="426" t="s">
        <v>71</v>
      </c>
      <c r="D3732" s="426" t="s">
        <v>859</v>
      </c>
      <c r="E3732" s="426" t="s">
        <v>1638</v>
      </c>
      <c r="F3732" s="426"/>
      <c r="G3732" s="428" t="s">
        <v>78</v>
      </c>
      <c r="H3732" s="429">
        <v>1</v>
      </c>
      <c r="I3732" s="445"/>
      <c r="J3732" s="445">
        <v>10.4</v>
      </c>
      <c r="K3732" s="445">
        <v>10.4</v>
      </c>
    </row>
    <row r="3733" customHeight="1" spans="1:11">
      <c r="A3733" s="430" t="s">
        <v>1724</v>
      </c>
      <c r="B3733" s="431" t="s">
        <v>2387</v>
      </c>
      <c r="C3733" s="430" t="s">
        <v>71</v>
      </c>
      <c r="D3733" s="430" t="s">
        <v>2388</v>
      </c>
      <c r="E3733" s="430" t="s">
        <v>1708</v>
      </c>
      <c r="F3733" s="430"/>
      <c r="G3733" s="432" t="s">
        <v>82</v>
      </c>
      <c r="H3733" s="433">
        <v>0.0672</v>
      </c>
      <c r="I3733" s="433">
        <v>0</v>
      </c>
      <c r="J3733" s="446">
        <v>36.82</v>
      </c>
      <c r="K3733" s="446">
        <v>2.47</v>
      </c>
    </row>
    <row r="3734" customHeight="1" spans="1:11">
      <c r="A3734" s="430" t="s">
        <v>1724</v>
      </c>
      <c r="B3734" s="431" t="s">
        <v>2385</v>
      </c>
      <c r="C3734" s="430" t="s">
        <v>71</v>
      </c>
      <c r="D3734" s="430" t="s">
        <v>2386</v>
      </c>
      <c r="E3734" s="430" t="s">
        <v>1708</v>
      </c>
      <c r="F3734" s="430"/>
      <c r="G3734" s="432" t="s">
        <v>82</v>
      </c>
      <c r="H3734" s="433">
        <v>0.0672</v>
      </c>
      <c r="I3734" s="433">
        <v>0</v>
      </c>
      <c r="J3734" s="446">
        <v>30.6</v>
      </c>
      <c r="K3734" s="446">
        <v>2.05</v>
      </c>
    </row>
    <row r="3735" customHeight="1" spans="1:11">
      <c r="A3735" s="438" t="s">
        <v>1750</v>
      </c>
      <c r="B3735" s="439" t="s">
        <v>2718</v>
      </c>
      <c r="C3735" s="438" t="s">
        <v>71</v>
      </c>
      <c r="D3735" s="438" t="s">
        <v>2719</v>
      </c>
      <c r="E3735" s="438" t="s">
        <v>1631</v>
      </c>
      <c r="F3735" s="438"/>
      <c r="G3735" s="440" t="s">
        <v>78</v>
      </c>
      <c r="H3735" s="441">
        <v>1.1</v>
      </c>
      <c r="I3735" s="441">
        <v>0</v>
      </c>
      <c r="J3735" s="449">
        <v>5.35</v>
      </c>
      <c r="K3735" s="449">
        <v>5.88</v>
      </c>
    </row>
    <row r="3736" customHeight="1" spans="1:11">
      <c r="A3736" s="434"/>
      <c r="B3736" s="434"/>
      <c r="C3736" s="434"/>
      <c r="D3736" s="434"/>
      <c r="E3736" s="434"/>
      <c r="F3736" s="434" t="s">
        <v>1735</v>
      </c>
      <c r="G3736" s="435">
        <v>1.66</v>
      </c>
      <c r="H3736" s="434" t="s">
        <v>1736</v>
      </c>
      <c r="I3736" s="435">
        <v>1.51</v>
      </c>
      <c r="J3736" s="434" t="s">
        <v>1737</v>
      </c>
      <c r="K3736" s="435">
        <v>3.17</v>
      </c>
    </row>
    <row r="3737" customHeight="1" spans="1:11">
      <c r="A3737" s="434"/>
      <c r="B3737" s="434"/>
      <c r="C3737" s="434"/>
      <c r="D3737" s="434"/>
      <c r="E3737" s="434"/>
      <c r="F3737" s="434" t="s">
        <v>1738</v>
      </c>
      <c r="G3737" s="435">
        <v>2.56</v>
      </c>
      <c r="H3737" s="434"/>
      <c r="I3737" s="434" t="s">
        <v>1739</v>
      </c>
      <c r="J3737" s="434"/>
      <c r="K3737" s="435">
        <v>12.96</v>
      </c>
    </row>
    <row r="3738" customHeight="1" spans="1:11">
      <c r="A3738" s="436"/>
      <c r="B3738" s="436"/>
      <c r="C3738" s="436"/>
      <c r="D3738" s="436"/>
      <c r="E3738" s="436"/>
      <c r="F3738" s="436"/>
      <c r="G3738" s="436"/>
      <c r="H3738" s="436" t="s">
        <v>1740</v>
      </c>
      <c r="I3738" s="447" t="s">
        <v>1904</v>
      </c>
      <c r="J3738" s="436" t="s">
        <v>1742</v>
      </c>
      <c r="K3738" s="448">
        <v>518.4</v>
      </c>
    </row>
    <row r="3739" customHeight="1" spans="1:11">
      <c r="A3739" s="437"/>
      <c r="B3739" s="437"/>
      <c r="C3739" s="437"/>
      <c r="D3739" s="437"/>
      <c r="E3739" s="437"/>
      <c r="F3739" s="437"/>
      <c r="G3739" s="437"/>
      <c r="H3739" s="437"/>
      <c r="I3739" s="437"/>
      <c r="J3739" s="437"/>
      <c r="K3739" s="437"/>
    </row>
    <row r="3740" customHeight="1" spans="1:11">
      <c r="A3740" s="423" t="s">
        <v>1143</v>
      </c>
      <c r="B3740" s="424" t="s">
        <v>1714</v>
      </c>
      <c r="C3740" s="423" t="s">
        <v>1715</v>
      </c>
      <c r="D3740" s="423" t="s">
        <v>1716</v>
      </c>
      <c r="E3740" s="423" t="s">
        <v>1717</v>
      </c>
      <c r="F3740" s="423"/>
      <c r="G3740" s="425" t="s">
        <v>1718</v>
      </c>
      <c r="H3740" s="424" t="s">
        <v>1719</v>
      </c>
      <c r="I3740" s="424" t="s">
        <v>1720</v>
      </c>
      <c r="J3740" s="424" t="s">
        <v>1721</v>
      </c>
      <c r="K3740" s="424" t="s">
        <v>1722</v>
      </c>
    </row>
    <row r="3741" customHeight="1" spans="1:11">
      <c r="A3741" s="426" t="s">
        <v>1723</v>
      </c>
      <c r="B3741" s="427" t="s">
        <v>855</v>
      </c>
      <c r="C3741" s="426" t="s">
        <v>71</v>
      </c>
      <c r="D3741" s="426" t="s">
        <v>856</v>
      </c>
      <c r="E3741" s="426" t="s">
        <v>1658</v>
      </c>
      <c r="F3741" s="426"/>
      <c r="G3741" s="428" t="s">
        <v>78</v>
      </c>
      <c r="H3741" s="429">
        <v>1</v>
      </c>
      <c r="I3741" s="445"/>
      <c r="J3741" s="445">
        <v>24.01</v>
      </c>
      <c r="K3741" s="445">
        <v>24.01</v>
      </c>
    </row>
    <row r="3742" customHeight="1" spans="1:11">
      <c r="A3742" s="430" t="s">
        <v>1724</v>
      </c>
      <c r="B3742" s="431" t="s">
        <v>2385</v>
      </c>
      <c r="C3742" s="430" t="s">
        <v>71</v>
      </c>
      <c r="D3742" s="430" t="s">
        <v>2386</v>
      </c>
      <c r="E3742" s="430" t="s">
        <v>1708</v>
      </c>
      <c r="F3742" s="430"/>
      <c r="G3742" s="432" t="s">
        <v>82</v>
      </c>
      <c r="H3742" s="433">
        <v>0.122</v>
      </c>
      <c r="I3742" s="433">
        <v>0</v>
      </c>
      <c r="J3742" s="446">
        <v>30.6</v>
      </c>
      <c r="K3742" s="446">
        <v>3.73</v>
      </c>
    </row>
    <row r="3743" customHeight="1" spans="1:11">
      <c r="A3743" s="430" t="s">
        <v>1724</v>
      </c>
      <c r="B3743" s="431" t="s">
        <v>2712</v>
      </c>
      <c r="C3743" s="430" t="s">
        <v>71</v>
      </c>
      <c r="D3743" s="430" t="s">
        <v>2713</v>
      </c>
      <c r="E3743" s="430" t="s">
        <v>2714</v>
      </c>
      <c r="F3743" s="430"/>
      <c r="G3743" s="432" t="s">
        <v>78</v>
      </c>
      <c r="H3743" s="433">
        <v>1</v>
      </c>
      <c r="I3743" s="433">
        <v>0</v>
      </c>
      <c r="J3743" s="446">
        <v>12.77</v>
      </c>
      <c r="K3743" s="446">
        <v>12.77</v>
      </c>
    </row>
    <row r="3744" customHeight="1" spans="1:11">
      <c r="A3744" s="430" t="s">
        <v>1724</v>
      </c>
      <c r="B3744" s="431" t="s">
        <v>2387</v>
      </c>
      <c r="C3744" s="430" t="s">
        <v>71</v>
      </c>
      <c r="D3744" s="430" t="s">
        <v>2388</v>
      </c>
      <c r="E3744" s="430" t="s">
        <v>1708</v>
      </c>
      <c r="F3744" s="430"/>
      <c r="G3744" s="432" t="s">
        <v>82</v>
      </c>
      <c r="H3744" s="433">
        <v>0.122</v>
      </c>
      <c r="I3744" s="433">
        <v>0</v>
      </c>
      <c r="J3744" s="446">
        <v>36.82</v>
      </c>
      <c r="K3744" s="446">
        <v>4.49</v>
      </c>
    </row>
    <row r="3745" customHeight="1" spans="1:11">
      <c r="A3745" s="438" t="s">
        <v>1750</v>
      </c>
      <c r="B3745" s="439" t="s">
        <v>2715</v>
      </c>
      <c r="C3745" s="438" t="s">
        <v>71</v>
      </c>
      <c r="D3745" s="438" t="s">
        <v>2716</v>
      </c>
      <c r="E3745" s="438" t="s">
        <v>1631</v>
      </c>
      <c r="F3745" s="438"/>
      <c r="G3745" s="440" t="s">
        <v>78</v>
      </c>
      <c r="H3745" s="441">
        <v>1.0538</v>
      </c>
      <c r="I3745" s="441">
        <v>0</v>
      </c>
      <c r="J3745" s="449">
        <v>2.87</v>
      </c>
      <c r="K3745" s="449">
        <v>3.02</v>
      </c>
    </row>
    <row r="3746" customHeight="1" spans="1:11">
      <c r="A3746" s="434"/>
      <c r="B3746" s="434"/>
      <c r="C3746" s="434"/>
      <c r="D3746" s="434"/>
      <c r="E3746" s="434"/>
      <c r="F3746" s="434" t="s">
        <v>1735</v>
      </c>
      <c r="G3746" s="435">
        <v>6.41</v>
      </c>
      <c r="H3746" s="434" t="s">
        <v>1736</v>
      </c>
      <c r="I3746" s="435">
        <v>5.84</v>
      </c>
      <c r="J3746" s="434" t="s">
        <v>1737</v>
      </c>
      <c r="K3746" s="435">
        <v>12.25</v>
      </c>
    </row>
    <row r="3747" customHeight="1" spans="1:11">
      <c r="A3747" s="434"/>
      <c r="B3747" s="434"/>
      <c r="C3747" s="434"/>
      <c r="D3747" s="434"/>
      <c r="E3747" s="434"/>
      <c r="F3747" s="434" t="s">
        <v>1738</v>
      </c>
      <c r="G3747" s="435">
        <v>5.92</v>
      </c>
      <c r="H3747" s="434"/>
      <c r="I3747" s="434" t="s">
        <v>1739</v>
      </c>
      <c r="J3747" s="434"/>
      <c r="K3747" s="435">
        <v>29.93</v>
      </c>
    </row>
    <row r="3748" customHeight="1" spans="1:11">
      <c r="A3748" s="436"/>
      <c r="B3748" s="436"/>
      <c r="C3748" s="436"/>
      <c r="D3748" s="436"/>
      <c r="E3748" s="436"/>
      <c r="F3748" s="436"/>
      <c r="G3748" s="436"/>
      <c r="H3748" s="436" t="s">
        <v>1740</v>
      </c>
      <c r="I3748" s="447" t="s">
        <v>2020</v>
      </c>
      <c r="J3748" s="436" t="s">
        <v>1742</v>
      </c>
      <c r="K3748" s="448">
        <v>359.16</v>
      </c>
    </row>
    <row r="3749" customHeight="1" spans="1:11">
      <c r="A3749" s="437"/>
      <c r="B3749" s="437"/>
      <c r="C3749" s="437"/>
      <c r="D3749" s="437"/>
      <c r="E3749" s="437"/>
      <c r="F3749" s="437"/>
      <c r="G3749" s="437"/>
      <c r="H3749" s="437"/>
      <c r="I3749" s="437"/>
      <c r="J3749" s="437"/>
      <c r="K3749" s="437"/>
    </row>
    <row r="3750" customHeight="1" spans="1:11">
      <c r="A3750" s="423" t="s">
        <v>1144</v>
      </c>
      <c r="B3750" s="424" t="s">
        <v>1714</v>
      </c>
      <c r="C3750" s="423" t="s">
        <v>1715</v>
      </c>
      <c r="D3750" s="423" t="s">
        <v>1716</v>
      </c>
      <c r="E3750" s="423" t="s">
        <v>1717</v>
      </c>
      <c r="F3750" s="423"/>
      <c r="G3750" s="425" t="s">
        <v>1718</v>
      </c>
      <c r="H3750" s="424" t="s">
        <v>1719</v>
      </c>
      <c r="I3750" s="424" t="s">
        <v>1720</v>
      </c>
      <c r="J3750" s="424" t="s">
        <v>1721</v>
      </c>
      <c r="K3750" s="424" t="s">
        <v>1722</v>
      </c>
    </row>
    <row r="3751" customHeight="1" spans="1:11">
      <c r="A3751" s="426" t="s">
        <v>1723</v>
      </c>
      <c r="B3751" s="427" t="s">
        <v>1145</v>
      </c>
      <c r="C3751" s="426" t="s">
        <v>65</v>
      </c>
      <c r="D3751" s="426" t="s">
        <v>1146</v>
      </c>
      <c r="E3751" s="426" t="s">
        <v>1694</v>
      </c>
      <c r="F3751" s="426"/>
      <c r="G3751" s="428" t="s">
        <v>105</v>
      </c>
      <c r="H3751" s="429">
        <v>1</v>
      </c>
      <c r="I3751" s="445"/>
      <c r="J3751" s="445">
        <v>31.36</v>
      </c>
      <c r="K3751" s="445">
        <v>31.36</v>
      </c>
    </row>
    <row r="3752" customHeight="1" spans="1:11">
      <c r="A3752" s="430" t="s">
        <v>1724</v>
      </c>
      <c r="B3752" s="431" t="s">
        <v>2387</v>
      </c>
      <c r="C3752" s="430" t="s">
        <v>71</v>
      </c>
      <c r="D3752" s="430" t="s">
        <v>2388</v>
      </c>
      <c r="E3752" s="430" t="s">
        <v>1708</v>
      </c>
      <c r="F3752" s="430"/>
      <c r="G3752" s="432" t="s">
        <v>82</v>
      </c>
      <c r="H3752" s="433">
        <v>0.2</v>
      </c>
      <c r="I3752" s="433">
        <v>0</v>
      </c>
      <c r="J3752" s="446">
        <v>36.82</v>
      </c>
      <c r="K3752" s="446">
        <v>7.36</v>
      </c>
    </row>
    <row r="3753" customHeight="1" spans="1:11">
      <c r="A3753" s="438" t="s">
        <v>1750</v>
      </c>
      <c r="B3753" s="439" t="s">
        <v>2971</v>
      </c>
      <c r="C3753" s="438" t="s">
        <v>99</v>
      </c>
      <c r="D3753" s="438" t="s">
        <v>2972</v>
      </c>
      <c r="E3753" s="438" t="s">
        <v>1631</v>
      </c>
      <c r="F3753" s="438"/>
      <c r="G3753" s="440" t="s">
        <v>105</v>
      </c>
      <c r="H3753" s="441">
        <v>1</v>
      </c>
      <c r="I3753" s="441">
        <v>0</v>
      </c>
      <c r="J3753" s="449">
        <v>24</v>
      </c>
      <c r="K3753" s="449">
        <v>24</v>
      </c>
    </row>
    <row r="3754" customHeight="1" spans="1:11">
      <c r="A3754" s="434"/>
      <c r="B3754" s="434"/>
      <c r="C3754" s="434"/>
      <c r="D3754" s="434"/>
      <c r="E3754" s="434"/>
      <c r="F3754" s="434" t="s">
        <v>1735</v>
      </c>
      <c r="G3754" s="435">
        <v>2.8</v>
      </c>
      <c r="H3754" s="434" t="s">
        <v>1736</v>
      </c>
      <c r="I3754" s="435">
        <v>2.55</v>
      </c>
      <c r="J3754" s="434" t="s">
        <v>1737</v>
      </c>
      <c r="K3754" s="435">
        <v>5.35</v>
      </c>
    </row>
    <row r="3755" customHeight="1" spans="1:11">
      <c r="A3755" s="434"/>
      <c r="B3755" s="434"/>
      <c r="C3755" s="434"/>
      <c r="D3755" s="434"/>
      <c r="E3755" s="434"/>
      <c r="F3755" s="434" t="s">
        <v>1738</v>
      </c>
      <c r="G3755" s="435">
        <v>7.73</v>
      </c>
      <c r="H3755" s="434"/>
      <c r="I3755" s="434" t="s">
        <v>1739</v>
      </c>
      <c r="J3755" s="434"/>
      <c r="K3755" s="435">
        <v>39.09</v>
      </c>
    </row>
    <row r="3756" customHeight="1" spans="1:11">
      <c r="A3756" s="436"/>
      <c r="B3756" s="436"/>
      <c r="C3756" s="436"/>
      <c r="D3756" s="436"/>
      <c r="E3756" s="436"/>
      <c r="F3756" s="436"/>
      <c r="G3756" s="436"/>
      <c r="H3756" s="436" t="s">
        <v>1740</v>
      </c>
      <c r="I3756" s="447" t="s">
        <v>1971</v>
      </c>
      <c r="J3756" s="436" t="s">
        <v>1742</v>
      </c>
      <c r="K3756" s="448">
        <v>78.18</v>
      </c>
    </row>
    <row r="3757" customHeight="1" spans="1:11">
      <c r="A3757" s="437"/>
      <c r="B3757" s="437"/>
      <c r="C3757" s="437"/>
      <c r="D3757" s="437"/>
      <c r="E3757" s="437"/>
      <c r="F3757" s="437"/>
      <c r="G3757" s="437"/>
      <c r="H3757" s="437"/>
      <c r="I3757" s="437"/>
      <c r="J3757" s="437"/>
      <c r="K3757" s="437"/>
    </row>
    <row r="3758" customHeight="1" spans="1:11">
      <c r="A3758" s="423" t="s">
        <v>1147</v>
      </c>
      <c r="B3758" s="424" t="s">
        <v>1714</v>
      </c>
      <c r="C3758" s="423" t="s">
        <v>1715</v>
      </c>
      <c r="D3758" s="423" t="s">
        <v>1716</v>
      </c>
      <c r="E3758" s="423" t="s">
        <v>1717</v>
      </c>
      <c r="F3758" s="423"/>
      <c r="G3758" s="425" t="s">
        <v>1718</v>
      </c>
      <c r="H3758" s="424" t="s">
        <v>1719</v>
      </c>
      <c r="I3758" s="424" t="s">
        <v>1720</v>
      </c>
      <c r="J3758" s="424" t="s">
        <v>1721</v>
      </c>
      <c r="K3758" s="424" t="s">
        <v>1722</v>
      </c>
    </row>
    <row r="3759" customHeight="1" spans="1:11">
      <c r="A3759" s="426" t="s">
        <v>1723</v>
      </c>
      <c r="B3759" s="427" t="s">
        <v>1148</v>
      </c>
      <c r="C3759" s="426" t="s">
        <v>99</v>
      </c>
      <c r="D3759" s="426" t="s">
        <v>1149</v>
      </c>
      <c r="E3759" s="426" t="s">
        <v>1680</v>
      </c>
      <c r="F3759" s="426"/>
      <c r="G3759" s="428" t="s">
        <v>105</v>
      </c>
      <c r="H3759" s="429">
        <v>1</v>
      </c>
      <c r="I3759" s="445"/>
      <c r="J3759" s="445">
        <v>19.91</v>
      </c>
      <c r="K3759" s="445">
        <v>19.91</v>
      </c>
    </row>
    <row r="3760" customHeight="1" spans="1:11">
      <c r="A3760" s="438" t="s">
        <v>1750</v>
      </c>
      <c r="B3760" s="439" t="s">
        <v>1824</v>
      </c>
      <c r="C3760" s="438" t="s">
        <v>99</v>
      </c>
      <c r="D3760" s="438" t="s">
        <v>1825</v>
      </c>
      <c r="E3760" s="438" t="s">
        <v>1764</v>
      </c>
      <c r="F3760" s="438"/>
      <c r="G3760" s="440" t="s">
        <v>82</v>
      </c>
      <c r="H3760" s="441">
        <v>0.25</v>
      </c>
      <c r="I3760" s="441">
        <v>0</v>
      </c>
      <c r="J3760" s="449">
        <v>20.515752</v>
      </c>
      <c r="K3760" s="449">
        <v>5.12</v>
      </c>
    </row>
    <row r="3761" customHeight="1" spans="1:11">
      <c r="A3761" s="438" t="s">
        <v>1750</v>
      </c>
      <c r="B3761" s="439" t="s">
        <v>2973</v>
      </c>
      <c r="C3761" s="438" t="s">
        <v>99</v>
      </c>
      <c r="D3761" s="438" t="s">
        <v>2974</v>
      </c>
      <c r="E3761" s="438" t="s">
        <v>1631</v>
      </c>
      <c r="F3761" s="438"/>
      <c r="G3761" s="440" t="s">
        <v>105</v>
      </c>
      <c r="H3761" s="441">
        <v>1</v>
      </c>
      <c r="I3761" s="441">
        <v>0</v>
      </c>
      <c r="J3761" s="449">
        <v>14.79</v>
      </c>
      <c r="K3761" s="449">
        <v>14.79</v>
      </c>
    </row>
    <row r="3762" customHeight="1" spans="1:11">
      <c r="A3762" s="434"/>
      <c r="B3762" s="434"/>
      <c r="C3762" s="434"/>
      <c r="D3762" s="434"/>
      <c r="E3762" s="434"/>
      <c r="F3762" s="434" t="s">
        <v>1735</v>
      </c>
      <c r="G3762" s="435">
        <v>2.68</v>
      </c>
      <c r="H3762" s="434" t="s">
        <v>1736</v>
      </c>
      <c r="I3762" s="435">
        <v>2.44</v>
      </c>
      <c r="J3762" s="434" t="s">
        <v>1737</v>
      </c>
      <c r="K3762" s="435">
        <v>5.12</v>
      </c>
    </row>
    <row r="3763" customHeight="1" spans="1:11">
      <c r="A3763" s="434"/>
      <c r="B3763" s="434"/>
      <c r="C3763" s="434"/>
      <c r="D3763" s="434"/>
      <c r="E3763" s="434"/>
      <c r="F3763" s="434" t="s">
        <v>1738</v>
      </c>
      <c r="G3763" s="435">
        <v>4.9</v>
      </c>
      <c r="H3763" s="434"/>
      <c r="I3763" s="434" t="s">
        <v>1739</v>
      </c>
      <c r="J3763" s="434"/>
      <c r="K3763" s="435">
        <v>24.81</v>
      </c>
    </row>
    <row r="3764" customHeight="1" spans="1:11">
      <c r="A3764" s="436"/>
      <c r="B3764" s="436"/>
      <c r="C3764" s="436"/>
      <c r="D3764" s="436"/>
      <c r="E3764" s="436"/>
      <c r="F3764" s="436"/>
      <c r="G3764" s="436"/>
      <c r="H3764" s="436" t="s">
        <v>1740</v>
      </c>
      <c r="I3764" s="447" t="s">
        <v>2597</v>
      </c>
      <c r="J3764" s="436" t="s">
        <v>1742</v>
      </c>
      <c r="K3764" s="448">
        <v>620.25</v>
      </c>
    </row>
    <row r="3765" customHeight="1" spans="1:11">
      <c r="A3765" s="437"/>
      <c r="B3765" s="437"/>
      <c r="C3765" s="437"/>
      <c r="D3765" s="437"/>
      <c r="E3765" s="437"/>
      <c r="F3765" s="437"/>
      <c r="G3765" s="437"/>
      <c r="H3765" s="437"/>
      <c r="I3765" s="437"/>
      <c r="J3765" s="437"/>
      <c r="K3765" s="437"/>
    </row>
    <row r="3766" customHeight="1" spans="1:11">
      <c r="A3766" s="422" t="s">
        <v>1150</v>
      </c>
      <c r="B3766" s="422"/>
      <c r="C3766" s="422"/>
      <c r="D3766" s="422" t="s">
        <v>1151</v>
      </c>
      <c r="E3766" s="422"/>
      <c r="F3766" s="422"/>
      <c r="G3766" s="422"/>
      <c r="H3766" s="422"/>
      <c r="I3766" s="443"/>
      <c r="J3766" s="422"/>
      <c r="K3766" s="444">
        <v>11012.1</v>
      </c>
    </row>
    <row r="3767" customHeight="1" spans="1:11">
      <c r="A3767" s="423" t="s">
        <v>1152</v>
      </c>
      <c r="B3767" s="424" t="s">
        <v>1714</v>
      </c>
      <c r="C3767" s="423" t="s">
        <v>1715</v>
      </c>
      <c r="D3767" s="423" t="s">
        <v>1716</v>
      </c>
      <c r="E3767" s="423" t="s">
        <v>1717</v>
      </c>
      <c r="F3767" s="423"/>
      <c r="G3767" s="425" t="s">
        <v>1718</v>
      </c>
      <c r="H3767" s="424" t="s">
        <v>1719</v>
      </c>
      <c r="I3767" s="424" t="s">
        <v>1720</v>
      </c>
      <c r="J3767" s="424" t="s">
        <v>1721</v>
      </c>
      <c r="K3767" s="424" t="s">
        <v>1722</v>
      </c>
    </row>
    <row r="3768" customHeight="1" spans="1:11">
      <c r="A3768" s="426" t="s">
        <v>1723</v>
      </c>
      <c r="B3768" s="427" t="s">
        <v>1068</v>
      </c>
      <c r="C3768" s="426" t="s">
        <v>71</v>
      </c>
      <c r="D3768" s="426" t="s">
        <v>1069</v>
      </c>
      <c r="E3768" s="426" t="s">
        <v>1630</v>
      </c>
      <c r="F3768" s="426"/>
      <c r="G3768" s="428" t="s">
        <v>78</v>
      </c>
      <c r="H3768" s="429">
        <v>1</v>
      </c>
      <c r="I3768" s="445"/>
      <c r="J3768" s="445">
        <v>8.3</v>
      </c>
      <c r="K3768" s="445">
        <v>8.3</v>
      </c>
    </row>
    <row r="3769" customHeight="1" spans="1:11">
      <c r="A3769" s="430" t="s">
        <v>1724</v>
      </c>
      <c r="B3769" s="431" t="s">
        <v>2385</v>
      </c>
      <c r="C3769" s="430" t="s">
        <v>71</v>
      </c>
      <c r="D3769" s="430" t="s">
        <v>2386</v>
      </c>
      <c r="E3769" s="430" t="s">
        <v>1708</v>
      </c>
      <c r="F3769" s="430"/>
      <c r="G3769" s="432" t="s">
        <v>82</v>
      </c>
      <c r="H3769" s="433">
        <v>0.0045</v>
      </c>
      <c r="I3769" s="433">
        <v>0</v>
      </c>
      <c r="J3769" s="446">
        <v>30.6</v>
      </c>
      <c r="K3769" s="446">
        <v>0.13</v>
      </c>
    </row>
    <row r="3770" customHeight="1" spans="1:11">
      <c r="A3770" s="430" t="s">
        <v>1724</v>
      </c>
      <c r="B3770" s="431" t="s">
        <v>2387</v>
      </c>
      <c r="C3770" s="430" t="s">
        <v>71</v>
      </c>
      <c r="D3770" s="430" t="s">
        <v>2388</v>
      </c>
      <c r="E3770" s="430" t="s">
        <v>1708</v>
      </c>
      <c r="F3770" s="430"/>
      <c r="G3770" s="432" t="s">
        <v>82</v>
      </c>
      <c r="H3770" s="433">
        <v>0.0045</v>
      </c>
      <c r="I3770" s="433">
        <v>0</v>
      </c>
      <c r="J3770" s="446">
        <v>36.82</v>
      </c>
      <c r="K3770" s="446">
        <v>0.16</v>
      </c>
    </row>
    <row r="3771" customHeight="1" spans="1:11">
      <c r="A3771" s="438" t="s">
        <v>1750</v>
      </c>
      <c r="B3771" s="439" t="s">
        <v>2923</v>
      </c>
      <c r="C3771" s="438" t="s">
        <v>71</v>
      </c>
      <c r="D3771" s="438" t="s">
        <v>2924</v>
      </c>
      <c r="E3771" s="438" t="s">
        <v>1631</v>
      </c>
      <c r="F3771" s="438"/>
      <c r="G3771" s="440" t="s">
        <v>78</v>
      </c>
      <c r="H3771" s="441">
        <v>1.05</v>
      </c>
      <c r="I3771" s="441">
        <v>0</v>
      </c>
      <c r="J3771" s="449">
        <v>7.63</v>
      </c>
      <c r="K3771" s="449">
        <v>8.01</v>
      </c>
    </row>
    <row r="3772" customHeight="1" spans="1:11">
      <c r="A3772" s="434"/>
      <c r="B3772" s="434"/>
      <c r="C3772" s="434"/>
      <c r="D3772" s="434"/>
      <c r="E3772" s="434"/>
      <c r="F3772" s="434" t="s">
        <v>1735</v>
      </c>
      <c r="G3772" s="435">
        <v>0.11</v>
      </c>
      <c r="H3772" s="434" t="s">
        <v>1736</v>
      </c>
      <c r="I3772" s="435">
        <v>0.1</v>
      </c>
      <c r="J3772" s="434" t="s">
        <v>1737</v>
      </c>
      <c r="K3772" s="435">
        <v>0.21</v>
      </c>
    </row>
    <row r="3773" customHeight="1" spans="1:11">
      <c r="A3773" s="434"/>
      <c r="B3773" s="434"/>
      <c r="C3773" s="434"/>
      <c r="D3773" s="434"/>
      <c r="E3773" s="434"/>
      <c r="F3773" s="434" t="s">
        <v>1738</v>
      </c>
      <c r="G3773" s="435">
        <v>2.04</v>
      </c>
      <c r="H3773" s="434"/>
      <c r="I3773" s="434" t="s">
        <v>1739</v>
      </c>
      <c r="J3773" s="434"/>
      <c r="K3773" s="435">
        <v>10.34</v>
      </c>
    </row>
    <row r="3774" customHeight="1" spans="1:11">
      <c r="A3774" s="436"/>
      <c r="B3774" s="436"/>
      <c r="C3774" s="436"/>
      <c r="D3774" s="436"/>
      <c r="E3774" s="436"/>
      <c r="F3774" s="436"/>
      <c r="G3774" s="436"/>
      <c r="H3774" s="436" t="s">
        <v>1740</v>
      </c>
      <c r="I3774" s="447" t="s">
        <v>2975</v>
      </c>
      <c r="J3774" s="436" t="s">
        <v>1742</v>
      </c>
      <c r="K3774" s="448">
        <v>11012.1</v>
      </c>
    </row>
    <row r="3775" customHeight="1" spans="1:11">
      <c r="A3775" s="437"/>
      <c r="B3775" s="437"/>
      <c r="C3775" s="437"/>
      <c r="D3775" s="437"/>
      <c r="E3775" s="437"/>
      <c r="F3775" s="437"/>
      <c r="G3775" s="437"/>
      <c r="H3775" s="437"/>
      <c r="I3775" s="437"/>
      <c r="J3775" s="437"/>
      <c r="K3775" s="437"/>
    </row>
    <row r="3776" customHeight="1" spans="1:11">
      <c r="A3776" s="422" t="s">
        <v>1153</v>
      </c>
      <c r="B3776" s="422"/>
      <c r="C3776" s="422"/>
      <c r="D3776" s="422" t="s">
        <v>36</v>
      </c>
      <c r="E3776" s="422"/>
      <c r="F3776" s="422"/>
      <c r="G3776" s="422"/>
      <c r="H3776" s="422"/>
      <c r="I3776" s="443"/>
      <c r="J3776" s="422"/>
      <c r="K3776" s="444">
        <v>460513.61</v>
      </c>
    </row>
    <row r="3777" customHeight="1" spans="1:11">
      <c r="A3777" s="422" t="s">
        <v>1154</v>
      </c>
      <c r="B3777" s="422"/>
      <c r="C3777" s="422"/>
      <c r="D3777" s="422" t="s">
        <v>43</v>
      </c>
      <c r="E3777" s="422"/>
      <c r="F3777" s="422"/>
      <c r="G3777" s="422"/>
      <c r="H3777" s="422"/>
      <c r="I3777" s="443"/>
      <c r="J3777" s="422"/>
      <c r="K3777" s="444">
        <v>299802.12</v>
      </c>
    </row>
    <row r="3778" customHeight="1" spans="1:11">
      <c r="A3778" s="423" t="s">
        <v>1155</v>
      </c>
      <c r="B3778" s="424" t="s">
        <v>1714</v>
      </c>
      <c r="C3778" s="423" t="s">
        <v>1715</v>
      </c>
      <c r="D3778" s="423" t="s">
        <v>1716</v>
      </c>
      <c r="E3778" s="423" t="s">
        <v>1717</v>
      </c>
      <c r="F3778" s="423"/>
      <c r="G3778" s="425" t="s">
        <v>1718</v>
      </c>
      <c r="H3778" s="424" t="s">
        <v>1719</v>
      </c>
      <c r="I3778" s="424" t="s">
        <v>1720</v>
      </c>
      <c r="J3778" s="424" t="s">
        <v>1721</v>
      </c>
      <c r="K3778" s="424" t="s">
        <v>1722</v>
      </c>
    </row>
    <row r="3779" customHeight="1" spans="1:11">
      <c r="A3779" s="426" t="s">
        <v>1723</v>
      </c>
      <c r="B3779" s="427" t="s">
        <v>1156</v>
      </c>
      <c r="C3779" s="426" t="s">
        <v>76</v>
      </c>
      <c r="D3779" s="426" t="s">
        <v>1157</v>
      </c>
      <c r="E3779" s="426">
        <v>0</v>
      </c>
      <c r="F3779" s="426"/>
      <c r="G3779" s="428" t="s">
        <v>105</v>
      </c>
      <c r="H3779" s="429">
        <v>1</v>
      </c>
      <c r="I3779" s="445"/>
      <c r="J3779" s="445">
        <v>595.01</v>
      </c>
      <c r="K3779" s="445">
        <v>595.01</v>
      </c>
    </row>
    <row r="3780" customHeight="1" spans="1:11">
      <c r="A3780" s="438" t="s">
        <v>1750</v>
      </c>
      <c r="B3780" s="439" t="s">
        <v>2976</v>
      </c>
      <c r="C3780" s="438" t="s">
        <v>76</v>
      </c>
      <c r="D3780" s="438" t="s">
        <v>2977</v>
      </c>
      <c r="E3780" s="438" t="s">
        <v>1764</v>
      </c>
      <c r="F3780" s="438"/>
      <c r="G3780" s="440" t="s">
        <v>82</v>
      </c>
      <c r="H3780" s="441">
        <v>1.2</v>
      </c>
      <c r="I3780" s="441">
        <v>3</v>
      </c>
      <c r="J3780" s="449">
        <v>26.66</v>
      </c>
      <c r="K3780" s="449">
        <v>32.95</v>
      </c>
    </row>
    <row r="3781" customHeight="1" spans="1:11">
      <c r="A3781" s="438" t="s">
        <v>1750</v>
      </c>
      <c r="B3781" s="439" t="s">
        <v>2978</v>
      </c>
      <c r="C3781" s="438" t="s">
        <v>76</v>
      </c>
      <c r="D3781" s="438" t="s">
        <v>2979</v>
      </c>
      <c r="E3781" s="438" t="s">
        <v>1631</v>
      </c>
      <c r="F3781" s="438"/>
      <c r="G3781" s="440" t="s">
        <v>105</v>
      </c>
      <c r="H3781" s="441">
        <v>1</v>
      </c>
      <c r="I3781" s="441">
        <v>0</v>
      </c>
      <c r="J3781" s="449">
        <v>538.38</v>
      </c>
      <c r="K3781" s="449">
        <v>538.38</v>
      </c>
    </row>
    <row r="3782" customHeight="1" spans="1:11">
      <c r="A3782" s="438" t="s">
        <v>1750</v>
      </c>
      <c r="B3782" s="439" t="s">
        <v>1767</v>
      </c>
      <c r="C3782" s="438" t="s">
        <v>76</v>
      </c>
      <c r="D3782" s="438" t="s">
        <v>1768</v>
      </c>
      <c r="E3782" s="438" t="s">
        <v>1764</v>
      </c>
      <c r="F3782" s="438"/>
      <c r="G3782" s="440" t="s">
        <v>82</v>
      </c>
      <c r="H3782" s="441">
        <v>1.2</v>
      </c>
      <c r="I3782" s="441">
        <v>3</v>
      </c>
      <c r="J3782" s="449">
        <v>19.16</v>
      </c>
      <c r="K3782" s="449">
        <v>23.68</v>
      </c>
    </row>
    <row r="3783" customHeight="1" spans="1:11">
      <c r="A3783" s="434"/>
      <c r="B3783" s="434"/>
      <c r="C3783" s="434"/>
      <c r="D3783" s="434"/>
      <c r="E3783" s="434"/>
      <c r="F3783" s="434" t="s">
        <v>1735</v>
      </c>
      <c r="G3783" s="435">
        <v>29.67</v>
      </c>
      <c r="H3783" s="434" t="s">
        <v>1736</v>
      </c>
      <c r="I3783" s="435">
        <v>26.96</v>
      </c>
      <c r="J3783" s="434" t="s">
        <v>1737</v>
      </c>
      <c r="K3783" s="435">
        <v>56.63</v>
      </c>
    </row>
    <row r="3784" customHeight="1" spans="1:11">
      <c r="A3784" s="434"/>
      <c r="B3784" s="434"/>
      <c r="C3784" s="434"/>
      <c r="D3784" s="434"/>
      <c r="E3784" s="434"/>
      <c r="F3784" s="434" t="s">
        <v>1738</v>
      </c>
      <c r="G3784" s="435">
        <v>146.72</v>
      </c>
      <c r="H3784" s="434"/>
      <c r="I3784" s="434" t="s">
        <v>1739</v>
      </c>
      <c r="J3784" s="434"/>
      <c r="K3784" s="435">
        <v>741.73</v>
      </c>
    </row>
    <row r="3785" customHeight="1" spans="1:11">
      <c r="A3785" s="436"/>
      <c r="B3785" s="436"/>
      <c r="C3785" s="436"/>
      <c r="D3785" s="436"/>
      <c r="E3785" s="436"/>
      <c r="F3785" s="436"/>
      <c r="G3785" s="436"/>
      <c r="H3785" s="436" t="s">
        <v>1740</v>
      </c>
      <c r="I3785" s="447" t="s">
        <v>1741</v>
      </c>
      <c r="J3785" s="436" t="s">
        <v>1742</v>
      </c>
      <c r="K3785" s="448">
        <v>741.73</v>
      </c>
    </row>
    <row r="3786" customHeight="1" spans="1:11">
      <c r="A3786" s="437"/>
      <c r="B3786" s="437"/>
      <c r="C3786" s="437"/>
      <c r="D3786" s="437"/>
      <c r="E3786" s="437"/>
      <c r="F3786" s="437"/>
      <c r="G3786" s="437"/>
      <c r="H3786" s="437"/>
      <c r="I3786" s="437"/>
      <c r="J3786" s="437"/>
      <c r="K3786" s="437"/>
    </row>
    <row r="3787" customHeight="1" spans="1:11">
      <c r="A3787" s="423" t="s">
        <v>1158</v>
      </c>
      <c r="B3787" s="424" t="s">
        <v>1714</v>
      </c>
      <c r="C3787" s="423" t="s">
        <v>1715</v>
      </c>
      <c r="D3787" s="423" t="s">
        <v>1716</v>
      </c>
      <c r="E3787" s="423" t="s">
        <v>1717</v>
      </c>
      <c r="F3787" s="423"/>
      <c r="G3787" s="425" t="s">
        <v>1718</v>
      </c>
      <c r="H3787" s="424" t="s">
        <v>1719</v>
      </c>
      <c r="I3787" s="424" t="s">
        <v>1720</v>
      </c>
      <c r="J3787" s="424" t="s">
        <v>1721</v>
      </c>
      <c r="K3787" s="424" t="s">
        <v>1722</v>
      </c>
    </row>
    <row r="3788" customHeight="1" spans="1:11">
      <c r="A3788" s="426" t="s">
        <v>1723</v>
      </c>
      <c r="B3788" s="427" t="s">
        <v>1159</v>
      </c>
      <c r="C3788" s="426" t="s">
        <v>65</v>
      </c>
      <c r="D3788" s="426" t="s">
        <v>1160</v>
      </c>
      <c r="E3788" s="426" t="s">
        <v>62</v>
      </c>
      <c r="F3788" s="426"/>
      <c r="G3788" s="428" t="s">
        <v>67</v>
      </c>
      <c r="H3788" s="429">
        <v>1</v>
      </c>
      <c r="I3788" s="445"/>
      <c r="J3788" s="445">
        <v>61512.95</v>
      </c>
      <c r="K3788" s="445">
        <v>61512.95</v>
      </c>
    </row>
    <row r="3789" customHeight="1" spans="1:11">
      <c r="A3789" s="430" t="s">
        <v>1724</v>
      </c>
      <c r="B3789" s="431" t="s">
        <v>2387</v>
      </c>
      <c r="C3789" s="430" t="s">
        <v>71</v>
      </c>
      <c r="D3789" s="430" t="s">
        <v>2388</v>
      </c>
      <c r="E3789" s="430" t="s">
        <v>1708</v>
      </c>
      <c r="F3789" s="430"/>
      <c r="G3789" s="432" t="s">
        <v>82</v>
      </c>
      <c r="H3789" s="433">
        <v>8</v>
      </c>
      <c r="I3789" s="433">
        <v>0</v>
      </c>
      <c r="J3789" s="446">
        <v>36.82</v>
      </c>
      <c r="K3789" s="446">
        <v>294.56</v>
      </c>
    </row>
    <row r="3790" customHeight="1" spans="1:11">
      <c r="A3790" s="430" t="s">
        <v>1724</v>
      </c>
      <c r="B3790" s="431" t="s">
        <v>2903</v>
      </c>
      <c r="C3790" s="430" t="s">
        <v>71</v>
      </c>
      <c r="D3790" s="430" t="s">
        <v>2904</v>
      </c>
      <c r="E3790" s="430" t="s">
        <v>1708</v>
      </c>
      <c r="F3790" s="430"/>
      <c r="G3790" s="432" t="s">
        <v>82</v>
      </c>
      <c r="H3790" s="433">
        <v>8</v>
      </c>
      <c r="I3790" s="433">
        <v>0</v>
      </c>
      <c r="J3790" s="446">
        <v>40.65</v>
      </c>
      <c r="K3790" s="446">
        <v>325.2</v>
      </c>
    </row>
    <row r="3791" customHeight="1" spans="1:11">
      <c r="A3791" s="430" t="s">
        <v>1724</v>
      </c>
      <c r="B3791" s="431" t="s">
        <v>2385</v>
      </c>
      <c r="C3791" s="430" t="s">
        <v>71</v>
      </c>
      <c r="D3791" s="430" t="s">
        <v>2386</v>
      </c>
      <c r="E3791" s="430" t="s">
        <v>1708</v>
      </c>
      <c r="F3791" s="430"/>
      <c r="G3791" s="432" t="s">
        <v>82</v>
      </c>
      <c r="H3791" s="433">
        <v>8</v>
      </c>
      <c r="I3791" s="433">
        <v>0</v>
      </c>
      <c r="J3791" s="446">
        <v>30.6</v>
      </c>
      <c r="K3791" s="446">
        <v>244.8</v>
      </c>
    </row>
    <row r="3792" customHeight="1" spans="1:11">
      <c r="A3792" s="438" t="s">
        <v>1750</v>
      </c>
      <c r="B3792" s="439" t="s">
        <v>2980</v>
      </c>
      <c r="C3792" s="438" t="s">
        <v>65</v>
      </c>
      <c r="D3792" s="438" t="s">
        <v>2981</v>
      </c>
      <c r="E3792" s="438" t="s">
        <v>2907</v>
      </c>
      <c r="F3792" s="438"/>
      <c r="G3792" s="440" t="s">
        <v>67</v>
      </c>
      <c r="H3792" s="441">
        <v>1</v>
      </c>
      <c r="I3792" s="441">
        <v>0</v>
      </c>
      <c r="J3792" s="449">
        <v>60648.39</v>
      </c>
      <c r="K3792" s="449">
        <v>60648.39</v>
      </c>
    </row>
    <row r="3793" customHeight="1" spans="1:11">
      <c r="A3793" s="434"/>
      <c r="B3793" s="434"/>
      <c r="C3793" s="434"/>
      <c r="D3793" s="434"/>
      <c r="E3793" s="434"/>
      <c r="F3793" s="434" t="s">
        <v>1735</v>
      </c>
      <c r="G3793" s="435">
        <v>326.65</v>
      </c>
      <c r="H3793" s="434" t="s">
        <v>1736</v>
      </c>
      <c r="I3793" s="435">
        <v>296.71</v>
      </c>
      <c r="J3793" s="434" t="s">
        <v>1737</v>
      </c>
      <c r="K3793" s="435">
        <v>623.36</v>
      </c>
    </row>
    <row r="3794" customHeight="1" spans="1:11">
      <c r="A3794" s="434"/>
      <c r="B3794" s="434"/>
      <c r="C3794" s="434"/>
      <c r="D3794" s="434"/>
      <c r="E3794" s="434"/>
      <c r="F3794" s="434" t="s">
        <v>1738</v>
      </c>
      <c r="G3794" s="435">
        <v>15169.09</v>
      </c>
      <c r="H3794" s="434"/>
      <c r="I3794" s="434" t="s">
        <v>1739</v>
      </c>
      <c r="J3794" s="434"/>
      <c r="K3794" s="435">
        <v>76682.04</v>
      </c>
    </row>
    <row r="3795" customHeight="1" spans="1:11">
      <c r="A3795" s="436"/>
      <c r="B3795" s="436"/>
      <c r="C3795" s="436"/>
      <c r="D3795" s="436"/>
      <c r="E3795" s="436"/>
      <c r="F3795" s="436"/>
      <c r="G3795" s="436"/>
      <c r="H3795" s="436" t="s">
        <v>1740</v>
      </c>
      <c r="I3795" s="447" t="s">
        <v>1741</v>
      </c>
      <c r="J3795" s="436" t="s">
        <v>1742</v>
      </c>
      <c r="K3795" s="448">
        <v>76682.04</v>
      </c>
    </row>
    <row r="3796" customHeight="1" spans="1:11">
      <c r="A3796" s="437"/>
      <c r="B3796" s="437"/>
      <c r="C3796" s="437"/>
      <c r="D3796" s="437"/>
      <c r="E3796" s="437"/>
      <c r="F3796" s="437"/>
      <c r="G3796" s="437"/>
      <c r="H3796" s="437"/>
      <c r="I3796" s="437"/>
      <c r="J3796" s="437"/>
      <c r="K3796" s="437"/>
    </row>
    <row r="3797" customHeight="1" spans="1:11">
      <c r="A3797" s="423" t="s">
        <v>1161</v>
      </c>
      <c r="B3797" s="424" t="s">
        <v>1714</v>
      </c>
      <c r="C3797" s="423" t="s">
        <v>1715</v>
      </c>
      <c r="D3797" s="423" t="s">
        <v>1716</v>
      </c>
      <c r="E3797" s="423" t="s">
        <v>1717</v>
      </c>
      <c r="F3797" s="423"/>
      <c r="G3797" s="425" t="s">
        <v>1718</v>
      </c>
      <c r="H3797" s="424" t="s">
        <v>1719</v>
      </c>
      <c r="I3797" s="424" t="s">
        <v>1720</v>
      </c>
      <c r="J3797" s="424" t="s">
        <v>1721</v>
      </c>
      <c r="K3797" s="424" t="s">
        <v>1722</v>
      </c>
    </row>
    <row r="3798" customHeight="1" spans="1:11">
      <c r="A3798" s="426" t="s">
        <v>1723</v>
      </c>
      <c r="B3798" s="427" t="s">
        <v>1162</v>
      </c>
      <c r="C3798" s="426" t="s">
        <v>65</v>
      </c>
      <c r="D3798" s="426" t="s">
        <v>1163</v>
      </c>
      <c r="E3798" s="426" t="s">
        <v>62</v>
      </c>
      <c r="F3798" s="426"/>
      <c r="G3798" s="428" t="s">
        <v>67</v>
      </c>
      <c r="H3798" s="429">
        <v>1</v>
      </c>
      <c r="I3798" s="445"/>
      <c r="J3798" s="445">
        <v>53354.61</v>
      </c>
      <c r="K3798" s="445">
        <v>53354.61</v>
      </c>
    </row>
    <row r="3799" customHeight="1" spans="1:11">
      <c r="A3799" s="430" t="s">
        <v>1724</v>
      </c>
      <c r="B3799" s="431" t="s">
        <v>2903</v>
      </c>
      <c r="C3799" s="430" t="s">
        <v>71</v>
      </c>
      <c r="D3799" s="430" t="s">
        <v>2904</v>
      </c>
      <c r="E3799" s="430" t="s">
        <v>1708</v>
      </c>
      <c r="F3799" s="430"/>
      <c r="G3799" s="432" t="s">
        <v>82</v>
      </c>
      <c r="H3799" s="433">
        <v>8</v>
      </c>
      <c r="I3799" s="433">
        <v>0</v>
      </c>
      <c r="J3799" s="446">
        <v>40.65</v>
      </c>
      <c r="K3799" s="446">
        <v>325.2</v>
      </c>
    </row>
    <row r="3800" customHeight="1" spans="1:11">
      <c r="A3800" s="430" t="s">
        <v>1724</v>
      </c>
      <c r="B3800" s="431" t="s">
        <v>2387</v>
      </c>
      <c r="C3800" s="430" t="s">
        <v>71</v>
      </c>
      <c r="D3800" s="430" t="s">
        <v>2388</v>
      </c>
      <c r="E3800" s="430" t="s">
        <v>1708</v>
      </c>
      <c r="F3800" s="430"/>
      <c r="G3800" s="432" t="s">
        <v>82</v>
      </c>
      <c r="H3800" s="433">
        <v>8</v>
      </c>
      <c r="I3800" s="433">
        <v>0</v>
      </c>
      <c r="J3800" s="446">
        <v>36.82</v>
      </c>
      <c r="K3800" s="446">
        <v>294.56</v>
      </c>
    </row>
    <row r="3801" customHeight="1" spans="1:11">
      <c r="A3801" s="430" t="s">
        <v>1724</v>
      </c>
      <c r="B3801" s="431" t="s">
        <v>2385</v>
      </c>
      <c r="C3801" s="430" t="s">
        <v>71</v>
      </c>
      <c r="D3801" s="430" t="s">
        <v>2386</v>
      </c>
      <c r="E3801" s="430" t="s">
        <v>1708</v>
      </c>
      <c r="F3801" s="430"/>
      <c r="G3801" s="432" t="s">
        <v>82</v>
      </c>
      <c r="H3801" s="433">
        <v>8</v>
      </c>
      <c r="I3801" s="433">
        <v>0</v>
      </c>
      <c r="J3801" s="446">
        <v>30.6</v>
      </c>
      <c r="K3801" s="446">
        <v>244.8</v>
      </c>
    </row>
    <row r="3802" customHeight="1" spans="1:11">
      <c r="A3802" s="438" t="s">
        <v>1750</v>
      </c>
      <c r="B3802" s="439" t="s">
        <v>2982</v>
      </c>
      <c r="C3802" s="438" t="s">
        <v>65</v>
      </c>
      <c r="D3802" s="438" t="s">
        <v>2983</v>
      </c>
      <c r="E3802" s="438" t="s">
        <v>2907</v>
      </c>
      <c r="F3802" s="438"/>
      <c r="G3802" s="440" t="s">
        <v>67</v>
      </c>
      <c r="H3802" s="441">
        <v>1</v>
      </c>
      <c r="I3802" s="441">
        <v>0</v>
      </c>
      <c r="J3802" s="449">
        <v>52490.05</v>
      </c>
      <c r="K3802" s="449">
        <v>52490.05</v>
      </c>
    </row>
    <row r="3803" customHeight="1" spans="1:11">
      <c r="A3803" s="434"/>
      <c r="B3803" s="434"/>
      <c r="C3803" s="434"/>
      <c r="D3803" s="434"/>
      <c r="E3803" s="434"/>
      <c r="F3803" s="434" t="s">
        <v>1735</v>
      </c>
      <c r="G3803" s="435">
        <v>326.65</v>
      </c>
      <c r="H3803" s="434" t="s">
        <v>1736</v>
      </c>
      <c r="I3803" s="435">
        <v>296.71</v>
      </c>
      <c r="J3803" s="434" t="s">
        <v>1737</v>
      </c>
      <c r="K3803" s="435">
        <v>623.36</v>
      </c>
    </row>
    <row r="3804" customHeight="1" spans="1:11">
      <c r="A3804" s="434"/>
      <c r="B3804" s="434"/>
      <c r="C3804" s="434"/>
      <c r="D3804" s="434"/>
      <c r="E3804" s="434"/>
      <c r="F3804" s="434" t="s">
        <v>1738</v>
      </c>
      <c r="G3804" s="435">
        <v>13157.24</v>
      </c>
      <c r="H3804" s="434"/>
      <c r="I3804" s="434" t="s">
        <v>1739</v>
      </c>
      <c r="J3804" s="434"/>
      <c r="K3804" s="435">
        <v>66511.85</v>
      </c>
    </row>
    <row r="3805" customHeight="1" spans="1:11">
      <c r="A3805" s="436"/>
      <c r="B3805" s="436"/>
      <c r="C3805" s="436"/>
      <c r="D3805" s="436"/>
      <c r="E3805" s="436"/>
      <c r="F3805" s="436"/>
      <c r="G3805" s="436"/>
      <c r="H3805" s="436" t="s">
        <v>1740</v>
      </c>
      <c r="I3805" s="447" t="s">
        <v>1741</v>
      </c>
      <c r="J3805" s="436" t="s">
        <v>1742</v>
      </c>
      <c r="K3805" s="448">
        <v>66511.85</v>
      </c>
    </row>
    <row r="3806" customHeight="1" spans="1:11">
      <c r="A3806" s="437"/>
      <c r="B3806" s="437"/>
      <c r="C3806" s="437"/>
      <c r="D3806" s="437"/>
      <c r="E3806" s="437"/>
      <c r="F3806" s="437"/>
      <c r="G3806" s="437"/>
      <c r="H3806" s="437"/>
      <c r="I3806" s="437"/>
      <c r="J3806" s="437"/>
      <c r="K3806" s="437"/>
    </row>
    <row r="3807" customHeight="1" spans="1:11">
      <c r="A3807" s="423" t="s">
        <v>1164</v>
      </c>
      <c r="B3807" s="424" t="s">
        <v>1714</v>
      </c>
      <c r="C3807" s="423" t="s">
        <v>1715</v>
      </c>
      <c r="D3807" s="423" t="s">
        <v>1716</v>
      </c>
      <c r="E3807" s="423" t="s">
        <v>1717</v>
      </c>
      <c r="F3807" s="423"/>
      <c r="G3807" s="425" t="s">
        <v>1718</v>
      </c>
      <c r="H3807" s="424" t="s">
        <v>1719</v>
      </c>
      <c r="I3807" s="424" t="s">
        <v>1720</v>
      </c>
      <c r="J3807" s="424" t="s">
        <v>1721</v>
      </c>
      <c r="K3807" s="424" t="s">
        <v>1722</v>
      </c>
    </row>
    <row r="3808" customHeight="1" spans="1:11">
      <c r="A3808" s="426" t="s">
        <v>1723</v>
      </c>
      <c r="B3808" s="427" t="s">
        <v>1165</v>
      </c>
      <c r="C3808" s="426" t="s">
        <v>65</v>
      </c>
      <c r="D3808" s="426" t="s">
        <v>1166</v>
      </c>
      <c r="E3808" s="426" t="s">
        <v>62</v>
      </c>
      <c r="F3808" s="426"/>
      <c r="G3808" s="428" t="s">
        <v>67</v>
      </c>
      <c r="H3808" s="429">
        <v>1</v>
      </c>
      <c r="I3808" s="445"/>
      <c r="J3808" s="445">
        <v>5350.26</v>
      </c>
      <c r="K3808" s="445">
        <v>5350.26</v>
      </c>
    </row>
    <row r="3809" customHeight="1" spans="1:11">
      <c r="A3809" s="430" t="s">
        <v>1724</v>
      </c>
      <c r="B3809" s="431" t="s">
        <v>2385</v>
      </c>
      <c r="C3809" s="430" t="s">
        <v>71</v>
      </c>
      <c r="D3809" s="430" t="s">
        <v>2386</v>
      </c>
      <c r="E3809" s="430" t="s">
        <v>1708</v>
      </c>
      <c r="F3809" s="430"/>
      <c r="G3809" s="432" t="s">
        <v>82</v>
      </c>
      <c r="H3809" s="433">
        <v>8</v>
      </c>
      <c r="I3809" s="433">
        <v>0</v>
      </c>
      <c r="J3809" s="446">
        <v>30.6</v>
      </c>
      <c r="K3809" s="446">
        <v>244.8</v>
      </c>
    </row>
    <row r="3810" customHeight="1" spans="1:11">
      <c r="A3810" s="430" t="s">
        <v>1724</v>
      </c>
      <c r="B3810" s="431" t="s">
        <v>2903</v>
      </c>
      <c r="C3810" s="430" t="s">
        <v>71</v>
      </c>
      <c r="D3810" s="430" t="s">
        <v>2904</v>
      </c>
      <c r="E3810" s="430" t="s">
        <v>1708</v>
      </c>
      <c r="F3810" s="430"/>
      <c r="G3810" s="432" t="s">
        <v>82</v>
      </c>
      <c r="H3810" s="433">
        <v>8</v>
      </c>
      <c r="I3810" s="433">
        <v>0</v>
      </c>
      <c r="J3810" s="446">
        <v>40.65</v>
      </c>
      <c r="K3810" s="446">
        <v>325.2</v>
      </c>
    </row>
    <row r="3811" customHeight="1" spans="1:11">
      <c r="A3811" s="430" t="s">
        <v>1724</v>
      </c>
      <c r="B3811" s="431" t="s">
        <v>2387</v>
      </c>
      <c r="C3811" s="430" t="s">
        <v>71</v>
      </c>
      <c r="D3811" s="430" t="s">
        <v>2388</v>
      </c>
      <c r="E3811" s="430" t="s">
        <v>1708</v>
      </c>
      <c r="F3811" s="430"/>
      <c r="G3811" s="432" t="s">
        <v>82</v>
      </c>
      <c r="H3811" s="433">
        <v>8</v>
      </c>
      <c r="I3811" s="433">
        <v>0</v>
      </c>
      <c r="J3811" s="446">
        <v>36.82</v>
      </c>
      <c r="K3811" s="446">
        <v>294.56</v>
      </c>
    </row>
    <row r="3812" customHeight="1" spans="1:11">
      <c r="A3812" s="438" t="s">
        <v>1750</v>
      </c>
      <c r="B3812" s="439" t="s">
        <v>2984</v>
      </c>
      <c r="C3812" s="438" t="s">
        <v>65</v>
      </c>
      <c r="D3812" s="438" t="s">
        <v>2985</v>
      </c>
      <c r="E3812" s="438" t="s">
        <v>2907</v>
      </c>
      <c r="F3812" s="438"/>
      <c r="G3812" s="440" t="s">
        <v>67</v>
      </c>
      <c r="H3812" s="441">
        <v>1</v>
      </c>
      <c r="I3812" s="441">
        <v>0</v>
      </c>
      <c r="J3812" s="449">
        <v>4485.7</v>
      </c>
      <c r="K3812" s="449">
        <v>4485.7</v>
      </c>
    </row>
    <row r="3813" customHeight="1" spans="1:11">
      <c r="A3813" s="434"/>
      <c r="B3813" s="434"/>
      <c r="C3813" s="434"/>
      <c r="D3813" s="434"/>
      <c r="E3813" s="434"/>
      <c r="F3813" s="434" t="s">
        <v>1735</v>
      </c>
      <c r="G3813" s="435">
        <v>326.65</v>
      </c>
      <c r="H3813" s="434" t="s">
        <v>1736</v>
      </c>
      <c r="I3813" s="435">
        <v>296.71</v>
      </c>
      <c r="J3813" s="434" t="s">
        <v>1737</v>
      </c>
      <c r="K3813" s="435">
        <v>623.36</v>
      </c>
    </row>
    <row r="3814" customHeight="1" spans="1:11">
      <c r="A3814" s="434"/>
      <c r="B3814" s="434"/>
      <c r="C3814" s="434"/>
      <c r="D3814" s="434"/>
      <c r="E3814" s="434"/>
      <c r="F3814" s="434" t="s">
        <v>1738</v>
      </c>
      <c r="G3814" s="435">
        <v>1319.37</v>
      </c>
      <c r="H3814" s="434"/>
      <c r="I3814" s="434" t="s">
        <v>1739</v>
      </c>
      <c r="J3814" s="434"/>
      <c r="K3814" s="435">
        <v>6669.63</v>
      </c>
    </row>
    <row r="3815" customHeight="1" spans="1:11">
      <c r="A3815" s="436"/>
      <c r="B3815" s="436"/>
      <c r="C3815" s="436"/>
      <c r="D3815" s="436"/>
      <c r="E3815" s="436"/>
      <c r="F3815" s="436"/>
      <c r="G3815" s="436"/>
      <c r="H3815" s="436" t="s">
        <v>1740</v>
      </c>
      <c r="I3815" s="447" t="s">
        <v>1964</v>
      </c>
      <c r="J3815" s="436" t="s">
        <v>1742</v>
      </c>
      <c r="K3815" s="448">
        <v>66696.3</v>
      </c>
    </row>
    <row r="3816" customHeight="1" spans="1:11">
      <c r="A3816" s="437"/>
      <c r="B3816" s="437"/>
      <c r="C3816" s="437"/>
      <c r="D3816" s="437"/>
      <c r="E3816" s="437"/>
      <c r="F3816" s="437"/>
      <c r="G3816" s="437"/>
      <c r="H3816" s="437"/>
      <c r="I3816" s="437"/>
      <c r="J3816" s="437"/>
      <c r="K3816" s="437"/>
    </row>
    <row r="3817" customHeight="1" spans="1:11">
      <c r="A3817" s="423" t="s">
        <v>1167</v>
      </c>
      <c r="B3817" s="424" t="s">
        <v>1714</v>
      </c>
      <c r="C3817" s="423" t="s">
        <v>1715</v>
      </c>
      <c r="D3817" s="423" t="s">
        <v>1716</v>
      </c>
      <c r="E3817" s="423" t="s">
        <v>1717</v>
      </c>
      <c r="F3817" s="423"/>
      <c r="G3817" s="425" t="s">
        <v>1718</v>
      </c>
      <c r="H3817" s="424" t="s">
        <v>1719</v>
      </c>
      <c r="I3817" s="424" t="s">
        <v>1720</v>
      </c>
      <c r="J3817" s="424" t="s">
        <v>1721</v>
      </c>
      <c r="K3817" s="424" t="s">
        <v>1722</v>
      </c>
    </row>
    <row r="3818" customHeight="1" spans="1:11">
      <c r="A3818" s="426" t="s">
        <v>1723</v>
      </c>
      <c r="B3818" s="427" t="s">
        <v>1168</v>
      </c>
      <c r="C3818" s="426" t="s">
        <v>65</v>
      </c>
      <c r="D3818" s="426" t="s">
        <v>1169</v>
      </c>
      <c r="E3818" s="426" t="s">
        <v>62</v>
      </c>
      <c r="F3818" s="426"/>
      <c r="G3818" s="428" t="s">
        <v>67</v>
      </c>
      <c r="H3818" s="429">
        <v>1</v>
      </c>
      <c r="I3818" s="445"/>
      <c r="J3818" s="445">
        <v>5960.9</v>
      </c>
      <c r="K3818" s="445">
        <v>5960.9</v>
      </c>
    </row>
    <row r="3819" customHeight="1" spans="1:11">
      <c r="A3819" s="430" t="s">
        <v>1724</v>
      </c>
      <c r="B3819" s="431" t="s">
        <v>2385</v>
      </c>
      <c r="C3819" s="430" t="s">
        <v>71</v>
      </c>
      <c r="D3819" s="430" t="s">
        <v>2386</v>
      </c>
      <c r="E3819" s="430" t="s">
        <v>1708</v>
      </c>
      <c r="F3819" s="430"/>
      <c r="G3819" s="432" t="s">
        <v>82</v>
      </c>
      <c r="H3819" s="433">
        <v>8</v>
      </c>
      <c r="I3819" s="433">
        <v>0</v>
      </c>
      <c r="J3819" s="446">
        <v>30.6</v>
      </c>
      <c r="K3819" s="446">
        <v>244.8</v>
      </c>
    </row>
    <row r="3820" customHeight="1" spans="1:11">
      <c r="A3820" s="430" t="s">
        <v>1724</v>
      </c>
      <c r="B3820" s="431" t="s">
        <v>2387</v>
      </c>
      <c r="C3820" s="430" t="s">
        <v>71</v>
      </c>
      <c r="D3820" s="430" t="s">
        <v>2388</v>
      </c>
      <c r="E3820" s="430" t="s">
        <v>1708</v>
      </c>
      <c r="F3820" s="430"/>
      <c r="G3820" s="432" t="s">
        <v>82</v>
      </c>
      <c r="H3820" s="433">
        <v>8</v>
      </c>
      <c r="I3820" s="433">
        <v>0</v>
      </c>
      <c r="J3820" s="446">
        <v>36.82</v>
      </c>
      <c r="K3820" s="446">
        <v>294.56</v>
      </c>
    </row>
    <row r="3821" customHeight="1" spans="1:11">
      <c r="A3821" s="430" t="s">
        <v>1724</v>
      </c>
      <c r="B3821" s="431" t="s">
        <v>2903</v>
      </c>
      <c r="C3821" s="430" t="s">
        <v>71</v>
      </c>
      <c r="D3821" s="430" t="s">
        <v>2904</v>
      </c>
      <c r="E3821" s="430" t="s">
        <v>1708</v>
      </c>
      <c r="F3821" s="430"/>
      <c r="G3821" s="432" t="s">
        <v>82</v>
      </c>
      <c r="H3821" s="433">
        <v>8</v>
      </c>
      <c r="I3821" s="433">
        <v>0</v>
      </c>
      <c r="J3821" s="446">
        <v>40.65</v>
      </c>
      <c r="K3821" s="446">
        <v>325.2</v>
      </c>
    </row>
    <row r="3822" customHeight="1" spans="1:11">
      <c r="A3822" s="438" t="s">
        <v>1750</v>
      </c>
      <c r="B3822" s="439" t="s">
        <v>2986</v>
      </c>
      <c r="C3822" s="438" t="s">
        <v>65</v>
      </c>
      <c r="D3822" s="438" t="s">
        <v>2987</v>
      </c>
      <c r="E3822" s="438" t="s">
        <v>2907</v>
      </c>
      <c r="F3822" s="438"/>
      <c r="G3822" s="440" t="s">
        <v>67</v>
      </c>
      <c r="H3822" s="441">
        <v>1</v>
      </c>
      <c r="I3822" s="441">
        <v>0</v>
      </c>
      <c r="J3822" s="449">
        <v>5096.34</v>
      </c>
      <c r="K3822" s="449">
        <v>5096.34</v>
      </c>
    </row>
    <row r="3823" customHeight="1" spans="1:11">
      <c r="A3823" s="434"/>
      <c r="B3823" s="434"/>
      <c r="C3823" s="434"/>
      <c r="D3823" s="434"/>
      <c r="E3823" s="434"/>
      <c r="F3823" s="434" t="s">
        <v>1735</v>
      </c>
      <c r="G3823" s="435">
        <v>326.65</v>
      </c>
      <c r="H3823" s="434" t="s">
        <v>1736</v>
      </c>
      <c r="I3823" s="435">
        <v>296.71</v>
      </c>
      <c r="J3823" s="434" t="s">
        <v>1737</v>
      </c>
      <c r="K3823" s="435">
        <v>623.36</v>
      </c>
    </row>
    <row r="3824" customHeight="1" spans="1:11">
      <c r="A3824" s="434"/>
      <c r="B3824" s="434"/>
      <c r="C3824" s="434"/>
      <c r="D3824" s="434"/>
      <c r="E3824" s="434"/>
      <c r="F3824" s="434" t="s">
        <v>1738</v>
      </c>
      <c r="G3824" s="435">
        <v>1469.95</v>
      </c>
      <c r="H3824" s="434"/>
      <c r="I3824" s="434" t="s">
        <v>1739</v>
      </c>
      <c r="J3824" s="434"/>
      <c r="K3824" s="435">
        <v>7430.85</v>
      </c>
    </row>
    <row r="3825" customHeight="1" spans="1:11">
      <c r="A3825" s="436"/>
      <c r="B3825" s="436"/>
      <c r="C3825" s="436"/>
      <c r="D3825" s="436"/>
      <c r="E3825" s="436"/>
      <c r="F3825" s="436"/>
      <c r="G3825" s="436"/>
      <c r="H3825" s="436" t="s">
        <v>1740</v>
      </c>
      <c r="I3825" s="447" t="s">
        <v>2020</v>
      </c>
      <c r="J3825" s="436" t="s">
        <v>1742</v>
      </c>
      <c r="K3825" s="448">
        <v>89170.2</v>
      </c>
    </row>
    <row r="3826" customHeight="1" spans="1:11">
      <c r="A3826" s="437"/>
      <c r="B3826" s="437"/>
      <c r="C3826" s="437"/>
      <c r="D3826" s="437"/>
      <c r="E3826" s="437"/>
      <c r="F3826" s="437"/>
      <c r="G3826" s="437"/>
      <c r="H3826" s="437"/>
      <c r="I3826" s="437"/>
      <c r="J3826" s="437"/>
      <c r="K3826" s="437"/>
    </row>
    <row r="3827" customHeight="1" spans="1:11">
      <c r="A3827" s="422" t="s">
        <v>1170</v>
      </c>
      <c r="B3827" s="422"/>
      <c r="C3827" s="422"/>
      <c r="D3827" s="422" t="s">
        <v>1171</v>
      </c>
      <c r="E3827" s="422"/>
      <c r="F3827" s="422"/>
      <c r="G3827" s="422"/>
      <c r="H3827" s="422"/>
      <c r="I3827" s="443"/>
      <c r="J3827" s="422"/>
      <c r="K3827" s="444">
        <v>5441.06</v>
      </c>
    </row>
    <row r="3828" customHeight="1" spans="1:11">
      <c r="A3828" s="423" t="s">
        <v>1172</v>
      </c>
      <c r="B3828" s="424" t="s">
        <v>1714</v>
      </c>
      <c r="C3828" s="423" t="s">
        <v>1715</v>
      </c>
      <c r="D3828" s="423" t="s">
        <v>1716</v>
      </c>
      <c r="E3828" s="423" t="s">
        <v>1717</v>
      </c>
      <c r="F3828" s="423"/>
      <c r="G3828" s="425" t="s">
        <v>1718</v>
      </c>
      <c r="H3828" s="424" t="s">
        <v>1719</v>
      </c>
      <c r="I3828" s="424" t="s">
        <v>1720</v>
      </c>
      <c r="J3828" s="424" t="s">
        <v>1721</v>
      </c>
      <c r="K3828" s="424" t="s">
        <v>1722</v>
      </c>
    </row>
    <row r="3829" customHeight="1" spans="1:11">
      <c r="A3829" s="426" t="s">
        <v>1723</v>
      </c>
      <c r="B3829" s="427" t="s">
        <v>1173</v>
      </c>
      <c r="C3829" s="426" t="s">
        <v>65</v>
      </c>
      <c r="D3829" s="426" t="s">
        <v>1174</v>
      </c>
      <c r="E3829" s="426" t="s">
        <v>62</v>
      </c>
      <c r="F3829" s="426"/>
      <c r="G3829" s="428" t="s">
        <v>67</v>
      </c>
      <c r="H3829" s="429">
        <v>1</v>
      </c>
      <c r="I3829" s="445"/>
      <c r="J3829" s="445">
        <v>271.72</v>
      </c>
      <c r="K3829" s="445">
        <v>271.72</v>
      </c>
    </row>
    <row r="3830" customHeight="1" spans="1:11">
      <c r="A3830" s="430" t="s">
        <v>1724</v>
      </c>
      <c r="B3830" s="431" t="s">
        <v>2988</v>
      </c>
      <c r="C3830" s="430" t="s">
        <v>71</v>
      </c>
      <c r="D3830" s="430" t="s">
        <v>2989</v>
      </c>
      <c r="E3830" s="430" t="s">
        <v>1708</v>
      </c>
      <c r="F3830" s="430"/>
      <c r="G3830" s="432" t="s">
        <v>82</v>
      </c>
      <c r="H3830" s="433">
        <v>1.3082</v>
      </c>
      <c r="I3830" s="433">
        <v>0</v>
      </c>
      <c r="J3830" s="446">
        <v>33.34</v>
      </c>
      <c r="K3830" s="446">
        <v>43.61</v>
      </c>
    </row>
    <row r="3831" customHeight="1" spans="1:11">
      <c r="A3831" s="430" t="s">
        <v>1724</v>
      </c>
      <c r="B3831" s="431" t="s">
        <v>2247</v>
      </c>
      <c r="C3831" s="430" t="s">
        <v>71</v>
      </c>
      <c r="D3831" s="430" t="s">
        <v>2248</v>
      </c>
      <c r="E3831" s="430" t="s">
        <v>1708</v>
      </c>
      <c r="F3831" s="430"/>
      <c r="G3831" s="432" t="s">
        <v>82</v>
      </c>
      <c r="H3831" s="433">
        <v>1.3082</v>
      </c>
      <c r="I3831" s="433">
        <v>0</v>
      </c>
      <c r="J3831" s="446">
        <v>30.31</v>
      </c>
      <c r="K3831" s="446">
        <v>39.65</v>
      </c>
    </row>
    <row r="3832" customHeight="1" spans="1:11">
      <c r="A3832" s="438" t="s">
        <v>1750</v>
      </c>
      <c r="B3832" s="439" t="s">
        <v>2990</v>
      </c>
      <c r="C3832" s="438" t="s">
        <v>71</v>
      </c>
      <c r="D3832" s="438" t="s">
        <v>2991</v>
      </c>
      <c r="E3832" s="438" t="s">
        <v>1631</v>
      </c>
      <c r="F3832" s="438"/>
      <c r="G3832" s="440" t="s">
        <v>2134</v>
      </c>
      <c r="H3832" s="441">
        <v>0.04</v>
      </c>
      <c r="I3832" s="441">
        <v>0</v>
      </c>
      <c r="J3832" s="449">
        <v>36.61</v>
      </c>
      <c r="K3832" s="449">
        <v>1.46</v>
      </c>
    </row>
    <row r="3833" customHeight="1" spans="1:11">
      <c r="A3833" s="438" t="s">
        <v>1750</v>
      </c>
      <c r="B3833" s="439" t="s">
        <v>2992</v>
      </c>
      <c r="C3833" s="438" t="s">
        <v>99</v>
      </c>
      <c r="D3833" s="438" t="s">
        <v>2993</v>
      </c>
      <c r="E3833" s="438" t="s">
        <v>1631</v>
      </c>
      <c r="F3833" s="438"/>
      <c r="G3833" s="440" t="s">
        <v>105</v>
      </c>
      <c r="H3833" s="441">
        <v>1</v>
      </c>
      <c r="I3833" s="441">
        <v>0</v>
      </c>
      <c r="J3833" s="449">
        <v>187</v>
      </c>
      <c r="K3833" s="449">
        <v>187</v>
      </c>
    </row>
    <row r="3834" customHeight="1" spans="1:11">
      <c r="A3834" s="434"/>
      <c r="B3834" s="434"/>
      <c r="C3834" s="434"/>
      <c r="D3834" s="434"/>
      <c r="E3834" s="434"/>
      <c r="F3834" s="434" t="s">
        <v>1735</v>
      </c>
      <c r="G3834" s="435">
        <v>29.93</v>
      </c>
      <c r="H3834" s="434" t="s">
        <v>1736</v>
      </c>
      <c r="I3834" s="435">
        <v>27.19</v>
      </c>
      <c r="J3834" s="434" t="s">
        <v>1737</v>
      </c>
      <c r="K3834" s="435">
        <v>57.12</v>
      </c>
    </row>
    <row r="3835" customHeight="1" spans="1:11">
      <c r="A3835" s="434"/>
      <c r="B3835" s="434"/>
      <c r="C3835" s="434"/>
      <c r="D3835" s="434"/>
      <c r="E3835" s="434"/>
      <c r="F3835" s="434" t="s">
        <v>1738</v>
      </c>
      <c r="G3835" s="435">
        <v>67</v>
      </c>
      <c r="H3835" s="434"/>
      <c r="I3835" s="434" t="s">
        <v>1739</v>
      </c>
      <c r="J3835" s="434"/>
      <c r="K3835" s="435">
        <v>338.72</v>
      </c>
    </row>
    <row r="3836" customHeight="1" spans="1:11">
      <c r="A3836" s="436"/>
      <c r="B3836" s="436"/>
      <c r="C3836" s="436"/>
      <c r="D3836" s="436"/>
      <c r="E3836" s="436"/>
      <c r="F3836" s="436"/>
      <c r="G3836" s="436"/>
      <c r="H3836" s="436" t="s">
        <v>1740</v>
      </c>
      <c r="I3836" s="447" t="s">
        <v>1971</v>
      </c>
      <c r="J3836" s="436" t="s">
        <v>1742</v>
      </c>
      <c r="K3836" s="448">
        <v>677.44</v>
      </c>
    </row>
    <row r="3837" customHeight="1" spans="1:11">
      <c r="A3837" s="437"/>
      <c r="B3837" s="437"/>
      <c r="C3837" s="437"/>
      <c r="D3837" s="437"/>
      <c r="E3837" s="437"/>
      <c r="F3837" s="437"/>
      <c r="G3837" s="437"/>
      <c r="H3837" s="437"/>
      <c r="I3837" s="437"/>
      <c r="J3837" s="437"/>
      <c r="K3837" s="437"/>
    </row>
    <row r="3838" customHeight="1" spans="1:11">
      <c r="A3838" s="423" t="s">
        <v>1175</v>
      </c>
      <c r="B3838" s="424" t="s">
        <v>1714</v>
      </c>
      <c r="C3838" s="423" t="s">
        <v>1715</v>
      </c>
      <c r="D3838" s="423" t="s">
        <v>1716</v>
      </c>
      <c r="E3838" s="423" t="s">
        <v>1717</v>
      </c>
      <c r="F3838" s="423"/>
      <c r="G3838" s="425" t="s">
        <v>1718</v>
      </c>
      <c r="H3838" s="424" t="s">
        <v>1719</v>
      </c>
      <c r="I3838" s="424" t="s">
        <v>1720</v>
      </c>
      <c r="J3838" s="424" t="s">
        <v>1721</v>
      </c>
      <c r="K3838" s="424" t="s">
        <v>1722</v>
      </c>
    </row>
    <row r="3839" customHeight="1" spans="1:11">
      <c r="A3839" s="426" t="s">
        <v>1723</v>
      </c>
      <c r="B3839" s="427" t="s">
        <v>1176</v>
      </c>
      <c r="C3839" s="426" t="s">
        <v>65</v>
      </c>
      <c r="D3839" s="426" t="s">
        <v>1177</v>
      </c>
      <c r="E3839" s="426" t="s">
        <v>62</v>
      </c>
      <c r="F3839" s="426"/>
      <c r="G3839" s="428" t="s">
        <v>67</v>
      </c>
      <c r="H3839" s="429">
        <v>1</v>
      </c>
      <c r="I3839" s="445"/>
      <c r="J3839" s="445">
        <v>309.22</v>
      </c>
      <c r="K3839" s="445">
        <v>309.22</v>
      </c>
    </row>
    <row r="3840" customHeight="1" spans="1:11">
      <c r="A3840" s="430" t="s">
        <v>1724</v>
      </c>
      <c r="B3840" s="431" t="s">
        <v>2247</v>
      </c>
      <c r="C3840" s="430" t="s">
        <v>71</v>
      </c>
      <c r="D3840" s="430" t="s">
        <v>2248</v>
      </c>
      <c r="E3840" s="430" t="s">
        <v>1708</v>
      </c>
      <c r="F3840" s="430"/>
      <c r="G3840" s="432" t="s">
        <v>82</v>
      </c>
      <c r="H3840" s="433">
        <v>1.3082</v>
      </c>
      <c r="I3840" s="433">
        <v>0</v>
      </c>
      <c r="J3840" s="446">
        <v>30.31</v>
      </c>
      <c r="K3840" s="446">
        <v>39.65</v>
      </c>
    </row>
    <row r="3841" customHeight="1" spans="1:11">
      <c r="A3841" s="430" t="s">
        <v>1724</v>
      </c>
      <c r="B3841" s="431" t="s">
        <v>2988</v>
      </c>
      <c r="C3841" s="430" t="s">
        <v>71</v>
      </c>
      <c r="D3841" s="430" t="s">
        <v>2989</v>
      </c>
      <c r="E3841" s="430" t="s">
        <v>1708</v>
      </c>
      <c r="F3841" s="430"/>
      <c r="G3841" s="432" t="s">
        <v>82</v>
      </c>
      <c r="H3841" s="433">
        <v>1.3082</v>
      </c>
      <c r="I3841" s="433">
        <v>0</v>
      </c>
      <c r="J3841" s="446">
        <v>33.34</v>
      </c>
      <c r="K3841" s="446">
        <v>43.61</v>
      </c>
    </row>
    <row r="3842" customHeight="1" spans="1:11">
      <c r="A3842" s="438" t="s">
        <v>1750</v>
      </c>
      <c r="B3842" s="439" t="s">
        <v>2994</v>
      </c>
      <c r="C3842" s="438" t="s">
        <v>99</v>
      </c>
      <c r="D3842" s="438" t="s">
        <v>2995</v>
      </c>
      <c r="E3842" s="438" t="s">
        <v>1631</v>
      </c>
      <c r="F3842" s="438"/>
      <c r="G3842" s="440" t="s">
        <v>105</v>
      </c>
      <c r="H3842" s="441">
        <v>1</v>
      </c>
      <c r="I3842" s="441">
        <v>0</v>
      </c>
      <c r="J3842" s="449">
        <v>224.5</v>
      </c>
      <c r="K3842" s="449">
        <v>224.5</v>
      </c>
    </row>
    <row r="3843" customHeight="1" spans="1:11">
      <c r="A3843" s="438" t="s">
        <v>1750</v>
      </c>
      <c r="B3843" s="439" t="s">
        <v>2990</v>
      </c>
      <c r="C3843" s="438" t="s">
        <v>71</v>
      </c>
      <c r="D3843" s="438" t="s">
        <v>2991</v>
      </c>
      <c r="E3843" s="438" t="s">
        <v>1631</v>
      </c>
      <c r="F3843" s="438"/>
      <c r="G3843" s="440" t="s">
        <v>2134</v>
      </c>
      <c r="H3843" s="441">
        <v>0.04</v>
      </c>
      <c r="I3843" s="441">
        <v>0</v>
      </c>
      <c r="J3843" s="449">
        <v>36.61</v>
      </c>
      <c r="K3843" s="449">
        <v>1.46</v>
      </c>
    </row>
    <row r="3844" customHeight="1" spans="1:11">
      <c r="A3844" s="434"/>
      <c r="B3844" s="434"/>
      <c r="C3844" s="434"/>
      <c r="D3844" s="434"/>
      <c r="E3844" s="434"/>
      <c r="F3844" s="434" t="s">
        <v>1735</v>
      </c>
      <c r="G3844" s="435">
        <v>29.93</v>
      </c>
      <c r="H3844" s="434" t="s">
        <v>1736</v>
      </c>
      <c r="I3844" s="435">
        <v>27.19</v>
      </c>
      <c r="J3844" s="434" t="s">
        <v>1737</v>
      </c>
      <c r="K3844" s="435">
        <v>57.12</v>
      </c>
    </row>
    <row r="3845" customHeight="1" spans="1:11">
      <c r="A3845" s="434"/>
      <c r="B3845" s="434"/>
      <c r="C3845" s="434"/>
      <c r="D3845" s="434"/>
      <c r="E3845" s="434"/>
      <c r="F3845" s="434" t="s">
        <v>1738</v>
      </c>
      <c r="G3845" s="435">
        <v>76.25</v>
      </c>
      <c r="H3845" s="434"/>
      <c r="I3845" s="434" t="s">
        <v>1739</v>
      </c>
      <c r="J3845" s="434"/>
      <c r="K3845" s="435">
        <v>385.47</v>
      </c>
    </row>
    <row r="3846" customHeight="1" spans="1:11">
      <c r="A3846" s="436"/>
      <c r="B3846" s="436"/>
      <c r="C3846" s="436"/>
      <c r="D3846" s="436"/>
      <c r="E3846" s="436"/>
      <c r="F3846" s="436"/>
      <c r="G3846" s="436"/>
      <c r="H3846" s="436" t="s">
        <v>1740</v>
      </c>
      <c r="I3846" s="447" t="s">
        <v>1759</v>
      </c>
      <c r="J3846" s="436" t="s">
        <v>1742</v>
      </c>
      <c r="K3846" s="448">
        <v>2312.82</v>
      </c>
    </row>
    <row r="3847" customHeight="1" spans="1:11">
      <c r="A3847" s="437"/>
      <c r="B3847" s="437"/>
      <c r="C3847" s="437"/>
      <c r="D3847" s="437"/>
      <c r="E3847" s="437"/>
      <c r="F3847" s="437"/>
      <c r="G3847" s="437"/>
      <c r="H3847" s="437"/>
      <c r="I3847" s="437"/>
      <c r="J3847" s="437"/>
      <c r="K3847" s="437"/>
    </row>
    <row r="3848" customHeight="1" spans="1:11">
      <c r="A3848" s="423" t="s">
        <v>1178</v>
      </c>
      <c r="B3848" s="424" t="s">
        <v>1714</v>
      </c>
      <c r="C3848" s="423" t="s">
        <v>1715</v>
      </c>
      <c r="D3848" s="423" t="s">
        <v>1716</v>
      </c>
      <c r="E3848" s="423" t="s">
        <v>1717</v>
      </c>
      <c r="F3848" s="423"/>
      <c r="G3848" s="425" t="s">
        <v>1718</v>
      </c>
      <c r="H3848" s="424" t="s">
        <v>1719</v>
      </c>
      <c r="I3848" s="424" t="s">
        <v>1720</v>
      </c>
      <c r="J3848" s="424" t="s">
        <v>1721</v>
      </c>
      <c r="K3848" s="424" t="s">
        <v>1722</v>
      </c>
    </row>
    <row r="3849" customHeight="1" spans="1:11">
      <c r="A3849" s="426" t="s">
        <v>1723</v>
      </c>
      <c r="B3849" s="427" t="s">
        <v>1179</v>
      </c>
      <c r="C3849" s="426" t="s">
        <v>65</v>
      </c>
      <c r="D3849" s="426" t="s">
        <v>1180</v>
      </c>
      <c r="E3849" s="426" t="s">
        <v>62</v>
      </c>
      <c r="F3849" s="426"/>
      <c r="G3849" s="428" t="s">
        <v>67</v>
      </c>
      <c r="H3849" s="429">
        <v>1</v>
      </c>
      <c r="I3849" s="445"/>
      <c r="J3849" s="445">
        <v>196.6</v>
      </c>
      <c r="K3849" s="445">
        <v>196.6</v>
      </c>
    </row>
    <row r="3850" customHeight="1" spans="1:11">
      <c r="A3850" s="430" t="s">
        <v>1724</v>
      </c>
      <c r="B3850" s="431" t="s">
        <v>2988</v>
      </c>
      <c r="C3850" s="430" t="s">
        <v>71</v>
      </c>
      <c r="D3850" s="430" t="s">
        <v>2989</v>
      </c>
      <c r="E3850" s="430" t="s">
        <v>1708</v>
      </c>
      <c r="F3850" s="430"/>
      <c r="G3850" s="432" t="s">
        <v>82</v>
      </c>
      <c r="H3850" s="433">
        <v>1.3082</v>
      </c>
      <c r="I3850" s="433">
        <v>0</v>
      </c>
      <c r="J3850" s="446">
        <v>33.34</v>
      </c>
      <c r="K3850" s="446">
        <v>43.61</v>
      </c>
    </row>
    <row r="3851" customHeight="1" spans="1:11">
      <c r="A3851" s="430" t="s">
        <v>1724</v>
      </c>
      <c r="B3851" s="431" t="s">
        <v>2247</v>
      </c>
      <c r="C3851" s="430" t="s">
        <v>71</v>
      </c>
      <c r="D3851" s="430" t="s">
        <v>2248</v>
      </c>
      <c r="E3851" s="430" t="s">
        <v>1708</v>
      </c>
      <c r="F3851" s="430"/>
      <c r="G3851" s="432" t="s">
        <v>82</v>
      </c>
      <c r="H3851" s="433">
        <v>1.3082</v>
      </c>
      <c r="I3851" s="433">
        <v>0</v>
      </c>
      <c r="J3851" s="446">
        <v>30.31</v>
      </c>
      <c r="K3851" s="446">
        <v>39.65</v>
      </c>
    </row>
    <row r="3852" customHeight="1" spans="1:11">
      <c r="A3852" s="438" t="s">
        <v>1750</v>
      </c>
      <c r="B3852" s="439" t="s">
        <v>2996</v>
      </c>
      <c r="C3852" s="438" t="s">
        <v>65</v>
      </c>
      <c r="D3852" s="438" t="s">
        <v>2997</v>
      </c>
      <c r="E3852" s="438" t="s">
        <v>1631</v>
      </c>
      <c r="F3852" s="438"/>
      <c r="G3852" s="440" t="s">
        <v>67</v>
      </c>
      <c r="H3852" s="441">
        <v>1</v>
      </c>
      <c r="I3852" s="441">
        <v>0</v>
      </c>
      <c r="J3852" s="449">
        <v>111.88</v>
      </c>
      <c r="K3852" s="449">
        <v>111.88</v>
      </c>
    </row>
    <row r="3853" customHeight="1" spans="1:11">
      <c r="A3853" s="438" t="s">
        <v>1750</v>
      </c>
      <c r="B3853" s="439" t="s">
        <v>2990</v>
      </c>
      <c r="C3853" s="438" t="s">
        <v>71</v>
      </c>
      <c r="D3853" s="438" t="s">
        <v>2991</v>
      </c>
      <c r="E3853" s="438" t="s">
        <v>1631</v>
      </c>
      <c r="F3853" s="438"/>
      <c r="G3853" s="440" t="s">
        <v>2134</v>
      </c>
      <c r="H3853" s="441">
        <v>0.04</v>
      </c>
      <c r="I3853" s="441">
        <v>0</v>
      </c>
      <c r="J3853" s="449">
        <v>36.61</v>
      </c>
      <c r="K3853" s="449">
        <v>1.46</v>
      </c>
    </row>
    <row r="3854" customHeight="1" spans="1:11">
      <c r="A3854" s="434"/>
      <c r="B3854" s="434"/>
      <c r="C3854" s="434"/>
      <c r="D3854" s="434"/>
      <c r="E3854" s="434"/>
      <c r="F3854" s="434" t="s">
        <v>1735</v>
      </c>
      <c r="G3854" s="435">
        <v>29.93</v>
      </c>
      <c r="H3854" s="434" t="s">
        <v>1736</v>
      </c>
      <c r="I3854" s="435">
        <v>27.19</v>
      </c>
      <c r="J3854" s="434" t="s">
        <v>1737</v>
      </c>
      <c r="K3854" s="435">
        <v>57.12</v>
      </c>
    </row>
    <row r="3855" customHeight="1" spans="1:11">
      <c r="A3855" s="434"/>
      <c r="B3855" s="434"/>
      <c r="C3855" s="434"/>
      <c r="D3855" s="434"/>
      <c r="E3855" s="434"/>
      <c r="F3855" s="434" t="s">
        <v>1738</v>
      </c>
      <c r="G3855" s="435">
        <v>48.48</v>
      </c>
      <c r="H3855" s="434"/>
      <c r="I3855" s="434" t="s">
        <v>1739</v>
      </c>
      <c r="J3855" s="434"/>
      <c r="K3855" s="435">
        <v>245.08</v>
      </c>
    </row>
    <row r="3856" customHeight="1" spans="1:11">
      <c r="A3856" s="436"/>
      <c r="B3856" s="436"/>
      <c r="C3856" s="436"/>
      <c r="D3856" s="436"/>
      <c r="E3856" s="436"/>
      <c r="F3856" s="436"/>
      <c r="G3856" s="436"/>
      <c r="H3856" s="436" t="s">
        <v>1740</v>
      </c>
      <c r="I3856" s="447" t="s">
        <v>1964</v>
      </c>
      <c r="J3856" s="436" t="s">
        <v>1742</v>
      </c>
      <c r="K3856" s="448">
        <v>2450.8</v>
      </c>
    </row>
    <row r="3857" customHeight="1" spans="1:11">
      <c r="A3857" s="437"/>
      <c r="B3857" s="437"/>
      <c r="C3857" s="437"/>
      <c r="D3857" s="437"/>
      <c r="E3857" s="437"/>
      <c r="F3857" s="437"/>
      <c r="G3857" s="437"/>
      <c r="H3857" s="437"/>
      <c r="I3857" s="437"/>
      <c r="J3857" s="437"/>
      <c r="K3857" s="437"/>
    </row>
    <row r="3858" customHeight="1" spans="1:11">
      <c r="A3858" s="422" t="s">
        <v>1181</v>
      </c>
      <c r="B3858" s="422"/>
      <c r="C3858" s="422"/>
      <c r="D3858" s="422" t="s">
        <v>1182</v>
      </c>
      <c r="E3858" s="422"/>
      <c r="F3858" s="422"/>
      <c r="G3858" s="422"/>
      <c r="H3858" s="422"/>
      <c r="I3858" s="443"/>
      <c r="J3858" s="422"/>
      <c r="K3858" s="444">
        <v>149260.89</v>
      </c>
    </row>
    <row r="3859" customHeight="1" spans="1:11">
      <c r="A3859" s="423" t="s">
        <v>1183</v>
      </c>
      <c r="B3859" s="424" t="s">
        <v>1714</v>
      </c>
      <c r="C3859" s="423" t="s">
        <v>1715</v>
      </c>
      <c r="D3859" s="423" t="s">
        <v>1716</v>
      </c>
      <c r="E3859" s="423" t="s">
        <v>1717</v>
      </c>
      <c r="F3859" s="423"/>
      <c r="G3859" s="425" t="s">
        <v>1718</v>
      </c>
      <c r="H3859" s="424" t="s">
        <v>1719</v>
      </c>
      <c r="I3859" s="424" t="s">
        <v>1720</v>
      </c>
      <c r="J3859" s="424" t="s">
        <v>1721</v>
      </c>
      <c r="K3859" s="424" t="s">
        <v>1722</v>
      </c>
    </row>
    <row r="3860" customHeight="1" spans="1:11">
      <c r="A3860" s="426" t="s">
        <v>1723</v>
      </c>
      <c r="B3860" s="427" t="s">
        <v>1184</v>
      </c>
      <c r="C3860" s="426" t="s">
        <v>71</v>
      </c>
      <c r="D3860" s="426" t="s">
        <v>1185</v>
      </c>
      <c r="E3860" s="426" t="s">
        <v>1661</v>
      </c>
      <c r="F3860" s="426"/>
      <c r="G3860" s="428" t="s">
        <v>78</v>
      </c>
      <c r="H3860" s="429">
        <v>1</v>
      </c>
      <c r="I3860" s="445"/>
      <c r="J3860" s="445">
        <v>29.38</v>
      </c>
      <c r="K3860" s="445">
        <v>29.38</v>
      </c>
    </row>
    <row r="3861" customHeight="1" spans="1:11">
      <c r="A3861" s="430" t="s">
        <v>1724</v>
      </c>
      <c r="B3861" s="431" t="s">
        <v>1859</v>
      </c>
      <c r="C3861" s="430" t="s">
        <v>71</v>
      </c>
      <c r="D3861" s="430" t="s">
        <v>1860</v>
      </c>
      <c r="E3861" s="430" t="s">
        <v>1708</v>
      </c>
      <c r="F3861" s="430"/>
      <c r="G3861" s="432" t="s">
        <v>82</v>
      </c>
      <c r="H3861" s="433">
        <v>0.059</v>
      </c>
      <c r="I3861" s="433">
        <v>0</v>
      </c>
      <c r="J3861" s="446">
        <v>29.54</v>
      </c>
      <c r="K3861" s="446">
        <v>1.74</v>
      </c>
    </row>
    <row r="3862" customHeight="1" spans="1:11">
      <c r="A3862" s="430" t="s">
        <v>1724</v>
      </c>
      <c r="B3862" s="431" t="s">
        <v>1854</v>
      </c>
      <c r="C3862" s="430" t="s">
        <v>71</v>
      </c>
      <c r="D3862" s="430" t="s">
        <v>1855</v>
      </c>
      <c r="E3862" s="430" t="s">
        <v>1708</v>
      </c>
      <c r="F3862" s="430"/>
      <c r="G3862" s="432" t="s">
        <v>82</v>
      </c>
      <c r="H3862" s="433">
        <v>0.059</v>
      </c>
      <c r="I3862" s="433">
        <v>0</v>
      </c>
      <c r="J3862" s="446">
        <v>35.55</v>
      </c>
      <c r="K3862" s="446">
        <v>2.09</v>
      </c>
    </row>
    <row r="3863" customHeight="1" spans="1:11">
      <c r="A3863" s="438" t="s">
        <v>1750</v>
      </c>
      <c r="B3863" s="439" t="s">
        <v>2998</v>
      </c>
      <c r="C3863" s="438" t="s">
        <v>71</v>
      </c>
      <c r="D3863" s="438" t="s">
        <v>2999</v>
      </c>
      <c r="E3863" s="438" t="s">
        <v>1631</v>
      </c>
      <c r="F3863" s="438"/>
      <c r="G3863" s="440" t="s">
        <v>78</v>
      </c>
      <c r="H3863" s="441">
        <v>1.0211</v>
      </c>
      <c r="I3863" s="441">
        <v>0</v>
      </c>
      <c r="J3863" s="449">
        <v>20.61</v>
      </c>
      <c r="K3863" s="449">
        <v>21.04</v>
      </c>
    </row>
    <row r="3864" customHeight="1" spans="1:11">
      <c r="A3864" s="438" t="s">
        <v>1750</v>
      </c>
      <c r="B3864" s="439" t="s">
        <v>3000</v>
      </c>
      <c r="C3864" s="438" t="s">
        <v>71</v>
      </c>
      <c r="D3864" s="438" t="s">
        <v>3001</v>
      </c>
      <c r="E3864" s="438" t="s">
        <v>1631</v>
      </c>
      <c r="F3864" s="438"/>
      <c r="G3864" s="440" t="s">
        <v>78</v>
      </c>
      <c r="H3864" s="441">
        <v>1.0211</v>
      </c>
      <c r="I3864" s="441">
        <v>0</v>
      </c>
      <c r="J3864" s="449">
        <v>4.42</v>
      </c>
      <c r="K3864" s="449">
        <v>4.51</v>
      </c>
    </row>
    <row r="3865" customHeight="1" spans="1:11">
      <c r="A3865" s="434"/>
      <c r="B3865" s="434"/>
      <c r="C3865" s="434"/>
      <c r="D3865" s="434"/>
      <c r="E3865" s="434"/>
      <c r="F3865" s="434" t="s">
        <v>1735</v>
      </c>
      <c r="G3865" s="435">
        <v>1.43</v>
      </c>
      <c r="H3865" s="434" t="s">
        <v>1736</v>
      </c>
      <c r="I3865" s="435">
        <v>1.3</v>
      </c>
      <c r="J3865" s="434" t="s">
        <v>1737</v>
      </c>
      <c r="K3865" s="435">
        <v>2.73</v>
      </c>
    </row>
    <row r="3866" customHeight="1" spans="1:11">
      <c r="A3866" s="434"/>
      <c r="B3866" s="434"/>
      <c r="C3866" s="434"/>
      <c r="D3866" s="434"/>
      <c r="E3866" s="434"/>
      <c r="F3866" s="434" t="s">
        <v>1738</v>
      </c>
      <c r="G3866" s="435">
        <v>7.24</v>
      </c>
      <c r="H3866" s="434"/>
      <c r="I3866" s="434" t="s">
        <v>1739</v>
      </c>
      <c r="J3866" s="434"/>
      <c r="K3866" s="435">
        <v>36.62</v>
      </c>
    </row>
    <row r="3867" customHeight="1" spans="1:11">
      <c r="A3867" s="436"/>
      <c r="B3867" s="436"/>
      <c r="C3867" s="436"/>
      <c r="D3867" s="436"/>
      <c r="E3867" s="436"/>
      <c r="F3867" s="436"/>
      <c r="G3867" s="436"/>
      <c r="H3867" s="436" t="s">
        <v>1740</v>
      </c>
      <c r="I3867" s="447" t="s">
        <v>1971</v>
      </c>
      <c r="J3867" s="436" t="s">
        <v>1742</v>
      </c>
      <c r="K3867" s="448">
        <v>73.24</v>
      </c>
    </row>
    <row r="3868" customHeight="1" spans="1:11">
      <c r="A3868" s="437"/>
      <c r="B3868" s="437"/>
      <c r="C3868" s="437"/>
      <c r="D3868" s="437"/>
      <c r="E3868" s="437"/>
      <c r="F3868" s="437"/>
      <c r="G3868" s="437"/>
      <c r="H3868" s="437"/>
      <c r="I3868" s="437"/>
      <c r="J3868" s="437"/>
      <c r="K3868" s="437"/>
    </row>
    <row r="3869" customHeight="1" spans="1:11">
      <c r="A3869" s="423" t="s">
        <v>1186</v>
      </c>
      <c r="B3869" s="424" t="s">
        <v>1714</v>
      </c>
      <c r="C3869" s="423" t="s">
        <v>1715</v>
      </c>
      <c r="D3869" s="423" t="s">
        <v>1716</v>
      </c>
      <c r="E3869" s="423" t="s">
        <v>1717</v>
      </c>
      <c r="F3869" s="423"/>
      <c r="G3869" s="425" t="s">
        <v>1718</v>
      </c>
      <c r="H3869" s="424" t="s">
        <v>1719</v>
      </c>
      <c r="I3869" s="424" t="s">
        <v>1720</v>
      </c>
      <c r="J3869" s="424" t="s">
        <v>1721</v>
      </c>
      <c r="K3869" s="424" t="s">
        <v>1722</v>
      </c>
    </row>
    <row r="3870" customHeight="1" spans="1:11">
      <c r="A3870" s="426" t="s">
        <v>1723</v>
      </c>
      <c r="B3870" s="427" t="s">
        <v>1187</v>
      </c>
      <c r="C3870" s="426" t="s">
        <v>71</v>
      </c>
      <c r="D3870" s="426" t="s">
        <v>1188</v>
      </c>
      <c r="E3870" s="426" t="s">
        <v>1661</v>
      </c>
      <c r="F3870" s="426"/>
      <c r="G3870" s="428" t="s">
        <v>78</v>
      </c>
      <c r="H3870" s="429">
        <v>1</v>
      </c>
      <c r="I3870" s="445"/>
      <c r="J3870" s="445">
        <v>47.95</v>
      </c>
      <c r="K3870" s="445">
        <v>47.95</v>
      </c>
    </row>
    <row r="3871" customHeight="1" spans="1:11">
      <c r="A3871" s="430" t="s">
        <v>1724</v>
      </c>
      <c r="B3871" s="431" t="s">
        <v>1854</v>
      </c>
      <c r="C3871" s="430" t="s">
        <v>71</v>
      </c>
      <c r="D3871" s="430" t="s">
        <v>1855</v>
      </c>
      <c r="E3871" s="430" t="s">
        <v>1708</v>
      </c>
      <c r="F3871" s="430"/>
      <c r="G3871" s="432" t="s">
        <v>82</v>
      </c>
      <c r="H3871" s="433">
        <v>0.065</v>
      </c>
      <c r="I3871" s="433">
        <v>0</v>
      </c>
      <c r="J3871" s="446">
        <v>35.55</v>
      </c>
      <c r="K3871" s="446">
        <v>2.31</v>
      </c>
    </row>
    <row r="3872" customHeight="1" spans="1:11">
      <c r="A3872" s="430" t="s">
        <v>1724</v>
      </c>
      <c r="B3872" s="431" t="s">
        <v>1859</v>
      </c>
      <c r="C3872" s="430" t="s">
        <v>71</v>
      </c>
      <c r="D3872" s="430" t="s">
        <v>1860</v>
      </c>
      <c r="E3872" s="430" t="s">
        <v>1708</v>
      </c>
      <c r="F3872" s="430"/>
      <c r="G3872" s="432" t="s">
        <v>82</v>
      </c>
      <c r="H3872" s="433">
        <v>0.065</v>
      </c>
      <c r="I3872" s="433">
        <v>0</v>
      </c>
      <c r="J3872" s="446">
        <v>29.54</v>
      </c>
      <c r="K3872" s="446">
        <v>1.92</v>
      </c>
    </row>
    <row r="3873" customHeight="1" spans="1:11">
      <c r="A3873" s="438" t="s">
        <v>1750</v>
      </c>
      <c r="B3873" s="439" t="s">
        <v>3002</v>
      </c>
      <c r="C3873" s="438" t="s">
        <v>71</v>
      </c>
      <c r="D3873" s="438" t="s">
        <v>3003</v>
      </c>
      <c r="E3873" s="438" t="s">
        <v>1631</v>
      </c>
      <c r="F3873" s="438"/>
      <c r="G3873" s="440" t="s">
        <v>78</v>
      </c>
      <c r="H3873" s="441">
        <v>1.0211</v>
      </c>
      <c r="I3873" s="441">
        <v>0</v>
      </c>
      <c r="J3873" s="449">
        <v>31.7</v>
      </c>
      <c r="K3873" s="449">
        <v>32.36</v>
      </c>
    </row>
    <row r="3874" customHeight="1" spans="1:11">
      <c r="A3874" s="438" t="s">
        <v>1750</v>
      </c>
      <c r="B3874" s="439" t="s">
        <v>3004</v>
      </c>
      <c r="C3874" s="438" t="s">
        <v>71</v>
      </c>
      <c r="D3874" s="438" t="s">
        <v>3005</v>
      </c>
      <c r="E3874" s="438" t="s">
        <v>1631</v>
      </c>
      <c r="F3874" s="438"/>
      <c r="G3874" s="440" t="s">
        <v>78</v>
      </c>
      <c r="H3874" s="441">
        <v>1.0211</v>
      </c>
      <c r="I3874" s="441">
        <v>0</v>
      </c>
      <c r="J3874" s="449">
        <v>11.13</v>
      </c>
      <c r="K3874" s="449">
        <v>11.36</v>
      </c>
    </row>
    <row r="3875" customHeight="1" spans="1:11">
      <c r="A3875" s="434"/>
      <c r="B3875" s="434"/>
      <c r="C3875" s="434"/>
      <c r="D3875" s="434"/>
      <c r="E3875" s="434"/>
      <c r="F3875" s="434" t="s">
        <v>1735</v>
      </c>
      <c r="G3875" s="435">
        <v>1.57</v>
      </c>
      <c r="H3875" s="434" t="s">
        <v>1736</v>
      </c>
      <c r="I3875" s="435">
        <v>1.44</v>
      </c>
      <c r="J3875" s="434" t="s">
        <v>1737</v>
      </c>
      <c r="K3875" s="435">
        <v>3.01</v>
      </c>
    </row>
    <row r="3876" customHeight="1" spans="1:11">
      <c r="A3876" s="434"/>
      <c r="B3876" s="434"/>
      <c r="C3876" s="434"/>
      <c r="D3876" s="434"/>
      <c r="E3876" s="434"/>
      <c r="F3876" s="434" t="s">
        <v>1738</v>
      </c>
      <c r="G3876" s="435">
        <v>11.82</v>
      </c>
      <c r="H3876" s="434"/>
      <c r="I3876" s="434" t="s">
        <v>1739</v>
      </c>
      <c r="J3876" s="434"/>
      <c r="K3876" s="435">
        <v>59.77</v>
      </c>
    </row>
    <row r="3877" customHeight="1" spans="1:11">
      <c r="A3877" s="436"/>
      <c r="B3877" s="436"/>
      <c r="C3877" s="436"/>
      <c r="D3877" s="436"/>
      <c r="E3877" s="436"/>
      <c r="F3877" s="436"/>
      <c r="G3877" s="436"/>
      <c r="H3877" s="436" t="s">
        <v>1740</v>
      </c>
      <c r="I3877" s="447" t="s">
        <v>3006</v>
      </c>
      <c r="J3877" s="436" t="s">
        <v>1742</v>
      </c>
      <c r="K3877" s="448">
        <v>6036.77</v>
      </c>
    </row>
    <row r="3878" customHeight="1" spans="1:11">
      <c r="A3878" s="437"/>
      <c r="B3878" s="437"/>
      <c r="C3878" s="437"/>
      <c r="D3878" s="437"/>
      <c r="E3878" s="437"/>
      <c r="F3878" s="437"/>
      <c r="G3878" s="437"/>
      <c r="H3878" s="437"/>
      <c r="I3878" s="437"/>
      <c r="J3878" s="437"/>
      <c r="K3878" s="437"/>
    </row>
    <row r="3879" customHeight="1" spans="1:11">
      <c r="A3879" s="423" t="s">
        <v>1189</v>
      </c>
      <c r="B3879" s="424" t="s">
        <v>1714</v>
      </c>
      <c r="C3879" s="423" t="s">
        <v>1715</v>
      </c>
      <c r="D3879" s="423" t="s">
        <v>1716</v>
      </c>
      <c r="E3879" s="423" t="s">
        <v>1717</v>
      </c>
      <c r="F3879" s="423"/>
      <c r="G3879" s="425" t="s">
        <v>1718</v>
      </c>
      <c r="H3879" s="424" t="s">
        <v>1719</v>
      </c>
      <c r="I3879" s="424" t="s">
        <v>1720</v>
      </c>
      <c r="J3879" s="424" t="s">
        <v>1721</v>
      </c>
      <c r="K3879" s="424" t="s">
        <v>1722</v>
      </c>
    </row>
    <row r="3880" customHeight="1" spans="1:11">
      <c r="A3880" s="426" t="s">
        <v>1723</v>
      </c>
      <c r="B3880" s="427" t="s">
        <v>1190</v>
      </c>
      <c r="C3880" s="426" t="s">
        <v>71</v>
      </c>
      <c r="D3880" s="426" t="s">
        <v>1191</v>
      </c>
      <c r="E3880" s="426" t="s">
        <v>1661</v>
      </c>
      <c r="F3880" s="426"/>
      <c r="G3880" s="428" t="s">
        <v>78</v>
      </c>
      <c r="H3880" s="429">
        <v>1</v>
      </c>
      <c r="I3880" s="445"/>
      <c r="J3880" s="445">
        <v>60.99</v>
      </c>
      <c r="K3880" s="445">
        <v>60.99</v>
      </c>
    </row>
    <row r="3881" customHeight="1" spans="1:11">
      <c r="A3881" s="430" t="s">
        <v>1724</v>
      </c>
      <c r="B3881" s="431" t="s">
        <v>1854</v>
      </c>
      <c r="C3881" s="430" t="s">
        <v>71</v>
      </c>
      <c r="D3881" s="430" t="s">
        <v>1855</v>
      </c>
      <c r="E3881" s="430" t="s">
        <v>1708</v>
      </c>
      <c r="F3881" s="430"/>
      <c r="G3881" s="432" t="s">
        <v>82</v>
      </c>
      <c r="H3881" s="433">
        <v>0.071</v>
      </c>
      <c r="I3881" s="433">
        <v>0</v>
      </c>
      <c r="J3881" s="446">
        <v>35.55</v>
      </c>
      <c r="K3881" s="446">
        <v>2.52</v>
      </c>
    </row>
    <row r="3882" customHeight="1" spans="1:11">
      <c r="A3882" s="430" t="s">
        <v>1724</v>
      </c>
      <c r="B3882" s="431" t="s">
        <v>1859</v>
      </c>
      <c r="C3882" s="430" t="s">
        <v>71</v>
      </c>
      <c r="D3882" s="430" t="s">
        <v>1860</v>
      </c>
      <c r="E3882" s="430" t="s">
        <v>1708</v>
      </c>
      <c r="F3882" s="430"/>
      <c r="G3882" s="432" t="s">
        <v>82</v>
      </c>
      <c r="H3882" s="433">
        <v>0.071</v>
      </c>
      <c r="I3882" s="433">
        <v>0</v>
      </c>
      <c r="J3882" s="446">
        <v>29.54</v>
      </c>
      <c r="K3882" s="446">
        <v>2.09</v>
      </c>
    </row>
    <row r="3883" customHeight="1" spans="1:11">
      <c r="A3883" s="438" t="s">
        <v>1750</v>
      </c>
      <c r="B3883" s="439" t="s">
        <v>3007</v>
      </c>
      <c r="C3883" s="438" t="s">
        <v>71</v>
      </c>
      <c r="D3883" s="438" t="s">
        <v>3008</v>
      </c>
      <c r="E3883" s="438" t="s">
        <v>1631</v>
      </c>
      <c r="F3883" s="438"/>
      <c r="G3883" s="440" t="s">
        <v>78</v>
      </c>
      <c r="H3883" s="441">
        <v>1.0211</v>
      </c>
      <c r="I3883" s="441">
        <v>0</v>
      </c>
      <c r="J3883" s="449">
        <v>43</v>
      </c>
      <c r="K3883" s="449">
        <v>43.9</v>
      </c>
    </row>
    <row r="3884" customHeight="1" spans="1:11">
      <c r="A3884" s="438" t="s">
        <v>1750</v>
      </c>
      <c r="B3884" s="439" t="s">
        <v>3009</v>
      </c>
      <c r="C3884" s="438" t="s">
        <v>71</v>
      </c>
      <c r="D3884" s="438" t="s">
        <v>3010</v>
      </c>
      <c r="E3884" s="438" t="s">
        <v>1631</v>
      </c>
      <c r="F3884" s="438"/>
      <c r="G3884" s="440" t="s">
        <v>78</v>
      </c>
      <c r="H3884" s="441">
        <v>1.0211</v>
      </c>
      <c r="I3884" s="441">
        <v>0</v>
      </c>
      <c r="J3884" s="449">
        <v>12.23</v>
      </c>
      <c r="K3884" s="449">
        <v>12.48</v>
      </c>
    </row>
    <row r="3885" customHeight="1" spans="1:11">
      <c r="A3885" s="434"/>
      <c r="B3885" s="434"/>
      <c r="C3885" s="434"/>
      <c r="D3885" s="434"/>
      <c r="E3885" s="434"/>
      <c r="F3885" s="434" t="s">
        <v>1735</v>
      </c>
      <c r="G3885" s="435">
        <v>1.71</v>
      </c>
      <c r="H3885" s="434" t="s">
        <v>1736</v>
      </c>
      <c r="I3885" s="435">
        <v>1.57</v>
      </c>
      <c r="J3885" s="434" t="s">
        <v>1737</v>
      </c>
      <c r="K3885" s="435">
        <v>3.28</v>
      </c>
    </row>
    <row r="3886" customHeight="1" spans="1:11">
      <c r="A3886" s="434"/>
      <c r="B3886" s="434"/>
      <c r="C3886" s="434"/>
      <c r="D3886" s="434"/>
      <c r="E3886" s="434"/>
      <c r="F3886" s="434" t="s">
        <v>1738</v>
      </c>
      <c r="G3886" s="435">
        <v>15.04</v>
      </c>
      <c r="H3886" s="434"/>
      <c r="I3886" s="434" t="s">
        <v>1739</v>
      </c>
      <c r="J3886" s="434"/>
      <c r="K3886" s="435">
        <v>76.03</v>
      </c>
    </row>
    <row r="3887" customHeight="1" spans="1:11">
      <c r="A3887" s="436"/>
      <c r="B3887" s="436"/>
      <c r="C3887" s="436"/>
      <c r="D3887" s="436"/>
      <c r="E3887" s="436"/>
      <c r="F3887" s="436"/>
      <c r="G3887" s="436"/>
      <c r="H3887" s="436" t="s">
        <v>1740</v>
      </c>
      <c r="I3887" s="447" t="s">
        <v>3011</v>
      </c>
      <c r="J3887" s="436" t="s">
        <v>1742</v>
      </c>
      <c r="K3887" s="448">
        <v>1748.69</v>
      </c>
    </row>
    <row r="3888" customHeight="1" spans="1:11">
      <c r="A3888" s="437"/>
      <c r="B3888" s="437"/>
      <c r="C3888" s="437"/>
      <c r="D3888" s="437"/>
      <c r="E3888" s="437"/>
      <c r="F3888" s="437"/>
      <c r="G3888" s="437"/>
      <c r="H3888" s="437"/>
      <c r="I3888" s="437"/>
      <c r="J3888" s="437"/>
      <c r="K3888" s="437"/>
    </row>
    <row r="3889" customHeight="1" spans="1:11">
      <c r="A3889" s="423" t="s">
        <v>1192</v>
      </c>
      <c r="B3889" s="424" t="s">
        <v>1714</v>
      </c>
      <c r="C3889" s="423" t="s">
        <v>1715</v>
      </c>
      <c r="D3889" s="423" t="s">
        <v>1716</v>
      </c>
      <c r="E3889" s="423" t="s">
        <v>1717</v>
      </c>
      <c r="F3889" s="423"/>
      <c r="G3889" s="425" t="s">
        <v>1718</v>
      </c>
      <c r="H3889" s="424" t="s">
        <v>1719</v>
      </c>
      <c r="I3889" s="424" t="s">
        <v>1720</v>
      </c>
      <c r="J3889" s="424" t="s">
        <v>1721</v>
      </c>
      <c r="K3889" s="424" t="s">
        <v>1722</v>
      </c>
    </row>
    <row r="3890" customHeight="1" spans="1:11">
      <c r="A3890" s="426" t="s">
        <v>1723</v>
      </c>
      <c r="B3890" s="427" t="s">
        <v>1193</v>
      </c>
      <c r="C3890" s="426" t="s">
        <v>71</v>
      </c>
      <c r="D3890" s="426" t="s">
        <v>1194</v>
      </c>
      <c r="E3890" s="426" t="s">
        <v>1661</v>
      </c>
      <c r="F3890" s="426"/>
      <c r="G3890" s="428" t="s">
        <v>78</v>
      </c>
      <c r="H3890" s="429">
        <v>1</v>
      </c>
      <c r="I3890" s="445"/>
      <c r="J3890" s="445">
        <v>74.4</v>
      </c>
      <c r="K3890" s="445">
        <v>74.4</v>
      </c>
    </row>
    <row r="3891" customHeight="1" spans="1:11">
      <c r="A3891" s="430" t="s">
        <v>1724</v>
      </c>
      <c r="B3891" s="431" t="s">
        <v>1854</v>
      </c>
      <c r="C3891" s="430" t="s">
        <v>71</v>
      </c>
      <c r="D3891" s="430" t="s">
        <v>1855</v>
      </c>
      <c r="E3891" s="430" t="s">
        <v>1708</v>
      </c>
      <c r="F3891" s="430"/>
      <c r="G3891" s="432" t="s">
        <v>82</v>
      </c>
      <c r="H3891" s="433">
        <v>0.075</v>
      </c>
      <c r="I3891" s="433">
        <v>0</v>
      </c>
      <c r="J3891" s="446">
        <v>35.55</v>
      </c>
      <c r="K3891" s="446">
        <v>2.66</v>
      </c>
    </row>
    <row r="3892" customHeight="1" spans="1:11">
      <c r="A3892" s="430" t="s">
        <v>1724</v>
      </c>
      <c r="B3892" s="431" t="s">
        <v>1859</v>
      </c>
      <c r="C3892" s="430" t="s">
        <v>71</v>
      </c>
      <c r="D3892" s="430" t="s">
        <v>1860</v>
      </c>
      <c r="E3892" s="430" t="s">
        <v>1708</v>
      </c>
      <c r="F3892" s="430"/>
      <c r="G3892" s="432" t="s">
        <v>82</v>
      </c>
      <c r="H3892" s="433">
        <v>0.075</v>
      </c>
      <c r="I3892" s="433">
        <v>0</v>
      </c>
      <c r="J3892" s="446">
        <v>29.54</v>
      </c>
      <c r="K3892" s="446">
        <v>2.21</v>
      </c>
    </row>
    <row r="3893" customHeight="1" spans="1:11">
      <c r="A3893" s="438" t="s">
        <v>1750</v>
      </c>
      <c r="B3893" s="439" t="s">
        <v>3012</v>
      </c>
      <c r="C3893" s="438" t="s">
        <v>71</v>
      </c>
      <c r="D3893" s="438" t="s">
        <v>3013</v>
      </c>
      <c r="E3893" s="438" t="s">
        <v>1631</v>
      </c>
      <c r="F3893" s="438"/>
      <c r="G3893" s="440" t="s">
        <v>78</v>
      </c>
      <c r="H3893" s="441">
        <v>1.0211</v>
      </c>
      <c r="I3893" s="441">
        <v>0</v>
      </c>
      <c r="J3893" s="449">
        <v>53.49</v>
      </c>
      <c r="K3893" s="449">
        <v>54.61</v>
      </c>
    </row>
    <row r="3894" customHeight="1" spans="1:11">
      <c r="A3894" s="438" t="s">
        <v>1750</v>
      </c>
      <c r="B3894" s="439" t="s">
        <v>3014</v>
      </c>
      <c r="C3894" s="438" t="s">
        <v>71</v>
      </c>
      <c r="D3894" s="438" t="s">
        <v>3015</v>
      </c>
      <c r="E3894" s="438" t="s">
        <v>1631</v>
      </c>
      <c r="F3894" s="438"/>
      <c r="G3894" s="440" t="s">
        <v>78</v>
      </c>
      <c r="H3894" s="441">
        <v>1.0211</v>
      </c>
      <c r="I3894" s="441">
        <v>0</v>
      </c>
      <c r="J3894" s="449">
        <v>14.62</v>
      </c>
      <c r="K3894" s="449">
        <v>14.92</v>
      </c>
    </row>
    <row r="3895" customHeight="1" spans="1:11">
      <c r="A3895" s="434"/>
      <c r="B3895" s="434"/>
      <c r="C3895" s="434"/>
      <c r="D3895" s="434"/>
      <c r="E3895" s="434"/>
      <c r="F3895" s="434" t="s">
        <v>1735</v>
      </c>
      <c r="G3895" s="435">
        <v>1.81</v>
      </c>
      <c r="H3895" s="434" t="s">
        <v>1736</v>
      </c>
      <c r="I3895" s="435">
        <v>1.66</v>
      </c>
      <c r="J3895" s="434" t="s">
        <v>1737</v>
      </c>
      <c r="K3895" s="435">
        <v>3.47</v>
      </c>
    </row>
    <row r="3896" customHeight="1" spans="1:11">
      <c r="A3896" s="434"/>
      <c r="B3896" s="434"/>
      <c r="C3896" s="434"/>
      <c r="D3896" s="434"/>
      <c r="E3896" s="434"/>
      <c r="F3896" s="434" t="s">
        <v>1738</v>
      </c>
      <c r="G3896" s="435">
        <v>18.34</v>
      </c>
      <c r="H3896" s="434"/>
      <c r="I3896" s="434" t="s">
        <v>1739</v>
      </c>
      <c r="J3896" s="434"/>
      <c r="K3896" s="435">
        <v>92.74</v>
      </c>
    </row>
    <row r="3897" customHeight="1" spans="1:11">
      <c r="A3897" s="436"/>
      <c r="B3897" s="436"/>
      <c r="C3897" s="436"/>
      <c r="D3897" s="436"/>
      <c r="E3897" s="436"/>
      <c r="F3897" s="436"/>
      <c r="G3897" s="436"/>
      <c r="H3897" s="436" t="s">
        <v>1740</v>
      </c>
      <c r="I3897" s="447" t="s">
        <v>3016</v>
      </c>
      <c r="J3897" s="436" t="s">
        <v>1742</v>
      </c>
      <c r="K3897" s="448">
        <v>10201.4</v>
      </c>
    </row>
    <row r="3898" customHeight="1" spans="1:11">
      <c r="A3898" s="437"/>
      <c r="B3898" s="437"/>
      <c r="C3898" s="437"/>
      <c r="D3898" s="437"/>
      <c r="E3898" s="437"/>
      <c r="F3898" s="437"/>
      <c r="G3898" s="437"/>
      <c r="H3898" s="437"/>
      <c r="I3898" s="437"/>
      <c r="J3898" s="437"/>
      <c r="K3898" s="437"/>
    </row>
    <row r="3899" customHeight="1" spans="1:11">
      <c r="A3899" s="423" t="s">
        <v>1195</v>
      </c>
      <c r="B3899" s="424" t="s">
        <v>1714</v>
      </c>
      <c r="C3899" s="423" t="s">
        <v>1715</v>
      </c>
      <c r="D3899" s="423" t="s">
        <v>1716</v>
      </c>
      <c r="E3899" s="423" t="s">
        <v>1717</v>
      </c>
      <c r="F3899" s="423"/>
      <c r="G3899" s="425" t="s">
        <v>1718</v>
      </c>
      <c r="H3899" s="424" t="s">
        <v>1719</v>
      </c>
      <c r="I3899" s="424" t="s">
        <v>1720</v>
      </c>
      <c r="J3899" s="424" t="s">
        <v>1721</v>
      </c>
      <c r="K3899" s="424" t="s">
        <v>1722</v>
      </c>
    </row>
    <row r="3900" customHeight="1" spans="1:11">
      <c r="A3900" s="426" t="s">
        <v>1723</v>
      </c>
      <c r="B3900" s="427" t="s">
        <v>1196</v>
      </c>
      <c r="C3900" s="426" t="s">
        <v>99</v>
      </c>
      <c r="D3900" s="426" t="s">
        <v>1197</v>
      </c>
      <c r="E3900" s="426" t="s">
        <v>1665</v>
      </c>
      <c r="F3900" s="426"/>
      <c r="G3900" s="428" t="s">
        <v>78</v>
      </c>
      <c r="H3900" s="429">
        <v>1</v>
      </c>
      <c r="I3900" s="445"/>
      <c r="J3900" s="445">
        <v>87.06</v>
      </c>
      <c r="K3900" s="445">
        <v>87.06</v>
      </c>
    </row>
    <row r="3901" customHeight="1" spans="1:11">
      <c r="A3901" s="438" t="s">
        <v>1750</v>
      </c>
      <c r="B3901" s="439" t="s">
        <v>3017</v>
      </c>
      <c r="C3901" s="438" t="s">
        <v>99</v>
      </c>
      <c r="D3901" s="438" t="s">
        <v>3018</v>
      </c>
      <c r="E3901" s="438" t="s">
        <v>1631</v>
      </c>
      <c r="F3901" s="438"/>
      <c r="G3901" s="440" t="s">
        <v>78</v>
      </c>
      <c r="H3901" s="441">
        <v>1.05</v>
      </c>
      <c r="I3901" s="441">
        <v>0</v>
      </c>
      <c r="J3901" s="449">
        <v>47.65</v>
      </c>
      <c r="K3901" s="449">
        <v>50.03</v>
      </c>
    </row>
    <row r="3902" customHeight="1" spans="1:11">
      <c r="A3902" s="438" t="s">
        <v>1750</v>
      </c>
      <c r="B3902" s="439" t="s">
        <v>3019</v>
      </c>
      <c r="C3902" s="438" t="s">
        <v>99</v>
      </c>
      <c r="D3902" s="438" t="s">
        <v>3020</v>
      </c>
      <c r="E3902" s="438" t="s">
        <v>1764</v>
      </c>
      <c r="F3902" s="438"/>
      <c r="G3902" s="440" t="s">
        <v>82</v>
      </c>
      <c r="H3902" s="441">
        <v>0.804</v>
      </c>
      <c r="I3902" s="441">
        <v>0</v>
      </c>
      <c r="J3902" s="449">
        <v>20.515752</v>
      </c>
      <c r="K3902" s="449">
        <v>16.49</v>
      </c>
    </row>
    <row r="3903" customHeight="1" spans="1:11">
      <c r="A3903" s="438" t="s">
        <v>1750</v>
      </c>
      <c r="B3903" s="439" t="s">
        <v>3021</v>
      </c>
      <c r="C3903" s="438" t="s">
        <v>99</v>
      </c>
      <c r="D3903" s="438" t="s">
        <v>3022</v>
      </c>
      <c r="E3903" s="438" t="s">
        <v>1764</v>
      </c>
      <c r="F3903" s="438"/>
      <c r="G3903" s="440" t="s">
        <v>82</v>
      </c>
      <c r="H3903" s="441">
        <v>0.763</v>
      </c>
      <c r="I3903" s="441">
        <v>0</v>
      </c>
      <c r="J3903" s="449">
        <v>26.928256</v>
      </c>
      <c r="K3903" s="449">
        <v>20.54</v>
      </c>
    </row>
    <row r="3904" customHeight="1" spans="1:11">
      <c r="A3904" s="434"/>
      <c r="B3904" s="434"/>
      <c r="C3904" s="434"/>
      <c r="D3904" s="434"/>
      <c r="E3904" s="434"/>
      <c r="F3904" s="434" t="s">
        <v>1735</v>
      </c>
      <c r="G3904" s="435">
        <v>19.4</v>
      </c>
      <c r="H3904" s="434" t="s">
        <v>1736</v>
      </c>
      <c r="I3904" s="435">
        <v>17.63</v>
      </c>
      <c r="J3904" s="434" t="s">
        <v>1737</v>
      </c>
      <c r="K3904" s="435">
        <v>37.03</v>
      </c>
    </row>
    <row r="3905" customHeight="1" spans="1:11">
      <c r="A3905" s="434"/>
      <c r="B3905" s="434"/>
      <c r="C3905" s="434"/>
      <c r="D3905" s="434"/>
      <c r="E3905" s="434"/>
      <c r="F3905" s="434" t="s">
        <v>1738</v>
      </c>
      <c r="G3905" s="435">
        <v>21.46</v>
      </c>
      <c r="H3905" s="434"/>
      <c r="I3905" s="434" t="s">
        <v>1739</v>
      </c>
      <c r="J3905" s="434"/>
      <c r="K3905" s="435">
        <v>108.52</v>
      </c>
    </row>
    <row r="3906" customHeight="1" spans="1:11">
      <c r="A3906" s="436"/>
      <c r="B3906" s="436"/>
      <c r="C3906" s="436"/>
      <c r="D3906" s="436"/>
      <c r="E3906" s="436"/>
      <c r="F3906" s="436"/>
      <c r="G3906" s="436"/>
      <c r="H3906" s="436" t="s">
        <v>1740</v>
      </c>
      <c r="I3906" s="447" t="s">
        <v>3023</v>
      </c>
      <c r="J3906" s="436" t="s">
        <v>1742</v>
      </c>
      <c r="K3906" s="448">
        <v>8464.56</v>
      </c>
    </row>
    <row r="3907" customHeight="1" spans="1:11">
      <c r="A3907" s="437"/>
      <c r="B3907" s="437"/>
      <c r="C3907" s="437"/>
      <c r="D3907" s="437"/>
      <c r="E3907" s="437"/>
      <c r="F3907" s="437"/>
      <c r="G3907" s="437"/>
      <c r="H3907" s="437"/>
      <c r="I3907" s="437"/>
      <c r="J3907" s="437"/>
      <c r="K3907" s="437"/>
    </row>
    <row r="3908" customHeight="1" spans="1:11">
      <c r="A3908" s="423" t="s">
        <v>1198</v>
      </c>
      <c r="B3908" s="424" t="s">
        <v>1714</v>
      </c>
      <c r="C3908" s="423" t="s">
        <v>1715</v>
      </c>
      <c r="D3908" s="423" t="s">
        <v>1716</v>
      </c>
      <c r="E3908" s="423" t="s">
        <v>1717</v>
      </c>
      <c r="F3908" s="423"/>
      <c r="G3908" s="425" t="s">
        <v>1718</v>
      </c>
      <c r="H3908" s="424" t="s">
        <v>1719</v>
      </c>
      <c r="I3908" s="424" t="s">
        <v>1720</v>
      </c>
      <c r="J3908" s="424" t="s">
        <v>1721</v>
      </c>
      <c r="K3908" s="424" t="s">
        <v>1722</v>
      </c>
    </row>
    <row r="3909" customHeight="1" spans="1:11">
      <c r="A3909" s="426" t="s">
        <v>1723</v>
      </c>
      <c r="B3909" s="427" t="s">
        <v>1199</v>
      </c>
      <c r="C3909" s="426" t="s">
        <v>65</v>
      </c>
      <c r="D3909" s="426" t="s">
        <v>1200</v>
      </c>
      <c r="E3909" s="426" t="s">
        <v>62</v>
      </c>
      <c r="F3909" s="426"/>
      <c r="G3909" s="428" t="s">
        <v>67</v>
      </c>
      <c r="H3909" s="429">
        <v>1</v>
      </c>
      <c r="I3909" s="445"/>
      <c r="J3909" s="445">
        <v>107.75</v>
      </c>
      <c r="K3909" s="445">
        <v>107.75</v>
      </c>
    </row>
    <row r="3910" customHeight="1" spans="1:11">
      <c r="A3910" s="430" t="s">
        <v>1724</v>
      </c>
      <c r="B3910" s="431" t="s">
        <v>1854</v>
      </c>
      <c r="C3910" s="430" t="s">
        <v>71</v>
      </c>
      <c r="D3910" s="430" t="s">
        <v>1855</v>
      </c>
      <c r="E3910" s="430" t="s">
        <v>1708</v>
      </c>
      <c r="F3910" s="430"/>
      <c r="G3910" s="432" t="s">
        <v>82</v>
      </c>
      <c r="H3910" s="433">
        <v>0.075</v>
      </c>
      <c r="I3910" s="433">
        <v>0</v>
      </c>
      <c r="J3910" s="446">
        <v>35.55</v>
      </c>
      <c r="K3910" s="446">
        <v>2.66</v>
      </c>
    </row>
    <row r="3911" customHeight="1" spans="1:11">
      <c r="A3911" s="430" t="s">
        <v>1724</v>
      </c>
      <c r="B3911" s="431" t="s">
        <v>1859</v>
      </c>
      <c r="C3911" s="430" t="s">
        <v>71</v>
      </c>
      <c r="D3911" s="430" t="s">
        <v>1860</v>
      </c>
      <c r="E3911" s="430" t="s">
        <v>1708</v>
      </c>
      <c r="F3911" s="430"/>
      <c r="G3911" s="432" t="s">
        <v>82</v>
      </c>
      <c r="H3911" s="433">
        <v>0.075</v>
      </c>
      <c r="I3911" s="433">
        <v>0</v>
      </c>
      <c r="J3911" s="446">
        <v>29.54</v>
      </c>
      <c r="K3911" s="446">
        <v>2.21</v>
      </c>
    </row>
    <row r="3912" customHeight="1" spans="1:11">
      <c r="A3912" s="438" t="s">
        <v>1750</v>
      </c>
      <c r="B3912" s="439" t="s">
        <v>3024</v>
      </c>
      <c r="C3912" s="438" t="s">
        <v>71</v>
      </c>
      <c r="D3912" s="438" t="s">
        <v>3025</v>
      </c>
      <c r="E3912" s="438" t="s">
        <v>1631</v>
      </c>
      <c r="F3912" s="438"/>
      <c r="G3912" s="440" t="s">
        <v>78</v>
      </c>
      <c r="H3912" s="441">
        <v>1.0211</v>
      </c>
      <c r="I3912" s="441">
        <v>0</v>
      </c>
      <c r="J3912" s="449">
        <v>48.56</v>
      </c>
      <c r="K3912" s="449">
        <v>49.58</v>
      </c>
    </row>
    <row r="3913" customHeight="1" spans="1:11">
      <c r="A3913" s="438" t="s">
        <v>1750</v>
      </c>
      <c r="B3913" s="439" t="s">
        <v>3026</v>
      </c>
      <c r="C3913" s="438" t="s">
        <v>65</v>
      </c>
      <c r="D3913" s="438" t="s">
        <v>3027</v>
      </c>
      <c r="E3913" s="438" t="s">
        <v>1631</v>
      </c>
      <c r="F3913" s="438"/>
      <c r="G3913" s="440" t="s">
        <v>535</v>
      </c>
      <c r="H3913" s="441">
        <v>1</v>
      </c>
      <c r="I3913" s="441">
        <v>0</v>
      </c>
      <c r="J3913" s="449">
        <v>53.3</v>
      </c>
      <c r="K3913" s="449">
        <v>53.3</v>
      </c>
    </row>
    <row r="3914" customHeight="1" spans="1:11">
      <c r="A3914" s="434"/>
      <c r="B3914" s="434"/>
      <c r="C3914" s="434"/>
      <c r="D3914" s="434"/>
      <c r="E3914" s="434"/>
      <c r="F3914" s="434" t="s">
        <v>1735</v>
      </c>
      <c r="G3914" s="435">
        <v>1.81</v>
      </c>
      <c r="H3914" s="434" t="s">
        <v>1736</v>
      </c>
      <c r="I3914" s="435">
        <v>1.66</v>
      </c>
      <c r="J3914" s="434" t="s">
        <v>1737</v>
      </c>
      <c r="K3914" s="435">
        <v>3.47</v>
      </c>
    </row>
    <row r="3915" customHeight="1" spans="1:11">
      <c r="A3915" s="434"/>
      <c r="B3915" s="434"/>
      <c r="C3915" s="434"/>
      <c r="D3915" s="434"/>
      <c r="E3915" s="434"/>
      <c r="F3915" s="434" t="s">
        <v>1738</v>
      </c>
      <c r="G3915" s="435">
        <v>26.57</v>
      </c>
      <c r="H3915" s="434"/>
      <c r="I3915" s="434" t="s">
        <v>1739</v>
      </c>
      <c r="J3915" s="434"/>
      <c r="K3915" s="435">
        <v>134.32</v>
      </c>
    </row>
    <row r="3916" customHeight="1" spans="1:11">
      <c r="A3916" s="436"/>
      <c r="B3916" s="436"/>
      <c r="C3916" s="436"/>
      <c r="D3916" s="436"/>
      <c r="E3916" s="436"/>
      <c r="F3916" s="436"/>
      <c r="G3916" s="436"/>
      <c r="H3916" s="436" t="s">
        <v>1740</v>
      </c>
      <c r="I3916" s="447" t="s">
        <v>3028</v>
      </c>
      <c r="J3916" s="436" t="s">
        <v>1742</v>
      </c>
      <c r="K3916" s="448">
        <v>11820.16</v>
      </c>
    </row>
    <row r="3917" customHeight="1" spans="1:11">
      <c r="A3917" s="437"/>
      <c r="B3917" s="437"/>
      <c r="C3917" s="437"/>
      <c r="D3917" s="437"/>
      <c r="E3917" s="437"/>
      <c r="F3917" s="437"/>
      <c r="G3917" s="437"/>
      <c r="H3917" s="437"/>
      <c r="I3917" s="437"/>
      <c r="J3917" s="437"/>
      <c r="K3917" s="437"/>
    </row>
    <row r="3918" customHeight="1" spans="1:11">
      <c r="A3918" s="423" t="s">
        <v>1201</v>
      </c>
      <c r="B3918" s="424" t="s">
        <v>1714</v>
      </c>
      <c r="C3918" s="423" t="s">
        <v>1715</v>
      </c>
      <c r="D3918" s="423" t="s">
        <v>1716</v>
      </c>
      <c r="E3918" s="423" t="s">
        <v>1717</v>
      </c>
      <c r="F3918" s="423"/>
      <c r="G3918" s="425" t="s">
        <v>1718</v>
      </c>
      <c r="H3918" s="424" t="s">
        <v>1719</v>
      </c>
      <c r="I3918" s="424" t="s">
        <v>1720</v>
      </c>
      <c r="J3918" s="424" t="s">
        <v>1721</v>
      </c>
      <c r="K3918" s="424" t="s">
        <v>1722</v>
      </c>
    </row>
    <row r="3919" customHeight="1" spans="1:11">
      <c r="A3919" s="426" t="s">
        <v>1723</v>
      </c>
      <c r="B3919" s="427" t="s">
        <v>1202</v>
      </c>
      <c r="C3919" s="426" t="s">
        <v>99</v>
      </c>
      <c r="D3919" s="426" t="s">
        <v>1203</v>
      </c>
      <c r="E3919" s="426" t="s">
        <v>1640</v>
      </c>
      <c r="F3919" s="426"/>
      <c r="G3919" s="428" t="s">
        <v>78</v>
      </c>
      <c r="H3919" s="429">
        <v>1</v>
      </c>
      <c r="I3919" s="445"/>
      <c r="J3919" s="445">
        <v>203.34</v>
      </c>
      <c r="K3919" s="445">
        <v>203.34</v>
      </c>
    </row>
    <row r="3920" customHeight="1" spans="1:11">
      <c r="A3920" s="438" t="s">
        <v>1750</v>
      </c>
      <c r="B3920" s="439" t="s">
        <v>3029</v>
      </c>
      <c r="C3920" s="438" t="s">
        <v>99</v>
      </c>
      <c r="D3920" s="438" t="s">
        <v>3030</v>
      </c>
      <c r="E3920" s="438" t="s">
        <v>1631</v>
      </c>
      <c r="F3920" s="438"/>
      <c r="G3920" s="440" t="s">
        <v>73</v>
      </c>
      <c r="H3920" s="441">
        <v>1.322</v>
      </c>
      <c r="I3920" s="441">
        <v>0</v>
      </c>
      <c r="J3920" s="449">
        <v>21.26</v>
      </c>
      <c r="K3920" s="449">
        <v>28.1</v>
      </c>
    </row>
    <row r="3921" customHeight="1" spans="1:11">
      <c r="A3921" s="438" t="s">
        <v>1750</v>
      </c>
      <c r="B3921" s="439" t="s">
        <v>3031</v>
      </c>
      <c r="C3921" s="438" t="s">
        <v>99</v>
      </c>
      <c r="D3921" s="438" t="s">
        <v>3032</v>
      </c>
      <c r="E3921" s="438" t="s">
        <v>1764</v>
      </c>
      <c r="F3921" s="438"/>
      <c r="G3921" s="440" t="s">
        <v>82</v>
      </c>
      <c r="H3921" s="441">
        <v>0.32</v>
      </c>
      <c r="I3921" s="441">
        <v>0</v>
      </c>
      <c r="J3921" s="449">
        <v>28.994744</v>
      </c>
      <c r="K3921" s="449">
        <v>9.27</v>
      </c>
    </row>
    <row r="3922" customHeight="1" spans="1:11">
      <c r="A3922" s="438" t="s">
        <v>1750</v>
      </c>
      <c r="B3922" s="439" t="s">
        <v>3033</v>
      </c>
      <c r="C3922" s="438" t="s">
        <v>99</v>
      </c>
      <c r="D3922" s="438" t="s">
        <v>3034</v>
      </c>
      <c r="E3922" s="438" t="s">
        <v>1631</v>
      </c>
      <c r="F3922" s="438"/>
      <c r="G3922" s="440" t="s">
        <v>1945</v>
      </c>
      <c r="H3922" s="441">
        <v>4.803</v>
      </c>
      <c r="I3922" s="441">
        <v>0</v>
      </c>
      <c r="J3922" s="449">
        <v>16.65</v>
      </c>
      <c r="K3922" s="449">
        <v>79.96</v>
      </c>
    </row>
    <row r="3923" customHeight="1" spans="1:11">
      <c r="A3923" s="438" t="s">
        <v>1750</v>
      </c>
      <c r="B3923" s="439" t="s">
        <v>3035</v>
      </c>
      <c r="C3923" s="438" t="s">
        <v>99</v>
      </c>
      <c r="D3923" s="438" t="s">
        <v>3036</v>
      </c>
      <c r="E3923" s="438" t="s">
        <v>1631</v>
      </c>
      <c r="F3923" s="438"/>
      <c r="G3923" s="440" t="s">
        <v>78</v>
      </c>
      <c r="H3923" s="441">
        <v>1.322</v>
      </c>
      <c r="I3923" s="441">
        <v>0</v>
      </c>
      <c r="J3923" s="449">
        <v>0.23</v>
      </c>
      <c r="K3923" s="449">
        <v>0.3</v>
      </c>
    </row>
    <row r="3924" customHeight="1" spans="1:11">
      <c r="A3924" s="438" t="s">
        <v>1750</v>
      </c>
      <c r="B3924" s="439" t="s">
        <v>3037</v>
      </c>
      <c r="C3924" s="438" t="s">
        <v>99</v>
      </c>
      <c r="D3924" s="438" t="s">
        <v>3038</v>
      </c>
      <c r="E3924" s="438" t="s">
        <v>1631</v>
      </c>
      <c r="F3924" s="438"/>
      <c r="G3924" s="440" t="s">
        <v>158</v>
      </c>
      <c r="H3924" s="441">
        <v>6.765</v>
      </c>
      <c r="I3924" s="441">
        <v>0</v>
      </c>
      <c r="J3924" s="449">
        <v>11.7</v>
      </c>
      <c r="K3924" s="449">
        <v>79.15</v>
      </c>
    </row>
    <row r="3925" customHeight="1" spans="1:11">
      <c r="A3925" s="438" t="s">
        <v>1750</v>
      </c>
      <c r="B3925" s="439" t="s">
        <v>3039</v>
      </c>
      <c r="C3925" s="438" t="s">
        <v>99</v>
      </c>
      <c r="D3925" s="438" t="s">
        <v>3040</v>
      </c>
      <c r="E3925" s="438" t="s">
        <v>1764</v>
      </c>
      <c r="F3925" s="438"/>
      <c r="G3925" s="440" t="s">
        <v>82</v>
      </c>
      <c r="H3925" s="441">
        <v>0.32</v>
      </c>
      <c r="I3925" s="441">
        <v>0</v>
      </c>
      <c r="J3925" s="449">
        <v>20.515752</v>
      </c>
      <c r="K3925" s="449">
        <v>6.56</v>
      </c>
    </row>
    <row r="3926" customHeight="1" spans="1:11">
      <c r="A3926" s="434"/>
      <c r="B3926" s="434"/>
      <c r="C3926" s="434"/>
      <c r="D3926" s="434"/>
      <c r="E3926" s="434"/>
      <c r="F3926" s="434" t="s">
        <v>1735</v>
      </c>
      <c r="G3926" s="435">
        <v>8.29</v>
      </c>
      <c r="H3926" s="434" t="s">
        <v>1736</v>
      </c>
      <c r="I3926" s="435">
        <v>7.54</v>
      </c>
      <c r="J3926" s="434" t="s">
        <v>1737</v>
      </c>
      <c r="K3926" s="435">
        <v>15.83</v>
      </c>
    </row>
    <row r="3927" customHeight="1" spans="1:11">
      <c r="A3927" s="434"/>
      <c r="B3927" s="434"/>
      <c r="C3927" s="434"/>
      <c r="D3927" s="434"/>
      <c r="E3927" s="434"/>
      <c r="F3927" s="434" t="s">
        <v>1738</v>
      </c>
      <c r="G3927" s="435">
        <v>50.14</v>
      </c>
      <c r="H3927" s="434"/>
      <c r="I3927" s="434" t="s">
        <v>1739</v>
      </c>
      <c r="J3927" s="434"/>
      <c r="K3927" s="435">
        <v>253.48</v>
      </c>
    </row>
    <row r="3928" customHeight="1" spans="1:11">
      <c r="A3928" s="436"/>
      <c r="B3928" s="436"/>
      <c r="C3928" s="436"/>
      <c r="D3928" s="436"/>
      <c r="E3928" s="436"/>
      <c r="F3928" s="436"/>
      <c r="G3928" s="436"/>
      <c r="H3928" s="436" t="s">
        <v>1740</v>
      </c>
      <c r="I3928" s="447" t="s">
        <v>3041</v>
      </c>
      <c r="J3928" s="436" t="s">
        <v>1742</v>
      </c>
      <c r="K3928" s="448">
        <v>29629.27</v>
      </c>
    </row>
    <row r="3929" customHeight="1" spans="1:11">
      <c r="A3929" s="437"/>
      <c r="B3929" s="437"/>
      <c r="C3929" s="437"/>
      <c r="D3929" s="437"/>
      <c r="E3929" s="437"/>
      <c r="F3929" s="437"/>
      <c r="G3929" s="437"/>
      <c r="H3929" s="437"/>
      <c r="I3929" s="437"/>
      <c r="J3929" s="437"/>
      <c r="K3929" s="437"/>
    </row>
    <row r="3930" customHeight="1" spans="1:11">
      <c r="A3930" s="423"/>
      <c r="B3930" s="424" t="s">
        <v>1714</v>
      </c>
      <c r="C3930" s="423" t="s">
        <v>1715</v>
      </c>
      <c r="D3930" s="423" t="s">
        <v>1716</v>
      </c>
      <c r="E3930" s="423" t="s">
        <v>1717</v>
      </c>
      <c r="F3930" s="423"/>
      <c r="G3930" s="425" t="s">
        <v>1718</v>
      </c>
      <c r="H3930" s="424" t="s">
        <v>1719</v>
      </c>
      <c r="I3930" s="424" t="s">
        <v>1720</v>
      </c>
      <c r="J3930" s="424" t="s">
        <v>1721</v>
      </c>
      <c r="K3930" s="424" t="s">
        <v>1722</v>
      </c>
    </row>
    <row r="3931" customHeight="1" spans="1:11">
      <c r="A3931" s="450" t="s">
        <v>1750</v>
      </c>
      <c r="B3931" s="451" t="s">
        <v>1205</v>
      </c>
      <c r="C3931" s="450" t="s">
        <v>76</v>
      </c>
      <c r="D3931" s="450" t="s">
        <v>1206</v>
      </c>
      <c r="E3931" s="450" t="s">
        <v>1631</v>
      </c>
      <c r="F3931" s="450"/>
      <c r="G3931" s="452" t="s">
        <v>105</v>
      </c>
      <c r="H3931" s="453">
        <v>1</v>
      </c>
      <c r="I3931" s="454"/>
      <c r="J3931" s="454">
        <v>931.53</v>
      </c>
      <c r="K3931" s="454">
        <v>931.53</v>
      </c>
    </row>
    <row r="3932" customHeight="1" spans="1:11">
      <c r="A3932" s="434"/>
      <c r="B3932" s="434"/>
      <c r="C3932" s="434"/>
      <c r="D3932" s="434"/>
      <c r="E3932" s="434"/>
      <c r="F3932" s="434" t="s">
        <v>1735</v>
      </c>
      <c r="G3932" s="435">
        <v>0</v>
      </c>
      <c r="H3932" s="434" t="s">
        <v>1736</v>
      </c>
      <c r="I3932" s="435">
        <v>0</v>
      </c>
      <c r="J3932" s="434" t="s">
        <v>1737</v>
      </c>
      <c r="K3932" s="435">
        <v>0</v>
      </c>
    </row>
    <row r="3933" customHeight="1" spans="1:11">
      <c r="A3933" s="434"/>
      <c r="B3933" s="434"/>
      <c r="C3933" s="434"/>
      <c r="D3933" s="434"/>
      <c r="E3933" s="434"/>
      <c r="F3933" s="434" t="s">
        <v>1738</v>
      </c>
      <c r="G3933" s="435"/>
      <c r="H3933" s="434"/>
      <c r="I3933" s="434" t="s">
        <v>1739</v>
      </c>
      <c r="J3933" s="434"/>
      <c r="K3933" s="435">
        <v>1161.24</v>
      </c>
    </row>
    <row r="3934" customHeight="1" spans="1:11">
      <c r="A3934" s="436"/>
      <c r="B3934" s="436"/>
      <c r="C3934" s="436"/>
      <c r="D3934" s="436"/>
      <c r="E3934" s="436"/>
      <c r="F3934" s="436"/>
      <c r="G3934" s="436"/>
      <c r="H3934" s="436" t="s">
        <v>1740</v>
      </c>
      <c r="I3934" s="447" t="s">
        <v>2650</v>
      </c>
      <c r="J3934" s="436" t="s">
        <v>1742</v>
      </c>
      <c r="K3934" s="448">
        <v>81286.8</v>
      </c>
    </row>
    <row r="3935" customHeight="1" spans="1:11">
      <c r="A3935" s="437"/>
      <c r="B3935" s="437"/>
      <c r="C3935" s="437"/>
      <c r="D3935" s="437"/>
      <c r="E3935" s="437"/>
      <c r="F3935" s="437"/>
      <c r="G3935" s="437"/>
      <c r="H3935" s="437"/>
      <c r="I3935" s="437"/>
      <c r="J3935" s="437"/>
      <c r="K3935" s="437"/>
    </row>
    <row r="3936" customHeight="1" spans="1:11">
      <c r="A3936" s="422" t="s">
        <v>1207</v>
      </c>
      <c r="B3936" s="422"/>
      <c r="C3936" s="422"/>
      <c r="D3936" s="422" t="s">
        <v>1208</v>
      </c>
      <c r="E3936" s="422"/>
      <c r="F3936" s="422"/>
      <c r="G3936" s="422"/>
      <c r="H3936" s="422"/>
      <c r="I3936" s="443"/>
      <c r="J3936" s="422"/>
      <c r="K3936" s="444">
        <v>6009.54</v>
      </c>
    </row>
    <row r="3937" customHeight="1" spans="1:11">
      <c r="A3937" s="423" t="s">
        <v>1209</v>
      </c>
      <c r="B3937" s="424" t="s">
        <v>1714</v>
      </c>
      <c r="C3937" s="423" t="s">
        <v>1715</v>
      </c>
      <c r="D3937" s="423" t="s">
        <v>1716</v>
      </c>
      <c r="E3937" s="423" t="s">
        <v>1717</v>
      </c>
      <c r="F3937" s="423"/>
      <c r="G3937" s="425" t="s">
        <v>1718</v>
      </c>
      <c r="H3937" s="424" t="s">
        <v>1719</v>
      </c>
      <c r="I3937" s="424" t="s">
        <v>1720</v>
      </c>
      <c r="J3937" s="424" t="s">
        <v>1721</v>
      </c>
      <c r="K3937" s="424" t="s">
        <v>1722</v>
      </c>
    </row>
    <row r="3938" customHeight="1" spans="1:11">
      <c r="A3938" s="426" t="s">
        <v>1723</v>
      </c>
      <c r="B3938" s="427" t="s">
        <v>1210</v>
      </c>
      <c r="C3938" s="426" t="s">
        <v>71</v>
      </c>
      <c r="D3938" s="426" t="s">
        <v>1211</v>
      </c>
      <c r="E3938" s="426" t="s">
        <v>1678</v>
      </c>
      <c r="F3938" s="426"/>
      <c r="G3938" s="428" t="s">
        <v>78</v>
      </c>
      <c r="H3938" s="429">
        <v>1</v>
      </c>
      <c r="I3938" s="445"/>
      <c r="J3938" s="445">
        <v>23.21</v>
      </c>
      <c r="K3938" s="445">
        <v>23.21</v>
      </c>
    </row>
    <row r="3939" customHeight="1" spans="1:11">
      <c r="A3939" s="430" t="s">
        <v>1724</v>
      </c>
      <c r="B3939" s="431" t="s">
        <v>3042</v>
      </c>
      <c r="C3939" s="430" t="s">
        <v>71</v>
      </c>
      <c r="D3939" s="430" t="s">
        <v>3043</v>
      </c>
      <c r="E3939" s="430" t="s">
        <v>1795</v>
      </c>
      <c r="F3939" s="430"/>
      <c r="G3939" s="432" t="s">
        <v>1796</v>
      </c>
      <c r="H3939" s="433">
        <v>0.116</v>
      </c>
      <c r="I3939" s="433">
        <v>0</v>
      </c>
      <c r="J3939" s="446">
        <v>0.92</v>
      </c>
      <c r="K3939" s="446">
        <v>0.1</v>
      </c>
    </row>
    <row r="3940" customHeight="1" spans="1:11">
      <c r="A3940" s="430" t="s">
        <v>1724</v>
      </c>
      <c r="B3940" s="431" t="s">
        <v>1854</v>
      </c>
      <c r="C3940" s="430" t="s">
        <v>71</v>
      </c>
      <c r="D3940" s="430" t="s">
        <v>1855</v>
      </c>
      <c r="E3940" s="430" t="s">
        <v>1708</v>
      </c>
      <c r="F3940" s="430"/>
      <c r="G3940" s="432" t="s">
        <v>82</v>
      </c>
      <c r="H3940" s="433">
        <v>0.1694</v>
      </c>
      <c r="I3940" s="433">
        <v>0</v>
      </c>
      <c r="J3940" s="446">
        <v>35.55</v>
      </c>
      <c r="K3940" s="446">
        <v>6.02</v>
      </c>
    </row>
    <row r="3941" customHeight="1" spans="1:11">
      <c r="A3941" s="430" t="s">
        <v>1724</v>
      </c>
      <c r="B3941" s="431" t="s">
        <v>1859</v>
      </c>
      <c r="C3941" s="430" t="s">
        <v>71</v>
      </c>
      <c r="D3941" s="430" t="s">
        <v>1860</v>
      </c>
      <c r="E3941" s="430" t="s">
        <v>1708</v>
      </c>
      <c r="F3941" s="430"/>
      <c r="G3941" s="432" t="s">
        <v>82</v>
      </c>
      <c r="H3941" s="433">
        <v>0.1694</v>
      </c>
      <c r="I3941" s="433">
        <v>0</v>
      </c>
      <c r="J3941" s="446">
        <v>29.54</v>
      </c>
      <c r="K3941" s="446">
        <v>5</v>
      </c>
    </row>
    <row r="3942" customHeight="1" spans="1:11">
      <c r="A3942" s="438" t="s">
        <v>1750</v>
      </c>
      <c r="B3942" s="439" t="s">
        <v>3044</v>
      </c>
      <c r="C3942" s="438" t="s">
        <v>71</v>
      </c>
      <c r="D3942" s="438" t="s">
        <v>3045</v>
      </c>
      <c r="E3942" s="438" t="s">
        <v>1631</v>
      </c>
      <c r="F3942" s="438"/>
      <c r="G3942" s="440" t="s">
        <v>78</v>
      </c>
      <c r="H3942" s="441">
        <v>1.0667</v>
      </c>
      <c r="I3942" s="441">
        <v>0</v>
      </c>
      <c r="J3942" s="449">
        <v>11.34</v>
      </c>
      <c r="K3942" s="449">
        <v>12.09</v>
      </c>
    </row>
    <row r="3943" customHeight="1" spans="1:11">
      <c r="A3943" s="434"/>
      <c r="B3943" s="434"/>
      <c r="C3943" s="434"/>
      <c r="D3943" s="434"/>
      <c r="E3943" s="434"/>
      <c r="F3943" s="434" t="s">
        <v>1735</v>
      </c>
      <c r="G3943" s="435">
        <v>4.1</v>
      </c>
      <c r="H3943" s="434" t="s">
        <v>1736</v>
      </c>
      <c r="I3943" s="435">
        <v>3.74</v>
      </c>
      <c r="J3943" s="434" t="s">
        <v>1737</v>
      </c>
      <c r="K3943" s="435">
        <v>7.84</v>
      </c>
    </row>
    <row r="3944" customHeight="1" spans="1:11">
      <c r="A3944" s="434"/>
      <c r="B3944" s="434"/>
      <c r="C3944" s="434"/>
      <c r="D3944" s="434"/>
      <c r="E3944" s="434"/>
      <c r="F3944" s="434" t="s">
        <v>1738</v>
      </c>
      <c r="G3944" s="435">
        <v>5.72</v>
      </c>
      <c r="H3944" s="434"/>
      <c r="I3944" s="434" t="s">
        <v>1739</v>
      </c>
      <c r="J3944" s="434"/>
      <c r="K3944" s="435">
        <v>28.93</v>
      </c>
    </row>
    <row r="3945" customHeight="1" spans="1:11">
      <c r="A3945" s="436"/>
      <c r="B3945" s="436"/>
      <c r="C3945" s="436"/>
      <c r="D3945" s="436"/>
      <c r="E3945" s="436"/>
      <c r="F3945" s="436"/>
      <c r="G3945" s="436"/>
      <c r="H3945" s="436" t="s">
        <v>1740</v>
      </c>
      <c r="I3945" s="447" t="s">
        <v>3046</v>
      </c>
      <c r="J3945" s="436" t="s">
        <v>1742</v>
      </c>
      <c r="K3945" s="448">
        <v>4455.22</v>
      </c>
    </row>
    <row r="3946" customHeight="1" spans="1:11">
      <c r="A3946" s="437"/>
      <c r="B3946" s="437"/>
      <c r="C3946" s="437"/>
      <c r="D3946" s="437"/>
      <c r="E3946" s="437"/>
      <c r="F3946" s="437"/>
      <c r="G3946" s="437"/>
      <c r="H3946" s="437"/>
      <c r="I3946" s="437"/>
      <c r="J3946" s="437"/>
      <c r="K3946" s="437"/>
    </row>
    <row r="3947" customHeight="1" spans="1:11">
      <c r="A3947" s="423" t="s">
        <v>1212</v>
      </c>
      <c r="B3947" s="424" t="s">
        <v>1714</v>
      </c>
      <c r="C3947" s="423" t="s">
        <v>1715</v>
      </c>
      <c r="D3947" s="423" t="s">
        <v>1716</v>
      </c>
      <c r="E3947" s="423" t="s">
        <v>1717</v>
      </c>
      <c r="F3947" s="423"/>
      <c r="G3947" s="425" t="s">
        <v>1718</v>
      </c>
      <c r="H3947" s="424" t="s">
        <v>1719</v>
      </c>
      <c r="I3947" s="424" t="s">
        <v>1720</v>
      </c>
      <c r="J3947" s="424" t="s">
        <v>1721</v>
      </c>
      <c r="K3947" s="424" t="s">
        <v>1722</v>
      </c>
    </row>
    <row r="3948" customHeight="1" spans="1:11">
      <c r="A3948" s="426" t="s">
        <v>1723</v>
      </c>
      <c r="B3948" s="427" t="s">
        <v>1213</v>
      </c>
      <c r="C3948" s="426" t="s">
        <v>71</v>
      </c>
      <c r="D3948" s="426" t="s">
        <v>1214</v>
      </c>
      <c r="E3948" s="426" t="s">
        <v>1678</v>
      </c>
      <c r="F3948" s="426"/>
      <c r="G3948" s="428" t="s">
        <v>78</v>
      </c>
      <c r="H3948" s="429">
        <v>1</v>
      </c>
      <c r="I3948" s="445"/>
      <c r="J3948" s="445">
        <v>28.04</v>
      </c>
      <c r="K3948" s="445">
        <v>28.04</v>
      </c>
    </row>
    <row r="3949" customHeight="1" spans="1:11">
      <c r="A3949" s="430" t="s">
        <v>1724</v>
      </c>
      <c r="B3949" s="431" t="s">
        <v>1854</v>
      </c>
      <c r="C3949" s="430" t="s">
        <v>71</v>
      </c>
      <c r="D3949" s="430" t="s">
        <v>1855</v>
      </c>
      <c r="E3949" s="430" t="s">
        <v>1708</v>
      </c>
      <c r="F3949" s="430"/>
      <c r="G3949" s="432" t="s">
        <v>82</v>
      </c>
      <c r="H3949" s="433">
        <v>0.1789</v>
      </c>
      <c r="I3949" s="433">
        <v>0</v>
      </c>
      <c r="J3949" s="446">
        <v>35.55</v>
      </c>
      <c r="K3949" s="446">
        <v>6.35</v>
      </c>
    </row>
    <row r="3950" customHeight="1" spans="1:11">
      <c r="A3950" s="430" t="s">
        <v>1724</v>
      </c>
      <c r="B3950" s="431" t="s">
        <v>1859</v>
      </c>
      <c r="C3950" s="430" t="s">
        <v>71</v>
      </c>
      <c r="D3950" s="430" t="s">
        <v>1860</v>
      </c>
      <c r="E3950" s="430" t="s">
        <v>1708</v>
      </c>
      <c r="F3950" s="430"/>
      <c r="G3950" s="432" t="s">
        <v>82</v>
      </c>
      <c r="H3950" s="433">
        <v>0.1789</v>
      </c>
      <c r="I3950" s="433">
        <v>0</v>
      </c>
      <c r="J3950" s="446">
        <v>29.54</v>
      </c>
      <c r="K3950" s="446">
        <v>5.28</v>
      </c>
    </row>
    <row r="3951" customHeight="1" spans="1:11">
      <c r="A3951" s="430" t="s">
        <v>1724</v>
      </c>
      <c r="B3951" s="431" t="s">
        <v>3042</v>
      </c>
      <c r="C3951" s="430" t="s">
        <v>71</v>
      </c>
      <c r="D3951" s="430" t="s">
        <v>3043</v>
      </c>
      <c r="E3951" s="430" t="s">
        <v>1795</v>
      </c>
      <c r="F3951" s="430"/>
      <c r="G3951" s="432" t="s">
        <v>1796</v>
      </c>
      <c r="H3951" s="433">
        <v>0.1225</v>
      </c>
      <c r="I3951" s="433">
        <v>0</v>
      </c>
      <c r="J3951" s="446">
        <v>0.92</v>
      </c>
      <c r="K3951" s="446">
        <v>0.11</v>
      </c>
    </row>
    <row r="3952" customHeight="1" spans="1:11">
      <c r="A3952" s="438" t="s">
        <v>1750</v>
      </c>
      <c r="B3952" s="439" t="s">
        <v>3047</v>
      </c>
      <c r="C3952" s="438" t="s">
        <v>71</v>
      </c>
      <c r="D3952" s="438" t="s">
        <v>3048</v>
      </c>
      <c r="E3952" s="438" t="s">
        <v>1631</v>
      </c>
      <c r="F3952" s="438"/>
      <c r="G3952" s="440" t="s">
        <v>78</v>
      </c>
      <c r="H3952" s="441">
        <v>1.0667</v>
      </c>
      <c r="I3952" s="441">
        <v>0</v>
      </c>
      <c r="J3952" s="449">
        <v>15.29</v>
      </c>
      <c r="K3952" s="449">
        <v>16.3</v>
      </c>
    </row>
    <row r="3953" customHeight="1" spans="1:11">
      <c r="A3953" s="434"/>
      <c r="B3953" s="434"/>
      <c r="C3953" s="434"/>
      <c r="D3953" s="434"/>
      <c r="E3953" s="434"/>
      <c r="F3953" s="434" t="s">
        <v>1735</v>
      </c>
      <c r="G3953" s="435">
        <v>4.33</v>
      </c>
      <c r="H3953" s="434" t="s">
        <v>1736</v>
      </c>
      <c r="I3953" s="435">
        <v>3.95</v>
      </c>
      <c r="J3953" s="434" t="s">
        <v>1737</v>
      </c>
      <c r="K3953" s="435">
        <v>8.28</v>
      </c>
    </row>
    <row r="3954" customHeight="1" spans="1:11">
      <c r="A3954" s="434"/>
      <c r="B3954" s="434"/>
      <c r="C3954" s="434"/>
      <c r="D3954" s="434"/>
      <c r="E3954" s="434"/>
      <c r="F3954" s="434" t="s">
        <v>1738</v>
      </c>
      <c r="G3954" s="435">
        <v>6.91</v>
      </c>
      <c r="H3954" s="434"/>
      <c r="I3954" s="434" t="s">
        <v>1739</v>
      </c>
      <c r="J3954" s="434"/>
      <c r="K3954" s="435">
        <v>34.95</v>
      </c>
    </row>
    <row r="3955" customHeight="1" spans="1:11">
      <c r="A3955" s="436"/>
      <c r="B3955" s="436"/>
      <c r="C3955" s="436"/>
      <c r="D3955" s="436"/>
      <c r="E3955" s="436"/>
      <c r="F3955" s="436"/>
      <c r="G3955" s="436"/>
      <c r="H3955" s="436" t="s">
        <v>1740</v>
      </c>
      <c r="I3955" s="447" t="s">
        <v>1759</v>
      </c>
      <c r="J3955" s="436" t="s">
        <v>1742</v>
      </c>
      <c r="K3955" s="448">
        <v>209.7</v>
      </c>
    </row>
    <row r="3956" customHeight="1" spans="1:11">
      <c r="A3956" s="437"/>
      <c r="B3956" s="437"/>
      <c r="C3956" s="437"/>
      <c r="D3956" s="437"/>
      <c r="E3956" s="437"/>
      <c r="F3956" s="437"/>
      <c r="G3956" s="437"/>
      <c r="H3956" s="437"/>
      <c r="I3956" s="437"/>
      <c r="J3956" s="437"/>
      <c r="K3956" s="437"/>
    </row>
    <row r="3957" customHeight="1" spans="1:11">
      <c r="A3957" s="423" t="s">
        <v>1215</v>
      </c>
      <c r="B3957" s="424" t="s">
        <v>1714</v>
      </c>
      <c r="C3957" s="423" t="s">
        <v>1715</v>
      </c>
      <c r="D3957" s="423" t="s">
        <v>1716</v>
      </c>
      <c r="E3957" s="423" t="s">
        <v>1717</v>
      </c>
      <c r="F3957" s="423"/>
      <c r="G3957" s="425" t="s">
        <v>1718</v>
      </c>
      <c r="H3957" s="424" t="s">
        <v>1719</v>
      </c>
      <c r="I3957" s="424" t="s">
        <v>1720</v>
      </c>
      <c r="J3957" s="424" t="s">
        <v>1721</v>
      </c>
      <c r="K3957" s="424" t="s">
        <v>1722</v>
      </c>
    </row>
    <row r="3958" customHeight="1" spans="1:11">
      <c r="A3958" s="426" t="s">
        <v>1723</v>
      </c>
      <c r="B3958" s="427" t="s">
        <v>1216</v>
      </c>
      <c r="C3958" s="426" t="s">
        <v>71</v>
      </c>
      <c r="D3958" s="426" t="s">
        <v>1217</v>
      </c>
      <c r="E3958" s="426" t="s">
        <v>1678</v>
      </c>
      <c r="F3958" s="426"/>
      <c r="G3958" s="428" t="s">
        <v>105</v>
      </c>
      <c r="H3958" s="429">
        <v>1</v>
      </c>
      <c r="I3958" s="445"/>
      <c r="J3958" s="445">
        <v>9.79</v>
      </c>
      <c r="K3958" s="445">
        <v>9.79</v>
      </c>
    </row>
    <row r="3959" customHeight="1" spans="1:11">
      <c r="A3959" s="430" t="s">
        <v>1724</v>
      </c>
      <c r="B3959" s="431" t="s">
        <v>1859</v>
      </c>
      <c r="C3959" s="430" t="s">
        <v>71</v>
      </c>
      <c r="D3959" s="430" t="s">
        <v>1860</v>
      </c>
      <c r="E3959" s="430" t="s">
        <v>1708</v>
      </c>
      <c r="F3959" s="430"/>
      <c r="G3959" s="432" t="s">
        <v>82</v>
      </c>
      <c r="H3959" s="433">
        <v>0.087</v>
      </c>
      <c r="I3959" s="433">
        <v>0</v>
      </c>
      <c r="J3959" s="446">
        <v>29.54</v>
      </c>
      <c r="K3959" s="446">
        <v>2.56</v>
      </c>
    </row>
    <row r="3960" customHeight="1" spans="1:11">
      <c r="A3960" s="430" t="s">
        <v>1724</v>
      </c>
      <c r="B3960" s="431" t="s">
        <v>3042</v>
      </c>
      <c r="C3960" s="430" t="s">
        <v>71</v>
      </c>
      <c r="D3960" s="430" t="s">
        <v>3043</v>
      </c>
      <c r="E3960" s="430" t="s">
        <v>1795</v>
      </c>
      <c r="F3960" s="430"/>
      <c r="G3960" s="432" t="s">
        <v>1796</v>
      </c>
      <c r="H3960" s="433">
        <v>0.0596</v>
      </c>
      <c r="I3960" s="433">
        <v>0</v>
      </c>
      <c r="J3960" s="446">
        <v>0.92</v>
      </c>
      <c r="K3960" s="446">
        <v>0.05</v>
      </c>
    </row>
    <row r="3961" customHeight="1" spans="1:11">
      <c r="A3961" s="430" t="s">
        <v>1724</v>
      </c>
      <c r="B3961" s="431" t="s">
        <v>1854</v>
      </c>
      <c r="C3961" s="430" t="s">
        <v>71</v>
      </c>
      <c r="D3961" s="430" t="s">
        <v>1855</v>
      </c>
      <c r="E3961" s="430" t="s">
        <v>1708</v>
      </c>
      <c r="F3961" s="430"/>
      <c r="G3961" s="432" t="s">
        <v>82</v>
      </c>
      <c r="H3961" s="433">
        <v>0.087</v>
      </c>
      <c r="I3961" s="433">
        <v>0</v>
      </c>
      <c r="J3961" s="446">
        <v>35.55</v>
      </c>
      <c r="K3961" s="446">
        <v>3.09</v>
      </c>
    </row>
    <row r="3962" customHeight="1" spans="1:11">
      <c r="A3962" s="438" t="s">
        <v>1750</v>
      </c>
      <c r="B3962" s="439" t="s">
        <v>3049</v>
      </c>
      <c r="C3962" s="438" t="s">
        <v>71</v>
      </c>
      <c r="D3962" s="438" t="s">
        <v>3050</v>
      </c>
      <c r="E3962" s="438" t="s">
        <v>1631</v>
      </c>
      <c r="F3962" s="438"/>
      <c r="G3962" s="440" t="s">
        <v>105</v>
      </c>
      <c r="H3962" s="441">
        <v>1</v>
      </c>
      <c r="I3962" s="441">
        <v>0</v>
      </c>
      <c r="J3962" s="449">
        <v>4.09</v>
      </c>
      <c r="K3962" s="449">
        <v>4.09</v>
      </c>
    </row>
    <row r="3963" customHeight="1" spans="1:11">
      <c r="A3963" s="434"/>
      <c r="B3963" s="434"/>
      <c r="C3963" s="434"/>
      <c r="D3963" s="434"/>
      <c r="E3963" s="434"/>
      <c r="F3963" s="434" t="s">
        <v>1735</v>
      </c>
      <c r="G3963" s="435">
        <v>2.1</v>
      </c>
      <c r="H3963" s="434" t="s">
        <v>1736</v>
      </c>
      <c r="I3963" s="435">
        <v>1.92</v>
      </c>
      <c r="J3963" s="434" t="s">
        <v>1737</v>
      </c>
      <c r="K3963" s="435">
        <v>4.02</v>
      </c>
    </row>
    <row r="3964" customHeight="1" spans="1:11">
      <c r="A3964" s="434"/>
      <c r="B3964" s="434"/>
      <c r="C3964" s="434"/>
      <c r="D3964" s="434"/>
      <c r="E3964" s="434"/>
      <c r="F3964" s="434" t="s">
        <v>1738</v>
      </c>
      <c r="G3964" s="435">
        <v>2.41</v>
      </c>
      <c r="H3964" s="434"/>
      <c r="I3964" s="434" t="s">
        <v>1739</v>
      </c>
      <c r="J3964" s="434"/>
      <c r="K3964" s="435">
        <v>12.2</v>
      </c>
    </row>
    <row r="3965" customHeight="1" spans="1:11">
      <c r="A3965" s="436"/>
      <c r="B3965" s="436"/>
      <c r="C3965" s="436"/>
      <c r="D3965" s="436"/>
      <c r="E3965" s="436"/>
      <c r="F3965" s="436"/>
      <c r="G3965" s="436"/>
      <c r="H3965" s="436" t="s">
        <v>1740</v>
      </c>
      <c r="I3965" s="447" t="s">
        <v>2020</v>
      </c>
      <c r="J3965" s="436" t="s">
        <v>1742</v>
      </c>
      <c r="K3965" s="448">
        <v>146.4</v>
      </c>
    </row>
    <row r="3966" customHeight="1" spans="1:11">
      <c r="A3966" s="437"/>
      <c r="B3966" s="437"/>
      <c r="C3966" s="437"/>
      <c r="D3966" s="437"/>
      <c r="E3966" s="437"/>
      <c r="F3966" s="437"/>
      <c r="G3966" s="437"/>
      <c r="H3966" s="437"/>
      <c r="I3966" s="437"/>
      <c r="J3966" s="437"/>
      <c r="K3966" s="437"/>
    </row>
    <row r="3967" customHeight="1" spans="1:11">
      <c r="A3967" s="423" t="s">
        <v>1218</v>
      </c>
      <c r="B3967" s="424" t="s">
        <v>1714</v>
      </c>
      <c r="C3967" s="423" t="s">
        <v>1715</v>
      </c>
      <c r="D3967" s="423" t="s">
        <v>1716</v>
      </c>
      <c r="E3967" s="423" t="s">
        <v>1717</v>
      </c>
      <c r="F3967" s="423"/>
      <c r="G3967" s="425" t="s">
        <v>1718</v>
      </c>
      <c r="H3967" s="424" t="s">
        <v>1719</v>
      </c>
      <c r="I3967" s="424" t="s">
        <v>1720</v>
      </c>
      <c r="J3967" s="424" t="s">
        <v>1721</v>
      </c>
      <c r="K3967" s="424" t="s">
        <v>1722</v>
      </c>
    </row>
    <row r="3968" customHeight="1" spans="1:11">
      <c r="A3968" s="426" t="s">
        <v>1723</v>
      </c>
      <c r="B3968" s="427" t="s">
        <v>1219</v>
      </c>
      <c r="C3968" s="426" t="s">
        <v>71</v>
      </c>
      <c r="D3968" s="426" t="s">
        <v>1220</v>
      </c>
      <c r="E3968" s="426" t="s">
        <v>1678</v>
      </c>
      <c r="F3968" s="426"/>
      <c r="G3968" s="428" t="s">
        <v>105</v>
      </c>
      <c r="H3968" s="429">
        <v>1</v>
      </c>
      <c r="I3968" s="445"/>
      <c r="J3968" s="445">
        <v>12.62</v>
      </c>
      <c r="K3968" s="445">
        <v>12.62</v>
      </c>
    </row>
    <row r="3969" customHeight="1" spans="1:11">
      <c r="A3969" s="430" t="s">
        <v>1724</v>
      </c>
      <c r="B3969" s="431" t="s">
        <v>1859</v>
      </c>
      <c r="C3969" s="430" t="s">
        <v>71</v>
      </c>
      <c r="D3969" s="430" t="s">
        <v>1860</v>
      </c>
      <c r="E3969" s="430" t="s">
        <v>1708</v>
      </c>
      <c r="F3969" s="430"/>
      <c r="G3969" s="432" t="s">
        <v>82</v>
      </c>
      <c r="H3969" s="433">
        <v>0.1305</v>
      </c>
      <c r="I3969" s="433">
        <v>0</v>
      </c>
      <c r="J3969" s="446">
        <v>29.54</v>
      </c>
      <c r="K3969" s="446">
        <v>3.85</v>
      </c>
    </row>
    <row r="3970" customHeight="1" spans="1:11">
      <c r="A3970" s="430" t="s">
        <v>1724</v>
      </c>
      <c r="B3970" s="431" t="s">
        <v>1854</v>
      </c>
      <c r="C3970" s="430" t="s">
        <v>71</v>
      </c>
      <c r="D3970" s="430" t="s">
        <v>1855</v>
      </c>
      <c r="E3970" s="430" t="s">
        <v>1708</v>
      </c>
      <c r="F3970" s="430"/>
      <c r="G3970" s="432" t="s">
        <v>82</v>
      </c>
      <c r="H3970" s="433">
        <v>0.1305</v>
      </c>
      <c r="I3970" s="433">
        <v>0</v>
      </c>
      <c r="J3970" s="446">
        <v>35.55</v>
      </c>
      <c r="K3970" s="446">
        <v>4.63</v>
      </c>
    </row>
    <row r="3971" customHeight="1" spans="1:11">
      <c r="A3971" s="430" t="s">
        <v>1724</v>
      </c>
      <c r="B3971" s="431" t="s">
        <v>3042</v>
      </c>
      <c r="C3971" s="430" t="s">
        <v>71</v>
      </c>
      <c r="D3971" s="430" t="s">
        <v>3043</v>
      </c>
      <c r="E3971" s="430" t="s">
        <v>1795</v>
      </c>
      <c r="F3971" s="430"/>
      <c r="G3971" s="432" t="s">
        <v>1796</v>
      </c>
      <c r="H3971" s="433">
        <v>0.0894</v>
      </c>
      <c r="I3971" s="433">
        <v>0</v>
      </c>
      <c r="J3971" s="446">
        <v>0.92</v>
      </c>
      <c r="K3971" s="446">
        <v>0.08</v>
      </c>
    </row>
    <row r="3972" customHeight="1" spans="1:11">
      <c r="A3972" s="438" t="s">
        <v>1750</v>
      </c>
      <c r="B3972" s="439" t="s">
        <v>3051</v>
      </c>
      <c r="C3972" s="438" t="s">
        <v>71</v>
      </c>
      <c r="D3972" s="438" t="s">
        <v>3052</v>
      </c>
      <c r="E3972" s="438" t="s">
        <v>1631</v>
      </c>
      <c r="F3972" s="438"/>
      <c r="G3972" s="440" t="s">
        <v>105</v>
      </c>
      <c r="H3972" s="441">
        <v>1</v>
      </c>
      <c r="I3972" s="441">
        <v>0</v>
      </c>
      <c r="J3972" s="449">
        <v>4.06</v>
      </c>
      <c r="K3972" s="449">
        <v>4.06</v>
      </c>
    </row>
    <row r="3973" customHeight="1" spans="1:11">
      <c r="A3973" s="434"/>
      <c r="B3973" s="434"/>
      <c r="C3973" s="434"/>
      <c r="D3973" s="434"/>
      <c r="E3973" s="434"/>
      <c r="F3973" s="434" t="s">
        <v>1735</v>
      </c>
      <c r="G3973" s="435">
        <v>3.16</v>
      </c>
      <c r="H3973" s="434" t="s">
        <v>1736</v>
      </c>
      <c r="I3973" s="435">
        <v>2.88</v>
      </c>
      <c r="J3973" s="434" t="s">
        <v>1737</v>
      </c>
      <c r="K3973" s="435">
        <v>6.04</v>
      </c>
    </row>
    <row r="3974" customHeight="1" spans="1:11">
      <c r="A3974" s="434"/>
      <c r="B3974" s="434"/>
      <c r="C3974" s="434"/>
      <c r="D3974" s="434"/>
      <c r="E3974" s="434"/>
      <c r="F3974" s="434" t="s">
        <v>1738</v>
      </c>
      <c r="G3974" s="435">
        <v>3.11</v>
      </c>
      <c r="H3974" s="434"/>
      <c r="I3974" s="434" t="s">
        <v>1739</v>
      </c>
      <c r="J3974" s="434"/>
      <c r="K3974" s="435">
        <v>15.73</v>
      </c>
    </row>
    <row r="3975" customHeight="1" spans="1:11">
      <c r="A3975" s="436"/>
      <c r="B3975" s="436"/>
      <c r="C3975" s="436"/>
      <c r="D3975" s="436"/>
      <c r="E3975" s="436"/>
      <c r="F3975" s="436"/>
      <c r="G3975" s="436"/>
      <c r="H3975" s="436" t="s">
        <v>1740</v>
      </c>
      <c r="I3975" s="447" t="s">
        <v>3053</v>
      </c>
      <c r="J3975" s="436" t="s">
        <v>1742</v>
      </c>
      <c r="K3975" s="448">
        <v>660.66</v>
      </c>
    </row>
    <row r="3976" customHeight="1" spans="1:11">
      <c r="A3976" s="437"/>
      <c r="B3976" s="437"/>
      <c r="C3976" s="437"/>
      <c r="D3976" s="437"/>
      <c r="E3976" s="437"/>
      <c r="F3976" s="437"/>
      <c r="G3976" s="437"/>
      <c r="H3976" s="437"/>
      <c r="I3976" s="437"/>
      <c r="J3976" s="437"/>
      <c r="K3976" s="437"/>
    </row>
    <row r="3977" customHeight="1" spans="1:11">
      <c r="A3977" s="423" t="s">
        <v>1221</v>
      </c>
      <c r="B3977" s="424" t="s">
        <v>1714</v>
      </c>
      <c r="C3977" s="423" t="s">
        <v>1715</v>
      </c>
      <c r="D3977" s="423" t="s">
        <v>1716</v>
      </c>
      <c r="E3977" s="423" t="s">
        <v>1717</v>
      </c>
      <c r="F3977" s="423"/>
      <c r="G3977" s="425" t="s">
        <v>1718</v>
      </c>
      <c r="H3977" s="424" t="s">
        <v>1719</v>
      </c>
      <c r="I3977" s="424" t="s">
        <v>1720</v>
      </c>
      <c r="J3977" s="424" t="s">
        <v>1721</v>
      </c>
      <c r="K3977" s="424" t="s">
        <v>1722</v>
      </c>
    </row>
    <row r="3978" customHeight="1" spans="1:11">
      <c r="A3978" s="426" t="s">
        <v>1723</v>
      </c>
      <c r="B3978" s="427" t="s">
        <v>1222</v>
      </c>
      <c r="C3978" s="426" t="s">
        <v>71</v>
      </c>
      <c r="D3978" s="426" t="s">
        <v>1223</v>
      </c>
      <c r="E3978" s="426" t="s">
        <v>1710</v>
      </c>
      <c r="F3978" s="426"/>
      <c r="G3978" s="428" t="s">
        <v>105</v>
      </c>
      <c r="H3978" s="429">
        <v>1</v>
      </c>
      <c r="I3978" s="445"/>
      <c r="J3978" s="445">
        <v>15.96</v>
      </c>
      <c r="K3978" s="445">
        <v>15.96</v>
      </c>
    </row>
    <row r="3979" customHeight="1" spans="1:11">
      <c r="A3979" s="430" t="s">
        <v>1724</v>
      </c>
      <c r="B3979" s="431" t="s">
        <v>1859</v>
      </c>
      <c r="C3979" s="430" t="s">
        <v>71</v>
      </c>
      <c r="D3979" s="430" t="s">
        <v>1860</v>
      </c>
      <c r="E3979" s="430" t="s">
        <v>1708</v>
      </c>
      <c r="F3979" s="430"/>
      <c r="G3979" s="432" t="s">
        <v>82</v>
      </c>
      <c r="H3979" s="433">
        <v>0.1283</v>
      </c>
      <c r="I3979" s="433">
        <v>0</v>
      </c>
      <c r="J3979" s="446">
        <v>29.54</v>
      </c>
      <c r="K3979" s="446">
        <v>3.78</v>
      </c>
    </row>
    <row r="3980" customHeight="1" spans="1:11">
      <c r="A3980" s="430" t="s">
        <v>1724</v>
      </c>
      <c r="B3980" s="431" t="s">
        <v>3042</v>
      </c>
      <c r="C3980" s="430" t="s">
        <v>71</v>
      </c>
      <c r="D3980" s="430" t="s">
        <v>3043</v>
      </c>
      <c r="E3980" s="430" t="s">
        <v>1795</v>
      </c>
      <c r="F3980" s="430"/>
      <c r="G3980" s="432" t="s">
        <v>1796</v>
      </c>
      <c r="H3980" s="433">
        <v>0.0879</v>
      </c>
      <c r="I3980" s="433">
        <v>0</v>
      </c>
      <c r="J3980" s="446">
        <v>0.92</v>
      </c>
      <c r="K3980" s="446">
        <v>0.08</v>
      </c>
    </row>
    <row r="3981" customHeight="1" spans="1:11">
      <c r="A3981" s="430" t="s">
        <v>1724</v>
      </c>
      <c r="B3981" s="431" t="s">
        <v>1854</v>
      </c>
      <c r="C3981" s="430" t="s">
        <v>71</v>
      </c>
      <c r="D3981" s="430" t="s">
        <v>1855</v>
      </c>
      <c r="E3981" s="430" t="s">
        <v>1708</v>
      </c>
      <c r="F3981" s="430"/>
      <c r="G3981" s="432" t="s">
        <v>82</v>
      </c>
      <c r="H3981" s="433">
        <v>0.1283</v>
      </c>
      <c r="I3981" s="433">
        <v>0</v>
      </c>
      <c r="J3981" s="446">
        <v>35.55</v>
      </c>
      <c r="K3981" s="446">
        <v>4.56</v>
      </c>
    </row>
    <row r="3982" customHeight="1" spans="1:11">
      <c r="A3982" s="430" t="s">
        <v>1724</v>
      </c>
      <c r="B3982" s="431" t="s">
        <v>3054</v>
      </c>
      <c r="C3982" s="430" t="s">
        <v>71</v>
      </c>
      <c r="D3982" s="430" t="s">
        <v>3055</v>
      </c>
      <c r="E3982" s="430" t="s">
        <v>1795</v>
      </c>
      <c r="F3982" s="430"/>
      <c r="G3982" s="432" t="s">
        <v>1804</v>
      </c>
      <c r="H3982" s="433">
        <v>0.0404</v>
      </c>
      <c r="I3982" s="433">
        <v>0</v>
      </c>
      <c r="J3982" s="446">
        <v>0.07</v>
      </c>
      <c r="K3982" s="446">
        <v>0</v>
      </c>
    </row>
    <row r="3983" customHeight="1" spans="1:11">
      <c r="A3983" s="438" t="s">
        <v>1750</v>
      </c>
      <c r="B3983" s="439" t="s">
        <v>3056</v>
      </c>
      <c r="C3983" s="438" t="s">
        <v>71</v>
      </c>
      <c r="D3983" s="438" t="s">
        <v>3057</v>
      </c>
      <c r="E3983" s="438" t="s">
        <v>1631</v>
      </c>
      <c r="F3983" s="438"/>
      <c r="G3983" s="440" t="s">
        <v>105</v>
      </c>
      <c r="H3983" s="441">
        <v>1</v>
      </c>
      <c r="I3983" s="441">
        <v>0</v>
      </c>
      <c r="J3983" s="449">
        <v>7.54</v>
      </c>
      <c r="K3983" s="449">
        <v>7.54</v>
      </c>
    </row>
    <row r="3984" customHeight="1" spans="1:11">
      <c r="A3984" s="434"/>
      <c r="B3984" s="434"/>
      <c r="C3984" s="434"/>
      <c r="D3984" s="434"/>
      <c r="E3984" s="434"/>
      <c r="F3984" s="434" t="s">
        <v>1735</v>
      </c>
      <c r="G3984" s="435">
        <v>3.1</v>
      </c>
      <c r="H3984" s="434" t="s">
        <v>1736</v>
      </c>
      <c r="I3984" s="435">
        <v>2.83</v>
      </c>
      <c r="J3984" s="434" t="s">
        <v>1737</v>
      </c>
      <c r="K3984" s="435">
        <v>5.93</v>
      </c>
    </row>
    <row r="3985" customHeight="1" spans="1:11">
      <c r="A3985" s="434"/>
      <c r="B3985" s="434"/>
      <c r="C3985" s="434"/>
      <c r="D3985" s="434"/>
      <c r="E3985" s="434"/>
      <c r="F3985" s="434" t="s">
        <v>1738</v>
      </c>
      <c r="G3985" s="435">
        <v>3.93</v>
      </c>
      <c r="H3985" s="434"/>
      <c r="I3985" s="434" t="s">
        <v>1739</v>
      </c>
      <c r="J3985" s="434"/>
      <c r="K3985" s="435">
        <v>19.89</v>
      </c>
    </row>
    <row r="3986" customHeight="1" spans="1:11">
      <c r="A3986" s="436"/>
      <c r="B3986" s="436"/>
      <c r="C3986" s="436"/>
      <c r="D3986" s="436"/>
      <c r="E3986" s="436"/>
      <c r="F3986" s="436"/>
      <c r="G3986" s="436"/>
      <c r="H3986" s="436" t="s">
        <v>1740</v>
      </c>
      <c r="I3986" s="447" t="s">
        <v>3058</v>
      </c>
      <c r="J3986" s="436" t="s">
        <v>1742</v>
      </c>
      <c r="K3986" s="448">
        <v>358.02</v>
      </c>
    </row>
    <row r="3987" customHeight="1" spans="1:11">
      <c r="A3987" s="437"/>
      <c r="B3987" s="437"/>
      <c r="C3987" s="437"/>
      <c r="D3987" s="437"/>
      <c r="E3987" s="437"/>
      <c r="F3987" s="437"/>
      <c r="G3987" s="437"/>
      <c r="H3987" s="437"/>
      <c r="I3987" s="437"/>
      <c r="J3987" s="437"/>
      <c r="K3987" s="437"/>
    </row>
    <row r="3988" customHeight="1" spans="1:11">
      <c r="A3988" s="423" t="s">
        <v>1224</v>
      </c>
      <c r="B3988" s="424" t="s">
        <v>1714</v>
      </c>
      <c r="C3988" s="423" t="s">
        <v>1715</v>
      </c>
      <c r="D3988" s="423" t="s">
        <v>1716</v>
      </c>
      <c r="E3988" s="423" t="s">
        <v>1717</v>
      </c>
      <c r="F3988" s="423"/>
      <c r="G3988" s="425" t="s">
        <v>1718</v>
      </c>
      <c r="H3988" s="424" t="s">
        <v>1719</v>
      </c>
      <c r="I3988" s="424" t="s">
        <v>1720</v>
      </c>
      <c r="J3988" s="424" t="s">
        <v>1721</v>
      </c>
      <c r="K3988" s="424" t="s">
        <v>1722</v>
      </c>
    </row>
    <row r="3989" customHeight="1" spans="1:11">
      <c r="A3989" s="426" t="s">
        <v>1723</v>
      </c>
      <c r="B3989" s="427" t="s">
        <v>1225</v>
      </c>
      <c r="C3989" s="426" t="s">
        <v>71</v>
      </c>
      <c r="D3989" s="426" t="s">
        <v>1226</v>
      </c>
      <c r="E3989" s="426" t="s">
        <v>1678</v>
      </c>
      <c r="F3989" s="426"/>
      <c r="G3989" s="428" t="s">
        <v>105</v>
      </c>
      <c r="H3989" s="429">
        <v>1</v>
      </c>
      <c r="I3989" s="445"/>
      <c r="J3989" s="445">
        <v>19.53</v>
      </c>
      <c r="K3989" s="445">
        <v>19.53</v>
      </c>
    </row>
    <row r="3990" customHeight="1" spans="1:11">
      <c r="A3990" s="430" t="s">
        <v>1724</v>
      </c>
      <c r="B3990" s="431" t="s">
        <v>1854</v>
      </c>
      <c r="C3990" s="430" t="s">
        <v>71</v>
      </c>
      <c r="D3990" s="430" t="s">
        <v>1855</v>
      </c>
      <c r="E3990" s="430" t="s">
        <v>1708</v>
      </c>
      <c r="F3990" s="430"/>
      <c r="G3990" s="432" t="s">
        <v>82</v>
      </c>
      <c r="H3990" s="433">
        <v>0.174</v>
      </c>
      <c r="I3990" s="433">
        <v>0</v>
      </c>
      <c r="J3990" s="446">
        <v>35.55</v>
      </c>
      <c r="K3990" s="446">
        <v>6.18</v>
      </c>
    </row>
    <row r="3991" customHeight="1" spans="1:11">
      <c r="A3991" s="430" t="s">
        <v>1724</v>
      </c>
      <c r="B3991" s="431" t="s">
        <v>3042</v>
      </c>
      <c r="C3991" s="430" t="s">
        <v>71</v>
      </c>
      <c r="D3991" s="430" t="s">
        <v>3043</v>
      </c>
      <c r="E3991" s="430" t="s">
        <v>1795</v>
      </c>
      <c r="F3991" s="430"/>
      <c r="G3991" s="432" t="s">
        <v>1796</v>
      </c>
      <c r="H3991" s="433">
        <v>0.1192</v>
      </c>
      <c r="I3991" s="433">
        <v>0</v>
      </c>
      <c r="J3991" s="446">
        <v>0.92</v>
      </c>
      <c r="K3991" s="446">
        <v>0.1</v>
      </c>
    </row>
    <row r="3992" customHeight="1" spans="1:11">
      <c r="A3992" s="430" t="s">
        <v>1724</v>
      </c>
      <c r="B3992" s="431" t="s">
        <v>1859</v>
      </c>
      <c r="C3992" s="430" t="s">
        <v>71</v>
      </c>
      <c r="D3992" s="430" t="s">
        <v>1860</v>
      </c>
      <c r="E3992" s="430" t="s">
        <v>1708</v>
      </c>
      <c r="F3992" s="430"/>
      <c r="G3992" s="432" t="s">
        <v>82</v>
      </c>
      <c r="H3992" s="433">
        <v>0.174</v>
      </c>
      <c r="I3992" s="433">
        <v>0</v>
      </c>
      <c r="J3992" s="446">
        <v>29.54</v>
      </c>
      <c r="K3992" s="446">
        <v>5.13</v>
      </c>
    </row>
    <row r="3993" customHeight="1" spans="1:11">
      <c r="A3993" s="438" t="s">
        <v>1750</v>
      </c>
      <c r="B3993" s="439" t="s">
        <v>3059</v>
      </c>
      <c r="C3993" s="438" t="s">
        <v>71</v>
      </c>
      <c r="D3993" s="438" t="s">
        <v>3060</v>
      </c>
      <c r="E3993" s="438" t="s">
        <v>1631</v>
      </c>
      <c r="F3993" s="438"/>
      <c r="G3993" s="440" t="s">
        <v>105</v>
      </c>
      <c r="H3993" s="441">
        <v>1</v>
      </c>
      <c r="I3993" s="441">
        <v>0</v>
      </c>
      <c r="J3993" s="449">
        <v>8.12</v>
      </c>
      <c r="K3993" s="449">
        <v>8.12</v>
      </c>
    </row>
    <row r="3994" customHeight="1" spans="1:11">
      <c r="A3994" s="434"/>
      <c r="B3994" s="434"/>
      <c r="C3994" s="434"/>
      <c r="D3994" s="434"/>
      <c r="E3994" s="434"/>
      <c r="F3994" s="434" t="s">
        <v>1735</v>
      </c>
      <c r="G3994" s="435">
        <v>4.21</v>
      </c>
      <c r="H3994" s="434" t="s">
        <v>1736</v>
      </c>
      <c r="I3994" s="435">
        <v>3.84</v>
      </c>
      <c r="J3994" s="434" t="s">
        <v>1737</v>
      </c>
      <c r="K3994" s="435">
        <v>8.05</v>
      </c>
    </row>
    <row r="3995" customHeight="1" spans="1:11">
      <c r="A3995" s="434"/>
      <c r="B3995" s="434"/>
      <c r="C3995" s="434"/>
      <c r="D3995" s="434"/>
      <c r="E3995" s="434"/>
      <c r="F3995" s="434" t="s">
        <v>1738</v>
      </c>
      <c r="G3995" s="435">
        <v>4.81</v>
      </c>
      <c r="H3995" s="434"/>
      <c r="I3995" s="434" t="s">
        <v>1739</v>
      </c>
      <c r="J3995" s="434"/>
      <c r="K3995" s="435">
        <v>24.34</v>
      </c>
    </row>
    <row r="3996" customHeight="1" spans="1:11">
      <c r="A3996" s="436"/>
      <c r="B3996" s="436"/>
      <c r="C3996" s="436"/>
      <c r="D3996" s="436"/>
      <c r="E3996" s="436"/>
      <c r="F3996" s="436"/>
      <c r="G3996" s="436"/>
      <c r="H3996" s="436" t="s">
        <v>1740</v>
      </c>
      <c r="I3996" s="447" t="s">
        <v>1759</v>
      </c>
      <c r="J3996" s="436" t="s">
        <v>1742</v>
      </c>
      <c r="K3996" s="448">
        <v>146.04</v>
      </c>
    </row>
    <row r="3997" customHeight="1" spans="1:11">
      <c r="A3997" s="437"/>
      <c r="B3997" s="437"/>
      <c r="C3997" s="437"/>
      <c r="D3997" s="437"/>
      <c r="E3997" s="437"/>
      <c r="F3997" s="437"/>
      <c r="G3997" s="437"/>
      <c r="H3997" s="437"/>
      <c r="I3997" s="437"/>
      <c r="J3997" s="437"/>
      <c r="K3997" s="437"/>
    </row>
    <row r="3998" customHeight="1" spans="1:11">
      <c r="A3998" s="423" t="s">
        <v>1227</v>
      </c>
      <c r="B3998" s="424" t="s">
        <v>1714</v>
      </c>
      <c r="C3998" s="423" t="s">
        <v>1715</v>
      </c>
      <c r="D3998" s="423" t="s">
        <v>1716</v>
      </c>
      <c r="E3998" s="423" t="s">
        <v>1717</v>
      </c>
      <c r="F3998" s="423"/>
      <c r="G3998" s="425" t="s">
        <v>1718</v>
      </c>
      <c r="H3998" s="424" t="s">
        <v>1719</v>
      </c>
      <c r="I3998" s="424" t="s">
        <v>1720</v>
      </c>
      <c r="J3998" s="424" t="s">
        <v>1721</v>
      </c>
      <c r="K3998" s="424" t="s">
        <v>1722</v>
      </c>
    </row>
    <row r="3999" customHeight="1" spans="1:11">
      <c r="A3999" s="426" t="s">
        <v>1723</v>
      </c>
      <c r="B3999" s="427" t="s">
        <v>1228</v>
      </c>
      <c r="C3999" s="426" t="s">
        <v>71</v>
      </c>
      <c r="D3999" s="426" t="s">
        <v>1229</v>
      </c>
      <c r="E3999" s="426" t="s">
        <v>1678</v>
      </c>
      <c r="F3999" s="426"/>
      <c r="G3999" s="428" t="s">
        <v>105</v>
      </c>
      <c r="H3999" s="429">
        <v>1</v>
      </c>
      <c r="I3999" s="445"/>
      <c r="J3999" s="445">
        <v>26.88</v>
      </c>
      <c r="K3999" s="445">
        <v>26.88</v>
      </c>
    </row>
    <row r="4000" customHeight="1" spans="1:11">
      <c r="A4000" s="430" t="s">
        <v>1724</v>
      </c>
      <c r="B4000" s="431" t="s">
        <v>3042</v>
      </c>
      <c r="C4000" s="430" t="s">
        <v>71</v>
      </c>
      <c r="D4000" s="430" t="s">
        <v>3043</v>
      </c>
      <c r="E4000" s="430" t="s">
        <v>1795</v>
      </c>
      <c r="F4000" s="430"/>
      <c r="G4000" s="432" t="s">
        <v>1796</v>
      </c>
      <c r="H4000" s="433">
        <v>0.1259</v>
      </c>
      <c r="I4000" s="433">
        <v>0</v>
      </c>
      <c r="J4000" s="446">
        <v>0.92</v>
      </c>
      <c r="K4000" s="446">
        <v>0.11</v>
      </c>
    </row>
    <row r="4001" customHeight="1" spans="1:11">
      <c r="A4001" s="430" t="s">
        <v>1724</v>
      </c>
      <c r="B4001" s="431" t="s">
        <v>1854</v>
      </c>
      <c r="C4001" s="430" t="s">
        <v>71</v>
      </c>
      <c r="D4001" s="430" t="s">
        <v>1855</v>
      </c>
      <c r="E4001" s="430" t="s">
        <v>1708</v>
      </c>
      <c r="F4001" s="430"/>
      <c r="G4001" s="432" t="s">
        <v>82</v>
      </c>
      <c r="H4001" s="433">
        <v>0.1839</v>
      </c>
      <c r="I4001" s="433">
        <v>0</v>
      </c>
      <c r="J4001" s="446">
        <v>35.55</v>
      </c>
      <c r="K4001" s="446">
        <v>6.53</v>
      </c>
    </row>
    <row r="4002" customHeight="1" spans="1:11">
      <c r="A4002" s="430" t="s">
        <v>1724</v>
      </c>
      <c r="B4002" s="431" t="s">
        <v>1859</v>
      </c>
      <c r="C4002" s="430" t="s">
        <v>71</v>
      </c>
      <c r="D4002" s="430" t="s">
        <v>1860</v>
      </c>
      <c r="E4002" s="430" t="s">
        <v>1708</v>
      </c>
      <c r="F4002" s="430"/>
      <c r="G4002" s="432" t="s">
        <v>82</v>
      </c>
      <c r="H4002" s="433">
        <v>0.1839</v>
      </c>
      <c r="I4002" s="433">
        <v>0</v>
      </c>
      <c r="J4002" s="446">
        <v>29.54</v>
      </c>
      <c r="K4002" s="446">
        <v>5.43</v>
      </c>
    </row>
    <row r="4003" customHeight="1" spans="1:11">
      <c r="A4003" s="438" t="s">
        <v>1750</v>
      </c>
      <c r="B4003" s="439" t="s">
        <v>3061</v>
      </c>
      <c r="C4003" s="438" t="s">
        <v>71</v>
      </c>
      <c r="D4003" s="438" t="s">
        <v>3062</v>
      </c>
      <c r="E4003" s="438" t="s">
        <v>1631</v>
      </c>
      <c r="F4003" s="438"/>
      <c r="G4003" s="440" t="s">
        <v>105</v>
      </c>
      <c r="H4003" s="441">
        <v>1</v>
      </c>
      <c r="I4003" s="441">
        <v>0</v>
      </c>
      <c r="J4003" s="449">
        <v>14.81</v>
      </c>
      <c r="K4003" s="449">
        <v>14.81</v>
      </c>
    </row>
    <row r="4004" customHeight="1" spans="1:11">
      <c r="A4004" s="434"/>
      <c r="B4004" s="434"/>
      <c r="C4004" s="434"/>
      <c r="D4004" s="434"/>
      <c r="E4004" s="434"/>
      <c r="F4004" s="434" t="s">
        <v>1735</v>
      </c>
      <c r="G4004" s="435">
        <v>4.45</v>
      </c>
      <c r="H4004" s="434" t="s">
        <v>1736</v>
      </c>
      <c r="I4004" s="435">
        <v>4.06</v>
      </c>
      <c r="J4004" s="434" t="s">
        <v>1737</v>
      </c>
      <c r="K4004" s="435">
        <v>8.51</v>
      </c>
    </row>
    <row r="4005" customHeight="1" spans="1:11">
      <c r="A4005" s="434"/>
      <c r="B4005" s="434"/>
      <c r="C4005" s="434"/>
      <c r="D4005" s="434"/>
      <c r="E4005" s="434"/>
      <c r="F4005" s="434" t="s">
        <v>1738</v>
      </c>
      <c r="G4005" s="435">
        <v>6.62</v>
      </c>
      <c r="H4005" s="434"/>
      <c r="I4005" s="434" t="s">
        <v>1739</v>
      </c>
      <c r="J4005" s="434"/>
      <c r="K4005" s="435">
        <v>33.5</v>
      </c>
    </row>
    <row r="4006" customHeight="1" spans="1:11">
      <c r="A4006" s="436"/>
      <c r="B4006" s="436"/>
      <c r="C4006" s="436"/>
      <c r="D4006" s="436"/>
      <c r="E4006" s="436"/>
      <c r="F4006" s="436"/>
      <c r="G4006" s="436"/>
      <c r="H4006" s="436" t="s">
        <v>1740</v>
      </c>
      <c r="I4006" s="447" t="s">
        <v>1741</v>
      </c>
      <c r="J4006" s="436" t="s">
        <v>1742</v>
      </c>
      <c r="K4006" s="448">
        <v>33.5</v>
      </c>
    </row>
    <row r="4007" customHeight="1" spans="1:11">
      <c r="A4007" s="437"/>
      <c r="B4007" s="437"/>
      <c r="C4007" s="437"/>
      <c r="D4007" s="437"/>
      <c r="E4007" s="437"/>
      <c r="F4007" s="437"/>
      <c r="G4007" s="437"/>
      <c r="H4007" s="437"/>
      <c r="I4007" s="437"/>
      <c r="J4007" s="437"/>
      <c r="K4007" s="437"/>
    </row>
    <row r="4008" customHeight="1" spans="1:11">
      <c r="A4008" s="422" t="s">
        <v>1230</v>
      </c>
      <c r="B4008" s="422"/>
      <c r="C4008" s="422"/>
      <c r="D4008" s="422" t="s">
        <v>37</v>
      </c>
      <c r="E4008" s="422"/>
      <c r="F4008" s="422"/>
      <c r="G4008" s="422"/>
      <c r="H4008" s="422"/>
      <c r="I4008" s="443"/>
      <c r="J4008" s="422"/>
      <c r="K4008" s="444">
        <v>47648.79</v>
      </c>
    </row>
    <row r="4009" customHeight="1" spans="1:11">
      <c r="A4009" s="423" t="s">
        <v>1231</v>
      </c>
      <c r="B4009" s="424" t="s">
        <v>1714</v>
      </c>
      <c r="C4009" s="423" t="s">
        <v>1715</v>
      </c>
      <c r="D4009" s="423" t="s">
        <v>1716</v>
      </c>
      <c r="E4009" s="423" t="s">
        <v>1717</v>
      </c>
      <c r="F4009" s="423"/>
      <c r="G4009" s="425" t="s">
        <v>1718</v>
      </c>
      <c r="H4009" s="424" t="s">
        <v>1719</v>
      </c>
      <c r="I4009" s="424" t="s">
        <v>1720</v>
      </c>
      <c r="J4009" s="424" t="s">
        <v>1721</v>
      </c>
      <c r="K4009" s="424" t="s">
        <v>1722</v>
      </c>
    </row>
    <row r="4010" customHeight="1" spans="1:11">
      <c r="A4010" s="426" t="s">
        <v>1723</v>
      </c>
      <c r="B4010" s="427" t="s">
        <v>1232</v>
      </c>
      <c r="C4010" s="426" t="s">
        <v>65</v>
      </c>
      <c r="D4010" s="426" t="s">
        <v>1233</v>
      </c>
      <c r="E4010" s="426" t="s">
        <v>1637</v>
      </c>
      <c r="F4010" s="426"/>
      <c r="G4010" s="428" t="s">
        <v>1234</v>
      </c>
      <c r="H4010" s="429">
        <v>1</v>
      </c>
      <c r="I4010" s="445"/>
      <c r="J4010" s="445">
        <v>12741</v>
      </c>
      <c r="K4010" s="445">
        <v>12741</v>
      </c>
    </row>
    <row r="4011" customHeight="1" spans="1:11">
      <c r="A4011" s="430" t="s">
        <v>1724</v>
      </c>
      <c r="B4011" s="431" t="s">
        <v>2247</v>
      </c>
      <c r="C4011" s="430" t="s">
        <v>71</v>
      </c>
      <c r="D4011" s="430" t="s">
        <v>2248</v>
      </c>
      <c r="E4011" s="430" t="s">
        <v>1708</v>
      </c>
      <c r="F4011" s="430"/>
      <c r="G4011" s="432" t="s">
        <v>82</v>
      </c>
      <c r="H4011" s="433">
        <v>100</v>
      </c>
      <c r="I4011" s="433">
        <v>0</v>
      </c>
      <c r="J4011" s="446">
        <v>30.31</v>
      </c>
      <c r="K4011" s="446">
        <v>3031</v>
      </c>
    </row>
    <row r="4012" customHeight="1" spans="1:11">
      <c r="A4012" s="430" t="s">
        <v>1724</v>
      </c>
      <c r="B4012" s="431" t="s">
        <v>3063</v>
      </c>
      <c r="C4012" s="430" t="s">
        <v>71</v>
      </c>
      <c r="D4012" s="430" t="s">
        <v>3064</v>
      </c>
      <c r="E4012" s="430" t="s">
        <v>1708</v>
      </c>
      <c r="F4012" s="430"/>
      <c r="G4012" s="432" t="s">
        <v>82</v>
      </c>
      <c r="H4012" s="433">
        <v>100</v>
      </c>
      <c r="I4012" s="433">
        <v>0</v>
      </c>
      <c r="J4012" s="446">
        <v>47.1</v>
      </c>
      <c r="K4012" s="446">
        <v>4710</v>
      </c>
    </row>
    <row r="4013" customHeight="1" spans="1:11">
      <c r="A4013" s="438" t="s">
        <v>1750</v>
      </c>
      <c r="B4013" s="439" t="s">
        <v>3065</v>
      </c>
      <c r="C4013" s="438" t="s">
        <v>99</v>
      </c>
      <c r="D4013" s="438" t="s">
        <v>3066</v>
      </c>
      <c r="E4013" s="438" t="s">
        <v>1631</v>
      </c>
      <c r="F4013" s="438"/>
      <c r="G4013" s="440" t="s">
        <v>101</v>
      </c>
      <c r="H4013" s="441">
        <v>1</v>
      </c>
      <c r="I4013" s="441">
        <v>0</v>
      </c>
      <c r="J4013" s="449">
        <v>5000</v>
      </c>
      <c r="K4013" s="449">
        <v>5000</v>
      </c>
    </row>
    <row r="4014" customHeight="1" spans="1:11">
      <c r="A4014" s="434"/>
      <c r="B4014" s="434"/>
      <c r="C4014" s="434"/>
      <c r="D4014" s="434"/>
      <c r="E4014" s="434"/>
      <c r="F4014" s="434" t="s">
        <v>1735</v>
      </c>
      <c r="G4014" s="435">
        <v>3009.48</v>
      </c>
      <c r="H4014" s="434" t="s">
        <v>1736</v>
      </c>
      <c r="I4014" s="435">
        <v>2733.52</v>
      </c>
      <c r="J4014" s="434" t="s">
        <v>1737</v>
      </c>
      <c r="K4014" s="435">
        <v>5743</v>
      </c>
    </row>
    <row r="4015" customHeight="1" spans="1:11">
      <c r="A4015" s="434"/>
      <c r="B4015" s="434"/>
      <c r="C4015" s="434"/>
      <c r="D4015" s="434"/>
      <c r="E4015" s="434"/>
      <c r="F4015" s="434" t="s">
        <v>1738</v>
      </c>
      <c r="G4015" s="435">
        <v>3141.93</v>
      </c>
      <c r="H4015" s="434"/>
      <c r="I4015" s="434" t="s">
        <v>1739</v>
      </c>
      <c r="J4015" s="434"/>
      <c r="K4015" s="435">
        <v>15882.93</v>
      </c>
    </row>
    <row r="4016" customHeight="1" spans="1:11">
      <c r="A4016" s="436"/>
      <c r="B4016" s="436"/>
      <c r="C4016" s="436"/>
      <c r="D4016" s="436"/>
      <c r="E4016" s="436"/>
      <c r="F4016" s="436"/>
      <c r="G4016" s="436"/>
      <c r="H4016" s="436" t="s">
        <v>1740</v>
      </c>
      <c r="I4016" s="447" t="s">
        <v>2339</v>
      </c>
      <c r="J4016" s="436" t="s">
        <v>1742</v>
      </c>
      <c r="K4016" s="448">
        <v>47648.79</v>
      </c>
    </row>
    <row r="4017" customHeight="1" spans="1:11">
      <c r="A4017" s="437"/>
      <c r="B4017" s="437"/>
      <c r="C4017" s="437"/>
      <c r="D4017" s="437"/>
      <c r="E4017" s="437"/>
      <c r="F4017" s="437"/>
      <c r="G4017" s="437"/>
      <c r="H4017" s="437"/>
      <c r="I4017" s="437"/>
      <c r="J4017" s="437"/>
      <c r="K4017" s="437"/>
    </row>
    <row r="4018" customHeight="1" spans="1:11">
      <c r="A4018" s="422" t="s">
        <v>1235</v>
      </c>
      <c r="B4018" s="422"/>
      <c r="C4018" s="422"/>
      <c r="D4018" s="422" t="s">
        <v>38</v>
      </c>
      <c r="E4018" s="422"/>
      <c r="F4018" s="422"/>
      <c r="G4018" s="422"/>
      <c r="H4018" s="422"/>
      <c r="I4018" s="443"/>
      <c r="J4018" s="422"/>
      <c r="K4018" s="444">
        <v>110181.61</v>
      </c>
    </row>
    <row r="4019" customHeight="1" spans="1:11">
      <c r="A4019" s="422" t="s">
        <v>1236</v>
      </c>
      <c r="B4019" s="422"/>
      <c r="C4019" s="422"/>
      <c r="D4019" s="422" t="s">
        <v>1237</v>
      </c>
      <c r="E4019" s="422"/>
      <c r="F4019" s="422"/>
      <c r="G4019" s="422"/>
      <c r="H4019" s="422"/>
      <c r="I4019" s="443"/>
      <c r="J4019" s="422"/>
      <c r="K4019" s="444">
        <v>57140.17</v>
      </c>
    </row>
    <row r="4020" customHeight="1" spans="1:11">
      <c r="A4020" s="423" t="s">
        <v>1238</v>
      </c>
      <c r="B4020" s="424" t="s">
        <v>1714</v>
      </c>
      <c r="C4020" s="423" t="s">
        <v>1715</v>
      </c>
      <c r="D4020" s="423" t="s">
        <v>1716</v>
      </c>
      <c r="E4020" s="423" t="s">
        <v>1717</v>
      </c>
      <c r="F4020" s="423"/>
      <c r="G4020" s="425" t="s">
        <v>1718</v>
      </c>
      <c r="H4020" s="424" t="s">
        <v>1719</v>
      </c>
      <c r="I4020" s="424" t="s">
        <v>1720</v>
      </c>
      <c r="J4020" s="424" t="s">
        <v>1721</v>
      </c>
      <c r="K4020" s="424" t="s">
        <v>1722</v>
      </c>
    </row>
    <row r="4021" customHeight="1" spans="1:11">
      <c r="A4021" s="426" t="s">
        <v>1723</v>
      </c>
      <c r="B4021" s="427" t="s">
        <v>1239</v>
      </c>
      <c r="C4021" s="426" t="s">
        <v>71</v>
      </c>
      <c r="D4021" s="426" t="s">
        <v>1240</v>
      </c>
      <c r="E4021" s="426" t="s">
        <v>1681</v>
      </c>
      <c r="F4021" s="426"/>
      <c r="G4021" s="428" t="s">
        <v>73</v>
      </c>
      <c r="H4021" s="429">
        <v>1</v>
      </c>
      <c r="I4021" s="445"/>
      <c r="J4021" s="445">
        <v>5.79</v>
      </c>
      <c r="K4021" s="445">
        <v>5.79</v>
      </c>
    </row>
    <row r="4022" customHeight="1" spans="1:11">
      <c r="A4022" s="430" t="s">
        <v>1724</v>
      </c>
      <c r="B4022" s="431" t="s">
        <v>3067</v>
      </c>
      <c r="C4022" s="430" t="s">
        <v>71</v>
      </c>
      <c r="D4022" s="430" t="s">
        <v>3068</v>
      </c>
      <c r="E4022" s="430" t="s">
        <v>1795</v>
      </c>
      <c r="F4022" s="430"/>
      <c r="G4022" s="432" t="s">
        <v>1804</v>
      </c>
      <c r="H4022" s="433">
        <v>0.0506</v>
      </c>
      <c r="I4022" s="433">
        <v>0</v>
      </c>
      <c r="J4022" s="446">
        <v>8.94</v>
      </c>
      <c r="K4022" s="446">
        <v>0.45</v>
      </c>
    </row>
    <row r="4023" customHeight="1" spans="1:11">
      <c r="A4023" s="430" t="s">
        <v>1724</v>
      </c>
      <c r="B4023" s="431" t="s">
        <v>3069</v>
      </c>
      <c r="C4023" s="430" t="s">
        <v>71</v>
      </c>
      <c r="D4023" s="430" t="s">
        <v>3070</v>
      </c>
      <c r="E4023" s="430" t="s">
        <v>2095</v>
      </c>
      <c r="F4023" s="430"/>
      <c r="G4023" s="432" t="s">
        <v>129</v>
      </c>
      <c r="H4023" s="433">
        <v>0.0042</v>
      </c>
      <c r="I4023" s="433">
        <v>0</v>
      </c>
      <c r="J4023" s="446">
        <v>677.4</v>
      </c>
      <c r="K4023" s="446">
        <v>2.84</v>
      </c>
    </row>
    <row r="4024" customHeight="1" spans="1:11">
      <c r="A4024" s="430" t="s">
        <v>1724</v>
      </c>
      <c r="B4024" s="431" t="s">
        <v>1936</v>
      </c>
      <c r="C4024" s="430" t="s">
        <v>71</v>
      </c>
      <c r="D4024" s="430" t="s">
        <v>1937</v>
      </c>
      <c r="E4024" s="430" t="s">
        <v>1708</v>
      </c>
      <c r="F4024" s="430"/>
      <c r="G4024" s="432" t="s">
        <v>82</v>
      </c>
      <c r="H4024" s="433">
        <v>0.0518</v>
      </c>
      <c r="I4024" s="433">
        <v>0</v>
      </c>
      <c r="J4024" s="446">
        <v>36.96</v>
      </c>
      <c r="K4024" s="446">
        <v>1.91</v>
      </c>
    </row>
    <row r="4025" customHeight="1" spans="1:11">
      <c r="A4025" s="430" t="s">
        <v>1724</v>
      </c>
      <c r="B4025" s="431" t="s">
        <v>1745</v>
      </c>
      <c r="C4025" s="430" t="s">
        <v>71</v>
      </c>
      <c r="D4025" s="430" t="s">
        <v>1746</v>
      </c>
      <c r="E4025" s="430" t="s">
        <v>1708</v>
      </c>
      <c r="F4025" s="430"/>
      <c r="G4025" s="432" t="s">
        <v>82</v>
      </c>
      <c r="H4025" s="433">
        <v>0.0194</v>
      </c>
      <c r="I4025" s="433">
        <v>0</v>
      </c>
      <c r="J4025" s="446">
        <v>29.15</v>
      </c>
      <c r="K4025" s="446">
        <v>0.56</v>
      </c>
    </row>
    <row r="4026" customHeight="1" spans="1:11">
      <c r="A4026" s="430" t="s">
        <v>1724</v>
      </c>
      <c r="B4026" s="431" t="s">
        <v>3071</v>
      </c>
      <c r="C4026" s="430" t="s">
        <v>71</v>
      </c>
      <c r="D4026" s="430" t="s">
        <v>3072</v>
      </c>
      <c r="E4026" s="430" t="s">
        <v>1795</v>
      </c>
      <c r="F4026" s="430"/>
      <c r="G4026" s="432" t="s">
        <v>1796</v>
      </c>
      <c r="H4026" s="433">
        <v>0.0012</v>
      </c>
      <c r="I4026" s="433">
        <v>0</v>
      </c>
      <c r="J4026" s="446">
        <v>32.78</v>
      </c>
      <c r="K4026" s="446">
        <v>0.03</v>
      </c>
    </row>
    <row r="4027" customHeight="1" spans="1:11">
      <c r="A4027" s="434"/>
      <c r="B4027" s="434"/>
      <c r="C4027" s="434"/>
      <c r="D4027" s="434"/>
      <c r="E4027" s="434"/>
      <c r="F4027" s="434" t="s">
        <v>1735</v>
      </c>
      <c r="G4027" s="435">
        <v>1.38</v>
      </c>
      <c r="H4027" s="434" t="s">
        <v>1736</v>
      </c>
      <c r="I4027" s="435">
        <v>1.26</v>
      </c>
      <c r="J4027" s="434" t="s">
        <v>1737</v>
      </c>
      <c r="K4027" s="435">
        <v>2.64</v>
      </c>
    </row>
    <row r="4028" customHeight="1" spans="1:11">
      <c r="A4028" s="434"/>
      <c r="B4028" s="434"/>
      <c r="C4028" s="434"/>
      <c r="D4028" s="434"/>
      <c r="E4028" s="434"/>
      <c r="F4028" s="434" t="s">
        <v>1738</v>
      </c>
      <c r="G4028" s="435">
        <v>1.42</v>
      </c>
      <c r="H4028" s="434"/>
      <c r="I4028" s="434" t="s">
        <v>1739</v>
      </c>
      <c r="J4028" s="434"/>
      <c r="K4028" s="435">
        <v>7.21</v>
      </c>
    </row>
    <row r="4029" customHeight="1" spans="1:11">
      <c r="A4029" s="436"/>
      <c r="B4029" s="436"/>
      <c r="C4029" s="436"/>
      <c r="D4029" s="436"/>
      <c r="E4029" s="436"/>
      <c r="F4029" s="436"/>
      <c r="G4029" s="436"/>
      <c r="H4029" s="436" t="s">
        <v>1740</v>
      </c>
      <c r="I4029" s="447" t="s">
        <v>3073</v>
      </c>
      <c r="J4029" s="436" t="s">
        <v>1742</v>
      </c>
      <c r="K4029" s="448">
        <v>3564.11</v>
      </c>
    </row>
    <row r="4030" customHeight="1" spans="1:11">
      <c r="A4030" s="437"/>
      <c r="B4030" s="437"/>
      <c r="C4030" s="437"/>
      <c r="D4030" s="437"/>
      <c r="E4030" s="437"/>
      <c r="F4030" s="437"/>
      <c r="G4030" s="437"/>
      <c r="H4030" s="437"/>
      <c r="I4030" s="437"/>
      <c r="J4030" s="437"/>
      <c r="K4030" s="437"/>
    </row>
    <row r="4031" customHeight="1" spans="1:11">
      <c r="A4031" s="423" t="s">
        <v>1241</v>
      </c>
      <c r="B4031" s="424" t="s">
        <v>1714</v>
      </c>
      <c r="C4031" s="423" t="s">
        <v>1715</v>
      </c>
      <c r="D4031" s="423" t="s">
        <v>1716</v>
      </c>
      <c r="E4031" s="423" t="s">
        <v>1717</v>
      </c>
      <c r="F4031" s="423"/>
      <c r="G4031" s="425" t="s">
        <v>1718</v>
      </c>
      <c r="H4031" s="424" t="s">
        <v>1719</v>
      </c>
      <c r="I4031" s="424" t="s">
        <v>1720</v>
      </c>
      <c r="J4031" s="424" t="s">
        <v>1721</v>
      </c>
      <c r="K4031" s="424" t="s">
        <v>1722</v>
      </c>
    </row>
    <row r="4032" customHeight="1" spans="1:11">
      <c r="A4032" s="426" t="s">
        <v>1723</v>
      </c>
      <c r="B4032" s="427" t="s">
        <v>1242</v>
      </c>
      <c r="C4032" s="426" t="s">
        <v>71</v>
      </c>
      <c r="D4032" s="426" t="s">
        <v>1243</v>
      </c>
      <c r="E4032" s="426" t="s">
        <v>1646</v>
      </c>
      <c r="F4032" s="426"/>
      <c r="G4032" s="428" t="s">
        <v>73</v>
      </c>
      <c r="H4032" s="429">
        <v>1</v>
      </c>
      <c r="I4032" s="445"/>
      <c r="J4032" s="445">
        <v>42.11</v>
      </c>
      <c r="K4032" s="445">
        <v>42.11</v>
      </c>
    </row>
    <row r="4033" customHeight="1" spans="1:11">
      <c r="A4033" s="430" t="s">
        <v>1724</v>
      </c>
      <c r="B4033" s="431" t="s">
        <v>1936</v>
      </c>
      <c r="C4033" s="430" t="s">
        <v>71</v>
      </c>
      <c r="D4033" s="430" t="s">
        <v>1937</v>
      </c>
      <c r="E4033" s="430" t="s">
        <v>1708</v>
      </c>
      <c r="F4033" s="430"/>
      <c r="G4033" s="432" t="s">
        <v>82</v>
      </c>
      <c r="H4033" s="433">
        <v>0.4402</v>
      </c>
      <c r="I4033" s="433">
        <v>0</v>
      </c>
      <c r="J4033" s="446">
        <v>36.96</v>
      </c>
      <c r="K4033" s="446">
        <v>16.26</v>
      </c>
    </row>
    <row r="4034" customHeight="1" spans="1:11">
      <c r="A4034" s="430" t="s">
        <v>1724</v>
      </c>
      <c r="B4034" s="431" t="s">
        <v>1745</v>
      </c>
      <c r="C4034" s="430" t="s">
        <v>71</v>
      </c>
      <c r="D4034" s="430" t="s">
        <v>1746</v>
      </c>
      <c r="E4034" s="430" t="s">
        <v>1708</v>
      </c>
      <c r="F4034" s="430"/>
      <c r="G4034" s="432" t="s">
        <v>82</v>
      </c>
      <c r="H4034" s="433">
        <v>0.2201</v>
      </c>
      <c r="I4034" s="433">
        <v>0</v>
      </c>
      <c r="J4034" s="446">
        <v>29.15</v>
      </c>
      <c r="K4034" s="446">
        <v>6.41</v>
      </c>
    </row>
    <row r="4035" customHeight="1" spans="1:11">
      <c r="A4035" s="430" t="s">
        <v>1724</v>
      </c>
      <c r="B4035" s="431" t="s">
        <v>2126</v>
      </c>
      <c r="C4035" s="430" t="s">
        <v>71</v>
      </c>
      <c r="D4035" s="430" t="s">
        <v>2127</v>
      </c>
      <c r="E4035" s="430" t="s">
        <v>2095</v>
      </c>
      <c r="F4035" s="430"/>
      <c r="G4035" s="432" t="s">
        <v>129</v>
      </c>
      <c r="H4035" s="433">
        <v>0.0304</v>
      </c>
      <c r="I4035" s="433">
        <v>0</v>
      </c>
      <c r="J4035" s="446">
        <v>639.63</v>
      </c>
      <c r="K4035" s="446">
        <v>19.44</v>
      </c>
    </row>
    <row r="4036" customHeight="1" spans="1:11">
      <c r="A4036" s="434"/>
      <c r="B4036" s="434"/>
      <c r="C4036" s="434"/>
      <c r="D4036" s="434"/>
      <c r="E4036" s="434"/>
      <c r="F4036" s="434" t="s">
        <v>1735</v>
      </c>
      <c r="G4036" s="435">
        <v>10.09</v>
      </c>
      <c r="H4036" s="434" t="s">
        <v>1736</v>
      </c>
      <c r="I4036" s="435">
        <v>9.18</v>
      </c>
      <c r="J4036" s="434" t="s">
        <v>1737</v>
      </c>
      <c r="K4036" s="435">
        <v>19.27</v>
      </c>
    </row>
    <row r="4037" customHeight="1" spans="1:11">
      <c r="A4037" s="434"/>
      <c r="B4037" s="434"/>
      <c r="C4037" s="434"/>
      <c r="D4037" s="434"/>
      <c r="E4037" s="434"/>
      <c r="F4037" s="434" t="s">
        <v>1738</v>
      </c>
      <c r="G4037" s="435">
        <v>10.38</v>
      </c>
      <c r="H4037" s="434"/>
      <c r="I4037" s="434" t="s">
        <v>1739</v>
      </c>
      <c r="J4037" s="434"/>
      <c r="K4037" s="435">
        <v>52.49</v>
      </c>
    </row>
    <row r="4038" customHeight="1" spans="1:11">
      <c r="A4038" s="436"/>
      <c r="B4038" s="436"/>
      <c r="C4038" s="436"/>
      <c r="D4038" s="436"/>
      <c r="E4038" s="436"/>
      <c r="F4038" s="436"/>
      <c r="G4038" s="436"/>
      <c r="H4038" s="436" t="s">
        <v>1740</v>
      </c>
      <c r="I4038" s="447" t="s">
        <v>3074</v>
      </c>
      <c r="J4038" s="436" t="s">
        <v>1742</v>
      </c>
      <c r="K4038" s="448">
        <v>3696.34</v>
      </c>
    </row>
    <row r="4039" customHeight="1" spans="1:11">
      <c r="A4039" s="437"/>
      <c r="B4039" s="437"/>
      <c r="C4039" s="437"/>
      <c r="D4039" s="437"/>
      <c r="E4039" s="437"/>
      <c r="F4039" s="437"/>
      <c r="G4039" s="437"/>
      <c r="H4039" s="437"/>
      <c r="I4039" s="437"/>
      <c r="J4039" s="437"/>
      <c r="K4039" s="437"/>
    </row>
    <row r="4040" customHeight="1" spans="1:11">
      <c r="A4040" s="423" t="s">
        <v>1244</v>
      </c>
      <c r="B4040" s="424" t="s">
        <v>1714</v>
      </c>
      <c r="C4040" s="423" t="s">
        <v>1715</v>
      </c>
      <c r="D4040" s="423" t="s">
        <v>1716</v>
      </c>
      <c r="E4040" s="423" t="s">
        <v>1717</v>
      </c>
      <c r="F4040" s="423"/>
      <c r="G4040" s="425" t="s">
        <v>1718</v>
      </c>
      <c r="H4040" s="424" t="s">
        <v>1719</v>
      </c>
      <c r="I4040" s="424" t="s">
        <v>1720</v>
      </c>
      <c r="J4040" s="424" t="s">
        <v>1721</v>
      </c>
      <c r="K4040" s="424" t="s">
        <v>1722</v>
      </c>
    </row>
    <row r="4041" customHeight="1" spans="1:11">
      <c r="A4041" s="426" t="s">
        <v>1723</v>
      </c>
      <c r="B4041" s="427" t="s">
        <v>1245</v>
      </c>
      <c r="C4041" s="426" t="s">
        <v>71</v>
      </c>
      <c r="D4041" s="426" t="s">
        <v>1246</v>
      </c>
      <c r="E4041" s="426" t="s">
        <v>1646</v>
      </c>
      <c r="F4041" s="426"/>
      <c r="G4041" s="428" t="s">
        <v>73</v>
      </c>
      <c r="H4041" s="429">
        <v>1</v>
      </c>
      <c r="I4041" s="445"/>
      <c r="J4041" s="445">
        <v>38.71</v>
      </c>
      <c r="K4041" s="445">
        <v>38.71</v>
      </c>
    </row>
    <row r="4042" customHeight="1" spans="1:11">
      <c r="A4042" s="430" t="s">
        <v>1724</v>
      </c>
      <c r="B4042" s="431" t="s">
        <v>1745</v>
      </c>
      <c r="C4042" s="430" t="s">
        <v>71</v>
      </c>
      <c r="D4042" s="430" t="s">
        <v>1746</v>
      </c>
      <c r="E4042" s="430" t="s">
        <v>1708</v>
      </c>
      <c r="F4042" s="430"/>
      <c r="G4042" s="432" t="s">
        <v>82</v>
      </c>
      <c r="H4042" s="433">
        <v>0.187</v>
      </c>
      <c r="I4042" s="433">
        <v>0</v>
      </c>
      <c r="J4042" s="446">
        <v>29.15</v>
      </c>
      <c r="K4042" s="446">
        <v>5.45</v>
      </c>
    </row>
    <row r="4043" customHeight="1" spans="1:11">
      <c r="A4043" s="430" t="s">
        <v>1724</v>
      </c>
      <c r="B4043" s="431" t="s">
        <v>2126</v>
      </c>
      <c r="C4043" s="430" t="s">
        <v>71</v>
      </c>
      <c r="D4043" s="430" t="s">
        <v>2127</v>
      </c>
      <c r="E4043" s="430" t="s">
        <v>2095</v>
      </c>
      <c r="F4043" s="430"/>
      <c r="G4043" s="432" t="s">
        <v>129</v>
      </c>
      <c r="H4043" s="433">
        <v>0.0304</v>
      </c>
      <c r="I4043" s="433">
        <v>0</v>
      </c>
      <c r="J4043" s="446">
        <v>639.63</v>
      </c>
      <c r="K4043" s="446">
        <v>19.44</v>
      </c>
    </row>
    <row r="4044" customHeight="1" spans="1:11">
      <c r="A4044" s="430" t="s">
        <v>1724</v>
      </c>
      <c r="B4044" s="431" t="s">
        <v>1936</v>
      </c>
      <c r="C4044" s="430" t="s">
        <v>71</v>
      </c>
      <c r="D4044" s="430" t="s">
        <v>1937</v>
      </c>
      <c r="E4044" s="430" t="s">
        <v>1708</v>
      </c>
      <c r="F4044" s="430"/>
      <c r="G4044" s="432" t="s">
        <v>82</v>
      </c>
      <c r="H4044" s="433">
        <v>0.374</v>
      </c>
      <c r="I4044" s="433">
        <v>0</v>
      </c>
      <c r="J4044" s="446">
        <v>36.96</v>
      </c>
      <c r="K4044" s="446">
        <v>13.82</v>
      </c>
    </row>
    <row r="4045" customHeight="1" spans="1:11">
      <c r="A4045" s="434"/>
      <c r="B4045" s="434"/>
      <c r="C4045" s="434"/>
      <c r="D4045" s="434"/>
      <c r="E4045" s="434"/>
      <c r="F4045" s="434" t="s">
        <v>1735</v>
      </c>
      <c r="G4045" s="435">
        <v>8.82</v>
      </c>
      <c r="H4045" s="434" t="s">
        <v>1736</v>
      </c>
      <c r="I4045" s="435">
        <v>8.03</v>
      </c>
      <c r="J4045" s="434" t="s">
        <v>1737</v>
      </c>
      <c r="K4045" s="435">
        <v>16.85</v>
      </c>
    </row>
    <row r="4046" customHeight="1" spans="1:11">
      <c r="A4046" s="434"/>
      <c r="B4046" s="434"/>
      <c r="C4046" s="434"/>
      <c r="D4046" s="434"/>
      <c r="E4046" s="434"/>
      <c r="F4046" s="434" t="s">
        <v>1738</v>
      </c>
      <c r="G4046" s="435">
        <v>9.54</v>
      </c>
      <c r="H4046" s="434"/>
      <c r="I4046" s="434" t="s">
        <v>1739</v>
      </c>
      <c r="J4046" s="434"/>
      <c r="K4046" s="435">
        <v>48.25</v>
      </c>
    </row>
    <row r="4047" customHeight="1" spans="1:11">
      <c r="A4047" s="436"/>
      <c r="B4047" s="436"/>
      <c r="C4047" s="436"/>
      <c r="D4047" s="436"/>
      <c r="E4047" s="436"/>
      <c r="F4047" s="436"/>
      <c r="G4047" s="436"/>
      <c r="H4047" s="436" t="s">
        <v>1740</v>
      </c>
      <c r="I4047" s="447" t="s">
        <v>3075</v>
      </c>
      <c r="J4047" s="436" t="s">
        <v>1742</v>
      </c>
      <c r="K4047" s="448">
        <v>19932.55</v>
      </c>
    </row>
    <row r="4048" customHeight="1" spans="1:11">
      <c r="A4048" s="437"/>
      <c r="B4048" s="437"/>
      <c r="C4048" s="437"/>
      <c r="D4048" s="437"/>
      <c r="E4048" s="437"/>
      <c r="F4048" s="437"/>
      <c r="G4048" s="437"/>
      <c r="H4048" s="437"/>
      <c r="I4048" s="437"/>
      <c r="J4048" s="437"/>
      <c r="K4048" s="437"/>
    </row>
    <row r="4049" customHeight="1" spans="1:11">
      <c r="A4049" s="423" t="s">
        <v>1247</v>
      </c>
      <c r="B4049" s="424" t="s">
        <v>1714</v>
      </c>
      <c r="C4049" s="423" t="s">
        <v>1715</v>
      </c>
      <c r="D4049" s="423" t="s">
        <v>1716</v>
      </c>
      <c r="E4049" s="423" t="s">
        <v>1717</v>
      </c>
      <c r="F4049" s="423"/>
      <c r="G4049" s="425" t="s">
        <v>1718</v>
      </c>
      <c r="H4049" s="424" t="s">
        <v>1719</v>
      </c>
      <c r="I4049" s="424" t="s">
        <v>1720</v>
      </c>
      <c r="J4049" s="424" t="s">
        <v>1721</v>
      </c>
      <c r="K4049" s="424" t="s">
        <v>1722</v>
      </c>
    </row>
    <row r="4050" customHeight="1" spans="1:11">
      <c r="A4050" s="426" t="s">
        <v>1723</v>
      </c>
      <c r="B4050" s="427" t="s">
        <v>1248</v>
      </c>
      <c r="C4050" s="426" t="s">
        <v>71</v>
      </c>
      <c r="D4050" s="426" t="s">
        <v>1249</v>
      </c>
      <c r="E4050" s="426" t="s">
        <v>1681</v>
      </c>
      <c r="F4050" s="426"/>
      <c r="G4050" s="428" t="s">
        <v>73</v>
      </c>
      <c r="H4050" s="429">
        <v>1</v>
      </c>
      <c r="I4050" s="445"/>
      <c r="J4050" s="445">
        <v>9.89</v>
      </c>
      <c r="K4050" s="445">
        <v>9.89</v>
      </c>
    </row>
    <row r="4051" customHeight="1" spans="1:11">
      <c r="A4051" s="430" t="s">
        <v>1724</v>
      </c>
      <c r="B4051" s="431" t="s">
        <v>3076</v>
      </c>
      <c r="C4051" s="430" t="s">
        <v>71</v>
      </c>
      <c r="D4051" s="430" t="s">
        <v>3077</v>
      </c>
      <c r="E4051" s="430" t="s">
        <v>2095</v>
      </c>
      <c r="F4051" s="430"/>
      <c r="G4051" s="432" t="s">
        <v>129</v>
      </c>
      <c r="H4051" s="433">
        <v>0.0037</v>
      </c>
      <c r="I4051" s="433">
        <v>0</v>
      </c>
      <c r="J4051" s="446">
        <v>502.34</v>
      </c>
      <c r="K4051" s="446">
        <v>1.85</v>
      </c>
    </row>
    <row r="4052" customHeight="1" spans="1:11">
      <c r="A4052" s="430" t="s">
        <v>1724</v>
      </c>
      <c r="B4052" s="431" t="s">
        <v>1745</v>
      </c>
      <c r="C4052" s="430" t="s">
        <v>71</v>
      </c>
      <c r="D4052" s="430" t="s">
        <v>1746</v>
      </c>
      <c r="E4052" s="430" t="s">
        <v>1708</v>
      </c>
      <c r="F4052" s="430"/>
      <c r="G4052" s="432" t="s">
        <v>82</v>
      </c>
      <c r="H4052" s="433">
        <v>0.0575</v>
      </c>
      <c r="I4052" s="433">
        <v>0</v>
      </c>
      <c r="J4052" s="446">
        <v>29.15</v>
      </c>
      <c r="K4052" s="446">
        <v>1.67</v>
      </c>
    </row>
    <row r="4053" customHeight="1" spans="1:11">
      <c r="A4053" s="430" t="s">
        <v>1724</v>
      </c>
      <c r="B4053" s="431" t="s">
        <v>1936</v>
      </c>
      <c r="C4053" s="430" t="s">
        <v>71</v>
      </c>
      <c r="D4053" s="430" t="s">
        <v>1937</v>
      </c>
      <c r="E4053" s="430" t="s">
        <v>1708</v>
      </c>
      <c r="F4053" s="430"/>
      <c r="G4053" s="432" t="s">
        <v>82</v>
      </c>
      <c r="H4053" s="433">
        <v>0.1724</v>
      </c>
      <c r="I4053" s="433">
        <v>0</v>
      </c>
      <c r="J4053" s="446">
        <v>36.96</v>
      </c>
      <c r="K4053" s="446">
        <v>6.37</v>
      </c>
    </row>
    <row r="4054" customHeight="1" spans="1:11">
      <c r="A4054" s="434"/>
      <c r="B4054" s="434"/>
      <c r="C4054" s="434"/>
      <c r="D4054" s="434"/>
      <c r="E4054" s="434"/>
      <c r="F4054" s="434" t="s">
        <v>1735</v>
      </c>
      <c r="G4054" s="435">
        <v>3.2</v>
      </c>
      <c r="H4054" s="434" t="s">
        <v>1736</v>
      </c>
      <c r="I4054" s="435">
        <v>2.91</v>
      </c>
      <c r="J4054" s="434" t="s">
        <v>1737</v>
      </c>
      <c r="K4054" s="435">
        <v>6.11</v>
      </c>
    </row>
    <row r="4055" customHeight="1" spans="1:11">
      <c r="A4055" s="434"/>
      <c r="B4055" s="434"/>
      <c r="C4055" s="434"/>
      <c r="D4055" s="434"/>
      <c r="E4055" s="434"/>
      <c r="F4055" s="434" t="s">
        <v>1738</v>
      </c>
      <c r="G4055" s="435">
        <v>2.43</v>
      </c>
      <c r="H4055" s="434"/>
      <c r="I4055" s="434" t="s">
        <v>1739</v>
      </c>
      <c r="J4055" s="434"/>
      <c r="K4055" s="435">
        <v>12.32</v>
      </c>
    </row>
    <row r="4056" customHeight="1" spans="1:11">
      <c r="A4056" s="436"/>
      <c r="B4056" s="436"/>
      <c r="C4056" s="436"/>
      <c r="D4056" s="436"/>
      <c r="E4056" s="436"/>
      <c r="F4056" s="436"/>
      <c r="G4056" s="436"/>
      <c r="H4056" s="436" t="s">
        <v>1740</v>
      </c>
      <c r="I4056" s="447" t="s">
        <v>3078</v>
      </c>
      <c r="J4056" s="436" t="s">
        <v>1742</v>
      </c>
      <c r="K4056" s="448">
        <v>3846.42</v>
      </c>
    </row>
    <row r="4057" customHeight="1" spans="1:11">
      <c r="A4057" s="437"/>
      <c r="B4057" s="437"/>
      <c r="C4057" s="437"/>
      <c r="D4057" s="437"/>
      <c r="E4057" s="437"/>
      <c r="F4057" s="437"/>
      <c r="G4057" s="437"/>
      <c r="H4057" s="437"/>
      <c r="I4057" s="437"/>
      <c r="J4057" s="437"/>
      <c r="K4057" s="437"/>
    </row>
    <row r="4058" customHeight="1" spans="1:11">
      <c r="A4058" s="423" t="s">
        <v>1250</v>
      </c>
      <c r="B4058" s="424" t="s">
        <v>1714</v>
      </c>
      <c r="C4058" s="423" t="s">
        <v>1715</v>
      </c>
      <c r="D4058" s="423" t="s">
        <v>1716</v>
      </c>
      <c r="E4058" s="423" t="s">
        <v>1717</v>
      </c>
      <c r="F4058" s="423"/>
      <c r="G4058" s="425" t="s">
        <v>1718</v>
      </c>
      <c r="H4058" s="424" t="s">
        <v>1719</v>
      </c>
      <c r="I4058" s="424" t="s">
        <v>1720</v>
      </c>
      <c r="J4058" s="424" t="s">
        <v>1721</v>
      </c>
      <c r="K4058" s="424" t="s">
        <v>1722</v>
      </c>
    </row>
    <row r="4059" customHeight="1" spans="1:11">
      <c r="A4059" s="426" t="s">
        <v>1723</v>
      </c>
      <c r="B4059" s="427" t="s">
        <v>1251</v>
      </c>
      <c r="C4059" s="426" t="s">
        <v>71</v>
      </c>
      <c r="D4059" s="426" t="s">
        <v>1252</v>
      </c>
      <c r="E4059" s="426" t="s">
        <v>1643</v>
      </c>
      <c r="F4059" s="426"/>
      <c r="G4059" s="428" t="s">
        <v>73</v>
      </c>
      <c r="H4059" s="429">
        <v>1</v>
      </c>
      <c r="I4059" s="445"/>
      <c r="J4059" s="445">
        <v>67.07</v>
      </c>
      <c r="K4059" s="445">
        <v>67.07</v>
      </c>
    </row>
    <row r="4060" customHeight="1" spans="1:11">
      <c r="A4060" s="430" t="s">
        <v>1724</v>
      </c>
      <c r="B4060" s="431" t="s">
        <v>1936</v>
      </c>
      <c r="C4060" s="430" t="s">
        <v>71</v>
      </c>
      <c r="D4060" s="430" t="s">
        <v>1937</v>
      </c>
      <c r="E4060" s="430" t="s">
        <v>1708</v>
      </c>
      <c r="F4060" s="430"/>
      <c r="G4060" s="432" t="s">
        <v>82</v>
      </c>
      <c r="H4060" s="433">
        <v>0.679</v>
      </c>
      <c r="I4060" s="433">
        <v>0</v>
      </c>
      <c r="J4060" s="446">
        <v>36.96</v>
      </c>
      <c r="K4060" s="446">
        <v>25.09</v>
      </c>
    </row>
    <row r="4061" customHeight="1" spans="1:11">
      <c r="A4061" s="430" t="s">
        <v>1724</v>
      </c>
      <c r="B4061" s="431" t="s">
        <v>1745</v>
      </c>
      <c r="C4061" s="430" t="s">
        <v>71</v>
      </c>
      <c r="D4061" s="430" t="s">
        <v>1746</v>
      </c>
      <c r="E4061" s="430" t="s">
        <v>1708</v>
      </c>
      <c r="F4061" s="430"/>
      <c r="G4061" s="432" t="s">
        <v>82</v>
      </c>
      <c r="H4061" s="433">
        <v>0.679</v>
      </c>
      <c r="I4061" s="433">
        <v>0</v>
      </c>
      <c r="J4061" s="446">
        <v>29.15</v>
      </c>
      <c r="K4061" s="446">
        <v>19.79</v>
      </c>
    </row>
    <row r="4062" customHeight="1" spans="1:11">
      <c r="A4062" s="430" t="s">
        <v>1724</v>
      </c>
      <c r="B4062" s="431" t="s">
        <v>2126</v>
      </c>
      <c r="C4062" s="430" t="s">
        <v>71</v>
      </c>
      <c r="D4062" s="430" t="s">
        <v>2127</v>
      </c>
      <c r="E4062" s="430" t="s">
        <v>2095</v>
      </c>
      <c r="F4062" s="430"/>
      <c r="G4062" s="432" t="s">
        <v>129</v>
      </c>
      <c r="H4062" s="433">
        <v>0.0314</v>
      </c>
      <c r="I4062" s="433">
        <v>0</v>
      </c>
      <c r="J4062" s="446">
        <v>639.63</v>
      </c>
      <c r="K4062" s="446">
        <v>20.08</v>
      </c>
    </row>
    <row r="4063" customHeight="1" spans="1:11">
      <c r="A4063" s="438" t="s">
        <v>1750</v>
      </c>
      <c r="B4063" s="439" t="s">
        <v>3079</v>
      </c>
      <c r="C4063" s="438" t="s">
        <v>71</v>
      </c>
      <c r="D4063" s="438" t="s">
        <v>3080</v>
      </c>
      <c r="E4063" s="438" t="s">
        <v>1631</v>
      </c>
      <c r="F4063" s="438"/>
      <c r="G4063" s="440" t="s">
        <v>73</v>
      </c>
      <c r="H4063" s="441">
        <v>0.1388</v>
      </c>
      <c r="I4063" s="441">
        <v>0</v>
      </c>
      <c r="J4063" s="449">
        <v>15.26</v>
      </c>
      <c r="K4063" s="449">
        <v>2.11</v>
      </c>
    </row>
    <row r="4064" customHeight="1" spans="1:11">
      <c r="A4064" s="434"/>
      <c r="B4064" s="434"/>
      <c r="C4064" s="434"/>
      <c r="D4064" s="434"/>
      <c r="E4064" s="434"/>
      <c r="F4064" s="434" t="s">
        <v>1735</v>
      </c>
      <c r="G4064" s="435">
        <v>18.15</v>
      </c>
      <c r="H4064" s="434" t="s">
        <v>1736</v>
      </c>
      <c r="I4064" s="435">
        <v>16.49</v>
      </c>
      <c r="J4064" s="434" t="s">
        <v>1737</v>
      </c>
      <c r="K4064" s="435">
        <v>34.64</v>
      </c>
    </row>
    <row r="4065" customHeight="1" spans="1:11">
      <c r="A4065" s="434"/>
      <c r="B4065" s="434"/>
      <c r="C4065" s="434"/>
      <c r="D4065" s="434"/>
      <c r="E4065" s="434"/>
      <c r="F4065" s="434" t="s">
        <v>1738</v>
      </c>
      <c r="G4065" s="435">
        <v>16.53</v>
      </c>
      <c r="H4065" s="434"/>
      <c r="I4065" s="434" t="s">
        <v>1739</v>
      </c>
      <c r="J4065" s="434"/>
      <c r="K4065" s="435">
        <v>83.6</v>
      </c>
    </row>
    <row r="4066" customHeight="1" spans="1:11">
      <c r="A4066" s="436"/>
      <c r="B4066" s="436"/>
      <c r="C4066" s="436"/>
      <c r="D4066" s="436"/>
      <c r="E4066" s="436"/>
      <c r="F4066" s="436"/>
      <c r="G4066" s="436"/>
      <c r="H4066" s="436" t="s">
        <v>1740</v>
      </c>
      <c r="I4066" s="447" t="s">
        <v>3078</v>
      </c>
      <c r="J4066" s="436" t="s">
        <v>1742</v>
      </c>
      <c r="K4066" s="448">
        <v>26100.75</v>
      </c>
    </row>
    <row r="4067" customHeight="1" spans="1:11">
      <c r="A4067" s="437"/>
      <c r="B4067" s="437"/>
      <c r="C4067" s="437"/>
      <c r="D4067" s="437"/>
      <c r="E4067" s="437"/>
      <c r="F4067" s="437"/>
      <c r="G4067" s="437"/>
      <c r="H4067" s="437"/>
      <c r="I4067" s="437"/>
      <c r="J4067" s="437"/>
      <c r="K4067" s="437"/>
    </row>
    <row r="4068" customHeight="1" spans="1:11">
      <c r="A4068" s="422" t="s">
        <v>1253</v>
      </c>
      <c r="B4068" s="422"/>
      <c r="C4068" s="422"/>
      <c r="D4068" s="422" t="s">
        <v>1254</v>
      </c>
      <c r="E4068" s="422"/>
      <c r="F4068" s="422"/>
      <c r="G4068" s="422"/>
      <c r="H4068" s="422"/>
      <c r="I4068" s="443"/>
      <c r="J4068" s="422"/>
      <c r="K4068" s="444">
        <v>35964.06</v>
      </c>
    </row>
    <row r="4069" customHeight="1" spans="1:11">
      <c r="A4069" s="423" t="s">
        <v>1255</v>
      </c>
      <c r="B4069" s="424" t="s">
        <v>1714</v>
      </c>
      <c r="C4069" s="423" t="s">
        <v>1715</v>
      </c>
      <c r="D4069" s="423" t="s">
        <v>1716</v>
      </c>
      <c r="E4069" s="423" t="s">
        <v>1717</v>
      </c>
      <c r="F4069" s="423"/>
      <c r="G4069" s="425" t="s">
        <v>1718</v>
      </c>
      <c r="H4069" s="424" t="s">
        <v>1719</v>
      </c>
      <c r="I4069" s="424" t="s">
        <v>1720</v>
      </c>
      <c r="J4069" s="424" t="s">
        <v>1721</v>
      </c>
      <c r="K4069" s="424" t="s">
        <v>1722</v>
      </c>
    </row>
    <row r="4070" customHeight="1" spans="1:11">
      <c r="A4070" s="426" t="s">
        <v>1723</v>
      </c>
      <c r="B4070" s="427" t="s">
        <v>1256</v>
      </c>
      <c r="C4070" s="426" t="s">
        <v>71</v>
      </c>
      <c r="D4070" s="426" t="s">
        <v>1257</v>
      </c>
      <c r="E4070" s="426" t="s">
        <v>1657</v>
      </c>
      <c r="F4070" s="426"/>
      <c r="G4070" s="428" t="s">
        <v>73</v>
      </c>
      <c r="H4070" s="429">
        <v>1</v>
      </c>
      <c r="I4070" s="445"/>
      <c r="J4070" s="445">
        <v>5.46</v>
      </c>
      <c r="K4070" s="445">
        <v>5.46</v>
      </c>
    </row>
    <row r="4071" customHeight="1" spans="1:11">
      <c r="A4071" s="430" t="s">
        <v>1724</v>
      </c>
      <c r="B4071" s="431" t="s">
        <v>1745</v>
      </c>
      <c r="C4071" s="430" t="s">
        <v>71</v>
      </c>
      <c r="D4071" s="430" t="s">
        <v>1746</v>
      </c>
      <c r="E4071" s="430" t="s">
        <v>1708</v>
      </c>
      <c r="F4071" s="430"/>
      <c r="G4071" s="432" t="s">
        <v>82</v>
      </c>
      <c r="H4071" s="433">
        <v>0.0222</v>
      </c>
      <c r="I4071" s="433">
        <v>0</v>
      </c>
      <c r="J4071" s="446">
        <v>29.15</v>
      </c>
      <c r="K4071" s="446">
        <v>0.64</v>
      </c>
    </row>
    <row r="4072" customHeight="1" spans="1:11">
      <c r="A4072" s="430" t="s">
        <v>1724</v>
      </c>
      <c r="B4072" s="431" t="s">
        <v>3081</v>
      </c>
      <c r="C4072" s="430" t="s">
        <v>71</v>
      </c>
      <c r="D4072" s="430" t="s">
        <v>3082</v>
      </c>
      <c r="E4072" s="430" t="s">
        <v>1708</v>
      </c>
      <c r="F4072" s="430"/>
      <c r="G4072" s="432" t="s">
        <v>82</v>
      </c>
      <c r="H4072" s="433">
        <v>0.0666</v>
      </c>
      <c r="I4072" s="433">
        <v>0</v>
      </c>
      <c r="J4072" s="446">
        <v>38.02</v>
      </c>
      <c r="K4072" s="446">
        <v>2.53</v>
      </c>
    </row>
    <row r="4073" customHeight="1" spans="1:11">
      <c r="A4073" s="438" t="s">
        <v>1750</v>
      </c>
      <c r="B4073" s="439" t="s">
        <v>3083</v>
      </c>
      <c r="C4073" s="438" t="s">
        <v>71</v>
      </c>
      <c r="D4073" s="438" t="s">
        <v>3084</v>
      </c>
      <c r="E4073" s="438" t="s">
        <v>1631</v>
      </c>
      <c r="F4073" s="438"/>
      <c r="G4073" s="440" t="s">
        <v>1945</v>
      </c>
      <c r="H4073" s="441">
        <v>0.1666</v>
      </c>
      <c r="I4073" s="441">
        <v>0</v>
      </c>
      <c r="J4073" s="449">
        <v>13.76</v>
      </c>
      <c r="K4073" s="449">
        <v>2.29</v>
      </c>
    </row>
    <row r="4074" customHeight="1" spans="1:11">
      <c r="A4074" s="434"/>
      <c r="B4074" s="434"/>
      <c r="C4074" s="434"/>
      <c r="D4074" s="434"/>
      <c r="E4074" s="434"/>
      <c r="F4074" s="434" t="s">
        <v>1735</v>
      </c>
      <c r="G4074" s="435">
        <v>1.13</v>
      </c>
      <c r="H4074" s="434" t="s">
        <v>1736</v>
      </c>
      <c r="I4074" s="435">
        <v>1.03</v>
      </c>
      <c r="J4074" s="434" t="s">
        <v>1737</v>
      </c>
      <c r="K4074" s="435">
        <v>2.16</v>
      </c>
    </row>
    <row r="4075" customHeight="1" spans="1:11">
      <c r="A4075" s="434"/>
      <c r="B4075" s="434"/>
      <c r="C4075" s="434"/>
      <c r="D4075" s="434"/>
      <c r="E4075" s="434"/>
      <c r="F4075" s="434" t="s">
        <v>1738</v>
      </c>
      <c r="G4075" s="435">
        <v>1.34</v>
      </c>
      <c r="H4075" s="434"/>
      <c r="I4075" s="434" t="s">
        <v>1739</v>
      </c>
      <c r="J4075" s="434"/>
      <c r="K4075" s="435">
        <v>6.8</v>
      </c>
    </row>
    <row r="4076" customHeight="1" spans="1:11">
      <c r="A4076" s="436"/>
      <c r="B4076" s="436"/>
      <c r="C4076" s="436"/>
      <c r="D4076" s="436"/>
      <c r="E4076" s="436"/>
      <c r="F4076" s="436"/>
      <c r="G4076" s="436"/>
      <c r="H4076" s="436" t="s">
        <v>1740</v>
      </c>
      <c r="I4076" s="447" t="s">
        <v>3085</v>
      </c>
      <c r="J4076" s="436" t="s">
        <v>1742</v>
      </c>
      <c r="K4076" s="448">
        <v>3285.21</v>
      </c>
    </row>
    <row r="4077" customHeight="1" spans="1:11">
      <c r="A4077" s="437"/>
      <c r="B4077" s="437"/>
      <c r="C4077" s="437"/>
      <c r="D4077" s="437"/>
      <c r="E4077" s="437"/>
      <c r="F4077" s="437"/>
      <c r="G4077" s="437"/>
      <c r="H4077" s="437"/>
      <c r="I4077" s="437"/>
      <c r="J4077" s="437"/>
      <c r="K4077" s="437"/>
    </row>
    <row r="4078" customHeight="1" spans="1:11">
      <c r="A4078" s="423" t="s">
        <v>1258</v>
      </c>
      <c r="B4078" s="424" t="s">
        <v>1714</v>
      </c>
      <c r="C4078" s="423" t="s">
        <v>1715</v>
      </c>
      <c r="D4078" s="423" t="s">
        <v>1716</v>
      </c>
      <c r="E4078" s="423" t="s">
        <v>1717</v>
      </c>
      <c r="F4078" s="423"/>
      <c r="G4078" s="425" t="s">
        <v>1718</v>
      </c>
      <c r="H4078" s="424" t="s">
        <v>1719</v>
      </c>
      <c r="I4078" s="424" t="s">
        <v>1720</v>
      </c>
      <c r="J4078" s="424" t="s">
        <v>1721</v>
      </c>
      <c r="K4078" s="424" t="s">
        <v>1722</v>
      </c>
    </row>
    <row r="4079" customHeight="1" spans="1:11">
      <c r="A4079" s="426" t="s">
        <v>1723</v>
      </c>
      <c r="B4079" s="427" t="s">
        <v>1259</v>
      </c>
      <c r="C4079" s="426" t="s">
        <v>71</v>
      </c>
      <c r="D4079" s="426" t="s">
        <v>1260</v>
      </c>
      <c r="E4079" s="426" t="s">
        <v>1657</v>
      </c>
      <c r="F4079" s="426"/>
      <c r="G4079" s="428" t="s">
        <v>73</v>
      </c>
      <c r="H4079" s="429">
        <v>1</v>
      </c>
      <c r="I4079" s="445"/>
      <c r="J4079" s="445">
        <v>22.13</v>
      </c>
      <c r="K4079" s="445">
        <v>22.13</v>
      </c>
    </row>
    <row r="4080" customHeight="1" spans="1:11">
      <c r="A4080" s="430" t="s">
        <v>1724</v>
      </c>
      <c r="B4080" s="431" t="s">
        <v>3081</v>
      </c>
      <c r="C4080" s="430" t="s">
        <v>71</v>
      </c>
      <c r="D4080" s="430" t="s">
        <v>3082</v>
      </c>
      <c r="E4080" s="430" t="s">
        <v>1708</v>
      </c>
      <c r="F4080" s="430"/>
      <c r="G4080" s="432" t="s">
        <v>82</v>
      </c>
      <c r="H4080" s="433">
        <v>0.361</v>
      </c>
      <c r="I4080" s="433">
        <v>0</v>
      </c>
      <c r="J4080" s="446">
        <v>38.02</v>
      </c>
      <c r="K4080" s="446">
        <v>13.72</v>
      </c>
    </row>
    <row r="4081" customHeight="1" spans="1:11">
      <c r="A4081" s="430" t="s">
        <v>1724</v>
      </c>
      <c r="B4081" s="431" t="s">
        <v>1745</v>
      </c>
      <c r="C4081" s="430" t="s">
        <v>71</v>
      </c>
      <c r="D4081" s="430" t="s">
        <v>1746</v>
      </c>
      <c r="E4081" s="430" t="s">
        <v>1708</v>
      </c>
      <c r="F4081" s="430"/>
      <c r="G4081" s="432" t="s">
        <v>82</v>
      </c>
      <c r="H4081" s="433">
        <v>0.1203</v>
      </c>
      <c r="I4081" s="433">
        <v>0</v>
      </c>
      <c r="J4081" s="446">
        <v>29.15</v>
      </c>
      <c r="K4081" s="446">
        <v>3.5</v>
      </c>
    </row>
    <row r="4082" customHeight="1" spans="1:11">
      <c r="A4082" s="438" t="s">
        <v>1750</v>
      </c>
      <c r="B4082" s="439" t="s">
        <v>3086</v>
      </c>
      <c r="C4082" s="438" t="s">
        <v>71</v>
      </c>
      <c r="D4082" s="438" t="s">
        <v>3087</v>
      </c>
      <c r="E4082" s="438" t="s">
        <v>1631</v>
      </c>
      <c r="F4082" s="438"/>
      <c r="G4082" s="440" t="s">
        <v>105</v>
      </c>
      <c r="H4082" s="441">
        <v>0.0802</v>
      </c>
      <c r="I4082" s="441">
        <v>0</v>
      </c>
      <c r="J4082" s="449">
        <v>1.21</v>
      </c>
      <c r="K4082" s="449">
        <v>0.09</v>
      </c>
    </row>
    <row r="4083" customHeight="1" spans="1:11">
      <c r="A4083" s="438" t="s">
        <v>1750</v>
      </c>
      <c r="B4083" s="439" t="s">
        <v>3088</v>
      </c>
      <c r="C4083" s="438" t="s">
        <v>71</v>
      </c>
      <c r="D4083" s="438" t="s">
        <v>3089</v>
      </c>
      <c r="E4083" s="438" t="s">
        <v>1631</v>
      </c>
      <c r="F4083" s="438"/>
      <c r="G4083" s="440" t="s">
        <v>158</v>
      </c>
      <c r="H4083" s="441">
        <v>1.3389</v>
      </c>
      <c r="I4083" s="441">
        <v>0</v>
      </c>
      <c r="J4083" s="449">
        <v>3.6</v>
      </c>
      <c r="K4083" s="449">
        <v>4.82</v>
      </c>
    </row>
    <row r="4084" customHeight="1" spans="1:11">
      <c r="A4084" s="434"/>
      <c r="B4084" s="434"/>
      <c r="C4084" s="434"/>
      <c r="D4084" s="434"/>
      <c r="E4084" s="434"/>
      <c r="F4084" s="434" t="s">
        <v>1735</v>
      </c>
      <c r="G4084" s="435">
        <v>6.16</v>
      </c>
      <c r="H4084" s="434" t="s">
        <v>1736</v>
      </c>
      <c r="I4084" s="435">
        <v>5.6</v>
      </c>
      <c r="J4084" s="434" t="s">
        <v>1737</v>
      </c>
      <c r="K4084" s="435">
        <v>11.76</v>
      </c>
    </row>
    <row r="4085" customHeight="1" spans="1:11">
      <c r="A4085" s="434"/>
      <c r="B4085" s="434"/>
      <c r="C4085" s="434"/>
      <c r="D4085" s="434"/>
      <c r="E4085" s="434"/>
      <c r="F4085" s="434" t="s">
        <v>1738</v>
      </c>
      <c r="G4085" s="435">
        <v>5.45</v>
      </c>
      <c r="H4085" s="434"/>
      <c r="I4085" s="434" t="s">
        <v>1739</v>
      </c>
      <c r="J4085" s="434"/>
      <c r="K4085" s="435">
        <v>27.58</v>
      </c>
    </row>
    <row r="4086" customHeight="1" spans="1:11">
      <c r="A4086" s="436"/>
      <c r="B4086" s="436"/>
      <c r="C4086" s="436"/>
      <c r="D4086" s="436"/>
      <c r="E4086" s="436"/>
      <c r="F4086" s="436"/>
      <c r="G4086" s="436"/>
      <c r="H4086" s="436" t="s">
        <v>1740</v>
      </c>
      <c r="I4086" s="447" t="s">
        <v>3085</v>
      </c>
      <c r="J4086" s="436" t="s">
        <v>1742</v>
      </c>
      <c r="K4086" s="448">
        <v>13324.44</v>
      </c>
    </row>
    <row r="4087" customHeight="1" spans="1:11">
      <c r="A4087" s="437"/>
      <c r="B4087" s="437"/>
      <c r="C4087" s="437"/>
      <c r="D4087" s="437"/>
      <c r="E4087" s="437"/>
      <c r="F4087" s="437"/>
      <c r="G4087" s="437"/>
      <c r="H4087" s="437"/>
      <c r="I4087" s="437"/>
      <c r="J4087" s="437"/>
      <c r="K4087" s="437"/>
    </row>
    <row r="4088" customHeight="1" spans="1:11">
      <c r="A4088" s="423" t="s">
        <v>1261</v>
      </c>
      <c r="B4088" s="424" t="s">
        <v>1714</v>
      </c>
      <c r="C4088" s="423" t="s">
        <v>1715</v>
      </c>
      <c r="D4088" s="423" t="s">
        <v>1716</v>
      </c>
      <c r="E4088" s="423" t="s">
        <v>1717</v>
      </c>
      <c r="F4088" s="423"/>
      <c r="G4088" s="425" t="s">
        <v>1718</v>
      </c>
      <c r="H4088" s="424" t="s">
        <v>1719</v>
      </c>
      <c r="I4088" s="424" t="s">
        <v>1720</v>
      </c>
      <c r="J4088" s="424" t="s">
        <v>1721</v>
      </c>
      <c r="K4088" s="424" t="s">
        <v>1722</v>
      </c>
    </row>
    <row r="4089" customHeight="1" spans="1:11">
      <c r="A4089" s="426" t="s">
        <v>1723</v>
      </c>
      <c r="B4089" s="427" t="s">
        <v>1262</v>
      </c>
      <c r="C4089" s="426" t="s">
        <v>71</v>
      </c>
      <c r="D4089" s="426" t="s">
        <v>1263</v>
      </c>
      <c r="E4089" s="426" t="s">
        <v>1657</v>
      </c>
      <c r="F4089" s="426"/>
      <c r="G4089" s="428" t="s">
        <v>73</v>
      </c>
      <c r="H4089" s="429">
        <v>1</v>
      </c>
      <c r="I4089" s="445"/>
      <c r="J4089" s="445">
        <v>15.19</v>
      </c>
      <c r="K4089" s="445">
        <v>15.19</v>
      </c>
    </row>
    <row r="4090" customHeight="1" spans="1:11">
      <c r="A4090" s="430" t="s">
        <v>1724</v>
      </c>
      <c r="B4090" s="431" t="s">
        <v>1745</v>
      </c>
      <c r="C4090" s="430" t="s">
        <v>71</v>
      </c>
      <c r="D4090" s="430" t="s">
        <v>1746</v>
      </c>
      <c r="E4090" s="430" t="s">
        <v>1708</v>
      </c>
      <c r="F4090" s="430"/>
      <c r="G4090" s="432" t="s">
        <v>82</v>
      </c>
      <c r="H4090" s="433">
        <v>0.0544</v>
      </c>
      <c r="I4090" s="433">
        <v>0</v>
      </c>
      <c r="J4090" s="446">
        <v>29.15</v>
      </c>
      <c r="K4090" s="446">
        <v>1.58</v>
      </c>
    </row>
    <row r="4091" customHeight="1" spans="1:11">
      <c r="A4091" s="430" t="s">
        <v>1724</v>
      </c>
      <c r="B4091" s="431" t="s">
        <v>3081</v>
      </c>
      <c r="C4091" s="430" t="s">
        <v>71</v>
      </c>
      <c r="D4091" s="430" t="s">
        <v>3082</v>
      </c>
      <c r="E4091" s="430" t="s">
        <v>1708</v>
      </c>
      <c r="F4091" s="430"/>
      <c r="G4091" s="432" t="s">
        <v>82</v>
      </c>
      <c r="H4091" s="433">
        <v>0.1631</v>
      </c>
      <c r="I4091" s="433">
        <v>0</v>
      </c>
      <c r="J4091" s="446">
        <v>38.02</v>
      </c>
      <c r="K4091" s="446">
        <v>6.2</v>
      </c>
    </row>
    <row r="4092" customHeight="1" spans="1:11">
      <c r="A4092" s="438" t="s">
        <v>1750</v>
      </c>
      <c r="B4092" s="439" t="s">
        <v>3090</v>
      </c>
      <c r="C4092" s="438" t="s">
        <v>71</v>
      </c>
      <c r="D4092" s="438" t="s">
        <v>3091</v>
      </c>
      <c r="E4092" s="438" t="s">
        <v>1631</v>
      </c>
      <c r="F4092" s="438"/>
      <c r="G4092" s="440" t="s">
        <v>1945</v>
      </c>
      <c r="H4092" s="441">
        <v>0.2285</v>
      </c>
      <c r="I4092" s="441">
        <v>0</v>
      </c>
      <c r="J4092" s="449">
        <v>32.47</v>
      </c>
      <c r="K4092" s="449">
        <v>7.41</v>
      </c>
    </row>
    <row r="4093" customHeight="1" spans="1:11">
      <c r="A4093" s="434"/>
      <c r="B4093" s="434"/>
      <c r="C4093" s="434"/>
      <c r="D4093" s="434"/>
      <c r="E4093" s="434"/>
      <c r="F4093" s="434" t="s">
        <v>1735</v>
      </c>
      <c r="G4093" s="435">
        <v>2.78</v>
      </c>
      <c r="H4093" s="434" t="s">
        <v>1736</v>
      </c>
      <c r="I4093" s="435">
        <v>2.53</v>
      </c>
      <c r="J4093" s="434" t="s">
        <v>1737</v>
      </c>
      <c r="K4093" s="435">
        <v>5.31</v>
      </c>
    </row>
    <row r="4094" customHeight="1" spans="1:11">
      <c r="A4094" s="434"/>
      <c r="B4094" s="434"/>
      <c r="C4094" s="434"/>
      <c r="D4094" s="434"/>
      <c r="E4094" s="434"/>
      <c r="F4094" s="434" t="s">
        <v>1738</v>
      </c>
      <c r="G4094" s="435">
        <v>3.74</v>
      </c>
      <c r="H4094" s="434"/>
      <c r="I4094" s="434" t="s">
        <v>1739</v>
      </c>
      <c r="J4094" s="434"/>
      <c r="K4094" s="435">
        <v>18.93</v>
      </c>
    </row>
    <row r="4095" customHeight="1" spans="1:11">
      <c r="A4095" s="436"/>
      <c r="B4095" s="436"/>
      <c r="C4095" s="436"/>
      <c r="D4095" s="436"/>
      <c r="E4095" s="436"/>
      <c r="F4095" s="436"/>
      <c r="G4095" s="436"/>
      <c r="H4095" s="436" t="s">
        <v>1740</v>
      </c>
      <c r="I4095" s="447" t="s">
        <v>3085</v>
      </c>
      <c r="J4095" s="436" t="s">
        <v>1742</v>
      </c>
      <c r="K4095" s="448">
        <v>9145.46</v>
      </c>
    </row>
    <row r="4096" customHeight="1" spans="1:11">
      <c r="A4096" s="437"/>
      <c r="B4096" s="437"/>
      <c r="C4096" s="437"/>
      <c r="D4096" s="437"/>
      <c r="E4096" s="437"/>
      <c r="F4096" s="437"/>
      <c r="G4096" s="437"/>
      <c r="H4096" s="437"/>
      <c r="I4096" s="437"/>
      <c r="J4096" s="437"/>
      <c r="K4096" s="437"/>
    </row>
    <row r="4097" customHeight="1" spans="1:11">
      <c r="A4097" s="423" t="s">
        <v>1264</v>
      </c>
      <c r="B4097" s="424" t="s">
        <v>1714</v>
      </c>
      <c r="C4097" s="423" t="s">
        <v>1715</v>
      </c>
      <c r="D4097" s="423" t="s">
        <v>1716</v>
      </c>
      <c r="E4097" s="423" t="s">
        <v>1717</v>
      </c>
      <c r="F4097" s="423"/>
      <c r="G4097" s="425" t="s">
        <v>1718</v>
      </c>
      <c r="H4097" s="424" t="s">
        <v>1719</v>
      </c>
      <c r="I4097" s="424" t="s">
        <v>1720</v>
      </c>
      <c r="J4097" s="424" t="s">
        <v>1721</v>
      </c>
      <c r="K4097" s="424" t="s">
        <v>1722</v>
      </c>
    </row>
    <row r="4098" customHeight="1" spans="1:11">
      <c r="A4098" s="426" t="s">
        <v>1723</v>
      </c>
      <c r="B4098" s="427" t="s">
        <v>1265</v>
      </c>
      <c r="C4098" s="426" t="s">
        <v>71</v>
      </c>
      <c r="D4098" s="426" t="s">
        <v>1266</v>
      </c>
      <c r="E4098" s="426" t="s">
        <v>1702</v>
      </c>
      <c r="F4098" s="426"/>
      <c r="G4098" s="428" t="s">
        <v>73</v>
      </c>
      <c r="H4098" s="429">
        <v>1</v>
      </c>
      <c r="I4098" s="445"/>
      <c r="J4098" s="445">
        <v>5.24</v>
      </c>
      <c r="K4098" s="445">
        <v>5.24</v>
      </c>
    </row>
    <row r="4099" customHeight="1" spans="1:11">
      <c r="A4099" s="430" t="s">
        <v>1724</v>
      </c>
      <c r="B4099" s="431" t="s">
        <v>1745</v>
      </c>
      <c r="C4099" s="430" t="s">
        <v>71</v>
      </c>
      <c r="D4099" s="430" t="s">
        <v>1746</v>
      </c>
      <c r="E4099" s="430" t="s">
        <v>1708</v>
      </c>
      <c r="F4099" s="430"/>
      <c r="G4099" s="432" t="s">
        <v>82</v>
      </c>
      <c r="H4099" s="433">
        <v>0.0051</v>
      </c>
      <c r="I4099" s="433">
        <v>0</v>
      </c>
      <c r="J4099" s="446">
        <v>29.15</v>
      </c>
      <c r="K4099" s="446">
        <v>0.14</v>
      </c>
    </row>
    <row r="4100" customHeight="1" spans="1:11">
      <c r="A4100" s="430" t="s">
        <v>1724</v>
      </c>
      <c r="B4100" s="431" t="s">
        <v>3081</v>
      </c>
      <c r="C4100" s="430" t="s">
        <v>71</v>
      </c>
      <c r="D4100" s="430" t="s">
        <v>3082</v>
      </c>
      <c r="E4100" s="430" t="s">
        <v>1708</v>
      </c>
      <c r="F4100" s="430"/>
      <c r="G4100" s="432" t="s">
        <v>82</v>
      </c>
      <c r="H4100" s="433">
        <v>0.0315</v>
      </c>
      <c r="I4100" s="433">
        <v>0</v>
      </c>
      <c r="J4100" s="446">
        <v>38.02</v>
      </c>
      <c r="K4100" s="446">
        <v>1.19</v>
      </c>
    </row>
    <row r="4101" customHeight="1" spans="1:11">
      <c r="A4101" s="438" t="s">
        <v>1750</v>
      </c>
      <c r="B4101" s="439" t="s">
        <v>3083</v>
      </c>
      <c r="C4101" s="438" t="s">
        <v>71</v>
      </c>
      <c r="D4101" s="438" t="s">
        <v>3084</v>
      </c>
      <c r="E4101" s="438" t="s">
        <v>1631</v>
      </c>
      <c r="F4101" s="438"/>
      <c r="G4101" s="440" t="s">
        <v>1945</v>
      </c>
      <c r="H4101" s="441">
        <v>0.2845</v>
      </c>
      <c r="I4101" s="441">
        <v>0</v>
      </c>
      <c r="J4101" s="449">
        <v>13.76</v>
      </c>
      <c r="K4101" s="449">
        <v>3.91</v>
      </c>
    </row>
    <row r="4102" customHeight="1" spans="1:11">
      <c r="A4102" s="434"/>
      <c r="B4102" s="434"/>
      <c r="C4102" s="434"/>
      <c r="D4102" s="434"/>
      <c r="E4102" s="434"/>
      <c r="F4102" s="434" t="s">
        <v>1735</v>
      </c>
      <c r="G4102" s="435">
        <v>0.47</v>
      </c>
      <c r="H4102" s="434" t="s">
        <v>1736</v>
      </c>
      <c r="I4102" s="435">
        <v>0.44</v>
      </c>
      <c r="J4102" s="434" t="s">
        <v>1737</v>
      </c>
      <c r="K4102" s="435">
        <v>0.91</v>
      </c>
    </row>
    <row r="4103" customHeight="1" spans="1:11">
      <c r="A4103" s="434"/>
      <c r="B4103" s="434"/>
      <c r="C4103" s="434"/>
      <c r="D4103" s="434"/>
      <c r="E4103" s="434"/>
      <c r="F4103" s="434" t="s">
        <v>1738</v>
      </c>
      <c r="G4103" s="435">
        <v>1.29</v>
      </c>
      <c r="H4103" s="434"/>
      <c r="I4103" s="434" t="s">
        <v>1739</v>
      </c>
      <c r="J4103" s="434"/>
      <c r="K4103" s="435">
        <v>6.53</v>
      </c>
    </row>
    <row r="4104" customHeight="1" spans="1:11">
      <c r="A4104" s="436"/>
      <c r="B4104" s="436"/>
      <c r="C4104" s="436"/>
      <c r="D4104" s="436"/>
      <c r="E4104" s="436"/>
      <c r="F4104" s="436"/>
      <c r="G4104" s="436"/>
      <c r="H4104" s="436" t="s">
        <v>1740</v>
      </c>
      <c r="I4104" s="447" t="s">
        <v>3092</v>
      </c>
      <c r="J4104" s="436" t="s">
        <v>1742</v>
      </c>
      <c r="K4104" s="448">
        <v>447.56</v>
      </c>
    </row>
    <row r="4105" customHeight="1" spans="1:11">
      <c r="A4105" s="437"/>
      <c r="B4105" s="437"/>
      <c r="C4105" s="437"/>
      <c r="D4105" s="437"/>
      <c r="E4105" s="437"/>
      <c r="F4105" s="437"/>
      <c r="G4105" s="437"/>
      <c r="H4105" s="437"/>
      <c r="I4105" s="437"/>
      <c r="J4105" s="437"/>
      <c r="K4105" s="437"/>
    </row>
    <row r="4106" customHeight="1" spans="1:11">
      <c r="A4106" s="423" t="s">
        <v>1267</v>
      </c>
      <c r="B4106" s="424" t="s">
        <v>1714</v>
      </c>
      <c r="C4106" s="423" t="s">
        <v>1715</v>
      </c>
      <c r="D4106" s="423" t="s">
        <v>1716</v>
      </c>
      <c r="E4106" s="423" t="s">
        <v>1717</v>
      </c>
      <c r="F4106" s="423"/>
      <c r="G4106" s="425" t="s">
        <v>1718</v>
      </c>
      <c r="H4106" s="424" t="s">
        <v>1719</v>
      </c>
      <c r="I4106" s="424" t="s">
        <v>1720</v>
      </c>
      <c r="J4106" s="424" t="s">
        <v>1721</v>
      </c>
      <c r="K4106" s="424" t="s">
        <v>1722</v>
      </c>
    </row>
    <row r="4107" customHeight="1" spans="1:11">
      <c r="A4107" s="426" t="s">
        <v>1723</v>
      </c>
      <c r="B4107" s="427" t="s">
        <v>1268</v>
      </c>
      <c r="C4107" s="426" t="s">
        <v>71</v>
      </c>
      <c r="D4107" s="426" t="s">
        <v>1269</v>
      </c>
      <c r="E4107" s="426" t="s">
        <v>1702</v>
      </c>
      <c r="F4107" s="426"/>
      <c r="G4107" s="428" t="s">
        <v>73</v>
      </c>
      <c r="H4107" s="429">
        <v>1</v>
      </c>
      <c r="I4107" s="445"/>
      <c r="J4107" s="445">
        <v>13.43</v>
      </c>
      <c r="K4107" s="445">
        <v>13.43</v>
      </c>
    </row>
    <row r="4108" customHeight="1" spans="1:11">
      <c r="A4108" s="430" t="s">
        <v>1724</v>
      </c>
      <c r="B4108" s="431" t="s">
        <v>3081</v>
      </c>
      <c r="C4108" s="430" t="s">
        <v>71</v>
      </c>
      <c r="D4108" s="430" t="s">
        <v>3082</v>
      </c>
      <c r="E4108" s="430" t="s">
        <v>1708</v>
      </c>
      <c r="F4108" s="430"/>
      <c r="G4108" s="432" t="s">
        <v>82</v>
      </c>
      <c r="H4108" s="433">
        <v>0.2033</v>
      </c>
      <c r="I4108" s="433">
        <v>0</v>
      </c>
      <c r="J4108" s="446">
        <v>38.02</v>
      </c>
      <c r="K4108" s="446">
        <v>7.72</v>
      </c>
    </row>
    <row r="4109" customHeight="1" spans="1:11">
      <c r="A4109" s="430" t="s">
        <v>1724</v>
      </c>
      <c r="B4109" s="431" t="s">
        <v>1745</v>
      </c>
      <c r="C4109" s="430" t="s">
        <v>71</v>
      </c>
      <c r="D4109" s="430" t="s">
        <v>1746</v>
      </c>
      <c r="E4109" s="430" t="s">
        <v>1708</v>
      </c>
      <c r="F4109" s="430"/>
      <c r="G4109" s="432" t="s">
        <v>82</v>
      </c>
      <c r="H4109" s="433">
        <v>0.0332</v>
      </c>
      <c r="I4109" s="433">
        <v>0</v>
      </c>
      <c r="J4109" s="446">
        <v>29.15</v>
      </c>
      <c r="K4109" s="446">
        <v>0.96</v>
      </c>
    </row>
    <row r="4110" customHeight="1" spans="1:11">
      <c r="A4110" s="438" t="s">
        <v>1750</v>
      </c>
      <c r="B4110" s="439" t="s">
        <v>3086</v>
      </c>
      <c r="C4110" s="438" t="s">
        <v>71</v>
      </c>
      <c r="D4110" s="438" t="s">
        <v>3087</v>
      </c>
      <c r="E4110" s="438" t="s">
        <v>1631</v>
      </c>
      <c r="F4110" s="438"/>
      <c r="G4110" s="440" t="s">
        <v>105</v>
      </c>
      <c r="H4110" s="441">
        <v>0.04</v>
      </c>
      <c r="I4110" s="441">
        <v>0</v>
      </c>
      <c r="J4110" s="449">
        <v>1.21</v>
      </c>
      <c r="K4110" s="449">
        <v>0.04</v>
      </c>
    </row>
    <row r="4111" customHeight="1" spans="1:11">
      <c r="A4111" s="438" t="s">
        <v>1750</v>
      </c>
      <c r="B4111" s="439" t="s">
        <v>3093</v>
      </c>
      <c r="C4111" s="438" t="s">
        <v>71</v>
      </c>
      <c r="D4111" s="438" t="s">
        <v>3094</v>
      </c>
      <c r="E4111" s="438" t="s">
        <v>1631</v>
      </c>
      <c r="F4111" s="438"/>
      <c r="G4111" s="440" t="s">
        <v>158</v>
      </c>
      <c r="H4111" s="441">
        <v>0.7289</v>
      </c>
      <c r="I4111" s="441">
        <v>0</v>
      </c>
      <c r="J4111" s="449">
        <v>6.47</v>
      </c>
      <c r="K4111" s="449">
        <v>4.71</v>
      </c>
    </row>
    <row r="4112" customHeight="1" spans="1:11">
      <c r="A4112" s="434"/>
      <c r="B4112" s="434"/>
      <c r="C4112" s="434"/>
      <c r="D4112" s="434"/>
      <c r="E4112" s="434"/>
      <c r="F4112" s="434" t="s">
        <v>1735</v>
      </c>
      <c r="G4112" s="435">
        <v>3.11</v>
      </c>
      <c r="H4112" s="434" t="s">
        <v>1736</v>
      </c>
      <c r="I4112" s="435">
        <v>2.84</v>
      </c>
      <c r="J4112" s="434" t="s">
        <v>1737</v>
      </c>
      <c r="K4112" s="435">
        <v>5.95</v>
      </c>
    </row>
    <row r="4113" customHeight="1" spans="1:11">
      <c r="A4113" s="434"/>
      <c r="B4113" s="434"/>
      <c r="C4113" s="434"/>
      <c r="D4113" s="434"/>
      <c r="E4113" s="434"/>
      <c r="F4113" s="434" t="s">
        <v>1738</v>
      </c>
      <c r="G4113" s="435">
        <v>3.31</v>
      </c>
      <c r="H4113" s="434"/>
      <c r="I4113" s="434" t="s">
        <v>1739</v>
      </c>
      <c r="J4113" s="434"/>
      <c r="K4113" s="435">
        <v>16.74</v>
      </c>
    </row>
    <row r="4114" customHeight="1" spans="1:11">
      <c r="A4114" s="436"/>
      <c r="B4114" s="436"/>
      <c r="C4114" s="436"/>
      <c r="D4114" s="436"/>
      <c r="E4114" s="436"/>
      <c r="F4114" s="436"/>
      <c r="G4114" s="436"/>
      <c r="H4114" s="436" t="s">
        <v>1740</v>
      </c>
      <c r="I4114" s="447" t="s">
        <v>3095</v>
      </c>
      <c r="J4114" s="436" t="s">
        <v>1742</v>
      </c>
      <c r="K4114" s="448">
        <v>831.47</v>
      </c>
    </row>
    <row r="4115" customHeight="1" spans="1:11">
      <c r="A4115" s="437"/>
      <c r="B4115" s="437"/>
      <c r="C4115" s="437"/>
      <c r="D4115" s="437"/>
      <c r="E4115" s="437"/>
      <c r="F4115" s="437"/>
      <c r="G4115" s="437"/>
      <c r="H4115" s="437"/>
      <c r="I4115" s="437"/>
      <c r="J4115" s="437"/>
      <c r="K4115" s="437"/>
    </row>
    <row r="4116" customHeight="1" spans="1:11">
      <c r="A4116" s="423" t="s">
        <v>1270</v>
      </c>
      <c r="B4116" s="424" t="s">
        <v>1714</v>
      </c>
      <c r="C4116" s="423" t="s">
        <v>1715</v>
      </c>
      <c r="D4116" s="423" t="s">
        <v>1716</v>
      </c>
      <c r="E4116" s="423" t="s">
        <v>1717</v>
      </c>
      <c r="F4116" s="423"/>
      <c r="G4116" s="425" t="s">
        <v>1718</v>
      </c>
      <c r="H4116" s="424" t="s">
        <v>1719</v>
      </c>
      <c r="I4116" s="424" t="s">
        <v>1720</v>
      </c>
      <c r="J4116" s="424" t="s">
        <v>1721</v>
      </c>
      <c r="K4116" s="424" t="s">
        <v>1722</v>
      </c>
    </row>
    <row r="4117" customHeight="1" spans="1:11">
      <c r="A4117" s="426" t="s">
        <v>1723</v>
      </c>
      <c r="B4117" s="427" t="s">
        <v>1271</v>
      </c>
      <c r="C4117" s="426" t="s">
        <v>71</v>
      </c>
      <c r="D4117" s="426" t="s">
        <v>1272</v>
      </c>
      <c r="E4117" s="426" t="s">
        <v>1702</v>
      </c>
      <c r="F4117" s="426"/>
      <c r="G4117" s="428" t="s">
        <v>73</v>
      </c>
      <c r="H4117" s="429">
        <v>1</v>
      </c>
      <c r="I4117" s="445"/>
      <c r="J4117" s="445">
        <v>12.22</v>
      </c>
      <c r="K4117" s="445">
        <v>12.22</v>
      </c>
    </row>
    <row r="4118" customHeight="1" spans="1:11">
      <c r="A4118" s="430" t="s">
        <v>1724</v>
      </c>
      <c r="B4118" s="431" t="s">
        <v>3081</v>
      </c>
      <c r="C4118" s="430" t="s">
        <v>71</v>
      </c>
      <c r="D4118" s="430" t="s">
        <v>3082</v>
      </c>
      <c r="E4118" s="430" t="s">
        <v>1708</v>
      </c>
      <c r="F4118" s="430"/>
      <c r="G4118" s="432" t="s">
        <v>82</v>
      </c>
      <c r="H4118" s="433">
        <v>0.1349</v>
      </c>
      <c r="I4118" s="433">
        <v>0</v>
      </c>
      <c r="J4118" s="446">
        <v>38.02</v>
      </c>
      <c r="K4118" s="446">
        <v>5.12</v>
      </c>
    </row>
    <row r="4119" customHeight="1" spans="1:11">
      <c r="A4119" s="430" t="s">
        <v>1724</v>
      </c>
      <c r="B4119" s="431" t="s">
        <v>1745</v>
      </c>
      <c r="C4119" s="430" t="s">
        <v>71</v>
      </c>
      <c r="D4119" s="430" t="s">
        <v>1746</v>
      </c>
      <c r="E4119" s="430" t="s">
        <v>1708</v>
      </c>
      <c r="F4119" s="430"/>
      <c r="G4119" s="432" t="s">
        <v>82</v>
      </c>
      <c r="H4119" s="433">
        <v>0.022</v>
      </c>
      <c r="I4119" s="433">
        <v>0</v>
      </c>
      <c r="J4119" s="446">
        <v>29.15</v>
      </c>
      <c r="K4119" s="446">
        <v>0.64</v>
      </c>
    </row>
    <row r="4120" customHeight="1" spans="1:11">
      <c r="A4120" s="438" t="s">
        <v>1750</v>
      </c>
      <c r="B4120" s="439" t="s">
        <v>3090</v>
      </c>
      <c r="C4120" s="438" t="s">
        <v>71</v>
      </c>
      <c r="D4120" s="438" t="s">
        <v>3091</v>
      </c>
      <c r="E4120" s="438" t="s">
        <v>1631</v>
      </c>
      <c r="F4120" s="438"/>
      <c r="G4120" s="440" t="s">
        <v>1945</v>
      </c>
      <c r="H4120" s="441">
        <v>0.199</v>
      </c>
      <c r="I4120" s="441">
        <v>0</v>
      </c>
      <c r="J4120" s="449">
        <v>32.47</v>
      </c>
      <c r="K4120" s="449">
        <v>6.46</v>
      </c>
    </row>
    <row r="4121" customHeight="1" spans="1:11">
      <c r="A4121" s="434"/>
      <c r="B4121" s="434"/>
      <c r="C4121" s="434"/>
      <c r="D4121" s="434"/>
      <c r="E4121" s="434"/>
      <c r="F4121" s="434" t="s">
        <v>1735</v>
      </c>
      <c r="G4121" s="435">
        <v>2.06</v>
      </c>
      <c r="H4121" s="434" t="s">
        <v>1736</v>
      </c>
      <c r="I4121" s="435">
        <v>1.89</v>
      </c>
      <c r="J4121" s="434" t="s">
        <v>1737</v>
      </c>
      <c r="K4121" s="435">
        <v>3.95</v>
      </c>
    </row>
    <row r="4122" customHeight="1" spans="1:11">
      <c r="A4122" s="434"/>
      <c r="B4122" s="434"/>
      <c r="C4122" s="434"/>
      <c r="D4122" s="434"/>
      <c r="E4122" s="434"/>
      <c r="F4122" s="434" t="s">
        <v>1738</v>
      </c>
      <c r="G4122" s="435">
        <v>3.01</v>
      </c>
      <c r="H4122" s="434"/>
      <c r="I4122" s="434" t="s">
        <v>1739</v>
      </c>
      <c r="J4122" s="434"/>
      <c r="K4122" s="435">
        <v>15.23</v>
      </c>
    </row>
    <row r="4123" customHeight="1" spans="1:11">
      <c r="A4123" s="436"/>
      <c r="B4123" s="436"/>
      <c r="C4123" s="436"/>
      <c r="D4123" s="436"/>
      <c r="E4123" s="436"/>
      <c r="F4123" s="436"/>
      <c r="G4123" s="436"/>
      <c r="H4123" s="436" t="s">
        <v>1740</v>
      </c>
      <c r="I4123" s="447" t="s">
        <v>3092</v>
      </c>
      <c r="J4123" s="436" t="s">
        <v>1742</v>
      </c>
      <c r="K4123" s="448">
        <v>1043.86</v>
      </c>
    </row>
    <row r="4124" customHeight="1" spans="1:11">
      <c r="A4124" s="437"/>
      <c r="B4124" s="437"/>
      <c r="C4124" s="437"/>
      <c r="D4124" s="437"/>
      <c r="E4124" s="437"/>
      <c r="F4124" s="437"/>
      <c r="G4124" s="437"/>
      <c r="H4124" s="437"/>
      <c r="I4124" s="437"/>
      <c r="J4124" s="437"/>
      <c r="K4124" s="437"/>
    </row>
    <row r="4125" customHeight="1" spans="1:11">
      <c r="A4125" s="423" t="s">
        <v>1273</v>
      </c>
      <c r="B4125" s="424" t="s">
        <v>1714</v>
      </c>
      <c r="C4125" s="423" t="s">
        <v>1715</v>
      </c>
      <c r="D4125" s="423" t="s">
        <v>1716</v>
      </c>
      <c r="E4125" s="423" t="s">
        <v>1717</v>
      </c>
      <c r="F4125" s="423"/>
      <c r="G4125" s="425" t="s">
        <v>1718</v>
      </c>
      <c r="H4125" s="424" t="s">
        <v>1719</v>
      </c>
      <c r="I4125" s="424" t="s">
        <v>1720</v>
      </c>
      <c r="J4125" s="424" t="s">
        <v>1721</v>
      </c>
      <c r="K4125" s="424" t="s">
        <v>1722</v>
      </c>
    </row>
    <row r="4126" customHeight="1" spans="1:11">
      <c r="A4126" s="426" t="s">
        <v>1723</v>
      </c>
      <c r="B4126" s="427" t="s">
        <v>1274</v>
      </c>
      <c r="C4126" s="426" t="s">
        <v>71</v>
      </c>
      <c r="D4126" s="426" t="s">
        <v>1275</v>
      </c>
      <c r="E4126" s="426" t="s">
        <v>1667</v>
      </c>
      <c r="F4126" s="426"/>
      <c r="G4126" s="428" t="s">
        <v>73</v>
      </c>
      <c r="H4126" s="429">
        <v>1</v>
      </c>
      <c r="I4126" s="445"/>
      <c r="J4126" s="445">
        <v>34.32</v>
      </c>
      <c r="K4126" s="445">
        <v>34.32</v>
      </c>
    </row>
    <row r="4127" customHeight="1" spans="1:11">
      <c r="A4127" s="430" t="s">
        <v>1724</v>
      </c>
      <c r="B4127" s="431" t="s">
        <v>3081</v>
      </c>
      <c r="C4127" s="430" t="s">
        <v>71</v>
      </c>
      <c r="D4127" s="430" t="s">
        <v>3082</v>
      </c>
      <c r="E4127" s="430" t="s">
        <v>1708</v>
      </c>
      <c r="F4127" s="430"/>
      <c r="G4127" s="432" t="s">
        <v>82</v>
      </c>
      <c r="H4127" s="433">
        <v>0.36</v>
      </c>
      <c r="I4127" s="433">
        <v>0</v>
      </c>
      <c r="J4127" s="446">
        <v>38.02</v>
      </c>
      <c r="K4127" s="446">
        <v>13.68</v>
      </c>
    </row>
    <row r="4128" customHeight="1" spans="1:11">
      <c r="A4128" s="430" t="s">
        <v>1724</v>
      </c>
      <c r="B4128" s="431" t="s">
        <v>1745</v>
      </c>
      <c r="C4128" s="430" t="s">
        <v>71</v>
      </c>
      <c r="D4128" s="430" t="s">
        <v>1746</v>
      </c>
      <c r="E4128" s="430" t="s">
        <v>1708</v>
      </c>
      <c r="F4128" s="430"/>
      <c r="G4128" s="432" t="s">
        <v>82</v>
      </c>
      <c r="H4128" s="433">
        <v>0.15</v>
      </c>
      <c r="I4128" s="433">
        <v>0</v>
      </c>
      <c r="J4128" s="446">
        <v>29.15</v>
      </c>
      <c r="K4128" s="446">
        <v>4.37</v>
      </c>
    </row>
    <row r="4129" customHeight="1" spans="1:11">
      <c r="A4129" s="438" t="s">
        <v>1750</v>
      </c>
      <c r="B4129" s="439" t="s">
        <v>3096</v>
      </c>
      <c r="C4129" s="438" t="s">
        <v>71</v>
      </c>
      <c r="D4129" s="438" t="s">
        <v>3097</v>
      </c>
      <c r="E4129" s="438" t="s">
        <v>1631</v>
      </c>
      <c r="F4129" s="438"/>
      <c r="G4129" s="440" t="s">
        <v>105</v>
      </c>
      <c r="H4129" s="441">
        <v>0.014</v>
      </c>
      <c r="I4129" s="441">
        <v>0</v>
      </c>
      <c r="J4129" s="449">
        <v>12.54</v>
      </c>
      <c r="K4129" s="449">
        <v>0.17</v>
      </c>
    </row>
    <row r="4130" customHeight="1" spans="1:11">
      <c r="A4130" s="438" t="s">
        <v>1750</v>
      </c>
      <c r="B4130" s="439" t="s">
        <v>3098</v>
      </c>
      <c r="C4130" s="438" t="s">
        <v>71</v>
      </c>
      <c r="D4130" s="438" t="s">
        <v>3099</v>
      </c>
      <c r="E4130" s="438" t="s">
        <v>1631</v>
      </c>
      <c r="F4130" s="438"/>
      <c r="G4130" s="440" t="s">
        <v>1945</v>
      </c>
      <c r="H4130" s="441">
        <v>0.5</v>
      </c>
      <c r="I4130" s="441">
        <v>0</v>
      </c>
      <c r="J4130" s="449">
        <v>32.2</v>
      </c>
      <c r="K4130" s="449">
        <v>16.1</v>
      </c>
    </row>
    <row r="4131" customHeight="1" spans="1:11">
      <c r="A4131" s="434"/>
      <c r="B4131" s="434"/>
      <c r="C4131" s="434"/>
      <c r="D4131" s="434"/>
      <c r="E4131" s="434"/>
      <c r="F4131" s="434" t="s">
        <v>1735</v>
      </c>
      <c r="G4131" s="435">
        <v>6.44</v>
      </c>
      <c r="H4131" s="434" t="s">
        <v>1736</v>
      </c>
      <c r="I4131" s="435">
        <v>5.86</v>
      </c>
      <c r="J4131" s="434" t="s">
        <v>1737</v>
      </c>
      <c r="K4131" s="435">
        <v>12.3</v>
      </c>
    </row>
    <row r="4132" customHeight="1" spans="1:11">
      <c r="A4132" s="434"/>
      <c r="B4132" s="434"/>
      <c r="C4132" s="434"/>
      <c r="D4132" s="434"/>
      <c r="E4132" s="434"/>
      <c r="F4132" s="434" t="s">
        <v>1738</v>
      </c>
      <c r="G4132" s="435">
        <v>8.46</v>
      </c>
      <c r="H4132" s="434"/>
      <c r="I4132" s="434" t="s">
        <v>1739</v>
      </c>
      <c r="J4132" s="434"/>
      <c r="K4132" s="435">
        <v>42.78</v>
      </c>
    </row>
    <row r="4133" customHeight="1" spans="1:11">
      <c r="A4133" s="436"/>
      <c r="B4133" s="436"/>
      <c r="C4133" s="436"/>
      <c r="D4133" s="436"/>
      <c r="E4133" s="436"/>
      <c r="F4133" s="436"/>
      <c r="G4133" s="436"/>
      <c r="H4133" s="436" t="s">
        <v>1740</v>
      </c>
      <c r="I4133" s="447" t="s">
        <v>3100</v>
      </c>
      <c r="J4133" s="436" t="s">
        <v>1742</v>
      </c>
      <c r="K4133" s="448">
        <v>7886.06</v>
      </c>
    </row>
    <row r="4134" customHeight="1" spans="1:11">
      <c r="A4134" s="437"/>
      <c r="B4134" s="437"/>
      <c r="C4134" s="437"/>
      <c r="D4134" s="437"/>
      <c r="E4134" s="437"/>
      <c r="F4134" s="437"/>
      <c r="G4134" s="437"/>
      <c r="H4134" s="437"/>
      <c r="I4134" s="437"/>
      <c r="J4134" s="437"/>
      <c r="K4134" s="437"/>
    </row>
    <row r="4135" customHeight="1" spans="1:11">
      <c r="A4135" s="422" t="s">
        <v>1276</v>
      </c>
      <c r="B4135" s="422"/>
      <c r="C4135" s="422"/>
      <c r="D4135" s="422" t="s">
        <v>1277</v>
      </c>
      <c r="E4135" s="422"/>
      <c r="F4135" s="422"/>
      <c r="G4135" s="422"/>
      <c r="H4135" s="422"/>
      <c r="I4135" s="443"/>
      <c r="J4135" s="422"/>
      <c r="K4135" s="444">
        <v>17077.38</v>
      </c>
    </row>
    <row r="4136" customHeight="1" spans="1:11">
      <c r="A4136" s="423" t="s">
        <v>1278</v>
      </c>
      <c r="B4136" s="424" t="s">
        <v>1714</v>
      </c>
      <c r="C4136" s="423" t="s">
        <v>1715</v>
      </c>
      <c r="D4136" s="423" t="s">
        <v>1716</v>
      </c>
      <c r="E4136" s="423" t="s">
        <v>1717</v>
      </c>
      <c r="F4136" s="423"/>
      <c r="G4136" s="425" t="s">
        <v>1718</v>
      </c>
      <c r="H4136" s="424" t="s">
        <v>1719</v>
      </c>
      <c r="I4136" s="424" t="s">
        <v>1720</v>
      </c>
      <c r="J4136" s="424" t="s">
        <v>1721</v>
      </c>
      <c r="K4136" s="424" t="s">
        <v>1722</v>
      </c>
    </row>
    <row r="4137" customHeight="1" spans="1:11">
      <c r="A4137" s="426" t="s">
        <v>1723</v>
      </c>
      <c r="B4137" s="427" t="s">
        <v>1279</v>
      </c>
      <c r="C4137" s="426" t="s">
        <v>71</v>
      </c>
      <c r="D4137" s="426" t="s">
        <v>1280</v>
      </c>
      <c r="E4137" s="426" t="s">
        <v>1651</v>
      </c>
      <c r="F4137" s="426"/>
      <c r="G4137" s="428" t="s">
        <v>73</v>
      </c>
      <c r="H4137" s="429">
        <v>1</v>
      </c>
      <c r="I4137" s="445"/>
      <c r="J4137" s="445">
        <v>101.24</v>
      </c>
      <c r="K4137" s="445">
        <v>101.24</v>
      </c>
    </row>
    <row r="4138" customHeight="1" spans="1:11">
      <c r="A4138" s="430" t="s">
        <v>1724</v>
      </c>
      <c r="B4138" s="431" t="s">
        <v>3101</v>
      </c>
      <c r="C4138" s="430" t="s">
        <v>71</v>
      </c>
      <c r="D4138" s="430" t="s">
        <v>3102</v>
      </c>
      <c r="E4138" s="430" t="s">
        <v>1708</v>
      </c>
      <c r="F4138" s="430"/>
      <c r="G4138" s="432" t="s">
        <v>82</v>
      </c>
      <c r="H4138" s="433">
        <v>0.7407</v>
      </c>
      <c r="I4138" s="433">
        <v>0</v>
      </c>
      <c r="J4138" s="446">
        <v>38.96</v>
      </c>
      <c r="K4138" s="446">
        <v>28.85</v>
      </c>
    </row>
    <row r="4139" customHeight="1" spans="1:11">
      <c r="A4139" s="430" t="s">
        <v>1724</v>
      </c>
      <c r="B4139" s="431" t="s">
        <v>1745</v>
      </c>
      <c r="C4139" s="430" t="s">
        <v>71</v>
      </c>
      <c r="D4139" s="430" t="s">
        <v>1746</v>
      </c>
      <c r="E4139" s="430" t="s">
        <v>1708</v>
      </c>
      <c r="F4139" s="430"/>
      <c r="G4139" s="432" t="s">
        <v>82</v>
      </c>
      <c r="H4139" s="433">
        <v>0.3259</v>
      </c>
      <c r="I4139" s="433">
        <v>0</v>
      </c>
      <c r="J4139" s="446">
        <v>29.15</v>
      </c>
      <c r="K4139" s="446">
        <v>9.49</v>
      </c>
    </row>
    <row r="4140" customHeight="1" spans="1:11">
      <c r="A4140" s="438" t="s">
        <v>1750</v>
      </c>
      <c r="B4140" s="439" t="s">
        <v>3103</v>
      </c>
      <c r="C4140" s="438" t="s">
        <v>71</v>
      </c>
      <c r="D4140" s="438" t="s">
        <v>3104</v>
      </c>
      <c r="E4140" s="438" t="s">
        <v>1631</v>
      </c>
      <c r="F4140" s="438"/>
      <c r="G4140" s="440" t="s">
        <v>158</v>
      </c>
      <c r="H4140" s="441">
        <v>0.141</v>
      </c>
      <c r="I4140" s="441">
        <v>0</v>
      </c>
      <c r="J4140" s="449">
        <v>4.4</v>
      </c>
      <c r="K4140" s="449">
        <v>0.62</v>
      </c>
    </row>
    <row r="4141" customHeight="1" spans="1:11">
      <c r="A4141" s="438" t="s">
        <v>1750</v>
      </c>
      <c r="B4141" s="439" t="s">
        <v>3105</v>
      </c>
      <c r="C4141" s="438" t="s">
        <v>71</v>
      </c>
      <c r="D4141" s="438" t="s">
        <v>3106</v>
      </c>
      <c r="E4141" s="438" t="s">
        <v>1631</v>
      </c>
      <c r="F4141" s="438"/>
      <c r="G4141" s="440" t="s">
        <v>73</v>
      </c>
      <c r="H4141" s="441">
        <v>1.0864</v>
      </c>
      <c r="I4141" s="441">
        <v>0</v>
      </c>
      <c r="J4141" s="449">
        <v>52.61</v>
      </c>
      <c r="K4141" s="449">
        <v>57.15</v>
      </c>
    </row>
    <row r="4142" customHeight="1" spans="1:11">
      <c r="A4142" s="438" t="s">
        <v>1750</v>
      </c>
      <c r="B4142" s="439" t="s">
        <v>3107</v>
      </c>
      <c r="C4142" s="438" t="s">
        <v>71</v>
      </c>
      <c r="D4142" s="438" t="s">
        <v>3108</v>
      </c>
      <c r="E4142" s="438" t="s">
        <v>1631</v>
      </c>
      <c r="F4142" s="438"/>
      <c r="G4142" s="440" t="s">
        <v>158</v>
      </c>
      <c r="H4142" s="441">
        <v>6.85</v>
      </c>
      <c r="I4142" s="441">
        <v>0</v>
      </c>
      <c r="J4142" s="449">
        <v>0.75</v>
      </c>
      <c r="K4142" s="449">
        <v>5.13</v>
      </c>
    </row>
    <row r="4143" customHeight="1" spans="1:11">
      <c r="A4143" s="434"/>
      <c r="B4143" s="434"/>
      <c r="C4143" s="434"/>
      <c r="D4143" s="434"/>
      <c r="E4143" s="434"/>
      <c r="F4143" s="434" t="s">
        <v>1735</v>
      </c>
      <c r="G4143" s="435">
        <v>14.51</v>
      </c>
      <c r="H4143" s="434" t="s">
        <v>1736</v>
      </c>
      <c r="I4143" s="435">
        <v>13.18</v>
      </c>
      <c r="J4143" s="434" t="s">
        <v>1737</v>
      </c>
      <c r="K4143" s="435">
        <v>27.69</v>
      </c>
    </row>
    <row r="4144" customHeight="1" spans="1:11">
      <c r="A4144" s="434"/>
      <c r="B4144" s="434"/>
      <c r="C4144" s="434"/>
      <c r="D4144" s="434"/>
      <c r="E4144" s="434"/>
      <c r="F4144" s="434" t="s">
        <v>1738</v>
      </c>
      <c r="G4144" s="435">
        <v>24.96</v>
      </c>
      <c r="H4144" s="434"/>
      <c r="I4144" s="434" t="s">
        <v>1739</v>
      </c>
      <c r="J4144" s="434"/>
      <c r="K4144" s="435">
        <v>126.2</v>
      </c>
    </row>
    <row r="4145" customHeight="1" spans="1:11">
      <c r="A4145" s="436"/>
      <c r="B4145" s="436"/>
      <c r="C4145" s="436"/>
      <c r="D4145" s="436"/>
      <c r="E4145" s="436"/>
      <c r="F4145" s="436"/>
      <c r="G4145" s="436"/>
      <c r="H4145" s="436" t="s">
        <v>1740</v>
      </c>
      <c r="I4145" s="447" t="s">
        <v>3109</v>
      </c>
      <c r="J4145" s="436" t="s">
        <v>1742</v>
      </c>
      <c r="K4145" s="448">
        <v>17077.38</v>
      </c>
    </row>
    <row r="4146" customHeight="1" spans="1:11">
      <c r="A4146" s="437"/>
      <c r="B4146" s="437"/>
      <c r="C4146" s="437"/>
      <c r="D4146" s="437"/>
      <c r="E4146" s="437"/>
      <c r="F4146" s="437"/>
      <c r="G4146" s="437"/>
      <c r="H4146" s="437"/>
      <c r="I4146" s="437"/>
      <c r="J4146" s="437"/>
      <c r="K4146" s="437"/>
    </row>
    <row r="4147" customHeight="1" spans="1:11">
      <c r="A4147" s="422" t="s">
        <v>1281</v>
      </c>
      <c r="B4147" s="422"/>
      <c r="C4147" s="422"/>
      <c r="D4147" s="422" t="s">
        <v>39</v>
      </c>
      <c r="E4147" s="422"/>
      <c r="F4147" s="422"/>
      <c r="G4147" s="422"/>
      <c r="H4147" s="422"/>
      <c r="I4147" s="443"/>
      <c r="J4147" s="422"/>
      <c r="K4147" s="444">
        <v>301019.98</v>
      </c>
    </row>
    <row r="4148" customHeight="1" spans="1:11">
      <c r="A4148" s="423" t="s">
        <v>1282</v>
      </c>
      <c r="B4148" s="424" t="s">
        <v>1714</v>
      </c>
      <c r="C4148" s="423" t="s">
        <v>1715</v>
      </c>
      <c r="D4148" s="423" t="s">
        <v>1716</v>
      </c>
      <c r="E4148" s="423" t="s">
        <v>1717</v>
      </c>
      <c r="F4148" s="423"/>
      <c r="G4148" s="425" t="s">
        <v>1718</v>
      </c>
      <c r="H4148" s="424" t="s">
        <v>1719</v>
      </c>
      <c r="I4148" s="424" t="s">
        <v>1720</v>
      </c>
      <c r="J4148" s="424" t="s">
        <v>1721</v>
      </c>
      <c r="K4148" s="424" t="s">
        <v>1722</v>
      </c>
    </row>
    <row r="4149" customHeight="1" spans="1:11">
      <c r="A4149" s="426" t="s">
        <v>1723</v>
      </c>
      <c r="B4149" s="427" t="s">
        <v>1283</v>
      </c>
      <c r="C4149" s="426" t="s">
        <v>71</v>
      </c>
      <c r="D4149" s="426" t="s">
        <v>1284</v>
      </c>
      <c r="E4149" s="426" t="s">
        <v>1622</v>
      </c>
      <c r="F4149" s="426"/>
      <c r="G4149" s="428" t="s">
        <v>73</v>
      </c>
      <c r="H4149" s="429">
        <v>1</v>
      </c>
      <c r="I4149" s="445"/>
      <c r="J4149" s="445">
        <v>146.13</v>
      </c>
      <c r="K4149" s="445">
        <v>146.13</v>
      </c>
    </row>
    <row r="4150" customHeight="1" spans="1:11">
      <c r="A4150" s="430" t="s">
        <v>1724</v>
      </c>
      <c r="B4150" s="431" t="s">
        <v>3110</v>
      </c>
      <c r="C4150" s="430" t="s">
        <v>71</v>
      </c>
      <c r="D4150" s="430" t="s">
        <v>3111</v>
      </c>
      <c r="E4150" s="430" t="s">
        <v>1708</v>
      </c>
      <c r="F4150" s="430"/>
      <c r="G4150" s="432" t="s">
        <v>82</v>
      </c>
      <c r="H4150" s="433">
        <v>0.9324</v>
      </c>
      <c r="I4150" s="433">
        <v>0</v>
      </c>
      <c r="J4150" s="446">
        <v>37.08</v>
      </c>
      <c r="K4150" s="446">
        <v>34.57</v>
      </c>
    </row>
    <row r="4151" customHeight="1" spans="1:11">
      <c r="A4151" s="430" t="s">
        <v>1724</v>
      </c>
      <c r="B4151" s="431" t="s">
        <v>2247</v>
      </c>
      <c r="C4151" s="430" t="s">
        <v>71</v>
      </c>
      <c r="D4151" s="430" t="s">
        <v>2248</v>
      </c>
      <c r="E4151" s="430" t="s">
        <v>1708</v>
      </c>
      <c r="F4151" s="430"/>
      <c r="G4151" s="432" t="s">
        <v>82</v>
      </c>
      <c r="H4151" s="433">
        <v>0.2102</v>
      </c>
      <c r="I4151" s="433">
        <v>0</v>
      </c>
      <c r="J4151" s="446">
        <v>30.31</v>
      </c>
      <c r="K4151" s="446">
        <v>6.37</v>
      </c>
    </row>
    <row r="4152" customHeight="1" spans="1:11">
      <c r="A4152" s="438" t="s">
        <v>1750</v>
      </c>
      <c r="B4152" s="439" t="s">
        <v>3112</v>
      </c>
      <c r="C4152" s="438" t="s">
        <v>71</v>
      </c>
      <c r="D4152" s="438" t="s">
        <v>3113</v>
      </c>
      <c r="E4152" s="438" t="s">
        <v>1631</v>
      </c>
      <c r="F4152" s="438"/>
      <c r="G4152" s="440" t="s">
        <v>73</v>
      </c>
      <c r="H4152" s="441">
        <v>1.1319</v>
      </c>
      <c r="I4152" s="441">
        <v>0</v>
      </c>
      <c r="J4152" s="449">
        <v>80.02</v>
      </c>
      <c r="K4152" s="449">
        <v>90.57</v>
      </c>
    </row>
    <row r="4153" customHeight="1" spans="1:11">
      <c r="A4153" s="438" t="s">
        <v>1750</v>
      </c>
      <c r="B4153" s="439" t="s">
        <v>3114</v>
      </c>
      <c r="C4153" s="438" t="s">
        <v>71</v>
      </c>
      <c r="D4153" s="438" t="s">
        <v>3115</v>
      </c>
      <c r="E4153" s="438" t="s">
        <v>1631</v>
      </c>
      <c r="F4153" s="438"/>
      <c r="G4153" s="440" t="s">
        <v>158</v>
      </c>
      <c r="H4153" s="441">
        <v>0.26</v>
      </c>
      <c r="I4153" s="441">
        <v>0</v>
      </c>
      <c r="J4153" s="449">
        <v>7.41</v>
      </c>
      <c r="K4153" s="449">
        <v>1.92</v>
      </c>
    </row>
    <row r="4154" customHeight="1" spans="1:11">
      <c r="A4154" s="438" t="s">
        <v>1750</v>
      </c>
      <c r="B4154" s="439" t="s">
        <v>3116</v>
      </c>
      <c r="C4154" s="438" t="s">
        <v>71</v>
      </c>
      <c r="D4154" s="438" t="s">
        <v>3117</v>
      </c>
      <c r="E4154" s="438" t="s">
        <v>1631</v>
      </c>
      <c r="F4154" s="438"/>
      <c r="G4154" s="440" t="s">
        <v>1945</v>
      </c>
      <c r="H4154" s="441">
        <v>0.5872</v>
      </c>
      <c r="I4154" s="441">
        <v>0</v>
      </c>
      <c r="J4154" s="449">
        <v>21.63</v>
      </c>
      <c r="K4154" s="449">
        <v>12.7</v>
      </c>
    </row>
    <row r="4155" customHeight="1" spans="1:11">
      <c r="A4155" s="434"/>
      <c r="B4155" s="434"/>
      <c r="C4155" s="434"/>
      <c r="D4155" s="434"/>
      <c r="E4155" s="434"/>
      <c r="F4155" s="434" t="s">
        <v>1735</v>
      </c>
      <c r="G4155" s="435">
        <v>15.46</v>
      </c>
      <c r="H4155" s="434" t="s">
        <v>1736</v>
      </c>
      <c r="I4155" s="435">
        <v>14.05</v>
      </c>
      <c r="J4155" s="434" t="s">
        <v>1737</v>
      </c>
      <c r="K4155" s="435">
        <v>29.51</v>
      </c>
    </row>
    <row r="4156" customHeight="1" spans="1:11">
      <c r="A4156" s="434"/>
      <c r="B4156" s="434"/>
      <c r="C4156" s="434"/>
      <c r="D4156" s="434"/>
      <c r="E4156" s="434"/>
      <c r="F4156" s="434" t="s">
        <v>1738</v>
      </c>
      <c r="G4156" s="435">
        <v>36.03</v>
      </c>
      <c r="H4156" s="434"/>
      <c r="I4156" s="434" t="s">
        <v>1739</v>
      </c>
      <c r="J4156" s="434"/>
      <c r="K4156" s="435">
        <v>182.16</v>
      </c>
    </row>
    <row r="4157" customHeight="1" spans="1:11">
      <c r="A4157" s="436"/>
      <c r="B4157" s="436"/>
      <c r="C4157" s="436"/>
      <c r="D4157" s="436"/>
      <c r="E4157" s="436"/>
      <c r="F4157" s="436"/>
      <c r="G4157" s="436"/>
      <c r="H4157" s="436" t="s">
        <v>1740</v>
      </c>
      <c r="I4157" s="447" t="s">
        <v>3118</v>
      </c>
      <c r="J4157" s="436" t="s">
        <v>1742</v>
      </c>
      <c r="K4157" s="448">
        <v>148309.2</v>
      </c>
    </row>
    <row r="4158" customHeight="1" spans="1:11">
      <c r="A4158" s="437"/>
      <c r="B4158" s="437"/>
      <c r="C4158" s="437"/>
      <c r="D4158" s="437"/>
      <c r="E4158" s="437"/>
      <c r="F4158" s="437"/>
      <c r="G4158" s="437"/>
      <c r="H4158" s="437"/>
      <c r="I4158" s="437"/>
      <c r="J4158" s="437"/>
      <c r="K4158" s="437"/>
    </row>
    <row r="4159" customHeight="1" spans="1:11">
      <c r="A4159" s="423" t="s">
        <v>1285</v>
      </c>
      <c r="B4159" s="424" t="s">
        <v>1714</v>
      </c>
      <c r="C4159" s="423" t="s">
        <v>1715</v>
      </c>
      <c r="D4159" s="423" t="s">
        <v>1716</v>
      </c>
      <c r="E4159" s="423" t="s">
        <v>1717</v>
      </c>
      <c r="F4159" s="423"/>
      <c r="G4159" s="425" t="s">
        <v>1718</v>
      </c>
      <c r="H4159" s="424" t="s">
        <v>1719</v>
      </c>
      <c r="I4159" s="424" t="s">
        <v>1720</v>
      </c>
      <c r="J4159" s="424" t="s">
        <v>1721</v>
      </c>
      <c r="K4159" s="424" t="s">
        <v>1722</v>
      </c>
    </row>
    <row r="4160" customHeight="1" spans="1:11">
      <c r="A4160" s="426" t="s">
        <v>1723</v>
      </c>
      <c r="B4160" s="427" t="s">
        <v>1286</v>
      </c>
      <c r="C4160" s="426" t="s">
        <v>71</v>
      </c>
      <c r="D4160" s="426" t="s">
        <v>1287</v>
      </c>
      <c r="E4160" s="426" t="s">
        <v>1627</v>
      </c>
      <c r="F4160" s="426"/>
      <c r="G4160" s="428" t="s">
        <v>73</v>
      </c>
      <c r="H4160" s="429">
        <v>1</v>
      </c>
      <c r="I4160" s="445"/>
      <c r="J4160" s="445">
        <v>114.95</v>
      </c>
      <c r="K4160" s="445">
        <v>114.95</v>
      </c>
    </row>
    <row r="4161" customHeight="1" spans="1:11">
      <c r="A4161" s="430" t="s">
        <v>1724</v>
      </c>
      <c r="B4161" s="431" t="s">
        <v>1936</v>
      </c>
      <c r="C4161" s="430" t="s">
        <v>71</v>
      </c>
      <c r="D4161" s="430" t="s">
        <v>1937</v>
      </c>
      <c r="E4161" s="430" t="s">
        <v>1708</v>
      </c>
      <c r="F4161" s="430"/>
      <c r="G4161" s="432" t="s">
        <v>82</v>
      </c>
      <c r="H4161" s="433">
        <v>0.561</v>
      </c>
      <c r="I4161" s="433">
        <v>0</v>
      </c>
      <c r="J4161" s="446">
        <v>36.96</v>
      </c>
      <c r="K4161" s="446">
        <v>20.73</v>
      </c>
    </row>
    <row r="4162" customHeight="1" spans="1:11">
      <c r="A4162" s="430" t="s">
        <v>1724</v>
      </c>
      <c r="B4162" s="431" t="s">
        <v>1745</v>
      </c>
      <c r="C4162" s="430" t="s">
        <v>71</v>
      </c>
      <c r="D4162" s="430" t="s">
        <v>1746</v>
      </c>
      <c r="E4162" s="430" t="s">
        <v>1708</v>
      </c>
      <c r="F4162" s="430"/>
      <c r="G4162" s="432" t="s">
        <v>82</v>
      </c>
      <c r="H4162" s="433">
        <v>0.28</v>
      </c>
      <c r="I4162" s="433">
        <v>0</v>
      </c>
      <c r="J4162" s="446">
        <v>29.15</v>
      </c>
      <c r="K4162" s="446">
        <v>8.16</v>
      </c>
    </row>
    <row r="4163" customHeight="1" spans="1:11">
      <c r="A4163" s="430" t="s">
        <v>1724</v>
      </c>
      <c r="B4163" s="431" t="s">
        <v>3119</v>
      </c>
      <c r="C4163" s="430" t="s">
        <v>71</v>
      </c>
      <c r="D4163" s="430" t="s">
        <v>3120</v>
      </c>
      <c r="E4163" s="430" t="s">
        <v>2095</v>
      </c>
      <c r="F4163" s="430"/>
      <c r="G4163" s="432" t="s">
        <v>129</v>
      </c>
      <c r="H4163" s="433">
        <v>0.0431</v>
      </c>
      <c r="I4163" s="433">
        <v>0</v>
      </c>
      <c r="J4163" s="446">
        <v>1890.91</v>
      </c>
      <c r="K4163" s="446">
        <v>81.49</v>
      </c>
    </row>
    <row r="4164" customHeight="1" spans="1:11">
      <c r="A4164" s="438" t="s">
        <v>1750</v>
      </c>
      <c r="B4164" s="439" t="s">
        <v>2117</v>
      </c>
      <c r="C4164" s="438" t="s">
        <v>71</v>
      </c>
      <c r="D4164" s="438" t="s">
        <v>2118</v>
      </c>
      <c r="E4164" s="438" t="s">
        <v>1631</v>
      </c>
      <c r="F4164" s="438"/>
      <c r="G4164" s="440" t="s">
        <v>158</v>
      </c>
      <c r="H4164" s="441">
        <v>0.5</v>
      </c>
      <c r="I4164" s="441">
        <v>0</v>
      </c>
      <c r="J4164" s="449">
        <v>0.64</v>
      </c>
      <c r="K4164" s="449">
        <v>0.32</v>
      </c>
    </row>
    <row r="4165" customHeight="1" spans="1:11">
      <c r="A4165" s="438" t="s">
        <v>1750</v>
      </c>
      <c r="B4165" s="439" t="s">
        <v>3121</v>
      </c>
      <c r="C4165" s="438" t="s">
        <v>71</v>
      </c>
      <c r="D4165" s="438" t="s">
        <v>3122</v>
      </c>
      <c r="E4165" s="438" t="s">
        <v>1631</v>
      </c>
      <c r="F4165" s="438"/>
      <c r="G4165" s="440" t="s">
        <v>1945</v>
      </c>
      <c r="H4165" s="441">
        <v>0.21</v>
      </c>
      <c r="I4165" s="441">
        <v>0</v>
      </c>
      <c r="J4165" s="449">
        <v>20.28</v>
      </c>
      <c r="K4165" s="449">
        <v>4.25</v>
      </c>
    </row>
    <row r="4166" customHeight="1" spans="1:11">
      <c r="A4166" s="434"/>
      <c r="B4166" s="434"/>
      <c r="C4166" s="434"/>
      <c r="D4166" s="434"/>
      <c r="E4166" s="434"/>
      <c r="F4166" s="434" t="s">
        <v>1735</v>
      </c>
      <c r="G4166" s="435">
        <v>12.85</v>
      </c>
      <c r="H4166" s="434" t="s">
        <v>1736</v>
      </c>
      <c r="I4166" s="435">
        <v>11.68</v>
      </c>
      <c r="J4166" s="434" t="s">
        <v>1737</v>
      </c>
      <c r="K4166" s="435">
        <v>24.53</v>
      </c>
    </row>
    <row r="4167" customHeight="1" spans="1:11">
      <c r="A4167" s="434"/>
      <c r="B4167" s="434"/>
      <c r="C4167" s="434"/>
      <c r="D4167" s="434"/>
      <c r="E4167" s="434"/>
      <c r="F4167" s="434" t="s">
        <v>1738</v>
      </c>
      <c r="G4167" s="435">
        <v>28.34</v>
      </c>
      <c r="H4167" s="434"/>
      <c r="I4167" s="434" t="s">
        <v>1739</v>
      </c>
      <c r="J4167" s="434"/>
      <c r="K4167" s="435">
        <v>143.29</v>
      </c>
    </row>
    <row r="4168" customHeight="1" spans="1:11">
      <c r="A4168" s="436"/>
      <c r="B4168" s="436"/>
      <c r="C4168" s="436"/>
      <c r="D4168" s="436"/>
      <c r="E4168" s="436"/>
      <c r="F4168" s="436"/>
      <c r="G4168" s="436"/>
      <c r="H4168" s="436" t="s">
        <v>1740</v>
      </c>
      <c r="I4168" s="447" t="s">
        <v>3118</v>
      </c>
      <c r="J4168" s="436" t="s">
        <v>1742</v>
      </c>
      <c r="K4168" s="448">
        <v>116662.41</v>
      </c>
    </row>
    <row r="4169" customHeight="1" spans="1:11">
      <c r="A4169" s="437"/>
      <c r="B4169" s="437"/>
      <c r="C4169" s="437"/>
      <c r="D4169" s="437"/>
      <c r="E4169" s="437"/>
      <c r="F4169" s="437"/>
      <c r="G4169" s="437"/>
      <c r="H4169" s="437"/>
      <c r="I4169" s="437"/>
      <c r="J4169" s="437"/>
      <c r="K4169" s="437"/>
    </row>
    <row r="4170" customHeight="1" spans="1:11">
      <c r="A4170" s="423" t="s">
        <v>1288</v>
      </c>
      <c r="B4170" s="424" t="s">
        <v>1714</v>
      </c>
      <c r="C4170" s="423" t="s">
        <v>1715</v>
      </c>
      <c r="D4170" s="423" t="s">
        <v>1716</v>
      </c>
      <c r="E4170" s="423" t="s">
        <v>1717</v>
      </c>
      <c r="F4170" s="423"/>
      <c r="G4170" s="425" t="s">
        <v>1718</v>
      </c>
      <c r="H4170" s="424" t="s">
        <v>1719</v>
      </c>
      <c r="I4170" s="424" t="s">
        <v>1720</v>
      </c>
      <c r="J4170" s="424" t="s">
        <v>1721</v>
      </c>
      <c r="K4170" s="424" t="s">
        <v>1722</v>
      </c>
    </row>
    <row r="4171" customHeight="1" spans="1:11">
      <c r="A4171" s="426" t="s">
        <v>1723</v>
      </c>
      <c r="B4171" s="427" t="s">
        <v>1289</v>
      </c>
      <c r="C4171" s="426" t="s">
        <v>71</v>
      </c>
      <c r="D4171" s="426" t="s">
        <v>1290</v>
      </c>
      <c r="E4171" s="426" t="s">
        <v>1622</v>
      </c>
      <c r="F4171" s="426"/>
      <c r="G4171" s="428" t="s">
        <v>73</v>
      </c>
      <c r="H4171" s="429">
        <v>1</v>
      </c>
      <c r="I4171" s="445"/>
      <c r="J4171" s="445">
        <v>57.11</v>
      </c>
      <c r="K4171" s="445">
        <v>57.11</v>
      </c>
    </row>
    <row r="4172" customHeight="1" spans="1:11">
      <c r="A4172" s="430" t="s">
        <v>1724</v>
      </c>
      <c r="B4172" s="431" t="s">
        <v>3110</v>
      </c>
      <c r="C4172" s="430" t="s">
        <v>71</v>
      </c>
      <c r="D4172" s="430" t="s">
        <v>3111</v>
      </c>
      <c r="E4172" s="430" t="s">
        <v>1708</v>
      </c>
      <c r="F4172" s="430"/>
      <c r="G4172" s="432" t="s">
        <v>82</v>
      </c>
      <c r="H4172" s="433">
        <v>0.5703</v>
      </c>
      <c r="I4172" s="433">
        <v>0</v>
      </c>
      <c r="J4172" s="446">
        <v>37.08</v>
      </c>
      <c r="K4172" s="446">
        <v>21.14</v>
      </c>
    </row>
    <row r="4173" customHeight="1" spans="1:11">
      <c r="A4173" s="430" t="s">
        <v>1724</v>
      </c>
      <c r="B4173" s="431" t="s">
        <v>2247</v>
      </c>
      <c r="C4173" s="430" t="s">
        <v>71</v>
      </c>
      <c r="D4173" s="430" t="s">
        <v>2248</v>
      </c>
      <c r="E4173" s="430" t="s">
        <v>1708</v>
      </c>
      <c r="F4173" s="430"/>
      <c r="G4173" s="432" t="s">
        <v>82</v>
      </c>
      <c r="H4173" s="433">
        <v>0.1286</v>
      </c>
      <c r="I4173" s="433">
        <v>0</v>
      </c>
      <c r="J4173" s="446">
        <v>30.31</v>
      </c>
      <c r="K4173" s="446">
        <v>3.89</v>
      </c>
    </row>
    <row r="4174" customHeight="1" spans="1:11">
      <c r="A4174" s="438" t="s">
        <v>1750</v>
      </c>
      <c r="B4174" s="439" t="s">
        <v>3123</v>
      </c>
      <c r="C4174" s="438" t="s">
        <v>71</v>
      </c>
      <c r="D4174" s="438" t="s">
        <v>3124</v>
      </c>
      <c r="E4174" s="438" t="s">
        <v>1631</v>
      </c>
      <c r="F4174" s="438"/>
      <c r="G4174" s="440" t="s">
        <v>158</v>
      </c>
      <c r="H4174" s="441">
        <v>1.2</v>
      </c>
      <c r="I4174" s="441">
        <v>0</v>
      </c>
      <c r="J4174" s="449">
        <v>26.74</v>
      </c>
      <c r="K4174" s="449">
        <v>32.08</v>
      </c>
    </row>
    <row r="4175" customHeight="1" spans="1:11">
      <c r="A4175" s="434"/>
      <c r="B4175" s="434"/>
      <c r="C4175" s="434"/>
      <c r="D4175" s="434"/>
      <c r="E4175" s="434"/>
      <c r="F4175" s="434" t="s">
        <v>1735</v>
      </c>
      <c r="G4175" s="435">
        <v>9.45</v>
      </c>
      <c r="H4175" s="434" t="s">
        <v>1736</v>
      </c>
      <c r="I4175" s="435">
        <v>8.6</v>
      </c>
      <c r="J4175" s="434" t="s">
        <v>1737</v>
      </c>
      <c r="K4175" s="435">
        <v>18.05</v>
      </c>
    </row>
    <row r="4176" customHeight="1" spans="1:11">
      <c r="A4176" s="434"/>
      <c r="B4176" s="434"/>
      <c r="C4176" s="434"/>
      <c r="D4176" s="434"/>
      <c r="E4176" s="434"/>
      <c r="F4176" s="434" t="s">
        <v>1738</v>
      </c>
      <c r="G4176" s="435">
        <v>14.08</v>
      </c>
      <c r="H4176" s="434"/>
      <c r="I4176" s="434" t="s">
        <v>1739</v>
      </c>
      <c r="J4176" s="434"/>
      <c r="K4176" s="435">
        <v>71.19</v>
      </c>
    </row>
    <row r="4177" customHeight="1" spans="1:11">
      <c r="A4177" s="436"/>
      <c r="B4177" s="436"/>
      <c r="C4177" s="436"/>
      <c r="D4177" s="436"/>
      <c r="E4177" s="436"/>
      <c r="F4177" s="436"/>
      <c r="G4177" s="436"/>
      <c r="H4177" s="436" t="s">
        <v>1740</v>
      </c>
      <c r="I4177" s="447" t="s">
        <v>3125</v>
      </c>
      <c r="J4177" s="436" t="s">
        <v>1742</v>
      </c>
      <c r="K4177" s="448">
        <v>8966.38</v>
      </c>
    </row>
    <row r="4178" customHeight="1" spans="1:11">
      <c r="A4178" s="437"/>
      <c r="B4178" s="437"/>
      <c r="C4178" s="437"/>
      <c r="D4178" s="437"/>
      <c r="E4178" s="437"/>
      <c r="F4178" s="437"/>
      <c r="G4178" s="437"/>
      <c r="H4178" s="437"/>
      <c r="I4178" s="437"/>
      <c r="J4178" s="437"/>
      <c r="K4178" s="437"/>
    </row>
    <row r="4179" customHeight="1" spans="1:11">
      <c r="A4179" s="423" t="s">
        <v>1291</v>
      </c>
      <c r="B4179" s="424" t="s">
        <v>1714</v>
      </c>
      <c r="C4179" s="423" t="s">
        <v>1715</v>
      </c>
      <c r="D4179" s="423" t="s">
        <v>1716</v>
      </c>
      <c r="E4179" s="423" t="s">
        <v>1717</v>
      </c>
      <c r="F4179" s="423"/>
      <c r="G4179" s="425" t="s">
        <v>1718</v>
      </c>
      <c r="H4179" s="424" t="s">
        <v>1719</v>
      </c>
      <c r="I4179" s="424" t="s">
        <v>1720</v>
      </c>
      <c r="J4179" s="424" t="s">
        <v>1721</v>
      </c>
      <c r="K4179" s="424" t="s">
        <v>1722</v>
      </c>
    </row>
    <row r="4180" customHeight="1" spans="1:11">
      <c r="A4180" s="426" t="s">
        <v>1723</v>
      </c>
      <c r="B4180" s="427" t="s">
        <v>1292</v>
      </c>
      <c r="C4180" s="426" t="s">
        <v>65</v>
      </c>
      <c r="D4180" s="426" t="s">
        <v>1293</v>
      </c>
      <c r="E4180" s="426" t="s">
        <v>62</v>
      </c>
      <c r="F4180" s="426"/>
      <c r="G4180" s="428" t="s">
        <v>67</v>
      </c>
      <c r="H4180" s="429">
        <v>1</v>
      </c>
      <c r="I4180" s="445"/>
      <c r="J4180" s="445">
        <v>144.17</v>
      </c>
      <c r="K4180" s="445">
        <v>144.17</v>
      </c>
    </row>
    <row r="4181" customHeight="1" spans="1:11">
      <c r="A4181" s="430" t="s">
        <v>1724</v>
      </c>
      <c r="B4181" s="431" t="s">
        <v>2247</v>
      </c>
      <c r="C4181" s="430" t="s">
        <v>71</v>
      </c>
      <c r="D4181" s="430" t="s">
        <v>2248</v>
      </c>
      <c r="E4181" s="430" t="s">
        <v>1708</v>
      </c>
      <c r="F4181" s="430"/>
      <c r="G4181" s="432" t="s">
        <v>82</v>
      </c>
      <c r="H4181" s="433">
        <v>0.2</v>
      </c>
      <c r="I4181" s="433">
        <v>0</v>
      </c>
      <c r="J4181" s="446">
        <v>30.31</v>
      </c>
      <c r="K4181" s="446">
        <v>6.06</v>
      </c>
    </row>
    <row r="4182" customHeight="1" spans="1:11">
      <c r="A4182" s="430" t="s">
        <v>1724</v>
      </c>
      <c r="B4182" s="431" t="s">
        <v>3126</v>
      </c>
      <c r="C4182" s="430" t="s">
        <v>71</v>
      </c>
      <c r="D4182" s="430" t="s">
        <v>3127</v>
      </c>
      <c r="E4182" s="430" t="s">
        <v>1708</v>
      </c>
      <c r="F4182" s="430"/>
      <c r="G4182" s="432" t="s">
        <v>82</v>
      </c>
      <c r="H4182" s="433">
        <v>0.2</v>
      </c>
      <c r="I4182" s="433">
        <v>0</v>
      </c>
      <c r="J4182" s="446">
        <v>47.06</v>
      </c>
      <c r="K4182" s="446">
        <v>9.41</v>
      </c>
    </row>
    <row r="4183" customHeight="1" spans="1:11">
      <c r="A4183" s="438" t="s">
        <v>1750</v>
      </c>
      <c r="B4183" s="439" t="s">
        <v>3128</v>
      </c>
      <c r="C4183" s="438" t="s">
        <v>65</v>
      </c>
      <c r="D4183" s="438" t="s">
        <v>3129</v>
      </c>
      <c r="E4183" s="438" t="s">
        <v>1631</v>
      </c>
      <c r="F4183" s="438"/>
      <c r="G4183" s="440" t="s">
        <v>73</v>
      </c>
      <c r="H4183" s="441">
        <v>1</v>
      </c>
      <c r="I4183" s="441">
        <v>0</v>
      </c>
      <c r="J4183" s="449">
        <v>128.7</v>
      </c>
      <c r="K4183" s="449">
        <v>128.7</v>
      </c>
    </row>
    <row r="4184" customHeight="1" spans="1:11">
      <c r="A4184" s="434"/>
      <c r="B4184" s="434"/>
      <c r="C4184" s="434"/>
      <c r="D4184" s="434"/>
      <c r="E4184" s="434"/>
      <c r="F4184" s="434" t="s">
        <v>1735</v>
      </c>
      <c r="G4184" s="435">
        <v>6.13</v>
      </c>
      <c r="H4184" s="434" t="s">
        <v>1736</v>
      </c>
      <c r="I4184" s="435">
        <v>5.58</v>
      </c>
      <c r="J4184" s="434" t="s">
        <v>1737</v>
      </c>
      <c r="K4184" s="435">
        <v>11.71</v>
      </c>
    </row>
    <row r="4185" customHeight="1" spans="1:11">
      <c r="A4185" s="434"/>
      <c r="B4185" s="434"/>
      <c r="C4185" s="434"/>
      <c r="D4185" s="434"/>
      <c r="E4185" s="434"/>
      <c r="F4185" s="434" t="s">
        <v>1738</v>
      </c>
      <c r="G4185" s="435">
        <v>35.55</v>
      </c>
      <c r="H4185" s="434"/>
      <c r="I4185" s="434" t="s">
        <v>1739</v>
      </c>
      <c r="J4185" s="434"/>
      <c r="K4185" s="435">
        <v>179.72</v>
      </c>
    </row>
    <row r="4186" customHeight="1" spans="1:11">
      <c r="A4186" s="436"/>
      <c r="B4186" s="436"/>
      <c r="C4186" s="436"/>
      <c r="D4186" s="436"/>
      <c r="E4186" s="436"/>
      <c r="F4186" s="436"/>
      <c r="G4186" s="436"/>
      <c r="H4186" s="436" t="s">
        <v>1740</v>
      </c>
      <c r="I4186" s="447" t="s">
        <v>3130</v>
      </c>
      <c r="J4186" s="436" t="s">
        <v>1742</v>
      </c>
      <c r="K4186" s="448">
        <v>24154.36</v>
      </c>
    </row>
    <row r="4187" customHeight="1" spans="1:11">
      <c r="A4187" s="437"/>
      <c r="B4187" s="437"/>
      <c r="C4187" s="437"/>
      <c r="D4187" s="437"/>
      <c r="E4187" s="437"/>
      <c r="F4187" s="437"/>
      <c r="G4187" s="437"/>
      <c r="H4187" s="437"/>
      <c r="I4187" s="437"/>
      <c r="J4187" s="437"/>
      <c r="K4187" s="437"/>
    </row>
    <row r="4188" customHeight="1" spans="1:11">
      <c r="A4188" s="423" t="s">
        <v>1294</v>
      </c>
      <c r="B4188" s="424" t="s">
        <v>1714</v>
      </c>
      <c r="C4188" s="423" t="s">
        <v>1715</v>
      </c>
      <c r="D4188" s="423" t="s">
        <v>1716</v>
      </c>
      <c r="E4188" s="423" t="s">
        <v>1717</v>
      </c>
      <c r="F4188" s="423"/>
      <c r="G4188" s="425" t="s">
        <v>1718</v>
      </c>
      <c r="H4188" s="424" t="s">
        <v>1719</v>
      </c>
      <c r="I4188" s="424" t="s">
        <v>1720</v>
      </c>
      <c r="J4188" s="424" t="s">
        <v>1721</v>
      </c>
      <c r="K4188" s="424" t="s">
        <v>1722</v>
      </c>
    </row>
    <row r="4189" customHeight="1" spans="1:11">
      <c r="A4189" s="426" t="s">
        <v>1723</v>
      </c>
      <c r="B4189" s="427" t="s">
        <v>1295</v>
      </c>
      <c r="C4189" s="426" t="s">
        <v>65</v>
      </c>
      <c r="D4189" s="426" t="s">
        <v>1296</v>
      </c>
      <c r="E4189" s="426" t="s">
        <v>62</v>
      </c>
      <c r="F4189" s="426"/>
      <c r="G4189" s="428" t="s">
        <v>67</v>
      </c>
      <c r="H4189" s="429">
        <v>1</v>
      </c>
      <c r="I4189" s="445"/>
      <c r="J4189" s="445">
        <v>144.17</v>
      </c>
      <c r="K4189" s="445">
        <v>144.17</v>
      </c>
    </row>
    <row r="4190" customHeight="1" spans="1:11">
      <c r="A4190" s="430" t="s">
        <v>1724</v>
      </c>
      <c r="B4190" s="431" t="s">
        <v>2247</v>
      </c>
      <c r="C4190" s="430" t="s">
        <v>71</v>
      </c>
      <c r="D4190" s="430" t="s">
        <v>2248</v>
      </c>
      <c r="E4190" s="430" t="s">
        <v>1708</v>
      </c>
      <c r="F4190" s="430"/>
      <c r="G4190" s="432" t="s">
        <v>82</v>
      </c>
      <c r="H4190" s="433">
        <v>0.2</v>
      </c>
      <c r="I4190" s="433">
        <v>0</v>
      </c>
      <c r="J4190" s="446">
        <v>30.31</v>
      </c>
      <c r="K4190" s="446">
        <v>6.06</v>
      </c>
    </row>
    <row r="4191" customHeight="1" spans="1:11">
      <c r="A4191" s="430" t="s">
        <v>1724</v>
      </c>
      <c r="B4191" s="431" t="s">
        <v>3126</v>
      </c>
      <c r="C4191" s="430" t="s">
        <v>71</v>
      </c>
      <c r="D4191" s="430" t="s">
        <v>3127</v>
      </c>
      <c r="E4191" s="430" t="s">
        <v>1708</v>
      </c>
      <c r="F4191" s="430"/>
      <c r="G4191" s="432" t="s">
        <v>82</v>
      </c>
      <c r="H4191" s="433">
        <v>0.2</v>
      </c>
      <c r="I4191" s="433">
        <v>0</v>
      </c>
      <c r="J4191" s="446">
        <v>47.06</v>
      </c>
      <c r="K4191" s="446">
        <v>9.41</v>
      </c>
    </row>
    <row r="4192" customHeight="1" spans="1:11">
      <c r="A4192" s="438" t="s">
        <v>1750</v>
      </c>
      <c r="B4192" s="439" t="s">
        <v>3128</v>
      </c>
      <c r="C4192" s="438" t="s">
        <v>65</v>
      </c>
      <c r="D4192" s="438" t="s">
        <v>3129</v>
      </c>
      <c r="E4192" s="438" t="s">
        <v>1631</v>
      </c>
      <c r="F4192" s="438"/>
      <c r="G4192" s="440" t="s">
        <v>73</v>
      </c>
      <c r="H4192" s="441">
        <v>1</v>
      </c>
      <c r="I4192" s="441">
        <v>0</v>
      </c>
      <c r="J4192" s="449">
        <v>128.7</v>
      </c>
      <c r="K4192" s="449">
        <v>128.7</v>
      </c>
    </row>
    <row r="4193" customHeight="1" spans="1:11">
      <c r="A4193" s="434"/>
      <c r="B4193" s="434"/>
      <c r="C4193" s="434"/>
      <c r="D4193" s="434"/>
      <c r="E4193" s="434"/>
      <c r="F4193" s="434" t="s">
        <v>1735</v>
      </c>
      <c r="G4193" s="435">
        <v>6.13</v>
      </c>
      <c r="H4193" s="434" t="s">
        <v>1736</v>
      </c>
      <c r="I4193" s="435">
        <v>5.58</v>
      </c>
      <c r="J4193" s="434" t="s">
        <v>1737</v>
      </c>
      <c r="K4193" s="435">
        <v>11.71</v>
      </c>
    </row>
    <row r="4194" customHeight="1" spans="1:11">
      <c r="A4194" s="434"/>
      <c r="B4194" s="434"/>
      <c r="C4194" s="434"/>
      <c r="D4194" s="434"/>
      <c r="E4194" s="434"/>
      <c r="F4194" s="434" t="s">
        <v>1738</v>
      </c>
      <c r="G4194" s="435">
        <v>35.55</v>
      </c>
      <c r="H4194" s="434"/>
      <c r="I4194" s="434" t="s">
        <v>1739</v>
      </c>
      <c r="J4194" s="434"/>
      <c r="K4194" s="435">
        <v>179.72</v>
      </c>
    </row>
    <row r="4195" customHeight="1" spans="1:11">
      <c r="A4195" s="436"/>
      <c r="B4195" s="436"/>
      <c r="C4195" s="436"/>
      <c r="D4195" s="436"/>
      <c r="E4195" s="436"/>
      <c r="F4195" s="436"/>
      <c r="G4195" s="436"/>
      <c r="H4195" s="436" t="s">
        <v>1740</v>
      </c>
      <c r="I4195" s="447" t="s">
        <v>3131</v>
      </c>
      <c r="J4195" s="436" t="s">
        <v>1742</v>
      </c>
      <c r="K4195" s="448">
        <v>2927.63</v>
      </c>
    </row>
    <row r="4196" customHeight="1" spans="1:11">
      <c r="A4196" s="437"/>
      <c r="B4196" s="437"/>
      <c r="C4196" s="437"/>
      <c r="D4196" s="437"/>
      <c r="E4196" s="437"/>
      <c r="F4196" s="437"/>
      <c r="G4196" s="437"/>
      <c r="H4196" s="437"/>
      <c r="I4196" s="437"/>
      <c r="J4196" s="437"/>
      <c r="K4196" s="437"/>
    </row>
    <row r="4197" customHeight="1" spans="1:11">
      <c r="A4197" s="422" t="s">
        <v>1297</v>
      </c>
      <c r="B4197" s="422"/>
      <c r="C4197" s="422"/>
      <c r="D4197" s="422" t="s">
        <v>40</v>
      </c>
      <c r="E4197" s="422"/>
      <c r="F4197" s="422"/>
      <c r="G4197" s="422"/>
      <c r="H4197" s="422"/>
      <c r="I4197" s="443"/>
      <c r="J4197" s="422"/>
      <c r="K4197" s="444">
        <v>403233.6</v>
      </c>
    </row>
    <row r="4198" customHeight="1" spans="1:11">
      <c r="A4198" s="422" t="s">
        <v>1298</v>
      </c>
      <c r="B4198" s="422"/>
      <c r="C4198" s="422"/>
      <c r="D4198" s="422" t="s">
        <v>1299</v>
      </c>
      <c r="E4198" s="422"/>
      <c r="F4198" s="422"/>
      <c r="G4198" s="422"/>
      <c r="H4198" s="422"/>
      <c r="I4198" s="443"/>
      <c r="J4198" s="422"/>
      <c r="K4198" s="444">
        <v>394052.04</v>
      </c>
    </row>
    <row r="4199" customHeight="1" spans="1:11">
      <c r="A4199" s="423" t="s">
        <v>1300</v>
      </c>
      <c r="B4199" s="424" t="s">
        <v>1714</v>
      </c>
      <c r="C4199" s="423" t="s">
        <v>1715</v>
      </c>
      <c r="D4199" s="423" t="s">
        <v>1716</v>
      </c>
      <c r="E4199" s="423" t="s">
        <v>1717</v>
      </c>
      <c r="F4199" s="423"/>
      <c r="G4199" s="425" t="s">
        <v>1718</v>
      </c>
      <c r="H4199" s="424" t="s">
        <v>1719</v>
      </c>
      <c r="I4199" s="424" t="s">
        <v>1720</v>
      </c>
      <c r="J4199" s="424" t="s">
        <v>1721</v>
      </c>
      <c r="K4199" s="424" t="s">
        <v>1722</v>
      </c>
    </row>
    <row r="4200" customHeight="1" spans="1:11">
      <c r="A4200" s="426" t="s">
        <v>1723</v>
      </c>
      <c r="B4200" s="427" t="s">
        <v>1301</v>
      </c>
      <c r="C4200" s="426" t="s">
        <v>65</v>
      </c>
      <c r="D4200" s="426" t="s">
        <v>1302</v>
      </c>
      <c r="E4200" s="426" t="s">
        <v>62</v>
      </c>
      <c r="F4200" s="426"/>
      <c r="G4200" s="428" t="s">
        <v>67</v>
      </c>
      <c r="H4200" s="429">
        <v>1</v>
      </c>
      <c r="I4200" s="445"/>
      <c r="J4200" s="445">
        <v>480.31</v>
      </c>
      <c r="K4200" s="445">
        <v>480.31</v>
      </c>
    </row>
    <row r="4201" customHeight="1" spans="1:11">
      <c r="A4201" s="438" t="s">
        <v>1750</v>
      </c>
      <c r="B4201" s="439" t="s">
        <v>3132</v>
      </c>
      <c r="C4201" s="438" t="s">
        <v>65</v>
      </c>
      <c r="D4201" s="438" t="s">
        <v>3133</v>
      </c>
      <c r="E4201" s="438" t="s">
        <v>2253</v>
      </c>
      <c r="F4201" s="438"/>
      <c r="G4201" s="440" t="s">
        <v>73</v>
      </c>
      <c r="H4201" s="441">
        <v>1</v>
      </c>
      <c r="I4201" s="441">
        <v>0</v>
      </c>
      <c r="J4201" s="449">
        <v>22.79</v>
      </c>
      <c r="K4201" s="449">
        <v>22.79</v>
      </c>
    </row>
    <row r="4202" customHeight="1" spans="1:11">
      <c r="A4202" s="438" t="s">
        <v>1750</v>
      </c>
      <c r="B4202" s="439" t="s">
        <v>3134</v>
      </c>
      <c r="C4202" s="438" t="s">
        <v>65</v>
      </c>
      <c r="D4202" s="438" t="s">
        <v>1302</v>
      </c>
      <c r="E4202" s="438" t="s">
        <v>2253</v>
      </c>
      <c r="F4202" s="438"/>
      <c r="G4202" s="440" t="s">
        <v>73</v>
      </c>
      <c r="H4202" s="441">
        <v>1</v>
      </c>
      <c r="I4202" s="441">
        <v>0</v>
      </c>
      <c r="J4202" s="449">
        <v>457.52</v>
      </c>
      <c r="K4202" s="449">
        <v>457.52</v>
      </c>
    </row>
    <row r="4203" customHeight="1" spans="1:11">
      <c r="A4203" s="434"/>
      <c r="B4203" s="434"/>
      <c r="C4203" s="434"/>
      <c r="D4203" s="434"/>
      <c r="E4203" s="434"/>
      <c r="F4203" s="434" t="s">
        <v>1735</v>
      </c>
      <c r="G4203" s="435">
        <v>0</v>
      </c>
      <c r="H4203" s="434" t="s">
        <v>1736</v>
      </c>
      <c r="I4203" s="435">
        <v>0</v>
      </c>
      <c r="J4203" s="434" t="s">
        <v>1737</v>
      </c>
      <c r="K4203" s="435">
        <v>0</v>
      </c>
    </row>
    <row r="4204" customHeight="1" spans="1:11">
      <c r="A4204" s="434"/>
      <c r="B4204" s="434"/>
      <c r="C4204" s="434"/>
      <c r="D4204" s="434"/>
      <c r="E4204" s="434"/>
      <c r="F4204" s="434" t="s">
        <v>1738</v>
      </c>
      <c r="G4204" s="435">
        <v>118.44</v>
      </c>
      <c r="H4204" s="434"/>
      <c r="I4204" s="434" t="s">
        <v>1739</v>
      </c>
      <c r="J4204" s="434"/>
      <c r="K4204" s="435">
        <v>598.75</v>
      </c>
    </row>
    <row r="4205" customHeight="1" spans="1:11">
      <c r="A4205" s="436"/>
      <c r="B4205" s="436"/>
      <c r="C4205" s="436"/>
      <c r="D4205" s="436"/>
      <c r="E4205" s="436"/>
      <c r="F4205" s="436"/>
      <c r="G4205" s="436"/>
      <c r="H4205" s="436" t="s">
        <v>1740</v>
      </c>
      <c r="I4205" s="447" t="s">
        <v>3135</v>
      </c>
      <c r="J4205" s="436" t="s">
        <v>1742</v>
      </c>
      <c r="K4205" s="448">
        <v>48977.75</v>
      </c>
    </row>
    <row r="4206" customHeight="1" spans="1:11">
      <c r="A4206" s="437"/>
      <c r="B4206" s="437"/>
      <c r="C4206" s="437"/>
      <c r="D4206" s="437"/>
      <c r="E4206" s="437"/>
      <c r="F4206" s="437"/>
      <c r="G4206" s="437"/>
      <c r="H4206" s="437"/>
      <c r="I4206" s="437"/>
      <c r="J4206" s="437"/>
      <c r="K4206" s="437"/>
    </row>
    <row r="4207" customHeight="1" spans="1:11">
      <c r="A4207" s="423" t="s">
        <v>1303</v>
      </c>
      <c r="B4207" s="424" t="s">
        <v>1714</v>
      </c>
      <c r="C4207" s="423" t="s">
        <v>1715</v>
      </c>
      <c r="D4207" s="423" t="s">
        <v>1716</v>
      </c>
      <c r="E4207" s="423" t="s">
        <v>1717</v>
      </c>
      <c r="F4207" s="423"/>
      <c r="G4207" s="425" t="s">
        <v>1718</v>
      </c>
      <c r="H4207" s="424" t="s">
        <v>1719</v>
      </c>
      <c r="I4207" s="424" t="s">
        <v>1720</v>
      </c>
      <c r="J4207" s="424" t="s">
        <v>1721</v>
      </c>
      <c r="K4207" s="424" t="s">
        <v>1722</v>
      </c>
    </row>
    <row r="4208" customHeight="1" spans="1:11">
      <c r="A4208" s="426" t="s">
        <v>1723</v>
      </c>
      <c r="B4208" s="427" t="s">
        <v>1304</v>
      </c>
      <c r="C4208" s="426" t="s">
        <v>65</v>
      </c>
      <c r="D4208" s="426" t="s">
        <v>1305</v>
      </c>
      <c r="E4208" s="426" t="s">
        <v>62</v>
      </c>
      <c r="F4208" s="426"/>
      <c r="G4208" s="428" t="s">
        <v>67</v>
      </c>
      <c r="H4208" s="429">
        <v>1</v>
      </c>
      <c r="I4208" s="445"/>
      <c r="J4208" s="445">
        <v>220.3</v>
      </c>
      <c r="K4208" s="445">
        <v>220.3</v>
      </c>
    </row>
    <row r="4209" customHeight="1" spans="1:11">
      <c r="A4209" s="430" t="s">
        <v>1724</v>
      </c>
      <c r="B4209" s="431" t="s">
        <v>1936</v>
      </c>
      <c r="C4209" s="430" t="s">
        <v>71</v>
      </c>
      <c r="D4209" s="430" t="s">
        <v>1937</v>
      </c>
      <c r="E4209" s="430" t="s">
        <v>1708</v>
      </c>
      <c r="F4209" s="430"/>
      <c r="G4209" s="432" t="s">
        <v>82</v>
      </c>
      <c r="H4209" s="433">
        <v>0.324</v>
      </c>
      <c r="I4209" s="433">
        <v>0</v>
      </c>
      <c r="J4209" s="446">
        <v>36.96</v>
      </c>
      <c r="K4209" s="446">
        <v>11.97</v>
      </c>
    </row>
    <row r="4210" customHeight="1" spans="1:11">
      <c r="A4210" s="430" t="s">
        <v>1724</v>
      </c>
      <c r="B4210" s="431" t="s">
        <v>1745</v>
      </c>
      <c r="C4210" s="430" t="s">
        <v>71</v>
      </c>
      <c r="D4210" s="430" t="s">
        <v>1746</v>
      </c>
      <c r="E4210" s="430" t="s">
        <v>1708</v>
      </c>
      <c r="F4210" s="430"/>
      <c r="G4210" s="432" t="s">
        <v>82</v>
      </c>
      <c r="H4210" s="433">
        <v>0.162</v>
      </c>
      <c r="I4210" s="433">
        <v>0</v>
      </c>
      <c r="J4210" s="446">
        <v>29.15</v>
      </c>
      <c r="K4210" s="446">
        <v>4.72</v>
      </c>
    </row>
    <row r="4211" customHeight="1" spans="1:11">
      <c r="A4211" s="438" t="s">
        <v>1750</v>
      </c>
      <c r="B4211" s="439" t="s">
        <v>3136</v>
      </c>
      <c r="C4211" s="438" t="s">
        <v>65</v>
      </c>
      <c r="D4211" s="438" t="s">
        <v>3137</v>
      </c>
      <c r="E4211" s="438" t="s">
        <v>1631</v>
      </c>
      <c r="F4211" s="438"/>
      <c r="G4211" s="440" t="s">
        <v>73</v>
      </c>
      <c r="H4211" s="441">
        <v>1</v>
      </c>
      <c r="I4211" s="441">
        <v>0</v>
      </c>
      <c r="J4211" s="449">
        <v>197.98</v>
      </c>
      <c r="K4211" s="449">
        <v>197.98</v>
      </c>
    </row>
    <row r="4212" customHeight="1" spans="1:11">
      <c r="A4212" s="438" t="s">
        <v>1750</v>
      </c>
      <c r="B4212" s="439" t="s">
        <v>3138</v>
      </c>
      <c r="C4212" s="438" t="s">
        <v>71</v>
      </c>
      <c r="D4212" s="438" t="s">
        <v>3139</v>
      </c>
      <c r="E4212" s="438" t="s">
        <v>1631</v>
      </c>
      <c r="F4212" s="438"/>
      <c r="G4212" s="440" t="s">
        <v>158</v>
      </c>
      <c r="H4212" s="441">
        <v>0.095</v>
      </c>
      <c r="I4212" s="441">
        <v>0</v>
      </c>
      <c r="J4212" s="449">
        <v>59.28</v>
      </c>
      <c r="K4212" s="449">
        <v>5.63</v>
      </c>
    </row>
    <row r="4213" customHeight="1" spans="1:11">
      <c r="A4213" s="434"/>
      <c r="B4213" s="434"/>
      <c r="C4213" s="434"/>
      <c r="D4213" s="434"/>
      <c r="E4213" s="434"/>
      <c r="F4213" s="434" t="s">
        <v>1735</v>
      </c>
      <c r="G4213" s="435">
        <v>6.19</v>
      </c>
      <c r="H4213" s="434" t="s">
        <v>1736</v>
      </c>
      <c r="I4213" s="435">
        <v>5.64</v>
      </c>
      <c r="J4213" s="434" t="s">
        <v>1737</v>
      </c>
      <c r="K4213" s="435">
        <v>11.83</v>
      </c>
    </row>
    <row r="4214" customHeight="1" spans="1:11">
      <c r="A4214" s="434"/>
      <c r="B4214" s="434"/>
      <c r="C4214" s="434"/>
      <c r="D4214" s="434"/>
      <c r="E4214" s="434"/>
      <c r="F4214" s="434" t="s">
        <v>1738</v>
      </c>
      <c r="G4214" s="435">
        <v>54.32</v>
      </c>
      <c r="H4214" s="434"/>
      <c r="I4214" s="434" t="s">
        <v>1739</v>
      </c>
      <c r="J4214" s="434"/>
      <c r="K4214" s="435">
        <v>274.62</v>
      </c>
    </row>
    <row r="4215" customHeight="1" spans="1:11">
      <c r="A4215" s="436"/>
      <c r="B4215" s="436"/>
      <c r="C4215" s="436"/>
      <c r="D4215" s="436"/>
      <c r="E4215" s="436"/>
      <c r="F4215" s="436"/>
      <c r="G4215" s="436"/>
      <c r="H4215" s="436" t="s">
        <v>1740</v>
      </c>
      <c r="I4215" s="447" t="s">
        <v>3140</v>
      </c>
      <c r="J4215" s="436" t="s">
        <v>1742</v>
      </c>
      <c r="K4215" s="448">
        <v>126772.83</v>
      </c>
    </row>
    <row r="4216" customHeight="1" spans="1:11">
      <c r="A4216" s="437"/>
      <c r="B4216" s="437"/>
      <c r="C4216" s="437"/>
      <c r="D4216" s="437"/>
      <c r="E4216" s="437"/>
      <c r="F4216" s="437"/>
      <c r="G4216" s="437"/>
      <c r="H4216" s="437"/>
      <c r="I4216" s="437"/>
      <c r="J4216" s="437"/>
      <c r="K4216" s="437"/>
    </row>
    <row r="4217" customHeight="1" spans="1:11">
      <c r="A4217" s="423" t="s">
        <v>1306</v>
      </c>
      <c r="B4217" s="424" t="s">
        <v>1714</v>
      </c>
      <c r="C4217" s="423" t="s">
        <v>1715</v>
      </c>
      <c r="D4217" s="423" t="s">
        <v>1716</v>
      </c>
      <c r="E4217" s="423" t="s">
        <v>1717</v>
      </c>
      <c r="F4217" s="423"/>
      <c r="G4217" s="425" t="s">
        <v>1718</v>
      </c>
      <c r="H4217" s="424" t="s">
        <v>1719</v>
      </c>
      <c r="I4217" s="424" t="s">
        <v>1720</v>
      </c>
      <c r="J4217" s="424" t="s">
        <v>1721</v>
      </c>
      <c r="K4217" s="424" t="s">
        <v>1722</v>
      </c>
    </row>
    <row r="4218" customHeight="1" spans="1:11">
      <c r="A4218" s="426" t="s">
        <v>1723</v>
      </c>
      <c r="B4218" s="427" t="s">
        <v>1307</v>
      </c>
      <c r="C4218" s="426" t="s">
        <v>71</v>
      </c>
      <c r="D4218" s="426" t="s">
        <v>1308</v>
      </c>
      <c r="E4218" s="426" t="s">
        <v>1651</v>
      </c>
      <c r="F4218" s="426"/>
      <c r="G4218" s="428" t="s">
        <v>73</v>
      </c>
      <c r="H4218" s="429">
        <v>1</v>
      </c>
      <c r="I4218" s="445"/>
      <c r="J4218" s="445">
        <v>117.7</v>
      </c>
      <c r="K4218" s="445">
        <v>117.7</v>
      </c>
    </row>
    <row r="4219" customHeight="1" spans="1:11">
      <c r="A4219" s="430" t="s">
        <v>1724</v>
      </c>
      <c r="B4219" s="431" t="s">
        <v>3101</v>
      </c>
      <c r="C4219" s="430" t="s">
        <v>71</v>
      </c>
      <c r="D4219" s="430" t="s">
        <v>3102</v>
      </c>
      <c r="E4219" s="430" t="s">
        <v>1708</v>
      </c>
      <c r="F4219" s="430"/>
      <c r="G4219" s="432" t="s">
        <v>82</v>
      </c>
      <c r="H4219" s="433">
        <v>0.5348</v>
      </c>
      <c r="I4219" s="433">
        <v>0</v>
      </c>
      <c r="J4219" s="446">
        <v>38.96</v>
      </c>
      <c r="K4219" s="446">
        <v>20.83</v>
      </c>
    </row>
    <row r="4220" customHeight="1" spans="1:11">
      <c r="A4220" s="430" t="s">
        <v>1724</v>
      </c>
      <c r="B4220" s="431" t="s">
        <v>1745</v>
      </c>
      <c r="C4220" s="430" t="s">
        <v>71</v>
      </c>
      <c r="D4220" s="430" t="s">
        <v>1746</v>
      </c>
      <c r="E4220" s="430" t="s">
        <v>1708</v>
      </c>
      <c r="F4220" s="430"/>
      <c r="G4220" s="432" t="s">
        <v>82</v>
      </c>
      <c r="H4220" s="433">
        <v>0.1694</v>
      </c>
      <c r="I4220" s="433">
        <v>0</v>
      </c>
      <c r="J4220" s="446">
        <v>29.15</v>
      </c>
      <c r="K4220" s="446">
        <v>4.93</v>
      </c>
    </row>
    <row r="4221" customHeight="1" spans="1:11">
      <c r="A4221" s="438" t="s">
        <v>1750</v>
      </c>
      <c r="B4221" s="439" t="s">
        <v>2482</v>
      </c>
      <c r="C4221" s="438" t="s">
        <v>71</v>
      </c>
      <c r="D4221" s="438" t="s">
        <v>2483</v>
      </c>
      <c r="E4221" s="438" t="s">
        <v>1631</v>
      </c>
      <c r="F4221" s="438"/>
      <c r="G4221" s="440" t="s">
        <v>158</v>
      </c>
      <c r="H4221" s="441">
        <v>9.13</v>
      </c>
      <c r="I4221" s="441">
        <v>0</v>
      </c>
      <c r="J4221" s="449">
        <v>2.3</v>
      </c>
      <c r="K4221" s="449">
        <v>20.99</v>
      </c>
    </row>
    <row r="4222" customHeight="1" spans="1:11">
      <c r="A4222" s="438" t="s">
        <v>1750</v>
      </c>
      <c r="B4222" s="439" t="s">
        <v>3141</v>
      </c>
      <c r="C4222" s="438" t="s">
        <v>71</v>
      </c>
      <c r="D4222" s="438" t="s">
        <v>3142</v>
      </c>
      <c r="E4222" s="438" t="s">
        <v>1631</v>
      </c>
      <c r="F4222" s="438"/>
      <c r="G4222" s="440" t="s">
        <v>73</v>
      </c>
      <c r="H4222" s="441">
        <v>1.0728</v>
      </c>
      <c r="I4222" s="441">
        <v>0</v>
      </c>
      <c r="J4222" s="449">
        <v>65.71</v>
      </c>
      <c r="K4222" s="449">
        <v>70.49</v>
      </c>
    </row>
    <row r="4223" customHeight="1" spans="1:11">
      <c r="A4223" s="438" t="s">
        <v>1750</v>
      </c>
      <c r="B4223" s="439" t="s">
        <v>3103</v>
      </c>
      <c r="C4223" s="438" t="s">
        <v>71</v>
      </c>
      <c r="D4223" s="438" t="s">
        <v>3104</v>
      </c>
      <c r="E4223" s="438" t="s">
        <v>1631</v>
      </c>
      <c r="F4223" s="438"/>
      <c r="G4223" s="440" t="s">
        <v>158</v>
      </c>
      <c r="H4223" s="441">
        <v>0.106</v>
      </c>
      <c r="I4223" s="441">
        <v>0</v>
      </c>
      <c r="J4223" s="449">
        <v>4.4</v>
      </c>
      <c r="K4223" s="449">
        <v>0.46</v>
      </c>
    </row>
    <row r="4224" customHeight="1" spans="1:11">
      <c r="A4224" s="434"/>
      <c r="B4224" s="434"/>
      <c r="C4224" s="434"/>
      <c r="D4224" s="434"/>
      <c r="E4224" s="434"/>
      <c r="F4224" s="434" t="s">
        <v>1735</v>
      </c>
      <c r="G4224" s="435">
        <v>9.8</v>
      </c>
      <c r="H4224" s="434" t="s">
        <v>1736</v>
      </c>
      <c r="I4224" s="435">
        <v>8.92</v>
      </c>
      <c r="J4224" s="434" t="s">
        <v>1737</v>
      </c>
      <c r="K4224" s="435">
        <v>18.72</v>
      </c>
    </row>
    <row r="4225" customHeight="1" spans="1:11">
      <c r="A4225" s="434"/>
      <c r="B4225" s="434"/>
      <c r="C4225" s="434"/>
      <c r="D4225" s="434"/>
      <c r="E4225" s="434"/>
      <c r="F4225" s="434" t="s">
        <v>1738</v>
      </c>
      <c r="G4225" s="435">
        <v>29.02</v>
      </c>
      <c r="H4225" s="434"/>
      <c r="I4225" s="434" t="s">
        <v>1739</v>
      </c>
      <c r="J4225" s="434"/>
      <c r="K4225" s="435">
        <v>146.72</v>
      </c>
    </row>
    <row r="4226" customHeight="1" spans="1:11">
      <c r="A4226" s="436"/>
      <c r="B4226" s="436"/>
      <c r="C4226" s="436"/>
      <c r="D4226" s="436"/>
      <c r="E4226" s="436"/>
      <c r="F4226" s="436"/>
      <c r="G4226" s="436"/>
      <c r="H4226" s="436" t="s">
        <v>1740</v>
      </c>
      <c r="I4226" s="447" t="s">
        <v>3143</v>
      </c>
      <c r="J4226" s="436" t="s">
        <v>1742</v>
      </c>
      <c r="K4226" s="448">
        <v>8386.51</v>
      </c>
    </row>
    <row r="4227" customHeight="1" spans="1:11">
      <c r="A4227" s="437"/>
      <c r="B4227" s="437"/>
      <c r="C4227" s="437"/>
      <c r="D4227" s="437"/>
      <c r="E4227" s="437"/>
      <c r="F4227" s="437"/>
      <c r="G4227" s="437"/>
      <c r="H4227" s="437"/>
      <c r="I4227" s="437"/>
      <c r="J4227" s="437"/>
      <c r="K4227" s="437"/>
    </row>
    <row r="4228" customHeight="1" spans="1:11">
      <c r="A4228" s="423" t="s">
        <v>1309</v>
      </c>
      <c r="B4228" s="424" t="s">
        <v>1714</v>
      </c>
      <c r="C4228" s="423" t="s">
        <v>1715</v>
      </c>
      <c r="D4228" s="423" t="s">
        <v>1716</v>
      </c>
      <c r="E4228" s="423" t="s">
        <v>1717</v>
      </c>
      <c r="F4228" s="423"/>
      <c r="G4228" s="425" t="s">
        <v>1718</v>
      </c>
      <c r="H4228" s="424" t="s">
        <v>1719</v>
      </c>
      <c r="I4228" s="424" t="s">
        <v>1720</v>
      </c>
      <c r="J4228" s="424" t="s">
        <v>1721</v>
      </c>
      <c r="K4228" s="424" t="s">
        <v>1722</v>
      </c>
    </row>
    <row r="4229" customHeight="1" spans="1:11">
      <c r="A4229" s="426" t="s">
        <v>1723</v>
      </c>
      <c r="B4229" s="427" t="s">
        <v>1310</v>
      </c>
      <c r="C4229" s="426" t="s">
        <v>65</v>
      </c>
      <c r="D4229" s="426" t="s">
        <v>1311</v>
      </c>
      <c r="E4229" s="426" t="s">
        <v>62</v>
      </c>
      <c r="F4229" s="426"/>
      <c r="G4229" s="428" t="s">
        <v>67</v>
      </c>
      <c r="H4229" s="429">
        <v>1</v>
      </c>
      <c r="I4229" s="445"/>
      <c r="J4229" s="445">
        <v>248.47</v>
      </c>
      <c r="K4229" s="445">
        <v>248.47</v>
      </c>
    </row>
    <row r="4230" customHeight="1" spans="1:11">
      <c r="A4230" s="430" t="s">
        <v>1724</v>
      </c>
      <c r="B4230" s="431" t="s">
        <v>2200</v>
      </c>
      <c r="C4230" s="430" t="s">
        <v>71</v>
      </c>
      <c r="D4230" s="430" t="s">
        <v>2201</v>
      </c>
      <c r="E4230" s="430" t="s">
        <v>1708</v>
      </c>
      <c r="F4230" s="430"/>
      <c r="G4230" s="432" t="s">
        <v>82</v>
      </c>
      <c r="H4230" s="433">
        <v>0.1</v>
      </c>
      <c r="I4230" s="433">
        <v>0</v>
      </c>
      <c r="J4230" s="446">
        <v>30.13</v>
      </c>
      <c r="K4230" s="446">
        <v>3.01</v>
      </c>
    </row>
    <row r="4231" customHeight="1" spans="1:11">
      <c r="A4231" s="430" t="s">
        <v>1724</v>
      </c>
      <c r="B4231" s="431" t="s">
        <v>1936</v>
      </c>
      <c r="C4231" s="430" t="s">
        <v>71</v>
      </c>
      <c r="D4231" s="430" t="s">
        <v>1937</v>
      </c>
      <c r="E4231" s="430" t="s">
        <v>1708</v>
      </c>
      <c r="F4231" s="430"/>
      <c r="G4231" s="432" t="s">
        <v>82</v>
      </c>
      <c r="H4231" s="433">
        <v>0.1</v>
      </c>
      <c r="I4231" s="433">
        <v>0</v>
      </c>
      <c r="J4231" s="446">
        <v>36.96</v>
      </c>
      <c r="K4231" s="446">
        <v>3.69</v>
      </c>
    </row>
    <row r="4232" customHeight="1" spans="1:11">
      <c r="A4232" s="438" t="s">
        <v>1750</v>
      </c>
      <c r="B4232" s="439" t="s">
        <v>3138</v>
      </c>
      <c r="C4232" s="438" t="s">
        <v>71</v>
      </c>
      <c r="D4232" s="438" t="s">
        <v>3139</v>
      </c>
      <c r="E4232" s="438" t="s">
        <v>1631</v>
      </c>
      <c r="F4232" s="438"/>
      <c r="G4232" s="440" t="s">
        <v>158</v>
      </c>
      <c r="H4232" s="441">
        <v>0.1</v>
      </c>
      <c r="I4232" s="441">
        <v>0</v>
      </c>
      <c r="J4232" s="449">
        <v>59.28</v>
      </c>
      <c r="K4232" s="449">
        <v>5.92</v>
      </c>
    </row>
    <row r="4233" customHeight="1" spans="1:11">
      <c r="A4233" s="438" t="s">
        <v>1750</v>
      </c>
      <c r="B4233" s="439" t="s">
        <v>3144</v>
      </c>
      <c r="C4233" s="438" t="s">
        <v>71</v>
      </c>
      <c r="D4233" s="438" t="s">
        <v>3145</v>
      </c>
      <c r="E4233" s="438" t="s">
        <v>2253</v>
      </c>
      <c r="F4233" s="438"/>
      <c r="G4233" s="440" t="s">
        <v>73</v>
      </c>
      <c r="H4233" s="441">
        <v>1</v>
      </c>
      <c r="I4233" s="441">
        <v>0</v>
      </c>
      <c r="J4233" s="449">
        <v>235.85</v>
      </c>
      <c r="K4233" s="449">
        <v>235.85</v>
      </c>
    </row>
    <row r="4234" customHeight="1" spans="1:11">
      <c r="A4234" s="434"/>
      <c r="B4234" s="434"/>
      <c r="C4234" s="434"/>
      <c r="D4234" s="434"/>
      <c r="E4234" s="434"/>
      <c r="F4234" s="434" t="s">
        <v>1735</v>
      </c>
      <c r="G4234" s="435">
        <v>2.46</v>
      </c>
      <c r="H4234" s="434" t="s">
        <v>1736</v>
      </c>
      <c r="I4234" s="435">
        <v>2.24</v>
      </c>
      <c r="J4234" s="434" t="s">
        <v>1737</v>
      </c>
      <c r="K4234" s="435">
        <v>4.7</v>
      </c>
    </row>
    <row r="4235" customHeight="1" spans="1:11">
      <c r="A4235" s="434"/>
      <c r="B4235" s="434"/>
      <c r="C4235" s="434"/>
      <c r="D4235" s="434"/>
      <c r="E4235" s="434"/>
      <c r="F4235" s="434" t="s">
        <v>1738</v>
      </c>
      <c r="G4235" s="435">
        <v>61.27</v>
      </c>
      <c r="H4235" s="434"/>
      <c r="I4235" s="434" t="s">
        <v>1739</v>
      </c>
      <c r="J4235" s="434"/>
      <c r="K4235" s="435">
        <v>309.74</v>
      </c>
    </row>
    <row r="4236" customHeight="1" spans="1:11">
      <c r="A4236" s="436"/>
      <c r="B4236" s="436"/>
      <c r="C4236" s="436"/>
      <c r="D4236" s="436"/>
      <c r="E4236" s="436"/>
      <c r="F4236" s="436"/>
      <c r="G4236" s="436"/>
      <c r="H4236" s="436" t="s">
        <v>1740</v>
      </c>
      <c r="I4236" s="447" t="s">
        <v>3146</v>
      </c>
      <c r="J4236" s="436" t="s">
        <v>1742</v>
      </c>
      <c r="K4236" s="448">
        <v>27415.08</v>
      </c>
    </row>
    <row r="4237" customHeight="1" spans="1:11">
      <c r="A4237" s="437"/>
      <c r="B4237" s="437"/>
      <c r="C4237" s="437"/>
      <c r="D4237" s="437"/>
      <c r="E4237" s="437"/>
      <c r="F4237" s="437"/>
      <c r="G4237" s="437"/>
      <c r="H4237" s="437"/>
      <c r="I4237" s="437"/>
      <c r="J4237" s="437"/>
      <c r="K4237" s="437"/>
    </row>
    <row r="4238" customHeight="1" spans="1:11">
      <c r="A4238" s="423" t="s">
        <v>1312</v>
      </c>
      <c r="B4238" s="424" t="s">
        <v>1714</v>
      </c>
      <c r="C4238" s="423" t="s">
        <v>1715</v>
      </c>
      <c r="D4238" s="423" t="s">
        <v>1716</v>
      </c>
      <c r="E4238" s="423" t="s">
        <v>1717</v>
      </c>
      <c r="F4238" s="423"/>
      <c r="G4238" s="425" t="s">
        <v>1718</v>
      </c>
      <c r="H4238" s="424" t="s">
        <v>1719</v>
      </c>
      <c r="I4238" s="424" t="s">
        <v>1720</v>
      </c>
      <c r="J4238" s="424" t="s">
        <v>1721</v>
      </c>
      <c r="K4238" s="424" t="s">
        <v>1722</v>
      </c>
    </row>
    <row r="4239" customHeight="1" spans="1:11">
      <c r="A4239" s="426" t="s">
        <v>1723</v>
      </c>
      <c r="B4239" s="427" t="s">
        <v>1313</v>
      </c>
      <c r="C4239" s="426" t="s">
        <v>65</v>
      </c>
      <c r="D4239" s="426" t="s">
        <v>1314</v>
      </c>
      <c r="E4239" s="426" t="s">
        <v>62</v>
      </c>
      <c r="F4239" s="426"/>
      <c r="G4239" s="428" t="s">
        <v>67</v>
      </c>
      <c r="H4239" s="429">
        <v>1</v>
      </c>
      <c r="I4239" s="445"/>
      <c r="J4239" s="445">
        <v>177.69</v>
      </c>
      <c r="K4239" s="445">
        <v>177.69</v>
      </c>
    </row>
    <row r="4240" customHeight="1" spans="1:11">
      <c r="A4240" s="430" t="s">
        <v>1724</v>
      </c>
      <c r="B4240" s="431" t="s">
        <v>3101</v>
      </c>
      <c r="C4240" s="430" t="s">
        <v>71</v>
      </c>
      <c r="D4240" s="430" t="s">
        <v>3102</v>
      </c>
      <c r="E4240" s="430" t="s">
        <v>1708</v>
      </c>
      <c r="F4240" s="430"/>
      <c r="G4240" s="432" t="s">
        <v>82</v>
      </c>
      <c r="H4240" s="433">
        <v>0.3</v>
      </c>
      <c r="I4240" s="433">
        <v>0</v>
      </c>
      <c r="J4240" s="446">
        <v>38.96</v>
      </c>
      <c r="K4240" s="446">
        <v>11.68</v>
      </c>
    </row>
    <row r="4241" customHeight="1" spans="1:11">
      <c r="A4241" s="430" t="s">
        <v>1724</v>
      </c>
      <c r="B4241" s="431" t="s">
        <v>3147</v>
      </c>
      <c r="C4241" s="430" t="s">
        <v>71</v>
      </c>
      <c r="D4241" s="430" t="s">
        <v>3148</v>
      </c>
      <c r="E4241" s="430" t="s">
        <v>1708</v>
      </c>
      <c r="F4241" s="430"/>
      <c r="G4241" s="432" t="s">
        <v>82</v>
      </c>
      <c r="H4241" s="433">
        <v>0.3</v>
      </c>
      <c r="I4241" s="433">
        <v>0</v>
      </c>
      <c r="J4241" s="446">
        <v>28.95</v>
      </c>
      <c r="K4241" s="446">
        <v>8.68</v>
      </c>
    </row>
    <row r="4242" customHeight="1" spans="1:11">
      <c r="A4242" s="438" t="s">
        <v>1750</v>
      </c>
      <c r="B4242" s="439" t="s">
        <v>3149</v>
      </c>
      <c r="C4242" s="438" t="s">
        <v>71</v>
      </c>
      <c r="D4242" s="438" t="s">
        <v>3150</v>
      </c>
      <c r="E4242" s="438" t="s">
        <v>1631</v>
      </c>
      <c r="F4242" s="438"/>
      <c r="G4242" s="440" t="s">
        <v>73</v>
      </c>
      <c r="H4242" s="441">
        <v>1</v>
      </c>
      <c r="I4242" s="441">
        <v>0</v>
      </c>
      <c r="J4242" s="449">
        <v>156.24</v>
      </c>
      <c r="K4242" s="449">
        <v>156.24</v>
      </c>
    </row>
    <row r="4243" customHeight="1" spans="1:11">
      <c r="A4243" s="438" t="s">
        <v>1750</v>
      </c>
      <c r="B4243" s="439" t="s">
        <v>3151</v>
      </c>
      <c r="C4243" s="438" t="s">
        <v>71</v>
      </c>
      <c r="D4243" s="438" t="s">
        <v>3152</v>
      </c>
      <c r="E4243" s="438" t="s">
        <v>1631</v>
      </c>
      <c r="F4243" s="438"/>
      <c r="G4243" s="440" t="s">
        <v>78</v>
      </c>
      <c r="H4243" s="441">
        <v>0.8</v>
      </c>
      <c r="I4243" s="441">
        <v>0</v>
      </c>
      <c r="J4243" s="449">
        <v>1.37</v>
      </c>
      <c r="K4243" s="449">
        <v>1.09</v>
      </c>
    </row>
    <row r="4244" customHeight="1" spans="1:11">
      <c r="A4244" s="434"/>
      <c r="B4244" s="434"/>
      <c r="C4244" s="434"/>
      <c r="D4244" s="434"/>
      <c r="E4244" s="434"/>
      <c r="F4244" s="434" t="s">
        <v>1735</v>
      </c>
      <c r="G4244" s="435">
        <v>7.51</v>
      </c>
      <c r="H4244" s="434" t="s">
        <v>1736</v>
      </c>
      <c r="I4244" s="435">
        <v>6.84</v>
      </c>
      <c r="J4244" s="434" t="s">
        <v>1737</v>
      </c>
      <c r="K4244" s="435">
        <v>14.35</v>
      </c>
    </row>
    <row r="4245" customHeight="1" spans="1:11">
      <c r="A4245" s="434"/>
      <c r="B4245" s="434"/>
      <c r="C4245" s="434"/>
      <c r="D4245" s="434"/>
      <c r="E4245" s="434"/>
      <c r="F4245" s="434" t="s">
        <v>1738</v>
      </c>
      <c r="G4245" s="435">
        <v>43.81</v>
      </c>
      <c r="H4245" s="434"/>
      <c r="I4245" s="434" t="s">
        <v>1739</v>
      </c>
      <c r="J4245" s="434"/>
      <c r="K4245" s="435">
        <v>221.5</v>
      </c>
    </row>
    <row r="4246" customHeight="1" spans="1:11">
      <c r="A4246" s="436"/>
      <c r="B4246" s="436"/>
      <c r="C4246" s="436"/>
      <c r="D4246" s="436"/>
      <c r="E4246" s="436"/>
      <c r="F4246" s="436"/>
      <c r="G4246" s="436"/>
      <c r="H4246" s="436" t="s">
        <v>1740</v>
      </c>
      <c r="I4246" s="447" t="s">
        <v>3153</v>
      </c>
      <c r="J4246" s="436" t="s">
        <v>1742</v>
      </c>
      <c r="K4246" s="448">
        <v>176637.39</v>
      </c>
    </row>
    <row r="4247" customHeight="1" spans="1:11">
      <c r="A4247" s="437"/>
      <c r="B4247" s="437"/>
      <c r="C4247" s="437"/>
      <c r="D4247" s="437"/>
      <c r="E4247" s="437"/>
      <c r="F4247" s="437"/>
      <c r="G4247" s="437"/>
      <c r="H4247" s="437"/>
      <c r="I4247" s="437"/>
      <c r="J4247" s="437"/>
      <c r="K4247" s="437"/>
    </row>
    <row r="4248" customHeight="1" spans="1:11">
      <c r="A4248" s="423" t="s">
        <v>1315</v>
      </c>
      <c r="B4248" s="424" t="s">
        <v>1714</v>
      </c>
      <c r="C4248" s="423" t="s">
        <v>1715</v>
      </c>
      <c r="D4248" s="423" t="s">
        <v>1716</v>
      </c>
      <c r="E4248" s="423" t="s">
        <v>1717</v>
      </c>
      <c r="F4248" s="423"/>
      <c r="G4248" s="425" t="s">
        <v>1718</v>
      </c>
      <c r="H4248" s="424" t="s">
        <v>1719</v>
      </c>
      <c r="I4248" s="424" t="s">
        <v>1720</v>
      </c>
      <c r="J4248" s="424" t="s">
        <v>1721</v>
      </c>
      <c r="K4248" s="424" t="s">
        <v>1722</v>
      </c>
    </row>
    <row r="4249" customHeight="1" spans="1:11">
      <c r="A4249" s="426" t="s">
        <v>1723</v>
      </c>
      <c r="B4249" s="427" t="s">
        <v>1316</v>
      </c>
      <c r="C4249" s="426" t="s">
        <v>71</v>
      </c>
      <c r="D4249" s="426" t="s">
        <v>1317</v>
      </c>
      <c r="E4249" s="426" t="s">
        <v>1651</v>
      </c>
      <c r="F4249" s="426"/>
      <c r="G4249" s="428" t="s">
        <v>73</v>
      </c>
      <c r="H4249" s="429">
        <v>1</v>
      </c>
      <c r="I4249" s="445"/>
      <c r="J4249" s="445">
        <v>146.66</v>
      </c>
      <c r="K4249" s="445">
        <v>146.66</v>
      </c>
    </row>
    <row r="4250" customHeight="1" spans="1:11">
      <c r="A4250" s="430" t="s">
        <v>1724</v>
      </c>
      <c r="B4250" s="431" t="s">
        <v>1745</v>
      </c>
      <c r="C4250" s="430" t="s">
        <v>71</v>
      </c>
      <c r="D4250" s="430" t="s">
        <v>1746</v>
      </c>
      <c r="E4250" s="430" t="s">
        <v>1708</v>
      </c>
      <c r="F4250" s="430"/>
      <c r="G4250" s="432" t="s">
        <v>82</v>
      </c>
      <c r="H4250" s="433">
        <v>0.249</v>
      </c>
      <c r="I4250" s="433">
        <v>0</v>
      </c>
      <c r="J4250" s="446">
        <v>29.15</v>
      </c>
      <c r="K4250" s="446">
        <v>7.25</v>
      </c>
    </row>
    <row r="4251" customHeight="1" spans="1:11">
      <c r="A4251" s="430" t="s">
        <v>1724</v>
      </c>
      <c r="B4251" s="431" t="s">
        <v>3101</v>
      </c>
      <c r="C4251" s="430" t="s">
        <v>71</v>
      </c>
      <c r="D4251" s="430" t="s">
        <v>3102</v>
      </c>
      <c r="E4251" s="430" t="s">
        <v>1708</v>
      </c>
      <c r="F4251" s="430"/>
      <c r="G4251" s="432" t="s">
        <v>82</v>
      </c>
      <c r="H4251" s="433">
        <v>1.1136</v>
      </c>
      <c r="I4251" s="433">
        <v>0</v>
      </c>
      <c r="J4251" s="446">
        <v>38.96</v>
      </c>
      <c r="K4251" s="446">
        <v>43.38</v>
      </c>
    </row>
    <row r="4252" customHeight="1" spans="1:11">
      <c r="A4252" s="438" t="s">
        <v>1750</v>
      </c>
      <c r="B4252" s="439" t="s">
        <v>2482</v>
      </c>
      <c r="C4252" s="438" t="s">
        <v>71</v>
      </c>
      <c r="D4252" s="438" t="s">
        <v>2483</v>
      </c>
      <c r="E4252" s="438" t="s">
        <v>1631</v>
      </c>
      <c r="F4252" s="438"/>
      <c r="G4252" s="440" t="s">
        <v>158</v>
      </c>
      <c r="H4252" s="441">
        <v>9.13</v>
      </c>
      <c r="I4252" s="441">
        <v>0</v>
      </c>
      <c r="J4252" s="449">
        <v>2.3</v>
      </c>
      <c r="K4252" s="449">
        <v>20.99</v>
      </c>
    </row>
    <row r="4253" customHeight="1" spans="1:11">
      <c r="A4253" s="438" t="s">
        <v>1750</v>
      </c>
      <c r="B4253" s="439" t="s">
        <v>3103</v>
      </c>
      <c r="C4253" s="438" t="s">
        <v>71</v>
      </c>
      <c r="D4253" s="438" t="s">
        <v>3104</v>
      </c>
      <c r="E4253" s="438" t="s">
        <v>1631</v>
      </c>
      <c r="F4253" s="438"/>
      <c r="G4253" s="440" t="s">
        <v>158</v>
      </c>
      <c r="H4253" s="441">
        <v>0.141</v>
      </c>
      <c r="I4253" s="441">
        <v>0</v>
      </c>
      <c r="J4253" s="449">
        <v>4.4</v>
      </c>
      <c r="K4253" s="449">
        <v>0.62</v>
      </c>
    </row>
    <row r="4254" customHeight="1" spans="1:11">
      <c r="A4254" s="438" t="s">
        <v>1750</v>
      </c>
      <c r="B4254" s="439" t="s">
        <v>3141</v>
      </c>
      <c r="C4254" s="438" t="s">
        <v>71</v>
      </c>
      <c r="D4254" s="438" t="s">
        <v>3142</v>
      </c>
      <c r="E4254" s="438" t="s">
        <v>1631</v>
      </c>
      <c r="F4254" s="438"/>
      <c r="G4254" s="440" t="s">
        <v>73</v>
      </c>
      <c r="H4254" s="441">
        <v>1.13264</v>
      </c>
      <c r="I4254" s="441">
        <v>0</v>
      </c>
      <c r="J4254" s="449">
        <v>65.71</v>
      </c>
      <c r="K4254" s="449">
        <v>74.42</v>
      </c>
    </row>
    <row r="4255" customHeight="1" spans="1:11">
      <c r="A4255" s="434"/>
      <c r="B4255" s="434"/>
      <c r="C4255" s="434"/>
      <c r="D4255" s="434"/>
      <c r="E4255" s="434"/>
      <c r="F4255" s="434" t="s">
        <v>1735</v>
      </c>
      <c r="G4255" s="435">
        <v>19.38</v>
      </c>
      <c r="H4255" s="434" t="s">
        <v>1736</v>
      </c>
      <c r="I4255" s="435">
        <v>17.62</v>
      </c>
      <c r="J4255" s="434" t="s">
        <v>1737</v>
      </c>
      <c r="K4255" s="435">
        <v>37</v>
      </c>
    </row>
    <row r="4256" customHeight="1" spans="1:11">
      <c r="A4256" s="434"/>
      <c r="B4256" s="434"/>
      <c r="C4256" s="434"/>
      <c r="D4256" s="434"/>
      <c r="E4256" s="434"/>
      <c r="F4256" s="434" t="s">
        <v>1738</v>
      </c>
      <c r="G4256" s="435">
        <v>36.16</v>
      </c>
      <c r="H4256" s="434"/>
      <c r="I4256" s="434" t="s">
        <v>1739</v>
      </c>
      <c r="J4256" s="434"/>
      <c r="K4256" s="435">
        <v>182.82</v>
      </c>
    </row>
    <row r="4257" customHeight="1" spans="1:11">
      <c r="A4257" s="436"/>
      <c r="B4257" s="436"/>
      <c r="C4257" s="436"/>
      <c r="D4257" s="436"/>
      <c r="E4257" s="436"/>
      <c r="F4257" s="436"/>
      <c r="G4257" s="436"/>
      <c r="H4257" s="436" t="s">
        <v>1740</v>
      </c>
      <c r="I4257" s="447" t="s">
        <v>3154</v>
      </c>
      <c r="J4257" s="436" t="s">
        <v>1742</v>
      </c>
      <c r="K4257" s="448">
        <v>2084.14</v>
      </c>
    </row>
    <row r="4258" customHeight="1" spans="1:11">
      <c r="A4258" s="437"/>
      <c r="B4258" s="437"/>
      <c r="C4258" s="437"/>
      <c r="D4258" s="437"/>
      <c r="E4258" s="437"/>
      <c r="F4258" s="437"/>
      <c r="G4258" s="437"/>
      <c r="H4258" s="437"/>
      <c r="I4258" s="437"/>
      <c r="J4258" s="437"/>
      <c r="K4258" s="437"/>
    </row>
    <row r="4259" customHeight="1" spans="1:11">
      <c r="A4259" s="423" t="s">
        <v>1318</v>
      </c>
      <c r="B4259" s="424" t="s">
        <v>1714</v>
      </c>
      <c r="C4259" s="423" t="s">
        <v>1715</v>
      </c>
      <c r="D4259" s="423" t="s">
        <v>1716</v>
      </c>
      <c r="E4259" s="423" t="s">
        <v>1717</v>
      </c>
      <c r="F4259" s="423"/>
      <c r="G4259" s="425" t="s">
        <v>1718</v>
      </c>
      <c r="H4259" s="424" t="s">
        <v>1719</v>
      </c>
      <c r="I4259" s="424" t="s">
        <v>1720</v>
      </c>
      <c r="J4259" s="424" t="s">
        <v>1721</v>
      </c>
      <c r="K4259" s="424" t="s">
        <v>1722</v>
      </c>
    </row>
    <row r="4260" customHeight="1" spans="1:11">
      <c r="A4260" s="426" t="s">
        <v>1723</v>
      </c>
      <c r="B4260" s="427" t="s">
        <v>1319</v>
      </c>
      <c r="C4260" s="426" t="s">
        <v>71</v>
      </c>
      <c r="D4260" s="426" t="s">
        <v>1320</v>
      </c>
      <c r="E4260" s="426" t="s">
        <v>1711</v>
      </c>
      <c r="F4260" s="426"/>
      <c r="G4260" s="428" t="s">
        <v>78</v>
      </c>
      <c r="H4260" s="429">
        <v>1</v>
      </c>
      <c r="I4260" s="445"/>
      <c r="J4260" s="445">
        <v>135.2</v>
      </c>
      <c r="K4260" s="445">
        <v>135.2</v>
      </c>
    </row>
    <row r="4261" customHeight="1" spans="1:11">
      <c r="A4261" s="430" t="s">
        <v>1724</v>
      </c>
      <c r="B4261" s="431" t="s">
        <v>1745</v>
      </c>
      <c r="C4261" s="430" t="s">
        <v>71</v>
      </c>
      <c r="D4261" s="430" t="s">
        <v>1746</v>
      </c>
      <c r="E4261" s="430" t="s">
        <v>1708</v>
      </c>
      <c r="F4261" s="430"/>
      <c r="G4261" s="432" t="s">
        <v>82</v>
      </c>
      <c r="H4261" s="433">
        <v>0.273</v>
      </c>
      <c r="I4261" s="433">
        <v>0</v>
      </c>
      <c r="J4261" s="446">
        <v>29.15</v>
      </c>
      <c r="K4261" s="446">
        <v>7.95</v>
      </c>
    </row>
    <row r="4262" customHeight="1" spans="1:11">
      <c r="A4262" s="430" t="s">
        <v>1724</v>
      </c>
      <c r="B4262" s="431" t="s">
        <v>2521</v>
      </c>
      <c r="C4262" s="430" t="s">
        <v>71</v>
      </c>
      <c r="D4262" s="430" t="s">
        <v>2522</v>
      </c>
      <c r="E4262" s="430" t="s">
        <v>1708</v>
      </c>
      <c r="F4262" s="430"/>
      <c r="G4262" s="432" t="s">
        <v>82</v>
      </c>
      <c r="H4262" s="433">
        <v>0.547</v>
      </c>
      <c r="I4262" s="433">
        <v>0</v>
      </c>
      <c r="J4262" s="446">
        <v>30.79</v>
      </c>
      <c r="K4262" s="446">
        <v>16.84</v>
      </c>
    </row>
    <row r="4263" customHeight="1" spans="1:11">
      <c r="A4263" s="438" t="s">
        <v>1750</v>
      </c>
      <c r="B4263" s="439" t="s">
        <v>3155</v>
      </c>
      <c r="C4263" s="438" t="s">
        <v>71</v>
      </c>
      <c r="D4263" s="438" t="s">
        <v>3156</v>
      </c>
      <c r="E4263" s="438" t="s">
        <v>1631</v>
      </c>
      <c r="F4263" s="438"/>
      <c r="G4263" s="440" t="s">
        <v>78</v>
      </c>
      <c r="H4263" s="441">
        <v>1</v>
      </c>
      <c r="I4263" s="441">
        <v>0</v>
      </c>
      <c r="J4263" s="449">
        <v>107.45</v>
      </c>
      <c r="K4263" s="449">
        <v>107.45</v>
      </c>
    </row>
    <row r="4264" customHeight="1" spans="1:11">
      <c r="A4264" s="438" t="s">
        <v>1750</v>
      </c>
      <c r="B4264" s="439" t="s">
        <v>2482</v>
      </c>
      <c r="C4264" s="438" t="s">
        <v>71</v>
      </c>
      <c r="D4264" s="438" t="s">
        <v>2483</v>
      </c>
      <c r="E4264" s="438" t="s">
        <v>1631</v>
      </c>
      <c r="F4264" s="438"/>
      <c r="G4264" s="440" t="s">
        <v>158</v>
      </c>
      <c r="H4264" s="441">
        <v>1.29</v>
      </c>
      <c r="I4264" s="441">
        <v>0</v>
      </c>
      <c r="J4264" s="449">
        <v>2.3</v>
      </c>
      <c r="K4264" s="449">
        <v>2.96</v>
      </c>
    </row>
    <row r="4265" customHeight="1" spans="1:11">
      <c r="A4265" s="434"/>
      <c r="B4265" s="434"/>
      <c r="C4265" s="434"/>
      <c r="D4265" s="434"/>
      <c r="E4265" s="434"/>
      <c r="F4265" s="434" t="s">
        <v>1735</v>
      </c>
      <c r="G4265" s="435">
        <v>8.69</v>
      </c>
      <c r="H4265" s="434" t="s">
        <v>1736</v>
      </c>
      <c r="I4265" s="435">
        <v>7.91</v>
      </c>
      <c r="J4265" s="434" t="s">
        <v>1737</v>
      </c>
      <c r="K4265" s="435">
        <v>16.6</v>
      </c>
    </row>
    <row r="4266" customHeight="1" spans="1:11">
      <c r="A4266" s="434"/>
      <c r="B4266" s="434"/>
      <c r="C4266" s="434"/>
      <c r="D4266" s="434"/>
      <c r="E4266" s="434"/>
      <c r="F4266" s="434" t="s">
        <v>1738</v>
      </c>
      <c r="G4266" s="435">
        <v>33.34</v>
      </c>
      <c r="H4266" s="434"/>
      <c r="I4266" s="434" t="s">
        <v>1739</v>
      </c>
      <c r="J4266" s="434"/>
      <c r="K4266" s="435">
        <v>168.54</v>
      </c>
    </row>
    <row r="4267" customHeight="1" spans="1:11">
      <c r="A4267" s="436"/>
      <c r="B4267" s="436"/>
      <c r="C4267" s="436"/>
      <c r="D4267" s="436"/>
      <c r="E4267" s="436"/>
      <c r="F4267" s="436"/>
      <c r="G4267" s="436"/>
      <c r="H4267" s="436" t="s">
        <v>1740</v>
      </c>
      <c r="I4267" s="447" t="s">
        <v>3157</v>
      </c>
      <c r="J4267" s="436" t="s">
        <v>1742</v>
      </c>
      <c r="K4267" s="448">
        <v>291.57</v>
      </c>
    </row>
    <row r="4268" customHeight="1" spans="1:11">
      <c r="A4268" s="437"/>
      <c r="B4268" s="437"/>
      <c r="C4268" s="437"/>
      <c r="D4268" s="437"/>
      <c r="E4268" s="437"/>
      <c r="F4268" s="437"/>
      <c r="G4268" s="437"/>
      <c r="H4268" s="437"/>
      <c r="I4268" s="437"/>
      <c r="J4268" s="437"/>
      <c r="K4268" s="437"/>
    </row>
    <row r="4269" customHeight="1" spans="1:11">
      <c r="A4269" s="423" t="s">
        <v>1321</v>
      </c>
      <c r="B4269" s="424" t="s">
        <v>1714</v>
      </c>
      <c r="C4269" s="423" t="s">
        <v>1715</v>
      </c>
      <c r="D4269" s="423" t="s">
        <v>1716</v>
      </c>
      <c r="E4269" s="423" t="s">
        <v>1717</v>
      </c>
      <c r="F4269" s="423"/>
      <c r="G4269" s="425" t="s">
        <v>1718</v>
      </c>
      <c r="H4269" s="424" t="s">
        <v>1719</v>
      </c>
      <c r="I4269" s="424" t="s">
        <v>1720</v>
      </c>
      <c r="J4269" s="424" t="s">
        <v>1721</v>
      </c>
      <c r="K4269" s="424" t="s">
        <v>1722</v>
      </c>
    </row>
    <row r="4270" customHeight="1" spans="1:11">
      <c r="A4270" s="426" t="s">
        <v>1723</v>
      </c>
      <c r="B4270" s="427" t="s">
        <v>1322</v>
      </c>
      <c r="C4270" s="426" t="s">
        <v>71</v>
      </c>
      <c r="D4270" s="426" t="s">
        <v>1323</v>
      </c>
      <c r="E4270" s="426" t="s">
        <v>1668</v>
      </c>
      <c r="F4270" s="426"/>
      <c r="G4270" s="428" t="s">
        <v>73</v>
      </c>
      <c r="H4270" s="429">
        <v>1</v>
      </c>
      <c r="I4270" s="445"/>
      <c r="J4270" s="445">
        <v>176.14</v>
      </c>
      <c r="K4270" s="445">
        <v>176.14</v>
      </c>
    </row>
    <row r="4271" customHeight="1" spans="1:11">
      <c r="A4271" s="430" t="s">
        <v>1724</v>
      </c>
      <c r="B4271" s="431" t="s">
        <v>1936</v>
      </c>
      <c r="C4271" s="430" t="s">
        <v>71</v>
      </c>
      <c r="D4271" s="430" t="s">
        <v>1937</v>
      </c>
      <c r="E4271" s="430" t="s">
        <v>1708</v>
      </c>
      <c r="F4271" s="430"/>
      <c r="G4271" s="432" t="s">
        <v>82</v>
      </c>
      <c r="H4271" s="433">
        <v>0.639</v>
      </c>
      <c r="I4271" s="433">
        <v>0</v>
      </c>
      <c r="J4271" s="446">
        <v>36.96</v>
      </c>
      <c r="K4271" s="446">
        <v>23.61</v>
      </c>
    </row>
    <row r="4272" customHeight="1" spans="1:11">
      <c r="A4272" s="430" t="s">
        <v>1724</v>
      </c>
      <c r="B4272" s="431" t="s">
        <v>1745</v>
      </c>
      <c r="C4272" s="430" t="s">
        <v>71</v>
      </c>
      <c r="D4272" s="430" t="s">
        <v>1746</v>
      </c>
      <c r="E4272" s="430" t="s">
        <v>1708</v>
      </c>
      <c r="F4272" s="430"/>
      <c r="G4272" s="432" t="s">
        <v>82</v>
      </c>
      <c r="H4272" s="433">
        <v>1.279</v>
      </c>
      <c r="I4272" s="433">
        <v>0</v>
      </c>
      <c r="J4272" s="446">
        <v>29.15</v>
      </c>
      <c r="K4272" s="446">
        <v>37.28</v>
      </c>
    </row>
    <row r="4273" customHeight="1" spans="1:11">
      <c r="A4273" s="438" t="s">
        <v>1750</v>
      </c>
      <c r="B4273" s="439" t="s">
        <v>3158</v>
      </c>
      <c r="C4273" s="438" t="s">
        <v>71</v>
      </c>
      <c r="D4273" s="438" t="s">
        <v>3159</v>
      </c>
      <c r="E4273" s="438" t="s">
        <v>1631</v>
      </c>
      <c r="F4273" s="438"/>
      <c r="G4273" s="440" t="s">
        <v>105</v>
      </c>
      <c r="H4273" s="441">
        <v>6.4375</v>
      </c>
      <c r="I4273" s="441">
        <v>0</v>
      </c>
      <c r="J4273" s="449">
        <v>15.88</v>
      </c>
      <c r="K4273" s="449">
        <v>102.22</v>
      </c>
    </row>
    <row r="4274" customHeight="1" spans="1:11">
      <c r="A4274" s="438" t="s">
        <v>1750</v>
      </c>
      <c r="B4274" s="439" t="s">
        <v>3103</v>
      </c>
      <c r="C4274" s="438" t="s">
        <v>71</v>
      </c>
      <c r="D4274" s="438" t="s">
        <v>3104</v>
      </c>
      <c r="E4274" s="438" t="s">
        <v>1631</v>
      </c>
      <c r="F4274" s="438"/>
      <c r="G4274" s="440" t="s">
        <v>158</v>
      </c>
      <c r="H4274" s="441">
        <v>0.24</v>
      </c>
      <c r="I4274" s="441">
        <v>0</v>
      </c>
      <c r="J4274" s="449">
        <v>4.4</v>
      </c>
      <c r="K4274" s="449">
        <v>1.05</v>
      </c>
    </row>
    <row r="4275" customHeight="1" spans="1:11">
      <c r="A4275" s="438" t="s">
        <v>1750</v>
      </c>
      <c r="B4275" s="439" t="s">
        <v>3160</v>
      </c>
      <c r="C4275" s="438" t="s">
        <v>71</v>
      </c>
      <c r="D4275" s="438" t="s">
        <v>3161</v>
      </c>
      <c r="E4275" s="438" t="s">
        <v>1631</v>
      </c>
      <c r="F4275" s="438"/>
      <c r="G4275" s="440" t="s">
        <v>158</v>
      </c>
      <c r="H4275" s="441">
        <v>8.62</v>
      </c>
      <c r="I4275" s="441">
        <v>0</v>
      </c>
      <c r="J4275" s="449">
        <v>1.39</v>
      </c>
      <c r="K4275" s="449">
        <v>11.98</v>
      </c>
    </row>
    <row r="4276" customHeight="1" spans="1:11">
      <c r="A4276" s="434"/>
      <c r="B4276" s="434"/>
      <c r="C4276" s="434"/>
      <c r="D4276" s="434"/>
      <c r="E4276" s="434"/>
      <c r="F4276" s="434" t="s">
        <v>1735</v>
      </c>
      <c r="G4276" s="435">
        <v>21.89</v>
      </c>
      <c r="H4276" s="434" t="s">
        <v>1736</v>
      </c>
      <c r="I4276" s="435">
        <v>19.9</v>
      </c>
      <c r="J4276" s="434" t="s">
        <v>1737</v>
      </c>
      <c r="K4276" s="435">
        <v>41.79</v>
      </c>
    </row>
    <row r="4277" customHeight="1" spans="1:11">
      <c r="A4277" s="434"/>
      <c r="B4277" s="434"/>
      <c r="C4277" s="434"/>
      <c r="D4277" s="434"/>
      <c r="E4277" s="434"/>
      <c r="F4277" s="434" t="s">
        <v>1738</v>
      </c>
      <c r="G4277" s="435">
        <v>43.43</v>
      </c>
      <c r="H4277" s="434"/>
      <c r="I4277" s="434" t="s">
        <v>1739</v>
      </c>
      <c r="J4277" s="434"/>
      <c r="K4277" s="435">
        <v>219.57</v>
      </c>
    </row>
    <row r="4278" customHeight="1" spans="1:11">
      <c r="A4278" s="436"/>
      <c r="B4278" s="436"/>
      <c r="C4278" s="436"/>
      <c r="D4278" s="436"/>
      <c r="E4278" s="436"/>
      <c r="F4278" s="436"/>
      <c r="G4278" s="436"/>
      <c r="H4278" s="436" t="s">
        <v>1740</v>
      </c>
      <c r="I4278" s="447" t="s">
        <v>3162</v>
      </c>
      <c r="J4278" s="436" t="s">
        <v>1742</v>
      </c>
      <c r="K4278" s="448">
        <v>3486.77</v>
      </c>
    </row>
    <row r="4279" customHeight="1" spans="1:11">
      <c r="A4279" s="437"/>
      <c r="B4279" s="437"/>
      <c r="C4279" s="437"/>
      <c r="D4279" s="437"/>
      <c r="E4279" s="437"/>
      <c r="F4279" s="437"/>
      <c r="G4279" s="437"/>
      <c r="H4279" s="437"/>
      <c r="I4279" s="437"/>
      <c r="J4279" s="437"/>
      <c r="K4279" s="437"/>
    </row>
    <row r="4280" customHeight="1" spans="1:11">
      <c r="A4280" s="422" t="s">
        <v>1324</v>
      </c>
      <c r="B4280" s="422"/>
      <c r="C4280" s="422"/>
      <c r="D4280" s="422" t="s">
        <v>1325</v>
      </c>
      <c r="E4280" s="422"/>
      <c r="F4280" s="422"/>
      <c r="G4280" s="422"/>
      <c r="H4280" s="422"/>
      <c r="I4280" s="443"/>
      <c r="J4280" s="422"/>
      <c r="K4280" s="444">
        <v>9181.56</v>
      </c>
    </row>
    <row r="4281" customHeight="1" spans="1:11">
      <c r="A4281" s="423" t="s">
        <v>1326</v>
      </c>
      <c r="B4281" s="424" t="s">
        <v>1714</v>
      </c>
      <c r="C4281" s="423" t="s">
        <v>1715</v>
      </c>
      <c r="D4281" s="423" t="s">
        <v>1716</v>
      </c>
      <c r="E4281" s="423" t="s">
        <v>1717</v>
      </c>
      <c r="F4281" s="423"/>
      <c r="G4281" s="425" t="s">
        <v>1718</v>
      </c>
      <c r="H4281" s="424" t="s">
        <v>1719</v>
      </c>
      <c r="I4281" s="424" t="s">
        <v>1720</v>
      </c>
      <c r="J4281" s="424" t="s">
        <v>1721</v>
      </c>
      <c r="K4281" s="424" t="s">
        <v>1722</v>
      </c>
    </row>
    <row r="4282" customHeight="1" spans="1:11">
      <c r="A4282" s="426" t="s">
        <v>1723</v>
      </c>
      <c r="B4282" s="427" t="s">
        <v>1327</v>
      </c>
      <c r="C4282" s="426" t="s">
        <v>71</v>
      </c>
      <c r="D4282" s="426" t="s">
        <v>1328</v>
      </c>
      <c r="E4282" s="426" t="s">
        <v>1685</v>
      </c>
      <c r="F4282" s="426"/>
      <c r="G4282" s="428" t="s">
        <v>73</v>
      </c>
      <c r="H4282" s="429">
        <v>1</v>
      </c>
      <c r="I4282" s="445"/>
      <c r="J4282" s="445">
        <v>44.16</v>
      </c>
      <c r="K4282" s="445">
        <v>44.16</v>
      </c>
    </row>
    <row r="4283" customHeight="1" spans="1:11">
      <c r="A4283" s="430" t="s">
        <v>1724</v>
      </c>
      <c r="B4283" s="431" t="s">
        <v>3163</v>
      </c>
      <c r="C4283" s="430" t="s">
        <v>71</v>
      </c>
      <c r="D4283" s="430" t="s">
        <v>3164</v>
      </c>
      <c r="E4283" s="430" t="s">
        <v>1795</v>
      </c>
      <c r="F4283" s="430"/>
      <c r="G4283" s="432" t="s">
        <v>1796</v>
      </c>
      <c r="H4283" s="433">
        <v>0.007</v>
      </c>
      <c r="I4283" s="433">
        <v>0</v>
      </c>
      <c r="J4283" s="446">
        <v>10.35</v>
      </c>
      <c r="K4283" s="446">
        <v>0.07</v>
      </c>
    </row>
    <row r="4284" customHeight="1" spans="1:11">
      <c r="A4284" s="430" t="s">
        <v>1724</v>
      </c>
      <c r="B4284" s="431" t="s">
        <v>1936</v>
      </c>
      <c r="C4284" s="430" t="s">
        <v>71</v>
      </c>
      <c r="D4284" s="430" t="s">
        <v>1937</v>
      </c>
      <c r="E4284" s="430" t="s">
        <v>1708</v>
      </c>
      <c r="F4284" s="430"/>
      <c r="G4284" s="432" t="s">
        <v>82</v>
      </c>
      <c r="H4284" s="433">
        <v>0.088</v>
      </c>
      <c r="I4284" s="433">
        <v>0</v>
      </c>
      <c r="J4284" s="446">
        <v>36.96</v>
      </c>
      <c r="K4284" s="446">
        <v>3.25</v>
      </c>
    </row>
    <row r="4285" customHeight="1" spans="1:11">
      <c r="A4285" s="438" t="s">
        <v>1750</v>
      </c>
      <c r="B4285" s="439" t="s">
        <v>3165</v>
      </c>
      <c r="C4285" s="438" t="s">
        <v>71</v>
      </c>
      <c r="D4285" s="438" t="s">
        <v>3166</v>
      </c>
      <c r="E4285" s="438" t="s">
        <v>1631</v>
      </c>
      <c r="F4285" s="438"/>
      <c r="G4285" s="440" t="s">
        <v>158</v>
      </c>
      <c r="H4285" s="441">
        <v>4</v>
      </c>
      <c r="I4285" s="441">
        <v>0</v>
      </c>
      <c r="J4285" s="449">
        <v>10.21</v>
      </c>
      <c r="K4285" s="449">
        <v>40.84</v>
      </c>
    </row>
    <row r="4286" customHeight="1" spans="1:11">
      <c r="A4286" s="434"/>
      <c r="B4286" s="434"/>
      <c r="C4286" s="434"/>
      <c r="D4286" s="434"/>
      <c r="E4286" s="434"/>
      <c r="F4286" s="434" t="s">
        <v>1735</v>
      </c>
      <c r="G4286" s="435">
        <v>1.24</v>
      </c>
      <c r="H4286" s="434" t="s">
        <v>1736</v>
      </c>
      <c r="I4286" s="435">
        <v>1.13</v>
      </c>
      <c r="J4286" s="434" t="s">
        <v>1737</v>
      </c>
      <c r="K4286" s="435">
        <v>2.37</v>
      </c>
    </row>
    <row r="4287" customHeight="1" spans="1:11">
      <c r="A4287" s="434"/>
      <c r="B4287" s="434"/>
      <c r="C4287" s="434"/>
      <c r="D4287" s="434"/>
      <c r="E4287" s="434"/>
      <c r="F4287" s="434" t="s">
        <v>1738</v>
      </c>
      <c r="G4287" s="435">
        <v>10.88</v>
      </c>
      <c r="H4287" s="434"/>
      <c r="I4287" s="434" t="s">
        <v>1739</v>
      </c>
      <c r="J4287" s="434"/>
      <c r="K4287" s="435">
        <v>55.04</v>
      </c>
    </row>
    <row r="4288" customHeight="1" spans="1:11">
      <c r="A4288" s="436"/>
      <c r="B4288" s="436"/>
      <c r="C4288" s="436"/>
      <c r="D4288" s="436"/>
      <c r="E4288" s="436"/>
      <c r="F4288" s="436"/>
      <c r="G4288" s="436"/>
      <c r="H4288" s="436" t="s">
        <v>1740</v>
      </c>
      <c r="I4288" s="447" t="s">
        <v>3167</v>
      </c>
      <c r="J4288" s="436" t="s">
        <v>1742</v>
      </c>
      <c r="K4288" s="448">
        <v>3318.36</v>
      </c>
    </row>
    <row r="4289" customHeight="1" spans="1:11">
      <c r="A4289" s="437"/>
      <c r="B4289" s="437"/>
      <c r="C4289" s="437"/>
      <c r="D4289" s="437"/>
      <c r="E4289" s="437"/>
      <c r="F4289" s="437"/>
      <c r="G4289" s="437"/>
      <c r="H4289" s="437"/>
      <c r="I4289" s="437"/>
      <c r="J4289" s="437"/>
      <c r="K4289" s="437"/>
    </row>
    <row r="4290" customHeight="1" spans="1:11">
      <c r="A4290" s="423" t="s">
        <v>1329</v>
      </c>
      <c r="B4290" s="424" t="s">
        <v>1714</v>
      </c>
      <c r="C4290" s="423" t="s">
        <v>1715</v>
      </c>
      <c r="D4290" s="423" t="s">
        <v>1716</v>
      </c>
      <c r="E4290" s="423" t="s">
        <v>1717</v>
      </c>
      <c r="F4290" s="423"/>
      <c r="G4290" s="425" t="s">
        <v>1718</v>
      </c>
      <c r="H4290" s="424" t="s">
        <v>1719</v>
      </c>
      <c r="I4290" s="424" t="s">
        <v>1720</v>
      </c>
      <c r="J4290" s="424" t="s">
        <v>1721</v>
      </c>
      <c r="K4290" s="424" t="s">
        <v>1722</v>
      </c>
    </row>
    <row r="4291" customHeight="1" spans="1:11">
      <c r="A4291" s="426" t="s">
        <v>1723</v>
      </c>
      <c r="B4291" s="427" t="s">
        <v>1330</v>
      </c>
      <c r="C4291" s="426" t="s">
        <v>71</v>
      </c>
      <c r="D4291" s="426" t="s">
        <v>1331</v>
      </c>
      <c r="E4291" s="426" t="s">
        <v>1664</v>
      </c>
      <c r="F4291" s="426"/>
      <c r="G4291" s="428" t="s">
        <v>73</v>
      </c>
      <c r="H4291" s="429">
        <v>1</v>
      </c>
      <c r="I4291" s="445"/>
      <c r="J4291" s="445">
        <v>78.02</v>
      </c>
      <c r="K4291" s="445">
        <v>78.02</v>
      </c>
    </row>
    <row r="4292" customHeight="1" spans="1:11">
      <c r="A4292" s="430" t="s">
        <v>1724</v>
      </c>
      <c r="B4292" s="431" t="s">
        <v>1936</v>
      </c>
      <c r="C4292" s="430" t="s">
        <v>71</v>
      </c>
      <c r="D4292" s="430" t="s">
        <v>1937</v>
      </c>
      <c r="E4292" s="430" t="s">
        <v>1708</v>
      </c>
      <c r="F4292" s="430"/>
      <c r="G4292" s="432" t="s">
        <v>82</v>
      </c>
      <c r="H4292" s="433">
        <v>0.1483</v>
      </c>
      <c r="I4292" s="433">
        <v>0</v>
      </c>
      <c r="J4292" s="446">
        <v>36.96</v>
      </c>
      <c r="K4292" s="446">
        <v>5.48</v>
      </c>
    </row>
    <row r="4293" customHeight="1" spans="1:11">
      <c r="A4293" s="430" t="s">
        <v>1724</v>
      </c>
      <c r="B4293" s="431" t="s">
        <v>1745</v>
      </c>
      <c r="C4293" s="430" t="s">
        <v>71</v>
      </c>
      <c r="D4293" s="430" t="s">
        <v>1746</v>
      </c>
      <c r="E4293" s="430" t="s">
        <v>1708</v>
      </c>
      <c r="F4293" s="430"/>
      <c r="G4293" s="432" t="s">
        <v>82</v>
      </c>
      <c r="H4293" s="433">
        <v>0.2459</v>
      </c>
      <c r="I4293" s="433">
        <v>0</v>
      </c>
      <c r="J4293" s="446">
        <v>29.15</v>
      </c>
      <c r="K4293" s="446">
        <v>7.16</v>
      </c>
    </row>
    <row r="4294" customHeight="1" spans="1:11">
      <c r="A4294" s="430" t="s">
        <v>1724</v>
      </c>
      <c r="B4294" s="431" t="s">
        <v>1743</v>
      </c>
      <c r="C4294" s="430" t="s">
        <v>71</v>
      </c>
      <c r="D4294" s="430" t="s">
        <v>1744</v>
      </c>
      <c r="E4294" s="430" t="s">
        <v>1708</v>
      </c>
      <c r="F4294" s="430"/>
      <c r="G4294" s="432" t="s">
        <v>82</v>
      </c>
      <c r="H4294" s="433">
        <v>0.0976</v>
      </c>
      <c r="I4294" s="433">
        <v>0</v>
      </c>
      <c r="J4294" s="446">
        <v>37.51</v>
      </c>
      <c r="K4294" s="446">
        <v>3.66</v>
      </c>
    </row>
    <row r="4295" customHeight="1" spans="1:11">
      <c r="A4295" s="430" t="s">
        <v>1724</v>
      </c>
      <c r="B4295" s="431" t="s">
        <v>3168</v>
      </c>
      <c r="C4295" s="430" t="s">
        <v>71</v>
      </c>
      <c r="D4295" s="430" t="s">
        <v>3169</v>
      </c>
      <c r="E4295" s="430" t="s">
        <v>1799</v>
      </c>
      <c r="F4295" s="430"/>
      <c r="G4295" s="432" t="s">
        <v>129</v>
      </c>
      <c r="H4295" s="433">
        <v>0.0739</v>
      </c>
      <c r="I4295" s="433">
        <v>0</v>
      </c>
      <c r="J4295" s="446">
        <v>465.92</v>
      </c>
      <c r="K4295" s="446">
        <v>34.43</v>
      </c>
    </row>
    <row r="4296" customHeight="1" spans="1:11">
      <c r="A4296" s="438" t="s">
        <v>1750</v>
      </c>
      <c r="B4296" s="439" t="s">
        <v>1941</v>
      </c>
      <c r="C4296" s="438" t="s">
        <v>71</v>
      </c>
      <c r="D4296" s="438" t="s">
        <v>1942</v>
      </c>
      <c r="E4296" s="438" t="s">
        <v>1631</v>
      </c>
      <c r="F4296" s="438"/>
      <c r="G4296" s="440" t="s">
        <v>78</v>
      </c>
      <c r="H4296" s="441">
        <v>0.45</v>
      </c>
      <c r="I4296" s="441">
        <v>0</v>
      </c>
      <c r="J4296" s="449">
        <v>3.07</v>
      </c>
      <c r="K4296" s="449">
        <v>1.38</v>
      </c>
    </row>
    <row r="4297" customHeight="1" spans="1:11">
      <c r="A4297" s="438" t="s">
        <v>1750</v>
      </c>
      <c r="B4297" s="439" t="s">
        <v>3170</v>
      </c>
      <c r="C4297" s="438" t="s">
        <v>71</v>
      </c>
      <c r="D4297" s="438" t="s">
        <v>3171</v>
      </c>
      <c r="E4297" s="438" t="s">
        <v>1631</v>
      </c>
      <c r="F4297" s="438"/>
      <c r="G4297" s="440" t="s">
        <v>73</v>
      </c>
      <c r="H4297" s="441">
        <v>1.0816</v>
      </c>
      <c r="I4297" s="441">
        <v>0</v>
      </c>
      <c r="J4297" s="449">
        <v>23.55</v>
      </c>
      <c r="K4297" s="449">
        <v>25.47</v>
      </c>
    </row>
    <row r="4298" customHeight="1" spans="1:11">
      <c r="A4298" s="438" t="s">
        <v>1750</v>
      </c>
      <c r="B4298" s="439" t="s">
        <v>3172</v>
      </c>
      <c r="C4298" s="438" t="s">
        <v>71</v>
      </c>
      <c r="D4298" s="438" t="s">
        <v>3173</v>
      </c>
      <c r="E4298" s="438" t="s">
        <v>1631</v>
      </c>
      <c r="F4298" s="438"/>
      <c r="G4298" s="440" t="s">
        <v>158</v>
      </c>
      <c r="H4298" s="441">
        <v>0.024</v>
      </c>
      <c r="I4298" s="441">
        <v>0</v>
      </c>
      <c r="J4298" s="449">
        <v>18.38</v>
      </c>
      <c r="K4298" s="449">
        <v>0.44</v>
      </c>
    </row>
    <row r="4299" customHeight="1" spans="1:11">
      <c r="A4299" s="434"/>
      <c r="B4299" s="434"/>
      <c r="C4299" s="434"/>
      <c r="D4299" s="434"/>
      <c r="E4299" s="434"/>
      <c r="F4299" s="434" t="s">
        <v>1735</v>
      </c>
      <c r="G4299" s="435">
        <v>9.31</v>
      </c>
      <c r="H4299" s="434" t="s">
        <v>1736</v>
      </c>
      <c r="I4299" s="435">
        <v>8.46</v>
      </c>
      <c r="J4299" s="434" t="s">
        <v>1737</v>
      </c>
      <c r="K4299" s="435">
        <v>17.77</v>
      </c>
    </row>
    <row r="4300" customHeight="1" spans="1:11">
      <c r="A4300" s="434"/>
      <c r="B4300" s="434"/>
      <c r="C4300" s="434"/>
      <c r="D4300" s="434"/>
      <c r="E4300" s="434"/>
      <c r="F4300" s="434" t="s">
        <v>1738</v>
      </c>
      <c r="G4300" s="435">
        <v>19.23</v>
      </c>
      <c r="H4300" s="434"/>
      <c r="I4300" s="434" t="s">
        <v>1739</v>
      </c>
      <c r="J4300" s="434"/>
      <c r="K4300" s="435">
        <v>97.25</v>
      </c>
    </row>
    <row r="4301" customHeight="1" spans="1:11">
      <c r="A4301" s="436"/>
      <c r="B4301" s="436"/>
      <c r="C4301" s="436"/>
      <c r="D4301" s="436"/>
      <c r="E4301" s="436"/>
      <c r="F4301" s="436"/>
      <c r="G4301" s="436"/>
      <c r="H4301" s="436" t="s">
        <v>1740</v>
      </c>
      <c r="I4301" s="447" t="s">
        <v>3167</v>
      </c>
      <c r="J4301" s="436" t="s">
        <v>1742</v>
      </c>
      <c r="K4301" s="448">
        <v>5863.2</v>
      </c>
    </row>
    <row r="4302" customHeight="1" spans="1:11">
      <c r="A4302" s="437"/>
      <c r="B4302" s="437"/>
      <c r="C4302" s="437"/>
      <c r="D4302" s="437"/>
      <c r="E4302" s="437"/>
      <c r="F4302" s="437"/>
      <c r="G4302" s="437"/>
      <c r="H4302" s="437"/>
      <c r="I4302" s="437"/>
      <c r="J4302" s="437"/>
      <c r="K4302" s="437"/>
    </row>
    <row r="4303" customHeight="1" spans="1:11">
      <c r="A4303" s="422" t="s">
        <v>1332</v>
      </c>
      <c r="B4303" s="422"/>
      <c r="C4303" s="422"/>
      <c r="D4303" s="422" t="s">
        <v>41</v>
      </c>
      <c r="E4303" s="422"/>
      <c r="F4303" s="422"/>
      <c r="G4303" s="422"/>
      <c r="H4303" s="422"/>
      <c r="I4303" s="443"/>
      <c r="J4303" s="422"/>
      <c r="K4303" s="444">
        <v>82712.58</v>
      </c>
    </row>
    <row r="4304" customHeight="1" spans="1:11">
      <c r="A4304" s="423" t="s">
        <v>1333</v>
      </c>
      <c r="B4304" s="424" t="s">
        <v>1714</v>
      </c>
      <c r="C4304" s="423" t="s">
        <v>1715</v>
      </c>
      <c r="D4304" s="423" t="s">
        <v>1716</v>
      </c>
      <c r="E4304" s="423" t="s">
        <v>1717</v>
      </c>
      <c r="F4304" s="423"/>
      <c r="G4304" s="425" t="s">
        <v>1718</v>
      </c>
      <c r="H4304" s="424" t="s">
        <v>1719</v>
      </c>
      <c r="I4304" s="424" t="s">
        <v>1720</v>
      </c>
      <c r="J4304" s="424" t="s">
        <v>1721</v>
      </c>
      <c r="K4304" s="424" t="s">
        <v>1722</v>
      </c>
    </row>
    <row r="4305" customHeight="1" spans="1:11">
      <c r="A4305" s="426" t="s">
        <v>1723</v>
      </c>
      <c r="B4305" s="427" t="s">
        <v>1334</v>
      </c>
      <c r="C4305" s="426" t="s">
        <v>512</v>
      </c>
      <c r="D4305" s="426" t="s">
        <v>1335</v>
      </c>
      <c r="E4305" s="426" t="s">
        <v>1653</v>
      </c>
      <c r="F4305" s="426"/>
      <c r="G4305" s="428" t="s">
        <v>73</v>
      </c>
      <c r="H4305" s="429">
        <v>1</v>
      </c>
      <c r="I4305" s="445"/>
      <c r="J4305" s="445">
        <v>108.93</v>
      </c>
      <c r="K4305" s="445">
        <v>108.93</v>
      </c>
    </row>
    <row r="4306" customHeight="1" spans="1:11">
      <c r="A4306" s="438" t="s">
        <v>1750</v>
      </c>
      <c r="B4306" s="439" t="s">
        <v>3174</v>
      </c>
      <c r="C4306" s="438" t="s">
        <v>512</v>
      </c>
      <c r="D4306" s="438" t="s">
        <v>3175</v>
      </c>
      <c r="E4306" s="438" t="s">
        <v>1631</v>
      </c>
      <c r="F4306" s="438"/>
      <c r="G4306" s="440" t="s">
        <v>73</v>
      </c>
      <c r="H4306" s="441">
        <v>1.05</v>
      </c>
      <c r="I4306" s="441">
        <v>0</v>
      </c>
      <c r="J4306" s="449">
        <v>24.24</v>
      </c>
      <c r="K4306" s="449">
        <v>25.45</v>
      </c>
    </row>
    <row r="4307" customHeight="1" spans="1:11">
      <c r="A4307" s="438" t="s">
        <v>1750</v>
      </c>
      <c r="B4307" s="439" t="s">
        <v>2370</v>
      </c>
      <c r="C4307" s="438" t="s">
        <v>512</v>
      </c>
      <c r="D4307" s="438" t="s">
        <v>2371</v>
      </c>
      <c r="E4307" s="438" t="s">
        <v>2372</v>
      </c>
      <c r="F4307" s="438"/>
      <c r="G4307" s="440" t="s">
        <v>1617</v>
      </c>
      <c r="H4307" s="441">
        <v>81.05</v>
      </c>
      <c r="I4307" s="441">
        <v>3</v>
      </c>
      <c r="J4307" s="449">
        <v>1</v>
      </c>
      <c r="K4307" s="449">
        <v>2.43</v>
      </c>
    </row>
    <row r="4308" customHeight="1" spans="1:11">
      <c r="A4308" s="438" t="s">
        <v>1750</v>
      </c>
      <c r="B4308" s="439" t="s">
        <v>3176</v>
      </c>
      <c r="C4308" s="438" t="s">
        <v>512</v>
      </c>
      <c r="D4308" s="438" t="s">
        <v>3177</v>
      </c>
      <c r="E4308" s="438" t="s">
        <v>1764</v>
      </c>
      <c r="F4308" s="438"/>
      <c r="G4308" s="440" t="s">
        <v>2367</v>
      </c>
      <c r="H4308" s="441">
        <v>2.5</v>
      </c>
      <c r="I4308" s="441">
        <v>0</v>
      </c>
      <c r="J4308" s="449">
        <v>32.42</v>
      </c>
      <c r="K4308" s="449">
        <v>81.05</v>
      </c>
    </row>
    <row r="4309" customHeight="1" spans="1:11">
      <c r="A4309" s="434"/>
      <c r="B4309" s="434"/>
      <c r="C4309" s="434"/>
      <c r="D4309" s="434"/>
      <c r="E4309" s="434"/>
      <c r="F4309" s="434" t="s">
        <v>1735</v>
      </c>
      <c r="G4309" s="435">
        <v>42.47</v>
      </c>
      <c r="H4309" s="434" t="s">
        <v>1736</v>
      </c>
      <c r="I4309" s="435">
        <v>38.58</v>
      </c>
      <c r="J4309" s="434" t="s">
        <v>1737</v>
      </c>
      <c r="K4309" s="435">
        <v>81.05</v>
      </c>
    </row>
    <row r="4310" customHeight="1" spans="1:11">
      <c r="A4310" s="434"/>
      <c r="B4310" s="434"/>
      <c r="C4310" s="434"/>
      <c r="D4310" s="434"/>
      <c r="E4310" s="434"/>
      <c r="F4310" s="434" t="s">
        <v>1738</v>
      </c>
      <c r="G4310" s="435">
        <v>26.86</v>
      </c>
      <c r="H4310" s="434"/>
      <c r="I4310" s="434" t="s">
        <v>1739</v>
      </c>
      <c r="J4310" s="434"/>
      <c r="K4310" s="435">
        <v>135.79</v>
      </c>
    </row>
    <row r="4311" customHeight="1" spans="1:11">
      <c r="A4311" s="436"/>
      <c r="B4311" s="436"/>
      <c r="C4311" s="436"/>
      <c r="D4311" s="436"/>
      <c r="E4311" s="436"/>
      <c r="F4311" s="436"/>
      <c r="G4311" s="436"/>
      <c r="H4311" s="436" t="s">
        <v>1740</v>
      </c>
      <c r="I4311" s="447" t="s">
        <v>3178</v>
      </c>
      <c r="J4311" s="436" t="s">
        <v>1742</v>
      </c>
      <c r="K4311" s="448">
        <v>15956.68</v>
      </c>
    </row>
    <row r="4312" customHeight="1" spans="1:11">
      <c r="A4312" s="437"/>
      <c r="B4312" s="437"/>
      <c r="C4312" s="437"/>
      <c r="D4312" s="437"/>
      <c r="E4312" s="437"/>
      <c r="F4312" s="437"/>
      <c r="G4312" s="437"/>
      <c r="H4312" s="437"/>
      <c r="I4312" s="437"/>
      <c r="J4312" s="437"/>
      <c r="K4312" s="437"/>
    </row>
    <row r="4313" customHeight="1" spans="1:11">
      <c r="A4313" s="423" t="s">
        <v>1336</v>
      </c>
      <c r="B4313" s="424" t="s">
        <v>1714</v>
      </c>
      <c r="C4313" s="423" t="s">
        <v>1715</v>
      </c>
      <c r="D4313" s="423" t="s">
        <v>1716</v>
      </c>
      <c r="E4313" s="423" t="s">
        <v>1717</v>
      </c>
      <c r="F4313" s="423"/>
      <c r="G4313" s="425" t="s">
        <v>1718</v>
      </c>
      <c r="H4313" s="424" t="s">
        <v>1719</v>
      </c>
      <c r="I4313" s="424" t="s">
        <v>1720</v>
      </c>
      <c r="J4313" s="424" t="s">
        <v>1721</v>
      </c>
      <c r="K4313" s="424" t="s">
        <v>1722</v>
      </c>
    </row>
    <row r="4314" customHeight="1" spans="1:11">
      <c r="A4314" s="426" t="s">
        <v>1723</v>
      </c>
      <c r="B4314" s="427" t="s">
        <v>1337</v>
      </c>
      <c r="C4314" s="426" t="s">
        <v>65</v>
      </c>
      <c r="D4314" s="426" t="s">
        <v>1338</v>
      </c>
      <c r="E4314" s="426" t="s">
        <v>62</v>
      </c>
      <c r="F4314" s="426"/>
      <c r="G4314" s="428" t="s">
        <v>67</v>
      </c>
      <c r="H4314" s="429">
        <v>1</v>
      </c>
      <c r="I4314" s="445"/>
      <c r="J4314" s="445">
        <v>91.13</v>
      </c>
      <c r="K4314" s="445">
        <v>91.13</v>
      </c>
    </row>
    <row r="4315" customHeight="1" spans="1:11">
      <c r="A4315" s="430" t="s">
        <v>1724</v>
      </c>
      <c r="B4315" s="431" t="s">
        <v>1745</v>
      </c>
      <c r="C4315" s="430" t="s">
        <v>71</v>
      </c>
      <c r="D4315" s="430" t="s">
        <v>1746</v>
      </c>
      <c r="E4315" s="430" t="s">
        <v>1708</v>
      </c>
      <c r="F4315" s="430"/>
      <c r="G4315" s="432" t="s">
        <v>82</v>
      </c>
      <c r="H4315" s="433">
        <v>0.4522</v>
      </c>
      <c r="I4315" s="433">
        <v>0</v>
      </c>
      <c r="J4315" s="446">
        <v>29.15</v>
      </c>
      <c r="K4315" s="446">
        <v>13.18</v>
      </c>
    </row>
    <row r="4316" customHeight="1" spans="1:11">
      <c r="A4316" s="430" t="s">
        <v>1724</v>
      </c>
      <c r="B4316" s="431" t="s">
        <v>3179</v>
      </c>
      <c r="C4316" s="430" t="s">
        <v>71</v>
      </c>
      <c r="D4316" s="430" t="s">
        <v>3180</v>
      </c>
      <c r="E4316" s="430" t="s">
        <v>1708</v>
      </c>
      <c r="F4316" s="430"/>
      <c r="G4316" s="432" t="s">
        <v>82</v>
      </c>
      <c r="H4316" s="433">
        <v>0.7867</v>
      </c>
      <c r="I4316" s="433">
        <v>0</v>
      </c>
      <c r="J4316" s="446">
        <v>36.01</v>
      </c>
      <c r="K4316" s="446">
        <v>28.32</v>
      </c>
    </row>
    <row r="4317" customHeight="1" spans="1:11">
      <c r="A4317" s="438" t="s">
        <v>1750</v>
      </c>
      <c r="B4317" s="439" t="s">
        <v>3181</v>
      </c>
      <c r="C4317" s="438" t="s">
        <v>65</v>
      </c>
      <c r="D4317" s="438" t="s">
        <v>3182</v>
      </c>
      <c r="E4317" s="438" t="s">
        <v>1631</v>
      </c>
      <c r="F4317" s="438"/>
      <c r="G4317" s="440" t="s">
        <v>73</v>
      </c>
      <c r="H4317" s="441">
        <v>1</v>
      </c>
      <c r="I4317" s="441">
        <v>0</v>
      </c>
      <c r="J4317" s="449">
        <v>49.63</v>
      </c>
      <c r="K4317" s="449">
        <v>49.63</v>
      </c>
    </row>
    <row r="4318" customHeight="1" spans="1:11">
      <c r="A4318" s="434"/>
      <c r="B4318" s="434"/>
      <c r="C4318" s="434"/>
      <c r="D4318" s="434"/>
      <c r="E4318" s="434"/>
      <c r="F4318" s="434" t="s">
        <v>1735</v>
      </c>
      <c r="G4318" s="435">
        <v>15.26</v>
      </c>
      <c r="H4318" s="434" t="s">
        <v>1736</v>
      </c>
      <c r="I4318" s="435">
        <v>13.87</v>
      </c>
      <c r="J4318" s="434" t="s">
        <v>1737</v>
      </c>
      <c r="K4318" s="435">
        <v>29.13</v>
      </c>
    </row>
    <row r="4319" customHeight="1" spans="1:11">
      <c r="A4319" s="434"/>
      <c r="B4319" s="434"/>
      <c r="C4319" s="434"/>
      <c r="D4319" s="434"/>
      <c r="E4319" s="434"/>
      <c r="F4319" s="434" t="s">
        <v>1738</v>
      </c>
      <c r="G4319" s="435">
        <v>22.47</v>
      </c>
      <c r="H4319" s="434"/>
      <c r="I4319" s="434" t="s">
        <v>1739</v>
      </c>
      <c r="J4319" s="434"/>
      <c r="K4319" s="435">
        <v>113.6</v>
      </c>
    </row>
    <row r="4320" customHeight="1" spans="1:11">
      <c r="A4320" s="436"/>
      <c r="B4320" s="436"/>
      <c r="C4320" s="436"/>
      <c r="D4320" s="436"/>
      <c r="E4320" s="436"/>
      <c r="F4320" s="436"/>
      <c r="G4320" s="436"/>
      <c r="H4320" s="436" t="s">
        <v>1740</v>
      </c>
      <c r="I4320" s="447" t="s">
        <v>3183</v>
      </c>
      <c r="J4320" s="436" t="s">
        <v>1742</v>
      </c>
      <c r="K4320" s="448">
        <v>47316.67</v>
      </c>
    </row>
    <row r="4321" customHeight="1" spans="1:11">
      <c r="A4321" s="437"/>
      <c r="B4321" s="437"/>
      <c r="C4321" s="437"/>
      <c r="D4321" s="437"/>
      <c r="E4321" s="437"/>
      <c r="F4321" s="437"/>
      <c r="G4321" s="437"/>
      <c r="H4321" s="437"/>
      <c r="I4321" s="437"/>
      <c r="J4321" s="437"/>
      <c r="K4321" s="437"/>
    </row>
    <row r="4322" customHeight="1" spans="1:11">
      <c r="A4322" s="423" t="s">
        <v>1339</v>
      </c>
      <c r="B4322" s="424" t="s">
        <v>1714</v>
      </c>
      <c r="C4322" s="423" t="s">
        <v>1715</v>
      </c>
      <c r="D4322" s="423" t="s">
        <v>1716</v>
      </c>
      <c r="E4322" s="423" t="s">
        <v>1717</v>
      </c>
      <c r="F4322" s="423"/>
      <c r="G4322" s="425" t="s">
        <v>1718</v>
      </c>
      <c r="H4322" s="424" t="s">
        <v>1719</v>
      </c>
      <c r="I4322" s="424" t="s">
        <v>1720</v>
      </c>
      <c r="J4322" s="424" t="s">
        <v>1721</v>
      </c>
      <c r="K4322" s="424" t="s">
        <v>1722</v>
      </c>
    </row>
    <row r="4323" customHeight="1" spans="1:11">
      <c r="A4323" s="426" t="s">
        <v>1723</v>
      </c>
      <c r="B4323" s="427" t="s">
        <v>1340</v>
      </c>
      <c r="C4323" s="426" t="s">
        <v>71</v>
      </c>
      <c r="D4323" s="426" t="s">
        <v>1341</v>
      </c>
      <c r="E4323" s="426" t="s">
        <v>1689</v>
      </c>
      <c r="F4323" s="426"/>
      <c r="G4323" s="428" t="s">
        <v>73</v>
      </c>
      <c r="H4323" s="429">
        <v>1</v>
      </c>
      <c r="I4323" s="445"/>
      <c r="J4323" s="445">
        <v>56.68</v>
      </c>
      <c r="K4323" s="445">
        <v>56.68</v>
      </c>
    </row>
    <row r="4324" customHeight="1" spans="1:11">
      <c r="A4324" s="430" t="s">
        <v>1724</v>
      </c>
      <c r="B4324" s="431" t="s">
        <v>3179</v>
      </c>
      <c r="C4324" s="430" t="s">
        <v>71</v>
      </c>
      <c r="D4324" s="430" t="s">
        <v>3180</v>
      </c>
      <c r="E4324" s="430" t="s">
        <v>1708</v>
      </c>
      <c r="F4324" s="430"/>
      <c r="G4324" s="432" t="s">
        <v>82</v>
      </c>
      <c r="H4324" s="433">
        <v>0.7867</v>
      </c>
      <c r="I4324" s="433">
        <v>0</v>
      </c>
      <c r="J4324" s="446">
        <v>36.01</v>
      </c>
      <c r="K4324" s="446">
        <v>28.32</v>
      </c>
    </row>
    <row r="4325" customHeight="1" spans="1:11">
      <c r="A4325" s="430" t="s">
        <v>1724</v>
      </c>
      <c r="B4325" s="431" t="s">
        <v>1745</v>
      </c>
      <c r="C4325" s="430" t="s">
        <v>71</v>
      </c>
      <c r="D4325" s="430" t="s">
        <v>1746</v>
      </c>
      <c r="E4325" s="430" t="s">
        <v>1708</v>
      </c>
      <c r="F4325" s="430"/>
      <c r="G4325" s="432" t="s">
        <v>82</v>
      </c>
      <c r="H4325" s="433">
        <v>0.4522</v>
      </c>
      <c r="I4325" s="433">
        <v>0</v>
      </c>
      <c r="J4325" s="446">
        <v>29.15</v>
      </c>
      <c r="K4325" s="446">
        <v>13.18</v>
      </c>
    </row>
    <row r="4326" customHeight="1" spans="1:11">
      <c r="A4326" s="438" t="s">
        <v>1750</v>
      </c>
      <c r="B4326" s="439" t="s">
        <v>3184</v>
      </c>
      <c r="C4326" s="438" t="s">
        <v>71</v>
      </c>
      <c r="D4326" s="438" t="s">
        <v>3185</v>
      </c>
      <c r="E4326" s="438" t="s">
        <v>1631</v>
      </c>
      <c r="F4326" s="438"/>
      <c r="G4326" s="440" t="s">
        <v>158</v>
      </c>
      <c r="H4326" s="441">
        <v>0.0217</v>
      </c>
      <c r="I4326" s="441">
        <v>0</v>
      </c>
      <c r="J4326" s="449">
        <v>31.38</v>
      </c>
      <c r="K4326" s="449">
        <v>0.68</v>
      </c>
    </row>
    <row r="4327" customHeight="1" spans="1:11">
      <c r="A4327" s="438" t="s">
        <v>1750</v>
      </c>
      <c r="B4327" s="439" t="s">
        <v>3186</v>
      </c>
      <c r="C4327" s="438" t="s">
        <v>71</v>
      </c>
      <c r="D4327" s="438" t="s">
        <v>3187</v>
      </c>
      <c r="E4327" s="438" t="s">
        <v>1631</v>
      </c>
      <c r="F4327" s="438"/>
      <c r="G4327" s="440" t="s">
        <v>158</v>
      </c>
      <c r="H4327" s="441">
        <v>1.8127</v>
      </c>
      <c r="I4327" s="441">
        <v>0</v>
      </c>
      <c r="J4327" s="449">
        <v>0.81</v>
      </c>
      <c r="K4327" s="449">
        <v>1.46</v>
      </c>
    </row>
    <row r="4328" customHeight="1" spans="1:11">
      <c r="A4328" s="438" t="s">
        <v>1750</v>
      </c>
      <c r="B4328" s="439" t="s">
        <v>2990</v>
      </c>
      <c r="C4328" s="438" t="s">
        <v>71</v>
      </c>
      <c r="D4328" s="438" t="s">
        <v>2991</v>
      </c>
      <c r="E4328" s="438" t="s">
        <v>1631</v>
      </c>
      <c r="F4328" s="438"/>
      <c r="G4328" s="440" t="s">
        <v>2134</v>
      </c>
      <c r="H4328" s="441">
        <v>0.0293</v>
      </c>
      <c r="I4328" s="441">
        <v>0</v>
      </c>
      <c r="J4328" s="449">
        <v>36.61</v>
      </c>
      <c r="K4328" s="449">
        <v>1.07</v>
      </c>
    </row>
    <row r="4329" customHeight="1" spans="1:11">
      <c r="A4329" s="438" t="s">
        <v>1750</v>
      </c>
      <c r="B4329" s="439" t="s">
        <v>3188</v>
      </c>
      <c r="C4329" s="438" t="s">
        <v>71</v>
      </c>
      <c r="D4329" s="438" t="s">
        <v>3189</v>
      </c>
      <c r="E4329" s="438" t="s">
        <v>1631</v>
      </c>
      <c r="F4329" s="438"/>
      <c r="G4329" s="440" t="s">
        <v>73</v>
      </c>
      <c r="H4329" s="441">
        <v>1.0414</v>
      </c>
      <c r="I4329" s="441">
        <v>0</v>
      </c>
      <c r="J4329" s="449">
        <v>11.38</v>
      </c>
      <c r="K4329" s="449">
        <v>11.85</v>
      </c>
    </row>
    <row r="4330" customHeight="1" spans="1:11">
      <c r="A4330" s="438" t="s">
        <v>1750</v>
      </c>
      <c r="B4330" s="439" t="s">
        <v>3190</v>
      </c>
      <c r="C4330" s="438" t="s">
        <v>71</v>
      </c>
      <c r="D4330" s="438" t="s">
        <v>3191</v>
      </c>
      <c r="E4330" s="438" t="s">
        <v>1631</v>
      </c>
      <c r="F4330" s="438"/>
      <c r="G4330" s="440" t="s">
        <v>158</v>
      </c>
      <c r="H4330" s="441">
        <v>0.0078</v>
      </c>
      <c r="I4330" s="441">
        <v>0</v>
      </c>
      <c r="J4330" s="449">
        <v>16.28</v>
      </c>
      <c r="K4330" s="449">
        <v>0.12</v>
      </c>
    </row>
    <row r="4331" customHeight="1" spans="1:11">
      <c r="A4331" s="434"/>
      <c r="B4331" s="434"/>
      <c r="C4331" s="434"/>
      <c r="D4331" s="434"/>
      <c r="E4331" s="434"/>
      <c r="F4331" s="434" t="s">
        <v>1735</v>
      </c>
      <c r="G4331" s="435">
        <v>15.26</v>
      </c>
      <c r="H4331" s="434" t="s">
        <v>1736</v>
      </c>
      <c r="I4331" s="435">
        <v>13.87</v>
      </c>
      <c r="J4331" s="434" t="s">
        <v>1737</v>
      </c>
      <c r="K4331" s="435">
        <v>29.13</v>
      </c>
    </row>
    <row r="4332" customHeight="1" spans="1:11">
      <c r="A4332" s="434"/>
      <c r="B4332" s="434"/>
      <c r="C4332" s="434"/>
      <c r="D4332" s="434"/>
      <c r="E4332" s="434"/>
      <c r="F4332" s="434" t="s">
        <v>1738</v>
      </c>
      <c r="G4332" s="435">
        <v>13.97</v>
      </c>
      <c r="H4332" s="434"/>
      <c r="I4332" s="434" t="s">
        <v>1739</v>
      </c>
      <c r="J4332" s="434"/>
      <c r="K4332" s="435">
        <v>70.65</v>
      </c>
    </row>
    <row r="4333" customHeight="1" spans="1:11">
      <c r="A4333" s="436"/>
      <c r="B4333" s="436"/>
      <c r="C4333" s="436"/>
      <c r="D4333" s="436"/>
      <c r="E4333" s="436"/>
      <c r="F4333" s="436"/>
      <c r="G4333" s="436"/>
      <c r="H4333" s="436" t="s">
        <v>1740</v>
      </c>
      <c r="I4333" s="447" t="s">
        <v>3192</v>
      </c>
      <c r="J4333" s="436" t="s">
        <v>1742</v>
      </c>
      <c r="K4333" s="448">
        <v>2788.55</v>
      </c>
    </row>
    <row r="4334" customHeight="1" spans="1:11">
      <c r="A4334" s="437"/>
      <c r="B4334" s="437"/>
      <c r="C4334" s="437"/>
      <c r="D4334" s="437"/>
      <c r="E4334" s="437"/>
      <c r="F4334" s="437"/>
      <c r="G4334" s="437"/>
      <c r="H4334" s="437"/>
      <c r="I4334" s="437"/>
      <c r="J4334" s="437"/>
      <c r="K4334" s="437"/>
    </row>
    <row r="4335" customHeight="1" spans="1:11">
      <c r="A4335" s="423" t="s">
        <v>1342</v>
      </c>
      <c r="B4335" s="424" t="s">
        <v>1714</v>
      </c>
      <c r="C4335" s="423" t="s">
        <v>1715</v>
      </c>
      <c r="D4335" s="423" t="s">
        <v>1716</v>
      </c>
      <c r="E4335" s="423" t="s">
        <v>1717</v>
      </c>
      <c r="F4335" s="423"/>
      <c r="G4335" s="425" t="s">
        <v>1718</v>
      </c>
      <c r="H4335" s="424" t="s">
        <v>1719</v>
      </c>
      <c r="I4335" s="424" t="s">
        <v>1720</v>
      </c>
      <c r="J4335" s="424" t="s">
        <v>1721</v>
      </c>
      <c r="K4335" s="424" t="s">
        <v>1722</v>
      </c>
    </row>
    <row r="4336" customHeight="1" spans="1:11">
      <c r="A4336" s="426" t="s">
        <v>1723</v>
      </c>
      <c r="B4336" s="427" t="s">
        <v>1343</v>
      </c>
      <c r="C4336" s="426" t="s">
        <v>65</v>
      </c>
      <c r="D4336" s="426" t="s">
        <v>1344</v>
      </c>
      <c r="E4336" s="426" t="s">
        <v>62</v>
      </c>
      <c r="F4336" s="426"/>
      <c r="G4336" s="428" t="s">
        <v>67</v>
      </c>
      <c r="H4336" s="429">
        <v>1</v>
      </c>
      <c r="I4336" s="445"/>
      <c r="J4336" s="445">
        <v>438.94</v>
      </c>
      <c r="K4336" s="445">
        <v>438.94</v>
      </c>
    </row>
    <row r="4337" customHeight="1" spans="1:11">
      <c r="A4337" s="430" t="s">
        <v>1724</v>
      </c>
      <c r="B4337" s="431" t="s">
        <v>2240</v>
      </c>
      <c r="C4337" s="430" t="s">
        <v>71</v>
      </c>
      <c r="D4337" s="430" t="s">
        <v>2241</v>
      </c>
      <c r="E4337" s="430" t="s">
        <v>1708</v>
      </c>
      <c r="F4337" s="430"/>
      <c r="G4337" s="432" t="s">
        <v>82</v>
      </c>
      <c r="H4337" s="433">
        <v>1</v>
      </c>
      <c r="I4337" s="433">
        <v>0</v>
      </c>
      <c r="J4337" s="446">
        <v>30.06</v>
      </c>
      <c r="K4337" s="446">
        <v>30.06</v>
      </c>
    </row>
    <row r="4338" customHeight="1" spans="1:11">
      <c r="A4338" s="430" t="s">
        <v>1724</v>
      </c>
      <c r="B4338" s="431" t="s">
        <v>3193</v>
      </c>
      <c r="C4338" s="430" t="s">
        <v>71</v>
      </c>
      <c r="D4338" s="430" t="s">
        <v>3194</v>
      </c>
      <c r="E4338" s="430" t="s">
        <v>3195</v>
      </c>
      <c r="F4338" s="430"/>
      <c r="G4338" s="432" t="s">
        <v>73</v>
      </c>
      <c r="H4338" s="433">
        <v>0.5</v>
      </c>
      <c r="I4338" s="433">
        <v>0</v>
      </c>
      <c r="J4338" s="446">
        <v>32.6</v>
      </c>
      <c r="K4338" s="446">
        <v>16.3</v>
      </c>
    </row>
    <row r="4339" customHeight="1" spans="1:11">
      <c r="A4339" s="430" t="s">
        <v>1724</v>
      </c>
      <c r="B4339" s="431" t="s">
        <v>2238</v>
      </c>
      <c r="C4339" s="430" t="s">
        <v>71</v>
      </c>
      <c r="D4339" s="430" t="s">
        <v>2239</v>
      </c>
      <c r="E4339" s="430" t="s">
        <v>1708</v>
      </c>
      <c r="F4339" s="430"/>
      <c r="G4339" s="432" t="s">
        <v>82</v>
      </c>
      <c r="H4339" s="433">
        <v>1</v>
      </c>
      <c r="I4339" s="433">
        <v>0</v>
      </c>
      <c r="J4339" s="446">
        <v>36.71</v>
      </c>
      <c r="K4339" s="446">
        <v>36.71</v>
      </c>
    </row>
    <row r="4340" customHeight="1" spans="1:11">
      <c r="A4340" s="438" t="s">
        <v>1750</v>
      </c>
      <c r="B4340" s="439" t="s">
        <v>3196</v>
      </c>
      <c r="C4340" s="438" t="s">
        <v>65</v>
      </c>
      <c r="D4340" s="438" t="s">
        <v>3197</v>
      </c>
      <c r="E4340" s="438" t="s">
        <v>1631</v>
      </c>
      <c r="F4340" s="438"/>
      <c r="G4340" s="440" t="s">
        <v>73</v>
      </c>
      <c r="H4340" s="441">
        <v>1</v>
      </c>
      <c r="I4340" s="441">
        <v>0</v>
      </c>
      <c r="J4340" s="449">
        <v>355.87</v>
      </c>
      <c r="K4340" s="449">
        <v>355.87</v>
      </c>
    </row>
    <row r="4341" customHeight="1" spans="1:11">
      <c r="A4341" s="434"/>
      <c r="B4341" s="434"/>
      <c r="C4341" s="434"/>
      <c r="D4341" s="434"/>
      <c r="E4341" s="434"/>
      <c r="F4341" s="434" t="s">
        <v>1735</v>
      </c>
      <c r="G4341" s="435">
        <v>29.13</v>
      </c>
      <c r="H4341" s="434" t="s">
        <v>1736</v>
      </c>
      <c r="I4341" s="435">
        <v>26.47</v>
      </c>
      <c r="J4341" s="434" t="s">
        <v>1737</v>
      </c>
      <c r="K4341" s="435">
        <v>55.6</v>
      </c>
    </row>
    <row r="4342" customHeight="1" spans="1:11">
      <c r="A4342" s="434"/>
      <c r="B4342" s="434"/>
      <c r="C4342" s="434"/>
      <c r="D4342" s="434"/>
      <c r="E4342" s="434"/>
      <c r="F4342" s="434" t="s">
        <v>1738</v>
      </c>
      <c r="G4342" s="435">
        <v>108.24</v>
      </c>
      <c r="H4342" s="434"/>
      <c r="I4342" s="434" t="s">
        <v>1739</v>
      </c>
      <c r="J4342" s="434"/>
      <c r="K4342" s="435">
        <v>547.18</v>
      </c>
    </row>
    <row r="4343" customHeight="1" spans="1:11">
      <c r="A4343" s="436"/>
      <c r="B4343" s="436"/>
      <c r="C4343" s="436"/>
      <c r="D4343" s="436"/>
      <c r="E4343" s="436"/>
      <c r="F4343" s="436"/>
      <c r="G4343" s="436"/>
      <c r="H4343" s="436" t="s">
        <v>1740</v>
      </c>
      <c r="I4343" s="447" t="s">
        <v>3198</v>
      </c>
      <c r="J4343" s="436" t="s">
        <v>1742</v>
      </c>
      <c r="K4343" s="448">
        <v>16650.68</v>
      </c>
    </row>
    <row r="4344" customHeight="1" spans="1:11">
      <c r="A4344" s="437"/>
      <c r="B4344" s="437"/>
      <c r="C4344" s="437"/>
      <c r="D4344" s="437"/>
      <c r="E4344" s="437"/>
      <c r="F4344" s="437"/>
      <c r="G4344" s="437"/>
      <c r="H4344" s="437"/>
      <c r="I4344" s="437"/>
      <c r="J4344" s="437"/>
      <c r="K4344" s="437"/>
    </row>
    <row r="4345" customHeight="1" spans="1:11">
      <c r="A4345" s="422" t="s">
        <v>1345</v>
      </c>
      <c r="B4345" s="422"/>
      <c r="C4345" s="422"/>
      <c r="D4345" s="422" t="s">
        <v>42</v>
      </c>
      <c r="E4345" s="422"/>
      <c r="F4345" s="422"/>
      <c r="G4345" s="422"/>
      <c r="H4345" s="422"/>
      <c r="I4345" s="443"/>
      <c r="J4345" s="422"/>
      <c r="K4345" s="444">
        <v>784405.43</v>
      </c>
    </row>
    <row r="4346" customHeight="1" spans="1:11">
      <c r="A4346" s="422" t="s">
        <v>1346</v>
      </c>
      <c r="B4346" s="422"/>
      <c r="C4346" s="422"/>
      <c r="D4346" s="422" t="s">
        <v>1347</v>
      </c>
      <c r="E4346" s="422"/>
      <c r="F4346" s="422"/>
      <c r="G4346" s="422"/>
      <c r="H4346" s="422"/>
      <c r="I4346" s="443"/>
      <c r="J4346" s="422"/>
      <c r="K4346" s="444">
        <v>41652.19</v>
      </c>
    </row>
    <row r="4347" customHeight="1" spans="1:11">
      <c r="A4347" s="423" t="s">
        <v>1348</v>
      </c>
      <c r="B4347" s="424" t="s">
        <v>1714</v>
      </c>
      <c r="C4347" s="423" t="s">
        <v>1715</v>
      </c>
      <c r="D4347" s="423" t="s">
        <v>1716</v>
      </c>
      <c r="E4347" s="423" t="s">
        <v>1717</v>
      </c>
      <c r="F4347" s="423"/>
      <c r="G4347" s="425" t="s">
        <v>1718</v>
      </c>
      <c r="H4347" s="424" t="s">
        <v>1719</v>
      </c>
      <c r="I4347" s="424" t="s">
        <v>1720</v>
      </c>
      <c r="J4347" s="424" t="s">
        <v>1721</v>
      </c>
      <c r="K4347" s="424" t="s">
        <v>1722</v>
      </c>
    </row>
    <row r="4348" customHeight="1" spans="1:11">
      <c r="A4348" s="426" t="s">
        <v>1723</v>
      </c>
      <c r="B4348" s="427" t="s">
        <v>1349</v>
      </c>
      <c r="C4348" s="426" t="s">
        <v>76</v>
      </c>
      <c r="D4348" s="426" t="s">
        <v>1350</v>
      </c>
      <c r="E4348" s="426">
        <v>9</v>
      </c>
      <c r="F4348" s="426"/>
      <c r="G4348" s="428" t="s">
        <v>105</v>
      </c>
      <c r="H4348" s="429">
        <v>1</v>
      </c>
      <c r="I4348" s="445"/>
      <c r="J4348" s="445">
        <v>169.14</v>
      </c>
      <c r="K4348" s="445">
        <v>169.14</v>
      </c>
    </row>
    <row r="4349" customHeight="1" spans="1:11">
      <c r="A4349" s="438" t="s">
        <v>1750</v>
      </c>
      <c r="B4349" s="439" t="s">
        <v>3199</v>
      </c>
      <c r="C4349" s="438" t="s">
        <v>76</v>
      </c>
      <c r="D4349" s="438" t="s">
        <v>3200</v>
      </c>
      <c r="E4349" s="438" t="s">
        <v>1764</v>
      </c>
      <c r="F4349" s="438"/>
      <c r="G4349" s="440" t="s">
        <v>82</v>
      </c>
      <c r="H4349" s="441">
        <v>10.5</v>
      </c>
      <c r="I4349" s="441">
        <v>3</v>
      </c>
      <c r="J4349" s="449">
        <v>15.64</v>
      </c>
      <c r="K4349" s="449">
        <v>169.14</v>
      </c>
    </row>
    <row r="4350" customHeight="1" spans="1:11">
      <c r="A4350" s="434"/>
      <c r="B4350" s="434"/>
      <c r="C4350" s="434"/>
      <c r="D4350" s="434"/>
      <c r="E4350" s="434"/>
      <c r="F4350" s="434" t="s">
        <v>1735</v>
      </c>
      <c r="G4350" s="435">
        <v>88.63</v>
      </c>
      <c r="H4350" s="434" t="s">
        <v>1736</v>
      </c>
      <c r="I4350" s="435">
        <v>80.51</v>
      </c>
      <c r="J4350" s="434" t="s">
        <v>1737</v>
      </c>
      <c r="K4350" s="435">
        <v>169.14</v>
      </c>
    </row>
    <row r="4351" customHeight="1" spans="1:11">
      <c r="A4351" s="434"/>
      <c r="B4351" s="434"/>
      <c r="C4351" s="434"/>
      <c r="D4351" s="434"/>
      <c r="E4351" s="434"/>
      <c r="F4351" s="434" t="s">
        <v>1738</v>
      </c>
      <c r="G4351" s="435">
        <v>41.7</v>
      </c>
      <c r="H4351" s="434"/>
      <c r="I4351" s="434" t="s">
        <v>1739</v>
      </c>
      <c r="J4351" s="434"/>
      <c r="K4351" s="435">
        <v>210.84</v>
      </c>
    </row>
    <row r="4352" customHeight="1" spans="1:11">
      <c r="A4352" s="436"/>
      <c r="B4352" s="436"/>
      <c r="C4352" s="436"/>
      <c r="D4352" s="436"/>
      <c r="E4352" s="436"/>
      <c r="F4352" s="436"/>
      <c r="G4352" s="436"/>
      <c r="H4352" s="436" t="s">
        <v>1740</v>
      </c>
      <c r="I4352" s="447" t="s">
        <v>1741</v>
      </c>
      <c r="J4352" s="436" t="s">
        <v>1742</v>
      </c>
      <c r="K4352" s="448">
        <v>210.84</v>
      </c>
    </row>
    <row r="4353" customHeight="1" spans="1:11">
      <c r="A4353" s="437"/>
      <c r="B4353" s="437"/>
      <c r="C4353" s="437"/>
      <c r="D4353" s="437"/>
      <c r="E4353" s="437"/>
      <c r="F4353" s="437"/>
      <c r="G4353" s="437"/>
      <c r="H4353" s="437"/>
      <c r="I4353" s="437"/>
      <c r="J4353" s="437"/>
      <c r="K4353" s="437"/>
    </row>
    <row r="4354" customHeight="1" spans="1:11">
      <c r="A4354" s="423" t="s">
        <v>1351</v>
      </c>
      <c r="B4354" s="424" t="s">
        <v>1714</v>
      </c>
      <c r="C4354" s="423" t="s">
        <v>1715</v>
      </c>
      <c r="D4354" s="423" t="s">
        <v>1716</v>
      </c>
      <c r="E4354" s="423" t="s">
        <v>1717</v>
      </c>
      <c r="F4354" s="423"/>
      <c r="G4354" s="425" t="s">
        <v>1718</v>
      </c>
      <c r="H4354" s="424" t="s">
        <v>1719</v>
      </c>
      <c r="I4354" s="424" t="s">
        <v>1720</v>
      </c>
      <c r="J4354" s="424" t="s">
        <v>1721</v>
      </c>
      <c r="K4354" s="424" t="s">
        <v>1722</v>
      </c>
    </row>
    <row r="4355" customHeight="1" spans="1:11">
      <c r="A4355" s="426" t="s">
        <v>1723</v>
      </c>
      <c r="B4355" s="427" t="s">
        <v>1352</v>
      </c>
      <c r="C4355" s="426" t="s">
        <v>76</v>
      </c>
      <c r="D4355" s="426" t="s">
        <v>1353</v>
      </c>
      <c r="E4355" s="426">
        <v>9</v>
      </c>
      <c r="F4355" s="426"/>
      <c r="G4355" s="428" t="s">
        <v>105</v>
      </c>
      <c r="H4355" s="429">
        <v>1</v>
      </c>
      <c r="I4355" s="445"/>
      <c r="J4355" s="445">
        <v>195.72</v>
      </c>
      <c r="K4355" s="445">
        <v>195.72</v>
      </c>
    </row>
    <row r="4356" customHeight="1" spans="1:11">
      <c r="A4356" s="438" t="s">
        <v>1750</v>
      </c>
      <c r="B4356" s="439" t="s">
        <v>3199</v>
      </c>
      <c r="C4356" s="438" t="s">
        <v>76</v>
      </c>
      <c r="D4356" s="438" t="s">
        <v>3200</v>
      </c>
      <c r="E4356" s="438" t="s">
        <v>1764</v>
      </c>
      <c r="F4356" s="438"/>
      <c r="G4356" s="440" t="s">
        <v>82</v>
      </c>
      <c r="H4356" s="441">
        <v>12.15</v>
      </c>
      <c r="I4356" s="441">
        <v>3</v>
      </c>
      <c r="J4356" s="449">
        <v>15.64</v>
      </c>
      <c r="K4356" s="449">
        <v>195.72</v>
      </c>
    </row>
    <row r="4357" customHeight="1" spans="1:11">
      <c r="A4357" s="434"/>
      <c r="B4357" s="434"/>
      <c r="C4357" s="434"/>
      <c r="D4357" s="434"/>
      <c r="E4357" s="434"/>
      <c r="F4357" s="434" t="s">
        <v>1735</v>
      </c>
      <c r="G4357" s="435">
        <v>102.56</v>
      </c>
      <c r="H4357" s="434" t="s">
        <v>1736</v>
      </c>
      <c r="I4357" s="435">
        <v>93.16</v>
      </c>
      <c r="J4357" s="434" t="s">
        <v>1737</v>
      </c>
      <c r="K4357" s="435">
        <v>195.72</v>
      </c>
    </row>
    <row r="4358" customHeight="1" spans="1:11">
      <c r="A4358" s="434"/>
      <c r="B4358" s="434"/>
      <c r="C4358" s="434"/>
      <c r="D4358" s="434"/>
      <c r="E4358" s="434"/>
      <c r="F4358" s="434" t="s">
        <v>1738</v>
      </c>
      <c r="G4358" s="435">
        <v>48.26</v>
      </c>
      <c r="H4358" s="434"/>
      <c r="I4358" s="434" t="s">
        <v>1739</v>
      </c>
      <c r="J4358" s="434"/>
      <c r="K4358" s="435">
        <v>243.98</v>
      </c>
    </row>
    <row r="4359" customHeight="1" spans="1:11">
      <c r="A4359" s="436"/>
      <c r="B4359" s="436"/>
      <c r="C4359" s="436"/>
      <c r="D4359" s="436"/>
      <c r="E4359" s="436"/>
      <c r="F4359" s="436"/>
      <c r="G4359" s="436"/>
      <c r="H4359" s="436" t="s">
        <v>1740</v>
      </c>
      <c r="I4359" s="447" t="s">
        <v>2324</v>
      </c>
      <c r="J4359" s="436" t="s">
        <v>1742</v>
      </c>
      <c r="K4359" s="448">
        <v>975.92</v>
      </c>
    </row>
    <row r="4360" customHeight="1" spans="1:11">
      <c r="A4360" s="437"/>
      <c r="B4360" s="437"/>
      <c r="C4360" s="437"/>
      <c r="D4360" s="437"/>
      <c r="E4360" s="437"/>
      <c r="F4360" s="437"/>
      <c r="G4360" s="437"/>
      <c r="H4360" s="437"/>
      <c r="I4360" s="437"/>
      <c r="J4360" s="437"/>
      <c r="K4360" s="437"/>
    </row>
    <row r="4361" customHeight="1" spans="1:11">
      <c r="A4361" s="423" t="s">
        <v>1354</v>
      </c>
      <c r="B4361" s="424" t="s">
        <v>1714</v>
      </c>
      <c r="C4361" s="423" t="s">
        <v>1715</v>
      </c>
      <c r="D4361" s="423" t="s">
        <v>1716</v>
      </c>
      <c r="E4361" s="423" t="s">
        <v>1717</v>
      </c>
      <c r="F4361" s="423"/>
      <c r="G4361" s="425" t="s">
        <v>1718</v>
      </c>
      <c r="H4361" s="424" t="s">
        <v>1719</v>
      </c>
      <c r="I4361" s="424" t="s">
        <v>1720</v>
      </c>
      <c r="J4361" s="424" t="s">
        <v>1721</v>
      </c>
      <c r="K4361" s="424" t="s">
        <v>1722</v>
      </c>
    </row>
    <row r="4362" customHeight="1" spans="1:11">
      <c r="A4362" s="426" t="s">
        <v>1723</v>
      </c>
      <c r="B4362" s="427" t="s">
        <v>1355</v>
      </c>
      <c r="C4362" s="426" t="s">
        <v>76</v>
      </c>
      <c r="D4362" s="426" t="s">
        <v>1356</v>
      </c>
      <c r="E4362" s="426">
        <v>9</v>
      </c>
      <c r="F4362" s="426"/>
      <c r="G4362" s="428" t="s">
        <v>73</v>
      </c>
      <c r="H4362" s="429">
        <v>1</v>
      </c>
      <c r="I4362" s="445"/>
      <c r="J4362" s="445">
        <v>15.42</v>
      </c>
      <c r="K4362" s="445">
        <v>15.42</v>
      </c>
    </row>
    <row r="4363" customHeight="1" spans="1:11">
      <c r="A4363" s="438" t="s">
        <v>1750</v>
      </c>
      <c r="B4363" s="439" t="s">
        <v>3199</v>
      </c>
      <c r="C4363" s="438" t="s">
        <v>76</v>
      </c>
      <c r="D4363" s="438" t="s">
        <v>3200</v>
      </c>
      <c r="E4363" s="438" t="s">
        <v>1764</v>
      </c>
      <c r="F4363" s="438"/>
      <c r="G4363" s="440" t="s">
        <v>82</v>
      </c>
      <c r="H4363" s="441">
        <v>0.35</v>
      </c>
      <c r="I4363" s="441">
        <v>3</v>
      </c>
      <c r="J4363" s="449">
        <v>15.64</v>
      </c>
      <c r="K4363" s="449">
        <v>5.63</v>
      </c>
    </row>
    <row r="4364" customHeight="1" spans="1:11">
      <c r="A4364" s="438" t="s">
        <v>1750</v>
      </c>
      <c r="B4364" s="439" t="s">
        <v>3201</v>
      </c>
      <c r="C4364" s="438" t="s">
        <v>76</v>
      </c>
      <c r="D4364" s="438" t="s">
        <v>3202</v>
      </c>
      <c r="E4364" s="438" t="s">
        <v>1631</v>
      </c>
      <c r="F4364" s="438"/>
      <c r="G4364" s="440" t="s">
        <v>73</v>
      </c>
      <c r="H4364" s="441">
        <v>1.02</v>
      </c>
      <c r="I4364" s="441">
        <v>0</v>
      </c>
      <c r="J4364" s="449">
        <v>9.6</v>
      </c>
      <c r="K4364" s="449">
        <v>9.79</v>
      </c>
    </row>
    <row r="4365" customHeight="1" spans="1:11">
      <c r="A4365" s="434"/>
      <c r="B4365" s="434"/>
      <c r="C4365" s="434"/>
      <c r="D4365" s="434"/>
      <c r="E4365" s="434"/>
      <c r="F4365" s="434" t="s">
        <v>1735</v>
      </c>
      <c r="G4365" s="435">
        <v>2.95</v>
      </c>
      <c r="H4365" s="434" t="s">
        <v>1736</v>
      </c>
      <c r="I4365" s="435">
        <v>2.68</v>
      </c>
      <c r="J4365" s="434" t="s">
        <v>1737</v>
      </c>
      <c r="K4365" s="435">
        <v>5.63</v>
      </c>
    </row>
    <row r="4366" customHeight="1" spans="1:11">
      <c r="A4366" s="434"/>
      <c r="B4366" s="434"/>
      <c r="C4366" s="434"/>
      <c r="D4366" s="434"/>
      <c r="E4366" s="434"/>
      <c r="F4366" s="434" t="s">
        <v>1738</v>
      </c>
      <c r="G4366" s="435">
        <v>3.8</v>
      </c>
      <c r="H4366" s="434"/>
      <c r="I4366" s="434" t="s">
        <v>1739</v>
      </c>
      <c r="J4366" s="434"/>
      <c r="K4366" s="435">
        <v>19.22</v>
      </c>
    </row>
    <row r="4367" customHeight="1" spans="1:11">
      <c r="A4367" s="436"/>
      <c r="B4367" s="436"/>
      <c r="C4367" s="436"/>
      <c r="D4367" s="436"/>
      <c r="E4367" s="436"/>
      <c r="F4367" s="436"/>
      <c r="G4367" s="436"/>
      <c r="H4367" s="436" t="s">
        <v>1740</v>
      </c>
      <c r="I4367" s="447" t="s">
        <v>3203</v>
      </c>
      <c r="J4367" s="436" t="s">
        <v>1742</v>
      </c>
      <c r="K4367" s="448">
        <v>37826.3</v>
      </c>
    </row>
    <row r="4368" customHeight="1" spans="1:11">
      <c r="A4368" s="437"/>
      <c r="B4368" s="437"/>
      <c r="C4368" s="437"/>
      <c r="D4368" s="437"/>
      <c r="E4368" s="437"/>
      <c r="F4368" s="437"/>
      <c r="G4368" s="437"/>
      <c r="H4368" s="437"/>
      <c r="I4368" s="437"/>
      <c r="J4368" s="437"/>
      <c r="K4368" s="437"/>
    </row>
    <row r="4369" customHeight="1" spans="1:11">
      <c r="A4369" s="423" t="s">
        <v>1357</v>
      </c>
      <c r="B4369" s="424" t="s">
        <v>1714</v>
      </c>
      <c r="C4369" s="423" t="s">
        <v>1715</v>
      </c>
      <c r="D4369" s="423" t="s">
        <v>1716</v>
      </c>
      <c r="E4369" s="423" t="s">
        <v>1717</v>
      </c>
      <c r="F4369" s="423"/>
      <c r="G4369" s="425" t="s">
        <v>1718</v>
      </c>
      <c r="H4369" s="424" t="s">
        <v>1719</v>
      </c>
      <c r="I4369" s="424" t="s">
        <v>1720</v>
      </c>
      <c r="J4369" s="424" t="s">
        <v>1721</v>
      </c>
      <c r="K4369" s="424" t="s">
        <v>1722</v>
      </c>
    </row>
    <row r="4370" customHeight="1" spans="1:11">
      <c r="A4370" s="426" t="s">
        <v>1723</v>
      </c>
      <c r="B4370" s="427" t="s">
        <v>1358</v>
      </c>
      <c r="C4370" s="426" t="s">
        <v>71</v>
      </c>
      <c r="D4370" s="426" t="s">
        <v>1359</v>
      </c>
      <c r="E4370" s="426" t="s">
        <v>1701</v>
      </c>
      <c r="F4370" s="426"/>
      <c r="G4370" s="428" t="s">
        <v>105</v>
      </c>
      <c r="H4370" s="429">
        <v>1</v>
      </c>
      <c r="I4370" s="445"/>
      <c r="J4370" s="445">
        <v>288.3</v>
      </c>
      <c r="K4370" s="445">
        <v>288.3</v>
      </c>
    </row>
    <row r="4371" customHeight="1" spans="1:11">
      <c r="A4371" s="430" t="s">
        <v>1724</v>
      </c>
      <c r="B4371" s="431" t="s">
        <v>3204</v>
      </c>
      <c r="C4371" s="430" t="s">
        <v>71</v>
      </c>
      <c r="D4371" s="430" t="s">
        <v>3205</v>
      </c>
      <c r="E4371" s="430" t="s">
        <v>1795</v>
      </c>
      <c r="F4371" s="430"/>
      <c r="G4371" s="432" t="s">
        <v>1796</v>
      </c>
      <c r="H4371" s="433">
        <v>0.2474</v>
      </c>
      <c r="I4371" s="433">
        <v>0</v>
      </c>
      <c r="J4371" s="446">
        <v>258.56</v>
      </c>
      <c r="K4371" s="446">
        <v>63.96</v>
      </c>
    </row>
    <row r="4372" customHeight="1" spans="1:11">
      <c r="A4372" s="430" t="s">
        <v>1724</v>
      </c>
      <c r="B4372" s="431" t="s">
        <v>3206</v>
      </c>
      <c r="C4372" s="430" t="s">
        <v>71</v>
      </c>
      <c r="D4372" s="430" t="s">
        <v>3207</v>
      </c>
      <c r="E4372" s="430" t="s">
        <v>1795</v>
      </c>
      <c r="F4372" s="430"/>
      <c r="G4372" s="432" t="s">
        <v>1804</v>
      </c>
      <c r="H4372" s="433">
        <v>0.8781</v>
      </c>
      <c r="I4372" s="433">
        <v>0</v>
      </c>
      <c r="J4372" s="446">
        <v>87.28</v>
      </c>
      <c r="K4372" s="446">
        <v>76.64</v>
      </c>
    </row>
    <row r="4373" customHeight="1" spans="1:11">
      <c r="A4373" s="430" t="s">
        <v>1724</v>
      </c>
      <c r="B4373" s="431" t="s">
        <v>3208</v>
      </c>
      <c r="C4373" s="430" t="s">
        <v>71</v>
      </c>
      <c r="D4373" s="430" t="s">
        <v>3209</v>
      </c>
      <c r="E4373" s="430" t="s">
        <v>1708</v>
      </c>
      <c r="F4373" s="430"/>
      <c r="G4373" s="432" t="s">
        <v>82</v>
      </c>
      <c r="H4373" s="433">
        <v>0.6113</v>
      </c>
      <c r="I4373" s="433">
        <v>0</v>
      </c>
      <c r="J4373" s="446">
        <v>30.3</v>
      </c>
      <c r="K4373" s="446">
        <v>18.52</v>
      </c>
    </row>
    <row r="4374" customHeight="1" spans="1:11">
      <c r="A4374" s="430" t="s">
        <v>1724</v>
      </c>
      <c r="B4374" s="431" t="s">
        <v>1745</v>
      </c>
      <c r="C4374" s="430" t="s">
        <v>71</v>
      </c>
      <c r="D4374" s="430" t="s">
        <v>1746</v>
      </c>
      <c r="E4374" s="430" t="s">
        <v>1708</v>
      </c>
      <c r="F4374" s="430"/>
      <c r="G4374" s="432" t="s">
        <v>82</v>
      </c>
      <c r="H4374" s="433">
        <v>3.0567</v>
      </c>
      <c r="I4374" s="433">
        <v>0</v>
      </c>
      <c r="J4374" s="446">
        <v>29.15</v>
      </c>
      <c r="K4374" s="446">
        <v>89.1</v>
      </c>
    </row>
    <row r="4375" customHeight="1" spans="1:11">
      <c r="A4375" s="438" t="s">
        <v>1750</v>
      </c>
      <c r="B4375" s="439" t="s">
        <v>3210</v>
      </c>
      <c r="C4375" s="438" t="s">
        <v>71</v>
      </c>
      <c r="D4375" s="438" t="s">
        <v>3211</v>
      </c>
      <c r="E4375" s="438" t="s">
        <v>1631</v>
      </c>
      <c r="F4375" s="438"/>
      <c r="G4375" s="440" t="s">
        <v>105</v>
      </c>
      <c r="H4375" s="441">
        <v>1</v>
      </c>
      <c r="I4375" s="441">
        <v>0</v>
      </c>
      <c r="J4375" s="449">
        <v>40.08</v>
      </c>
      <c r="K4375" s="449">
        <v>40.08</v>
      </c>
    </row>
    <row r="4376" customHeight="1" spans="1:11">
      <c r="A4376" s="434"/>
      <c r="B4376" s="434"/>
      <c r="C4376" s="434"/>
      <c r="D4376" s="434"/>
      <c r="E4376" s="434"/>
      <c r="F4376" s="434" t="s">
        <v>1735</v>
      </c>
      <c r="G4376" s="435">
        <v>64.1</v>
      </c>
      <c r="H4376" s="434" t="s">
        <v>1736</v>
      </c>
      <c r="I4376" s="435">
        <v>58.24</v>
      </c>
      <c r="J4376" s="434" t="s">
        <v>1737</v>
      </c>
      <c r="K4376" s="435">
        <v>122.34</v>
      </c>
    </row>
    <row r="4377" customHeight="1" spans="1:11">
      <c r="A4377" s="434"/>
      <c r="B4377" s="434"/>
      <c r="C4377" s="434"/>
      <c r="D4377" s="434"/>
      <c r="E4377" s="434"/>
      <c r="F4377" s="434" t="s">
        <v>1738</v>
      </c>
      <c r="G4377" s="435">
        <v>71.09</v>
      </c>
      <c r="H4377" s="434"/>
      <c r="I4377" s="434" t="s">
        <v>1739</v>
      </c>
      <c r="J4377" s="434"/>
      <c r="K4377" s="435">
        <v>359.39</v>
      </c>
    </row>
    <row r="4378" customHeight="1" spans="1:11">
      <c r="A4378" s="436"/>
      <c r="B4378" s="436"/>
      <c r="C4378" s="436"/>
      <c r="D4378" s="436"/>
      <c r="E4378" s="436"/>
      <c r="F4378" s="436"/>
      <c r="G4378" s="436"/>
      <c r="H4378" s="436" t="s">
        <v>1740</v>
      </c>
      <c r="I4378" s="447" t="s">
        <v>2339</v>
      </c>
      <c r="J4378" s="436" t="s">
        <v>1742</v>
      </c>
      <c r="K4378" s="448">
        <v>1078.17</v>
      </c>
    </row>
    <row r="4379" customHeight="1" spans="1:11">
      <c r="A4379" s="437"/>
      <c r="B4379" s="437"/>
      <c r="C4379" s="437"/>
      <c r="D4379" s="437"/>
      <c r="E4379" s="437"/>
      <c r="F4379" s="437"/>
      <c r="G4379" s="437"/>
      <c r="H4379" s="437"/>
      <c r="I4379" s="437"/>
      <c r="J4379" s="437"/>
      <c r="K4379" s="437"/>
    </row>
    <row r="4380" customHeight="1" spans="1:11">
      <c r="A4380" s="423" t="s">
        <v>1360</v>
      </c>
      <c r="B4380" s="424" t="s">
        <v>1714</v>
      </c>
      <c r="C4380" s="423" t="s">
        <v>1715</v>
      </c>
      <c r="D4380" s="423" t="s">
        <v>1716</v>
      </c>
      <c r="E4380" s="423" t="s">
        <v>1717</v>
      </c>
      <c r="F4380" s="423"/>
      <c r="G4380" s="425" t="s">
        <v>1718</v>
      </c>
      <c r="H4380" s="424" t="s">
        <v>1719</v>
      </c>
      <c r="I4380" s="424" t="s">
        <v>1720</v>
      </c>
      <c r="J4380" s="424" t="s">
        <v>1721</v>
      </c>
      <c r="K4380" s="424" t="s">
        <v>1722</v>
      </c>
    </row>
    <row r="4381" customHeight="1" spans="1:11">
      <c r="A4381" s="426" t="s">
        <v>1723</v>
      </c>
      <c r="B4381" s="427" t="s">
        <v>1361</v>
      </c>
      <c r="C4381" s="426" t="s">
        <v>512</v>
      </c>
      <c r="D4381" s="426" t="s">
        <v>1362</v>
      </c>
      <c r="E4381" s="426" t="s">
        <v>1709</v>
      </c>
      <c r="F4381" s="426"/>
      <c r="G4381" s="428" t="s">
        <v>67</v>
      </c>
      <c r="H4381" s="429">
        <v>1</v>
      </c>
      <c r="I4381" s="445"/>
      <c r="J4381" s="445">
        <v>26.5</v>
      </c>
      <c r="K4381" s="445">
        <v>26.5</v>
      </c>
    </row>
    <row r="4382" customHeight="1" spans="1:11">
      <c r="A4382" s="438" t="s">
        <v>1750</v>
      </c>
      <c r="B4382" s="439" t="s">
        <v>3212</v>
      </c>
      <c r="C4382" s="438" t="s">
        <v>512</v>
      </c>
      <c r="D4382" s="438" t="s">
        <v>3213</v>
      </c>
      <c r="E4382" s="438" t="s">
        <v>1631</v>
      </c>
      <c r="F4382" s="438"/>
      <c r="G4382" s="440" t="s">
        <v>67</v>
      </c>
      <c r="H4382" s="441">
        <v>1</v>
      </c>
      <c r="I4382" s="441">
        <v>0</v>
      </c>
      <c r="J4382" s="449">
        <v>26.5</v>
      </c>
      <c r="K4382" s="449">
        <v>26.5</v>
      </c>
    </row>
    <row r="4383" customHeight="1" spans="1:11">
      <c r="A4383" s="434"/>
      <c r="B4383" s="434"/>
      <c r="C4383" s="434"/>
      <c r="D4383" s="434"/>
      <c r="E4383" s="434"/>
      <c r="F4383" s="434" t="s">
        <v>1735</v>
      </c>
      <c r="G4383" s="435">
        <v>0</v>
      </c>
      <c r="H4383" s="434" t="s">
        <v>1736</v>
      </c>
      <c r="I4383" s="435">
        <v>0</v>
      </c>
      <c r="J4383" s="434" t="s">
        <v>1737</v>
      </c>
      <c r="K4383" s="435">
        <v>0</v>
      </c>
    </row>
    <row r="4384" customHeight="1" spans="1:11">
      <c r="A4384" s="434"/>
      <c r="B4384" s="434"/>
      <c r="C4384" s="434"/>
      <c r="D4384" s="434"/>
      <c r="E4384" s="434"/>
      <c r="F4384" s="434" t="s">
        <v>1738</v>
      </c>
      <c r="G4384" s="435">
        <v>6.53</v>
      </c>
      <c r="H4384" s="434"/>
      <c r="I4384" s="434" t="s">
        <v>1739</v>
      </c>
      <c r="J4384" s="434"/>
      <c r="K4384" s="435">
        <v>33.03</v>
      </c>
    </row>
    <row r="4385" customHeight="1" spans="1:11">
      <c r="A4385" s="436"/>
      <c r="B4385" s="436"/>
      <c r="C4385" s="436"/>
      <c r="D4385" s="436"/>
      <c r="E4385" s="436"/>
      <c r="F4385" s="436"/>
      <c r="G4385" s="436"/>
      <c r="H4385" s="436" t="s">
        <v>1740</v>
      </c>
      <c r="I4385" s="447" t="s">
        <v>1792</v>
      </c>
      <c r="J4385" s="436" t="s">
        <v>1742</v>
      </c>
      <c r="K4385" s="448">
        <v>528.48</v>
      </c>
    </row>
    <row r="4386" customHeight="1" spans="1:11">
      <c r="A4386" s="437"/>
      <c r="B4386" s="437"/>
      <c r="C4386" s="437"/>
      <c r="D4386" s="437"/>
      <c r="E4386" s="437"/>
      <c r="F4386" s="437"/>
      <c r="G4386" s="437"/>
      <c r="H4386" s="437"/>
      <c r="I4386" s="437"/>
      <c r="J4386" s="437"/>
      <c r="K4386" s="437"/>
    </row>
    <row r="4387" customHeight="1" spans="1:11">
      <c r="A4387" s="423" t="s">
        <v>1363</v>
      </c>
      <c r="B4387" s="424" t="s">
        <v>1714</v>
      </c>
      <c r="C4387" s="423" t="s">
        <v>1715</v>
      </c>
      <c r="D4387" s="423" t="s">
        <v>1716</v>
      </c>
      <c r="E4387" s="423" t="s">
        <v>1717</v>
      </c>
      <c r="F4387" s="423"/>
      <c r="G4387" s="425" t="s">
        <v>1718</v>
      </c>
      <c r="H4387" s="424" t="s">
        <v>1719</v>
      </c>
      <c r="I4387" s="424" t="s">
        <v>1720</v>
      </c>
      <c r="J4387" s="424" t="s">
        <v>1721</v>
      </c>
      <c r="K4387" s="424" t="s">
        <v>1722</v>
      </c>
    </row>
    <row r="4388" customHeight="1" spans="1:11">
      <c r="A4388" s="426" t="s">
        <v>1723</v>
      </c>
      <c r="B4388" s="427" t="s">
        <v>1364</v>
      </c>
      <c r="C4388" s="426" t="s">
        <v>65</v>
      </c>
      <c r="D4388" s="426" t="s">
        <v>1365</v>
      </c>
      <c r="E4388" s="426" t="s">
        <v>62</v>
      </c>
      <c r="F4388" s="426"/>
      <c r="G4388" s="428" t="s">
        <v>67</v>
      </c>
      <c r="H4388" s="429">
        <v>1</v>
      </c>
      <c r="I4388" s="445"/>
      <c r="J4388" s="445">
        <v>138.04</v>
      </c>
      <c r="K4388" s="445">
        <v>138.04</v>
      </c>
    </row>
    <row r="4389" customHeight="1" spans="1:11">
      <c r="A4389" s="430" t="s">
        <v>1724</v>
      </c>
      <c r="B4389" s="431" t="s">
        <v>3208</v>
      </c>
      <c r="C4389" s="430" t="s">
        <v>71</v>
      </c>
      <c r="D4389" s="430" t="s">
        <v>3209</v>
      </c>
      <c r="E4389" s="430" t="s">
        <v>1708</v>
      </c>
      <c r="F4389" s="430"/>
      <c r="G4389" s="432" t="s">
        <v>82</v>
      </c>
      <c r="H4389" s="433">
        <v>0.5</v>
      </c>
      <c r="I4389" s="433">
        <v>0</v>
      </c>
      <c r="J4389" s="446">
        <v>30.3</v>
      </c>
      <c r="K4389" s="446">
        <v>15.15</v>
      </c>
    </row>
    <row r="4390" customHeight="1" spans="1:11">
      <c r="A4390" s="430" t="s">
        <v>1724</v>
      </c>
      <c r="B4390" s="431" t="s">
        <v>1745</v>
      </c>
      <c r="C4390" s="430" t="s">
        <v>71</v>
      </c>
      <c r="D4390" s="430" t="s">
        <v>1746</v>
      </c>
      <c r="E4390" s="430" t="s">
        <v>1708</v>
      </c>
      <c r="F4390" s="430"/>
      <c r="G4390" s="432" t="s">
        <v>82</v>
      </c>
      <c r="H4390" s="433">
        <v>1</v>
      </c>
      <c r="I4390" s="433">
        <v>0</v>
      </c>
      <c r="J4390" s="446">
        <v>29.15</v>
      </c>
      <c r="K4390" s="446">
        <v>29.15</v>
      </c>
    </row>
    <row r="4391" customHeight="1" spans="1:11">
      <c r="A4391" s="438" t="s">
        <v>1750</v>
      </c>
      <c r="B4391" s="439" t="s">
        <v>3214</v>
      </c>
      <c r="C4391" s="438" t="s">
        <v>65</v>
      </c>
      <c r="D4391" s="438" t="s">
        <v>3215</v>
      </c>
      <c r="E4391" s="438" t="s">
        <v>1631</v>
      </c>
      <c r="F4391" s="438"/>
      <c r="G4391" s="440" t="s">
        <v>67</v>
      </c>
      <c r="H4391" s="441">
        <v>1</v>
      </c>
      <c r="I4391" s="441">
        <v>0</v>
      </c>
      <c r="J4391" s="449">
        <v>77.67</v>
      </c>
      <c r="K4391" s="449">
        <v>77.67</v>
      </c>
    </row>
    <row r="4392" customHeight="1" spans="1:11">
      <c r="A4392" s="438" t="s">
        <v>1750</v>
      </c>
      <c r="B4392" s="439" t="s">
        <v>3216</v>
      </c>
      <c r="C4392" s="438" t="s">
        <v>71</v>
      </c>
      <c r="D4392" s="438" t="s">
        <v>3217</v>
      </c>
      <c r="E4392" s="438" t="s">
        <v>1631</v>
      </c>
      <c r="F4392" s="438"/>
      <c r="G4392" s="440" t="s">
        <v>129</v>
      </c>
      <c r="H4392" s="441">
        <v>0.1</v>
      </c>
      <c r="I4392" s="441">
        <v>0</v>
      </c>
      <c r="J4392" s="449">
        <v>160.71</v>
      </c>
      <c r="K4392" s="449">
        <v>16.07</v>
      </c>
    </row>
    <row r="4393" customHeight="1" spans="1:11">
      <c r="A4393" s="434"/>
      <c r="B4393" s="434"/>
      <c r="C4393" s="434"/>
      <c r="D4393" s="434"/>
      <c r="E4393" s="434"/>
      <c r="F4393" s="434" t="s">
        <v>1735</v>
      </c>
      <c r="G4393" s="435">
        <v>15.38</v>
      </c>
      <c r="H4393" s="434" t="s">
        <v>1736</v>
      </c>
      <c r="I4393" s="435">
        <v>13.98</v>
      </c>
      <c r="J4393" s="434" t="s">
        <v>1737</v>
      </c>
      <c r="K4393" s="435">
        <v>29.36</v>
      </c>
    </row>
    <row r="4394" customHeight="1" spans="1:11">
      <c r="A4394" s="434"/>
      <c r="B4394" s="434"/>
      <c r="C4394" s="434"/>
      <c r="D4394" s="434"/>
      <c r="E4394" s="434"/>
      <c r="F4394" s="434" t="s">
        <v>1738</v>
      </c>
      <c r="G4394" s="435">
        <v>34.04</v>
      </c>
      <c r="H4394" s="434"/>
      <c r="I4394" s="434" t="s">
        <v>1739</v>
      </c>
      <c r="J4394" s="434"/>
      <c r="K4394" s="435">
        <v>172.08</v>
      </c>
    </row>
    <row r="4395" customHeight="1" spans="1:11">
      <c r="A4395" s="436"/>
      <c r="B4395" s="436"/>
      <c r="C4395" s="436"/>
      <c r="D4395" s="436"/>
      <c r="E4395" s="436"/>
      <c r="F4395" s="436"/>
      <c r="G4395" s="436"/>
      <c r="H4395" s="436" t="s">
        <v>1740</v>
      </c>
      <c r="I4395" s="447" t="s">
        <v>1759</v>
      </c>
      <c r="J4395" s="436" t="s">
        <v>1742</v>
      </c>
      <c r="K4395" s="448">
        <v>1032.48</v>
      </c>
    </row>
    <row r="4396" customHeight="1" spans="1:11">
      <c r="A4396" s="437"/>
      <c r="B4396" s="437"/>
      <c r="C4396" s="437"/>
      <c r="D4396" s="437"/>
      <c r="E4396" s="437"/>
      <c r="F4396" s="437"/>
      <c r="G4396" s="437"/>
      <c r="H4396" s="437"/>
      <c r="I4396" s="437"/>
      <c r="J4396" s="437"/>
      <c r="K4396" s="437"/>
    </row>
    <row r="4397" customHeight="1" spans="1:11">
      <c r="A4397" s="422" t="s">
        <v>1366</v>
      </c>
      <c r="B4397" s="422"/>
      <c r="C4397" s="422"/>
      <c r="D4397" s="422" t="s">
        <v>1367</v>
      </c>
      <c r="E4397" s="422"/>
      <c r="F4397" s="422"/>
      <c r="G4397" s="422"/>
      <c r="H4397" s="422"/>
      <c r="I4397" s="443"/>
      <c r="J4397" s="422"/>
      <c r="K4397" s="444">
        <v>723244.73</v>
      </c>
    </row>
    <row r="4398" customHeight="1" spans="1:11">
      <c r="A4398" s="423" t="s">
        <v>1368</v>
      </c>
      <c r="B4398" s="424" t="s">
        <v>1714</v>
      </c>
      <c r="C4398" s="423" t="s">
        <v>1715</v>
      </c>
      <c r="D4398" s="423" t="s">
        <v>1716</v>
      </c>
      <c r="E4398" s="423" t="s">
        <v>1717</v>
      </c>
      <c r="F4398" s="423"/>
      <c r="G4398" s="425" t="s">
        <v>1718</v>
      </c>
      <c r="H4398" s="424" t="s">
        <v>1719</v>
      </c>
      <c r="I4398" s="424" t="s">
        <v>1720</v>
      </c>
      <c r="J4398" s="424" t="s">
        <v>1721</v>
      </c>
      <c r="K4398" s="424" t="s">
        <v>1722</v>
      </c>
    </row>
    <row r="4399" customHeight="1" spans="1:11">
      <c r="A4399" s="426" t="s">
        <v>1723</v>
      </c>
      <c r="B4399" s="427" t="s">
        <v>1369</v>
      </c>
      <c r="C4399" s="426" t="s">
        <v>71</v>
      </c>
      <c r="D4399" s="426" t="s">
        <v>1370</v>
      </c>
      <c r="E4399" s="426" t="s">
        <v>1624</v>
      </c>
      <c r="F4399" s="426"/>
      <c r="G4399" s="428" t="s">
        <v>73</v>
      </c>
      <c r="H4399" s="429">
        <v>1</v>
      </c>
      <c r="I4399" s="445"/>
      <c r="J4399" s="445">
        <v>114.02</v>
      </c>
      <c r="K4399" s="445">
        <v>114.02</v>
      </c>
    </row>
    <row r="4400" customHeight="1" spans="1:11">
      <c r="A4400" s="430" t="s">
        <v>1724</v>
      </c>
      <c r="B4400" s="431" t="s">
        <v>3218</v>
      </c>
      <c r="C4400" s="430" t="s">
        <v>71</v>
      </c>
      <c r="D4400" s="430" t="s">
        <v>3219</v>
      </c>
      <c r="E4400" s="430" t="s">
        <v>1795</v>
      </c>
      <c r="F4400" s="430"/>
      <c r="G4400" s="432" t="s">
        <v>1804</v>
      </c>
      <c r="H4400" s="433">
        <v>0.1278</v>
      </c>
      <c r="I4400" s="433">
        <v>0</v>
      </c>
      <c r="J4400" s="446">
        <v>0.97</v>
      </c>
      <c r="K4400" s="446">
        <v>0.12</v>
      </c>
    </row>
    <row r="4401" customHeight="1" spans="1:11">
      <c r="A4401" s="430" t="s">
        <v>1724</v>
      </c>
      <c r="B4401" s="431" t="s">
        <v>3220</v>
      </c>
      <c r="C4401" s="430" t="s">
        <v>76</v>
      </c>
      <c r="D4401" s="430" t="s">
        <v>3221</v>
      </c>
      <c r="E4401" s="430">
        <v>58</v>
      </c>
      <c r="F4401" s="430"/>
      <c r="G4401" s="432" t="s">
        <v>3222</v>
      </c>
      <c r="H4401" s="433">
        <v>0.1</v>
      </c>
      <c r="I4401" s="433">
        <v>0</v>
      </c>
      <c r="J4401" s="446">
        <v>182.68</v>
      </c>
      <c r="K4401" s="446">
        <v>18.26</v>
      </c>
    </row>
    <row r="4402" customHeight="1" spans="1:11">
      <c r="A4402" s="430" t="s">
        <v>1724</v>
      </c>
      <c r="B4402" s="431" t="s">
        <v>3223</v>
      </c>
      <c r="C4402" s="430" t="s">
        <v>71</v>
      </c>
      <c r="D4402" s="430" t="s">
        <v>3224</v>
      </c>
      <c r="E4402" s="430" t="s">
        <v>1708</v>
      </c>
      <c r="F4402" s="430"/>
      <c r="G4402" s="432" t="s">
        <v>82</v>
      </c>
      <c r="H4402" s="433">
        <v>0.2632</v>
      </c>
      <c r="I4402" s="433">
        <v>0</v>
      </c>
      <c r="J4402" s="446">
        <v>35.7</v>
      </c>
      <c r="K4402" s="446">
        <v>9.39</v>
      </c>
    </row>
    <row r="4403" customHeight="1" spans="1:11">
      <c r="A4403" s="430" t="s">
        <v>1724</v>
      </c>
      <c r="B4403" s="431" t="s">
        <v>3225</v>
      </c>
      <c r="C4403" s="430" t="s">
        <v>71</v>
      </c>
      <c r="D4403" s="430" t="s">
        <v>3226</v>
      </c>
      <c r="E4403" s="430" t="s">
        <v>1795</v>
      </c>
      <c r="F4403" s="430"/>
      <c r="G4403" s="432" t="s">
        <v>1796</v>
      </c>
      <c r="H4403" s="433">
        <v>0.0038</v>
      </c>
      <c r="I4403" s="433">
        <v>0</v>
      </c>
      <c r="J4403" s="446">
        <v>10.76</v>
      </c>
      <c r="K4403" s="446">
        <v>0.04</v>
      </c>
    </row>
    <row r="4404" customHeight="1" spans="1:11">
      <c r="A4404" s="430" t="s">
        <v>1724</v>
      </c>
      <c r="B4404" s="431" t="s">
        <v>3227</v>
      </c>
      <c r="C4404" s="430" t="s">
        <v>71</v>
      </c>
      <c r="D4404" s="430" t="s">
        <v>3228</v>
      </c>
      <c r="E4404" s="430" t="s">
        <v>1795</v>
      </c>
      <c r="F4404" s="430"/>
      <c r="G4404" s="432" t="s">
        <v>1796</v>
      </c>
      <c r="H4404" s="433">
        <v>0.0055</v>
      </c>
      <c r="I4404" s="433">
        <v>0</v>
      </c>
      <c r="J4404" s="446">
        <v>10.19</v>
      </c>
      <c r="K4404" s="446">
        <v>0.05</v>
      </c>
    </row>
    <row r="4405" customHeight="1" spans="1:11">
      <c r="A4405" s="430" t="s">
        <v>1724</v>
      </c>
      <c r="B4405" s="431" t="s">
        <v>3229</v>
      </c>
      <c r="C4405" s="430" t="s">
        <v>71</v>
      </c>
      <c r="D4405" s="430" t="s">
        <v>3230</v>
      </c>
      <c r="E4405" s="430" t="s">
        <v>1795</v>
      </c>
      <c r="F4405" s="430"/>
      <c r="G4405" s="432" t="s">
        <v>1804</v>
      </c>
      <c r="H4405" s="433">
        <v>0.1261</v>
      </c>
      <c r="I4405" s="433">
        <v>0</v>
      </c>
      <c r="J4405" s="446">
        <v>0.73</v>
      </c>
      <c r="K4405" s="446">
        <v>0.09</v>
      </c>
    </row>
    <row r="4406" customHeight="1" spans="1:11">
      <c r="A4406" s="430" t="s">
        <v>1724</v>
      </c>
      <c r="B4406" s="431" t="s">
        <v>1745</v>
      </c>
      <c r="C4406" s="430" t="s">
        <v>71</v>
      </c>
      <c r="D4406" s="430" t="s">
        <v>1746</v>
      </c>
      <c r="E4406" s="430" t="s">
        <v>1708</v>
      </c>
      <c r="F4406" s="430"/>
      <c r="G4406" s="432" t="s">
        <v>82</v>
      </c>
      <c r="H4406" s="433">
        <v>0.2632</v>
      </c>
      <c r="I4406" s="433">
        <v>0</v>
      </c>
      <c r="J4406" s="446">
        <v>29.15</v>
      </c>
      <c r="K4406" s="446">
        <v>7.67</v>
      </c>
    </row>
    <row r="4407" customHeight="1" spans="1:11">
      <c r="A4407" s="438" t="s">
        <v>1750</v>
      </c>
      <c r="B4407" s="439" t="s">
        <v>3231</v>
      </c>
      <c r="C4407" s="438" t="s">
        <v>71</v>
      </c>
      <c r="D4407" s="438" t="s">
        <v>3232</v>
      </c>
      <c r="E4407" s="438" t="s">
        <v>1631</v>
      </c>
      <c r="F4407" s="438"/>
      <c r="G4407" s="440" t="s">
        <v>129</v>
      </c>
      <c r="H4407" s="441">
        <v>0.0568</v>
      </c>
      <c r="I4407" s="441">
        <v>0</v>
      </c>
      <c r="J4407" s="449">
        <v>90</v>
      </c>
      <c r="K4407" s="449">
        <v>5.11</v>
      </c>
    </row>
    <row r="4408" customHeight="1" spans="1:11">
      <c r="A4408" s="438" t="s">
        <v>1750</v>
      </c>
      <c r="B4408" s="439" t="s">
        <v>3233</v>
      </c>
      <c r="C4408" s="438" t="s">
        <v>71</v>
      </c>
      <c r="D4408" s="438" t="s">
        <v>3234</v>
      </c>
      <c r="E4408" s="438" t="s">
        <v>1631</v>
      </c>
      <c r="F4408" s="438"/>
      <c r="G4408" s="440" t="s">
        <v>129</v>
      </c>
      <c r="H4408" s="441">
        <v>0.0098</v>
      </c>
      <c r="I4408" s="441">
        <v>0</v>
      </c>
      <c r="J4408" s="449">
        <v>102.18</v>
      </c>
      <c r="K4408" s="449">
        <v>1</v>
      </c>
    </row>
    <row r="4409" customHeight="1" spans="1:11">
      <c r="A4409" s="438" t="s">
        <v>1750</v>
      </c>
      <c r="B4409" s="439" t="s">
        <v>3235</v>
      </c>
      <c r="C4409" s="438" t="s">
        <v>71</v>
      </c>
      <c r="D4409" s="438" t="s">
        <v>3236</v>
      </c>
      <c r="E4409" s="438" t="s">
        <v>1631</v>
      </c>
      <c r="F4409" s="438"/>
      <c r="G4409" s="440" t="s">
        <v>73</v>
      </c>
      <c r="H4409" s="441">
        <v>1.0041</v>
      </c>
      <c r="I4409" s="441">
        <v>0</v>
      </c>
      <c r="J4409" s="449">
        <v>72</v>
      </c>
      <c r="K4409" s="449">
        <v>72.29</v>
      </c>
    </row>
    <row r="4410" customHeight="1" spans="1:11">
      <c r="A4410" s="434"/>
      <c r="B4410" s="434"/>
      <c r="C4410" s="434"/>
      <c r="D4410" s="434"/>
      <c r="E4410" s="434"/>
      <c r="F4410" s="434" t="s">
        <v>1735</v>
      </c>
      <c r="G4410" s="435">
        <v>6.4</v>
      </c>
      <c r="H4410" s="434" t="s">
        <v>1736</v>
      </c>
      <c r="I4410" s="435">
        <v>5.82</v>
      </c>
      <c r="J4410" s="434" t="s">
        <v>1737</v>
      </c>
      <c r="K4410" s="435">
        <v>12.22</v>
      </c>
    </row>
    <row r="4411" customHeight="1" spans="1:11">
      <c r="A4411" s="434"/>
      <c r="B4411" s="434"/>
      <c r="C4411" s="434"/>
      <c r="D4411" s="434"/>
      <c r="E4411" s="434"/>
      <c r="F4411" s="434" t="s">
        <v>1738</v>
      </c>
      <c r="G4411" s="435">
        <v>28.11</v>
      </c>
      <c r="H4411" s="434"/>
      <c r="I4411" s="434" t="s">
        <v>1739</v>
      </c>
      <c r="J4411" s="434"/>
      <c r="K4411" s="435">
        <v>142.13</v>
      </c>
    </row>
    <row r="4412" customHeight="1" spans="1:11">
      <c r="A4412" s="436"/>
      <c r="B4412" s="436"/>
      <c r="C4412" s="436"/>
      <c r="D4412" s="436"/>
      <c r="E4412" s="436"/>
      <c r="F4412" s="436"/>
      <c r="G4412" s="436"/>
      <c r="H4412" s="436" t="s">
        <v>1740</v>
      </c>
      <c r="I4412" s="447" t="s">
        <v>3237</v>
      </c>
      <c r="J4412" s="436" t="s">
        <v>1742</v>
      </c>
      <c r="K4412" s="448">
        <v>158307.23</v>
      </c>
    </row>
    <row r="4413" customHeight="1" spans="1:11">
      <c r="A4413" s="437"/>
      <c r="B4413" s="437"/>
      <c r="C4413" s="437"/>
      <c r="D4413" s="437"/>
      <c r="E4413" s="437"/>
      <c r="F4413" s="437"/>
      <c r="G4413" s="437"/>
      <c r="H4413" s="437"/>
      <c r="I4413" s="437"/>
      <c r="J4413" s="437"/>
      <c r="K4413" s="437"/>
    </row>
    <row r="4414" customHeight="1" spans="1:11">
      <c r="A4414" s="423" t="s">
        <v>1371</v>
      </c>
      <c r="B4414" s="424" t="s">
        <v>1714</v>
      </c>
      <c r="C4414" s="423" t="s">
        <v>1715</v>
      </c>
      <c r="D4414" s="423" t="s">
        <v>1716</v>
      </c>
      <c r="E4414" s="423" t="s">
        <v>1717</v>
      </c>
      <c r="F4414" s="423"/>
      <c r="G4414" s="425" t="s">
        <v>1718</v>
      </c>
      <c r="H4414" s="424" t="s">
        <v>1719</v>
      </c>
      <c r="I4414" s="424" t="s">
        <v>1720</v>
      </c>
      <c r="J4414" s="424" t="s">
        <v>1721</v>
      </c>
      <c r="K4414" s="424" t="s">
        <v>1722</v>
      </c>
    </row>
    <row r="4415" customHeight="1" spans="1:11">
      <c r="A4415" s="426" t="s">
        <v>1723</v>
      </c>
      <c r="B4415" s="427" t="s">
        <v>1301</v>
      </c>
      <c r="C4415" s="426" t="s">
        <v>65</v>
      </c>
      <c r="D4415" s="426" t="s">
        <v>1302</v>
      </c>
      <c r="E4415" s="426" t="s">
        <v>62</v>
      </c>
      <c r="F4415" s="426"/>
      <c r="G4415" s="428" t="s">
        <v>67</v>
      </c>
      <c r="H4415" s="429">
        <v>1</v>
      </c>
      <c r="I4415" s="445"/>
      <c r="J4415" s="445">
        <v>480.31</v>
      </c>
      <c r="K4415" s="445">
        <v>480.31</v>
      </c>
    </row>
    <row r="4416" customHeight="1" spans="1:11">
      <c r="A4416" s="438" t="s">
        <v>1750</v>
      </c>
      <c r="B4416" s="439" t="s">
        <v>3132</v>
      </c>
      <c r="C4416" s="438" t="s">
        <v>65</v>
      </c>
      <c r="D4416" s="438" t="s">
        <v>3133</v>
      </c>
      <c r="E4416" s="438" t="s">
        <v>2253</v>
      </c>
      <c r="F4416" s="438"/>
      <c r="G4416" s="440" t="s">
        <v>73</v>
      </c>
      <c r="H4416" s="441">
        <v>1</v>
      </c>
      <c r="I4416" s="441">
        <v>0</v>
      </c>
      <c r="J4416" s="449">
        <v>22.79</v>
      </c>
      <c r="K4416" s="449">
        <v>22.79</v>
      </c>
    </row>
    <row r="4417" customHeight="1" spans="1:11">
      <c r="A4417" s="438" t="s">
        <v>1750</v>
      </c>
      <c r="B4417" s="439" t="s">
        <v>3134</v>
      </c>
      <c r="C4417" s="438" t="s">
        <v>65</v>
      </c>
      <c r="D4417" s="438" t="s">
        <v>1302</v>
      </c>
      <c r="E4417" s="438" t="s">
        <v>2253</v>
      </c>
      <c r="F4417" s="438"/>
      <c r="G4417" s="440" t="s">
        <v>73</v>
      </c>
      <c r="H4417" s="441">
        <v>1</v>
      </c>
      <c r="I4417" s="441">
        <v>0</v>
      </c>
      <c r="J4417" s="449">
        <v>457.52</v>
      </c>
      <c r="K4417" s="449">
        <v>457.52</v>
      </c>
    </row>
    <row r="4418" customHeight="1" spans="1:11">
      <c r="A4418" s="434"/>
      <c r="B4418" s="434"/>
      <c r="C4418" s="434"/>
      <c r="D4418" s="434"/>
      <c r="E4418" s="434"/>
      <c r="F4418" s="434" t="s">
        <v>1735</v>
      </c>
      <c r="G4418" s="435">
        <v>0</v>
      </c>
      <c r="H4418" s="434" t="s">
        <v>1736</v>
      </c>
      <c r="I4418" s="435">
        <v>0</v>
      </c>
      <c r="J4418" s="434" t="s">
        <v>1737</v>
      </c>
      <c r="K4418" s="435">
        <v>0</v>
      </c>
    </row>
    <row r="4419" customHeight="1" spans="1:11">
      <c r="A4419" s="434"/>
      <c r="B4419" s="434"/>
      <c r="C4419" s="434"/>
      <c r="D4419" s="434"/>
      <c r="E4419" s="434"/>
      <c r="F4419" s="434" t="s">
        <v>1738</v>
      </c>
      <c r="G4419" s="435">
        <v>118.44</v>
      </c>
      <c r="H4419" s="434"/>
      <c r="I4419" s="434" t="s">
        <v>1739</v>
      </c>
      <c r="J4419" s="434"/>
      <c r="K4419" s="435">
        <v>598.75</v>
      </c>
    </row>
    <row r="4420" customHeight="1" spans="1:11">
      <c r="A4420" s="436"/>
      <c r="B4420" s="436"/>
      <c r="C4420" s="436"/>
      <c r="D4420" s="436"/>
      <c r="E4420" s="436"/>
      <c r="F4420" s="436"/>
      <c r="G4420" s="436"/>
      <c r="H4420" s="436" t="s">
        <v>1740</v>
      </c>
      <c r="I4420" s="447" t="s">
        <v>3238</v>
      </c>
      <c r="J4420" s="436" t="s">
        <v>1742</v>
      </c>
      <c r="K4420" s="448">
        <v>476634.93</v>
      </c>
    </row>
    <row r="4421" customHeight="1" spans="1:11">
      <c r="A4421" s="437"/>
      <c r="B4421" s="437"/>
      <c r="C4421" s="437"/>
      <c r="D4421" s="437"/>
      <c r="E4421" s="437"/>
      <c r="F4421" s="437"/>
      <c r="G4421" s="437"/>
      <c r="H4421" s="437"/>
      <c r="I4421" s="437"/>
      <c r="J4421" s="437"/>
      <c r="K4421" s="437"/>
    </row>
    <row r="4422" customHeight="1" spans="1:11">
      <c r="A4422" s="423" t="s">
        <v>1372</v>
      </c>
      <c r="B4422" s="424" t="s">
        <v>1714</v>
      </c>
      <c r="C4422" s="423" t="s">
        <v>1715</v>
      </c>
      <c r="D4422" s="423" t="s">
        <v>1716</v>
      </c>
      <c r="E4422" s="423" t="s">
        <v>1717</v>
      </c>
      <c r="F4422" s="423"/>
      <c r="G4422" s="425" t="s">
        <v>1718</v>
      </c>
      <c r="H4422" s="424" t="s">
        <v>1719</v>
      </c>
      <c r="I4422" s="424" t="s">
        <v>1720</v>
      </c>
      <c r="J4422" s="424" t="s">
        <v>1721</v>
      </c>
      <c r="K4422" s="424" t="s">
        <v>1722</v>
      </c>
    </row>
    <row r="4423" customHeight="1" spans="1:11">
      <c r="A4423" s="426" t="s">
        <v>1723</v>
      </c>
      <c r="B4423" s="427" t="s">
        <v>1330</v>
      </c>
      <c r="C4423" s="426" t="s">
        <v>71</v>
      </c>
      <c r="D4423" s="426" t="s">
        <v>1331</v>
      </c>
      <c r="E4423" s="426" t="s">
        <v>1664</v>
      </c>
      <c r="F4423" s="426"/>
      <c r="G4423" s="428" t="s">
        <v>73</v>
      </c>
      <c r="H4423" s="429">
        <v>1</v>
      </c>
      <c r="I4423" s="445"/>
      <c r="J4423" s="445">
        <v>78.02</v>
      </c>
      <c r="K4423" s="445">
        <v>78.02</v>
      </c>
    </row>
    <row r="4424" customHeight="1" spans="1:11">
      <c r="A4424" s="430" t="s">
        <v>1724</v>
      </c>
      <c r="B4424" s="431" t="s">
        <v>1936</v>
      </c>
      <c r="C4424" s="430" t="s">
        <v>71</v>
      </c>
      <c r="D4424" s="430" t="s">
        <v>1937</v>
      </c>
      <c r="E4424" s="430" t="s">
        <v>1708</v>
      </c>
      <c r="F4424" s="430"/>
      <c r="G4424" s="432" t="s">
        <v>82</v>
      </c>
      <c r="H4424" s="433">
        <v>0.1483</v>
      </c>
      <c r="I4424" s="433">
        <v>0</v>
      </c>
      <c r="J4424" s="446">
        <v>36.96</v>
      </c>
      <c r="K4424" s="446">
        <v>5.48</v>
      </c>
    </row>
    <row r="4425" customHeight="1" spans="1:11">
      <c r="A4425" s="430" t="s">
        <v>1724</v>
      </c>
      <c r="B4425" s="431" t="s">
        <v>1745</v>
      </c>
      <c r="C4425" s="430" t="s">
        <v>71</v>
      </c>
      <c r="D4425" s="430" t="s">
        <v>1746</v>
      </c>
      <c r="E4425" s="430" t="s">
        <v>1708</v>
      </c>
      <c r="F4425" s="430"/>
      <c r="G4425" s="432" t="s">
        <v>82</v>
      </c>
      <c r="H4425" s="433">
        <v>0.2459</v>
      </c>
      <c r="I4425" s="433">
        <v>0</v>
      </c>
      <c r="J4425" s="446">
        <v>29.15</v>
      </c>
      <c r="K4425" s="446">
        <v>7.16</v>
      </c>
    </row>
    <row r="4426" customHeight="1" spans="1:11">
      <c r="A4426" s="430" t="s">
        <v>1724</v>
      </c>
      <c r="B4426" s="431" t="s">
        <v>1743</v>
      </c>
      <c r="C4426" s="430" t="s">
        <v>71</v>
      </c>
      <c r="D4426" s="430" t="s">
        <v>1744</v>
      </c>
      <c r="E4426" s="430" t="s">
        <v>1708</v>
      </c>
      <c r="F4426" s="430"/>
      <c r="G4426" s="432" t="s">
        <v>82</v>
      </c>
      <c r="H4426" s="433">
        <v>0.0976</v>
      </c>
      <c r="I4426" s="433">
        <v>0</v>
      </c>
      <c r="J4426" s="446">
        <v>37.51</v>
      </c>
      <c r="K4426" s="446">
        <v>3.66</v>
      </c>
    </row>
    <row r="4427" customHeight="1" spans="1:11">
      <c r="A4427" s="430" t="s">
        <v>1724</v>
      </c>
      <c r="B4427" s="431" t="s">
        <v>3168</v>
      </c>
      <c r="C4427" s="430" t="s">
        <v>71</v>
      </c>
      <c r="D4427" s="430" t="s">
        <v>3169</v>
      </c>
      <c r="E4427" s="430" t="s">
        <v>1799</v>
      </c>
      <c r="F4427" s="430"/>
      <c r="G4427" s="432" t="s">
        <v>129</v>
      </c>
      <c r="H4427" s="433">
        <v>0.0739</v>
      </c>
      <c r="I4427" s="433">
        <v>0</v>
      </c>
      <c r="J4427" s="446">
        <v>465.92</v>
      </c>
      <c r="K4427" s="446">
        <v>34.43</v>
      </c>
    </row>
    <row r="4428" customHeight="1" spans="1:11">
      <c r="A4428" s="438" t="s">
        <v>1750</v>
      </c>
      <c r="B4428" s="439" t="s">
        <v>1941</v>
      </c>
      <c r="C4428" s="438" t="s">
        <v>71</v>
      </c>
      <c r="D4428" s="438" t="s">
        <v>1942</v>
      </c>
      <c r="E4428" s="438" t="s">
        <v>1631</v>
      </c>
      <c r="F4428" s="438"/>
      <c r="G4428" s="440" t="s">
        <v>78</v>
      </c>
      <c r="H4428" s="441">
        <v>0.45</v>
      </c>
      <c r="I4428" s="441">
        <v>0</v>
      </c>
      <c r="J4428" s="449">
        <v>3.07</v>
      </c>
      <c r="K4428" s="449">
        <v>1.38</v>
      </c>
    </row>
    <row r="4429" customHeight="1" spans="1:11">
      <c r="A4429" s="438" t="s">
        <v>1750</v>
      </c>
      <c r="B4429" s="439" t="s">
        <v>3170</v>
      </c>
      <c r="C4429" s="438" t="s">
        <v>71</v>
      </c>
      <c r="D4429" s="438" t="s">
        <v>3171</v>
      </c>
      <c r="E4429" s="438" t="s">
        <v>1631</v>
      </c>
      <c r="F4429" s="438"/>
      <c r="G4429" s="440" t="s">
        <v>73</v>
      </c>
      <c r="H4429" s="441">
        <v>1.0816</v>
      </c>
      <c r="I4429" s="441">
        <v>0</v>
      </c>
      <c r="J4429" s="449">
        <v>23.55</v>
      </c>
      <c r="K4429" s="449">
        <v>25.47</v>
      </c>
    </row>
    <row r="4430" customHeight="1" spans="1:11">
      <c r="A4430" s="438" t="s">
        <v>1750</v>
      </c>
      <c r="B4430" s="439" t="s">
        <v>3172</v>
      </c>
      <c r="C4430" s="438" t="s">
        <v>71</v>
      </c>
      <c r="D4430" s="438" t="s">
        <v>3173</v>
      </c>
      <c r="E4430" s="438" t="s">
        <v>1631</v>
      </c>
      <c r="F4430" s="438"/>
      <c r="G4430" s="440" t="s">
        <v>158</v>
      </c>
      <c r="H4430" s="441">
        <v>0.024</v>
      </c>
      <c r="I4430" s="441">
        <v>0</v>
      </c>
      <c r="J4430" s="449">
        <v>18.38</v>
      </c>
      <c r="K4430" s="449">
        <v>0.44</v>
      </c>
    </row>
    <row r="4431" customHeight="1" spans="1:11">
      <c r="A4431" s="434"/>
      <c r="B4431" s="434"/>
      <c r="C4431" s="434"/>
      <c r="D4431" s="434"/>
      <c r="E4431" s="434"/>
      <c r="F4431" s="434" t="s">
        <v>1735</v>
      </c>
      <c r="G4431" s="435">
        <v>9.31</v>
      </c>
      <c r="H4431" s="434" t="s">
        <v>1736</v>
      </c>
      <c r="I4431" s="435">
        <v>8.46</v>
      </c>
      <c r="J4431" s="434" t="s">
        <v>1737</v>
      </c>
      <c r="K4431" s="435">
        <v>17.77</v>
      </c>
    </row>
    <row r="4432" customHeight="1" spans="1:11">
      <c r="A4432" s="434"/>
      <c r="B4432" s="434"/>
      <c r="C4432" s="434"/>
      <c r="D4432" s="434"/>
      <c r="E4432" s="434"/>
      <c r="F4432" s="434" t="s">
        <v>1738</v>
      </c>
      <c r="G4432" s="435">
        <v>19.23</v>
      </c>
      <c r="H4432" s="434"/>
      <c r="I4432" s="434" t="s">
        <v>1739</v>
      </c>
      <c r="J4432" s="434"/>
      <c r="K4432" s="435">
        <v>97.25</v>
      </c>
    </row>
    <row r="4433" customHeight="1" spans="1:11">
      <c r="A4433" s="436"/>
      <c r="B4433" s="436"/>
      <c r="C4433" s="436"/>
      <c r="D4433" s="436"/>
      <c r="E4433" s="436"/>
      <c r="F4433" s="436"/>
      <c r="G4433" s="436"/>
      <c r="H4433" s="436" t="s">
        <v>1740</v>
      </c>
      <c r="I4433" s="447" t="s">
        <v>3239</v>
      </c>
      <c r="J4433" s="436" t="s">
        <v>1742</v>
      </c>
      <c r="K4433" s="448">
        <v>2808.58</v>
      </c>
    </row>
    <row r="4434" customHeight="1" spans="1:11">
      <c r="A4434" s="437"/>
      <c r="B4434" s="437"/>
      <c r="C4434" s="437"/>
      <c r="D4434" s="437"/>
      <c r="E4434" s="437"/>
      <c r="F4434" s="437"/>
      <c r="G4434" s="437"/>
      <c r="H4434" s="437"/>
      <c r="I4434" s="437"/>
      <c r="J4434" s="437"/>
      <c r="K4434" s="437"/>
    </row>
    <row r="4435" customHeight="1" spans="1:11">
      <c r="A4435" s="423" t="s">
        <v>1373</v>
      </c>
      <c r="B4435" s="424" t="s">
        <v>1714</v>
      </c>
      <c r="C4435" s="423" t="s">
        <v>1715</v>
      </c>
      <c r="D4435" s="423" t="s">
        <v>1716</v>
      </c>
      <c r="E4435" s="423" t="s">
        <v>1717</v>
      </c>
      <c r="F4435" s="423"/>
      <c r="G4435" s="425" t="s">
        <v>1718</v>
      </c>
      <c r="H4435" s="424" t="s">
        <v>1719</v>
      </c>
      <c r="I4435" s="424" t="s">
        <v>1720</v>
      </c>
      <c r="J4435" s="424" t="s">
        <v>1721</v>
      </c>
      <c r="K4435" s="424" t="s">
        <v>1722</v>
      </c>
    </row>
    <row r="4436" customHeight="1" spans="1:11">
      <c r="A4436" s="426" t="s">
        <v>1723</v>
      </c>
      <c r="B4436" s="427" t="s">
        <v>1322</v>
      </c>
      <c r="C4436" s="426" t="s">
        <v>71</v>
      </c>
      <c r="D4436" s="426" t="s">
        <v>1323</v>
      </c>
      <c r="E4436" s="426" t="s">
        <v>1668</v>
      </c>
      <c r="F4436" s="426"/>
      <c r="G4436" s="428" t="s">
        <v>73</v>
      </c>
      <c r="H4436" s="429">
        <v>1</v>
      </c>
      <c r="I4436" s="445"/>
      <c r="J4436" s="445">
        <v>176.14</v>
      </c>
      <c r="K4436" s="445">
        <v>176.14</v>
      </c>
    </row>
    <row r="4437" customHeight="1" spans="1:11">
      <c r="A4437" s="430" t="s">
        <v>1724</v>
      </c>
      <c r="B4437" s="431" t="s">
        <v>1936</v>
      </c>
      <c r="C4437" s="430" t="s">
        <v>71</v>
      </c>
      <c r="D4437" s="430" t="s">
        <v>1937</v>
      </c>
      <c r="E4437" s="430" t="s">
        <v>1708</v>
      </c>
      <c r="F4437" s="430"/>
      <c r="G4437" s="432" t="s">
        <v>82</v>
      </c>
      <c r="H4437" s="433">
        <v>0.639</v>
      </c>
      <c r="I4437" s="433">
        <v>0</v>
      </c>
      <c r="J4437" s="446">
        <v>36.96</v>
      </c>
      <c r="K4437" s="446">
        <v>23.61</v>
      </c>
    </row>
    <row r="4438" customHeight="1" spans="1:11">
      <c r="A4438" s="430" t="s">
        <v>1724</v>
      </c>
      <c r="B4438" s="431" t="s">
        <v>1745</v>
      </c>
      <c r="C4438" s="430" t="s">
        <v>71</v>
      </c>
      <c r="D4438" s="430" t="s">
        <v>1746</v>
      </c>
      <c r="E4438" s="430" t="s">
        <v>1708</v>
      </c>
      <c r="F4438" s="430"/>
      <c r="G4438" s="432" t="s">
        <v>82</v>
      </c>
      <c r="H4438" s="433">
        <v>1.279</v>
      </c>
      <c r="I4438" s="433">
        <v>0</v>
      </c>
      <c r="J4438" s="446">
        <v>29.15</v>
      </c>
      <c r="K4438" s="446">
        <v>37.28</v>
      </c>
    </row>
    <row r="4439" customHeight="1" spans="1:11">
      <c r="A4439" s="438" t="s">
        <v>1750</v>
      </c>
      <c r="B4439" s="439" t="s">
        <v>3158</v>
      </c>
      <c r="C4439" s="438" t="s">
        <v>71</v>
      </c>
      <c r="D4439" s="438" t="s">
        <v>3159</v>
      </c>
      <c r="E4439" s="438" t="s">
        <v>1631</v>
      </c>
      <c r="F4439" s="438"/>
      <c r="G4439" s="440" t="s">
        <v>105</v>
      </c>
      <c r="H4439" s="441">
        <v>6.4375</v>
      </c>
      <c r="I4439" s="441">
        <v>0</v>
      </c>
      <c r="J4439" s="449">
        <v>15.88</v>
      </c>
      <c r="K4439" s="449">
        <v>102.22</v>
      </c>
    </row>
    <row r="4440" customHeight="1" spans="1:11">
      <c r="A4440" s="438" t="s">
        <v>1750</v>
      </c>
      <c r="B4440" s="439" t="s">
        <v>3103</v>
      </c>
      <c r="C4440" s="438" t="s">
        <v>71</v>
      </c>
      <c r="D4440" s="438" t="s">
        <v>3104</v>
      </c>
      <c r="E4440" s="438" t="s">
        <v>1631</v>
      </c>
      <c r="F4440" s="438"/>
      <c r="G4440" s="440" t="s">
        <v>158</v>
      </c>
      <c r="H4440" s="441">
        <v>0.24</v>
      </c>
      <c r="I4440" s="441">
        <v>0</v>
      </c>
      <c r="J4440" s="449">
        <v>4.4</v>
      </c>
      <c r="K4440" s="449">
        <v>1.05</v>
      </c>
    </row>
    <row r="4441" customHeight="1" spans="1:11">
      <c r="A4441" s="438" t="s">
        <v>1750</v>
      </c>
      <c r="B4441" s="439" t="s">
        <v>3160</v>
      </c>
      <c r="C4441" s="438" t="s">
        <v>71</v>
      </c>
      <c r="D4441" s="438" t="s">
        <v>3161</v>
      </c>
      <c r="E4441" s="438" t="s">
        <v>1631</v>
      </c>
      <c r="F4441" s="438"/>
      <c r="G4441" s="440" t="s">
        <v>158</v>
      </c>
      <c r="H4441" s="441">
        <v>8.62</v>
      </c>
      <c r="I4441" s="441">
        <v>0</v>
      </c>
      <c r="J4441" s="449">
        <v>1.39</v>
      </c>
      <c r="K4441" s="449">
        <v>11.98</v>
      </c>
    </row>
    <row r="4442" customHeight="1" spans="1:11">
      <c r="A4442" s="434"/>
      <c r="B4442" s="434"/>
      <c r="C4442" s="434"/>
      <c r="D4442" s="434"/>
      <c r="E4442" s="434"/>
      <c r="F4442" s="434" t="s">
        <v>1735</v>
      </c>
      <c r="G4442" s="435">
        <v>21.89</v>
      </c>
      <c r="H4442" s="434" t="s">
        <v>1736</v>
      </c>
      <c r="I4442" s="435">
        <v>19.9</v>
      </c>
      <c r="J4442" s="434" t="s">
        <v>1737</v>
      </c>
      <c r="K4442" s="435">
        <v>41.79</v>
      </c>
    </row>
    <row r="4443" customHeight="1" spans="1:11">
      <c r="A4443" s="434"/>
      <c r="B4443" s="434"/>
      <c r="C4443" s="434"/>
      <c r="D4443" s="434"/>
      <c r="E4443" s="434"/>
      <c r="F4443" s="434" t="s">
        <v>1738</v>
      </c>
      <c r="G4443" s="435">
        <v>43.43</v>
      </c>
      <c r="H4443" s="434"/>
      <c r="I4443" s="434" t="s">
        <v>1739</v>
      </c>
      <c r="J4443" s="434"/>
      <c r="K4443" s="435">
        <v>219.57</v>
      </c>
    </row>
    <row r="4444" customHeight="1" spans="1:11">
      <c r="A4444" s="436"/>
      <c r="B4444" s="436"/>
      <c r="C4444" s="436"/>
      <c r="D4444" s="436"/>
      <c r="E4444" s="436"/>
      <c r="F4444" s="436"/>
      <c r="G4444" s="436"/>
      <c r="H4444" s="436" t="s">
        <v>1740</v>
      </c>
      <c r="I4444" s="447" t="s">
        <v>3240</v>
      </c>
      <c r="J4444" s="436" t="s">
        <v>1742</v>
      </c>
      <c r="K4444" s="448">
        <v>3774.4</v>
      </c>
    </row>
    <row r="4445" customHeight="1" spans="1:11">
      <c r="A4445" s="437"/>
      <c r="B4445" s="437"/>
      <c r="C4445" s="437"/>
      <c r="D4445" s="437"/>
      <c r="E4445" s="437"/>
      <c r="F4445" s="437"/>
      <c r="G4445" s="437"/>
      <c r="H4445" s="437"/>
      <c r="I4445" s="437"/>
      <c r="J4445" s="437"/>
      <c r="K4445" s="437"/>
    </row>
    <row r="4446" customHeight="1" spans="1:11">
      <c r="A4446" s="423" t="s">
        <v>1374</v>
      </c>
      <c r="B4446" s="424" t="s">
        <v>1714</v>
      </c>
      <c r="C4446" s="423" t="s">
        <v>1715</v>
      </c>
      <c r="D4446" s="423" t="s">
        <v>1716</v>
      </c>
      <c r="E4446" s="423" t="s">
        <v>1717</v>
      </c>
      <c r="F4446" s="423"/>
      <c r="G4446" s="425" t="s">
        <v>1718</v>
      </c>
      <c r="H4446" s="424" t="s">
        <v>1719</v>
      </c>
      <c r="I4446" s="424" t="s">
        <v>1720</v>
      </c>
      <c r="J4446" s="424" t="s">
        <v>1721</v>
      </c>
      <c r="K4446" s="424" t="s">
        <v>1722</v>
      </c>
    </row>
    <row r="4447" customHeight="1" spans="1:11">
      <c r="A4447" s="426" t="s">
        <v>1723</v>
      </c>
      <c r="B4447" s="427" t="s">
        <v>1375</v>
      </c>
      <c r="C4447" s="426" t="s">
        <v>71</v>
      </c>
      <c r="D4447" s="426" t="s">
        <v>1376</v>
      </c>
      <c r="E4447" s="426" t="s">
        <v>1667</v>
      </c>
      <c r="F4447" s="426"/>
      <c r="G4447" s="428" t="s">
        <v>78</v>
      </c>
      <c r="H4447" s="429">
        <v>1</v>
      </c>
      <c r="I4447" s="445"/>
      <c r="J4447" s="445">
        <v>5.6</v>
      </c>
      <c r="K4447" s="445">
        <v>5.6</v>
      </c>
    </row>
    <row r="4448" customHeight="1" spans="1:11">
      <c r="A4448" s="430" t="s">
        <v>1724</v>
      </c>
      <c r="B4448" s="431" t="s">
        <v>3081</v>
      </c>
      <c r="C4448" s="430" t="s">
        <v>71</v>
      </c>
      <c r="D4448" s="430" t="s">
        <v>3082</v>
      </c>
      <c r="E4448" s="430" t="s">
        <v>1708</v>
      </c>
      <c r="F4448" s="430"/>
      <c r="G4448" s="432" t="s">
        <v>82</v>
      </c>
      <c r="H4448" s="433">
        <v>0.083</v>
      </c>
      <c r="I4448" s="433">
        <v>0</v>
      </c>
      <c r="J4448" s="446">
        <v>38.02</v>
      </c>
      <c r="K4448" s="446">
        <v>3.15</v>
      </c>
    </row>
    <row r="4449" customHeight="1" spans="1:11">
      <c r="A4449" s="430" t="s">
        <v>1724</v>
      </c>
      <c r="B4449" s="431" t="s">
        <v>1745</v>
      </c>
      <c r="C4449" s="430" t="s">
        <v>71</v>
      </c>
      <c r="D4449" s="430" t="s">
        <v>1746</v>
      </c>
      <c r="E4449" s="430" t="s">
        <v>1708</v>
      </c>
      <c r="F4449" s="430"/>
      <c r="G4449" s="432" t="s">
        <v>82</v>
      </c>
      <c r="H4449" s="433">
        <v>0.035</v>
      </c>
      <c r="I4449" s="433">
        <v>0</v>
      </c>
      <c r="J4449" s="446">
        <v>29.15</v>
      </c>
      <c r="K4449" s="446">
        <v>1.02</v>
      </c>
    </row>
    <row r="4450" customHeight="1" spans="1:11">
      <c r="A4450" s="438" t="s">
        <v>1750</v>
      </c>
      <c r="B4450" s="439" t="s">
        <v>3096</v>
      </c>
      <c r="C4450" s="438" t="s">
        <v>71</v>
      </c>
      <c r="D4450" s="438" t="s">
        <v>3097</v>
      </c>
      <c r="E4450" s="438" t="s">
        <v>1631</v>
      </c>
      <c r="F4450" s="438"/>
      <c r="G4450" s="440" t="s">
        <v>105</v>
      </c>
      <c r="H4450" s="441">
        <v>0.04</v>
      </c>
      <c r="I4450" s="441">
        <v>0</v>
      </c>
      <c r="J4450" s="449">
        <v>12.54</v>
      </c>
      <c r="K4450" s="449">
        <v>0.5</v>
      </c>
    </row>
    <row r="4451" customHeight="1" spans="1:11">
      <c r="A4451" s="438" t="s">
        <v>1750</v>
      </c>
      <c r="B4451" s="439" t="s">
        <v>3241</v>
      </c>
      <c r="C4451" s="438" t="s">
        <v>71</v>
      </c>
      <c r="D4451" s="438" t="s">
        <v>3242</v>
      </c>
      <c r="E4451" s="438" t="s">
        <v>1631</v>
      </c>
      <c r="F4451" s="438"/>
      <c r="G4451" s="440" t="s">
        <v>1945</v>
      </c>
      <c r="H4451" s="441">
        <v>0.043</v>
      </c>
      <c r="I4451" s="441">
        <v>0</v>
      </c>
      <c r="J4451" s="449">
        <v>21.78</v>
      </c>
      <c r="K4451" s="449">
        <v>0.93</v>
      </c>
    </row>
    <row r="4452" customHeight="1" spans="1:11">
      <c r="A4452" s="434"/>
      <c r="B4452" s="434"/>
      <c r="C4452" s="434"/>
      <c r="D4452" s="434"/>
      <c r="E4452" s="434"/>
      <c r="F4452" s="434" t="s">
        <v>1735</v>
      </c>
      <c r="G4452" s="435">
        <v>1.48</v>
      </c>
      <c r="H4452" s="434" t="s">
        <v>1736</v>
      </c>
      <c r="I4452" s="435">
        <v>1.36</v>
      </c>
      <c r="J4452" s="434" t="s">
        <v>1737</v>
      </c>
      <c r="K4452" s="435">
        <v>2.84</v>
      </c>
    </row>
    <row r="4453" customHeight="1" spans="1:11">
      <c r="A4453" s="434"/>
      <c r="B4453" s="434"/>
      <c r="C4453" s="434"/>
      <c r="D4453" s="434"/>
      <c r="E4453" s="434"/>
      <c r="F4453" s="434" t="s">
        <v>1738</v>
      </c>
      <c r="G4453" s="435">
        <v>1.38</v>
      </c>
      <c r="H4453" s="434"/>
      <c r="I4453" s="434" t="s">
        <v>1739</v>
      </c>
      <c r="J4453" s="434"/>
      <c r="K4453" s="435">
        <v>6.98</v>
      </c>
    </row>
    <row r="4454" customHeight="1" spans="1:11">
      <c r="A4454" s="436"/>
      <c r="B4454" s="436"/>
      <c r="C4454" s="436"/>
      <c r="D4454" s="436"/>
      <c r="E4454" s="436"/>
      <c r="F4454" s="436"/>
      <c r="G4454" s="436"/>
      <c r="H4454" s="436" t="s">
        <v>1740</v>
      </c>
      <c r="I4454" s="447" t="s">
        <v>3243</v>
      </c>
      <c r="J4454" s="436" t="s">
        <v>1742</v>
      </c>
      <c r="K4454" s="448">
        <v>2194.79</v>
      </c>
    </row>
    <row r="4455" customHeight="1" spans="1:11">
      <c r="A4455" s="437"/>
      <c r="B4455" s="437"/>
      <c r="C4455" s="437"/>
      <c r="D4455" s="437"/>
      <c r="E4455" s="437"/>
      <c r="F4455" s="437"/>
      <c r="G4455" s="437"/>
      <c r="H4455" s="437"/>
      <c r="I4455" s="437"/>
      <c r="J4455" s="437"/>
      <c r="K4455" s="437"/>
    </row>
    <row r="4456" customHeight="1" spans="1:11">
      <c r="A4456" s="423" t="s">
        <v>1377</v>
      </c>
      <c r="B4456" s="424" t="s">
        <v>1714</v>
      </c>
      <c r="C4456" s="423" t="s">
        <v>1715</v>
      </c>
      <c r="D4456" s="423" t="s">
        <v>1716</v>
      </c>
      <c r="E4456" s="423" t="s">
        <v>1717</v>
      </c>
      <c r="F4456" s="423"/>
      <c r="G4456" s="425" t="s">
        <v>1718</v>
      </c>
      <c r="H4456" s="424" t="s">
        <v>1719</v>
      </c>
      <c r="I4456" s="424" t="s">
        <v>1720</v>
      </c>
      <c r="J4456" s="424" t="s">
        <v>1721</v>
      </c>
      <c r="K4456" s="424" t="s">
        <v>1722</v>
      </c>
    </row>
    <row r="4457" customHeight="1" spans="1:11">
      <c r="A4457" s="426" t="s">
        <v>1723</v>
      </c>
      <c r="B4457" s="427" t="s">
        <v>1378</v>
      </c>
      <c r="C4457" s="426" t="s">
        <v>76</v>
      </c>
      <c r="D4457" s="426" t="s">
        <v>1379</v>
      </c>
      <c r="E4457" s="426">
        <v>18</v>
      </c>
      <c r="F4457" s="426"/>
      <c r="G4457" s="428" t="s">
        <v>1380</v>
      </c>
      <c r="H4457" s="429">
        <v>1</v>
      </c>
      <c r="I4457" s="445"/>
      <c r="J4457" s="445">
        <v>427.39</v>
      </c>
      <c r="K4457" s="445">
        <v>427.39</v>
      </c>
    </row>
    <row r="4458" customHeight="1" spans="1:11">
      <c r="A4458" s="430" t="s">
        <v>1724</v>
      </c>
      <c r="B4458" s="431" t="s">
        <v>3244</v>
      </c>
      <c r="C4458" s="430" t="s">
        <v>76</v>
      </c>
      <c r="D4458" s="430" t="s">
        <v>3245</v>
      </c>
      <c r="E4458" s="430">
        <v>19</v>
      </c>
      <c r="F4458" s="430"/>
      <c r="G4458" s="432" t="s">
        <v>82</v>
      </c>
      <c r="H4458" s="433">
        <v>0.2</v>
      </c>
      <c r="I4458" s="433">
        <v>0</v>
      </c>
      <c r="J4458" s="446">
        <v>64.47</v>
      </c>
      <c r="K4458" s="446">
        <v>12.89</v>
      </c>
    </row>
    <row r="4459" customHeight="1" spans="1:11">
      <c r="A4459" s="430" t="s">
        <v>1724</v>
      </c>
      <c r="B4459" s="431" t="s">
        <v>3246</v>
      </c>
      <c r="C4459" s="430" t="s">
        <v>76</v>
      </c>
      <c r="D4459" s="430" t="s">
        <v>3247</v>
      </c>
      <c r="E4459" s="430">
        <v>19</v>
      </c>
      <c r="F4459" s="430"/>
      <c r="G4459" s="432" t="s">
        <v>82</v>
      </c>
      <c r="H4459" s="433">
        <v>0.2</v>
      </c>
      <c r="I4459" s="433">
        <v>0</v>
      </c>
      <c r="J4459" s="446">
        <v>170.13</v>
      </c>
      <c r="K4459" s="446">
        <v>34.02</v>
      </c>
    </row>
    <row r="4460" customHeight="1" spans="1:11">
      <c r="A4460" s="438" t="s">
        <v>1750</v>
      </c>
      <c r="B4460" s="439" t="s">
        <v>1767</v>
      </c>
      <c r="C4460" s="438" t="s">
        <v>76</v>
      </c>
      <c r="D4460" s="438" t="s">
        <v>1768</v>
      </c>
      <c r="E4460" s="438" t="s">
        <v>1764</v>
      </c>
      <c r="F4460" s="438"/>
      <c r="G4460" s="440" t="s">
        <v>82</v>
      </c>
      <c r="H4460" s="441">
        <v>1.26</v>
      </c>
      <c r="I4460" s="441">
        <v>3</v>
      </c>
      <c r="J4460" s="449">
        <v>19.16</v>
      </c>
      <c r="K4460" s="449">
        <v>24.86</v>
      </c>
    </row>
    <row r="4461" customHeight="1" spans="1:11">
      <c r="A4461" s="438" t="s">
        <v>1750</v>
      </c>
      <c r="B4461" s="439" t="s">
        <v>2798</v>
      </c>
      <c r="C4461" s="438" t="s">
        <v>76</v>
      </c>
      <c r="D4461" s="438" t="s">
        <v>2799</v>
      </c>
      <c r="E4461" s="438" t="s">
        <v>1631</v>
      </c>
      <c r="F4461" s="438"/>
      <c r="G4461" s="440" t="s">
        <v>105</v>
      </c>
      <c r="H4461" s="441">
        <v>2</v>
      </c>
      <c r="I4461" s="441">
        <v>0</v>
      </c>
      <c r="J4461" s="449">
        <v>17.58</v>
      </c>
      <c r="K4461" s="449">
        <v>35.16</v>
      </c>
    </row>
    <row r="4462" customHeight="1" spans="1:11">
      <c r="A4462" s="438" t="s">
        <v>1750</v>
      </c>
      <c r="B4462" s="439" t="s">
        <v>3248</v>
      </c>
      <c r="C4462" s="438" t="s">
        <v>76</v>
      </c>
      <c r="D4462" s="438" t="s">
        <v>3249</v>
      </c>
      <c r="E4462" s="438" t="s">
        <v>1631</v>
      </c>
      <c r="F4462" s="438"/>
      <c r="G4462" s="440" t="s">
        <v>105</v>
      </c>
      <c r="H4462" s="441">
        <v>2</v>
      </c>
      <c r="I4462" s="441">
        <v>0</v>
      </c>
      <c r="J4462" s="449">
        <v>71.99</v>
      </c>
      <c r="K4462" s="449">
        <v>143.98</v>
      </c>
    </row>
    <row r="4463" customHeight="1" spans="1:11">
      <c r="A4463" s="438" t="s">
        <v>1750</v>
      </c>
      <c r="B4463" s="439" t="s">
        <v>2660</v>
      </c>
      <c r="C4463" s="438" t="s">
        <v>76</v>
      </c>
      <c r="D4463" s="438" t="s">
        <v>2661</v>
      </c>
      <c r="E4463" s="438" t="s">
        <v>1764</v>
      </c>
      <c r="F4463" s="438"/>
      <c r="G4463" s="440" t="s">
        <v>82</v>
      </c>
      <c r="H4463" s="441">
        <v>1.26</v>
      </c>
      <c r="I4463" s="441">
        <v>3</v>
      </c>
      <c r="J4463" s="449">
        <v>26.52</v>
      </c>
      <c r="K4463" s="449">
        <v>34.41</v>
      </c>
    </row>
    <row r="4464" customHeight="1" spans="1:11">
      <c r="A4464" s="438" t="s">
        <v>1750</v>
      </c>
      <c r="B4464" s="439" t="s">
        <v>3250</v>
      </c>
      <c r="C4464" s="438" t="s">
        <v>76</v>
      </c>
      <c r="D4464" s="438" t="s">
        <v>3251</v>
      </c>
      <c r="E4464" s="438" t="s">
        <v>1631</v>
      </c>
      <c r="F4464" s="438"/>
      <c r="G4464" s="440" t="s">
        <v>105</v>
      </c>
      <c r="H4464" s="441">
        <v>1</v>
      </c>
      <c r="I4464" s="441">
        <v>0</v>
      </c>
      <c r="J4464" s="449">
        <v>142.07</v>
      </c>
      <c r="K4464" s="449">
        <v>142.07</v>
      </c>
    </row>
    <row r="4465" customHeight="1" spans="1:11">
      <c r="A4465" s="434"/>
      <c r="B4465" s="434"/>
      <c r="C4465" s="434"/>
      <c r="D4465" s="434"/>
      <c r="E4465" s="434"/>
      <c r="F4465" s="434" t="s">
        <v>1735</v>
      </c>
      <c r="G4465" s="435">
        <v>37.85</v>
      </c>
      <c r="H4465" s="434" t="s">
        <v>1736</v>
      </c>
      <c r="I4465" s="435">
        <v>34.38</v>
      </c>
      <c r="J4465" s="434" t="s">
        <v>1737</v>
      </c>
      <c r="K4465" s="435">
        <v>72.23</v>
      </c>
    </row>
    <row r="4466" customHeight="1" spans="1:11">
      <c r="A4466" s="434"/>
      <c r="B4466" s="434"/>
      <c r="C4466" s="434"/>
      <c r="D4466" s="434"/>
      <c r="E4466" s="434"/>
      <c r="F4466" s="434" t="s">
        <v>1738</v>
      </c>
      <c r="G4466" s="435">
        <v>105.39</v>
      </c>
      <c r="H4466" s="434"/>
      <c r="I4466" s="434" t="s">
        <v>1739</v>
      </c>
      <c r="J4466" s="434"/>
      <c r="K4466" s="435">
        <v>532.78</v>
      </c>
    </row>
    <row r="4467" customHeight="1" spans="1:11">
      <c r="A4467" s="436"/>
      <c r="B4467" s="436"/>
      <c r="C4467" s="436"/>
      <c r="D4467" s="436"/>
      <c r="E4467" s="436"/>
      <c r="F4467" s="436"/>
      <c r="G4467" s="436"/>
      <c r="H4467" s="436" t="s">
        <v>1740</v>
      </c>
      <c r="I4467" s="447" t="s">
        <v>2339</v>
      </c>
      <c r="J4467" s="436" t="s">
        <v>1742</v>
      </c>
      <c r="K4467" s="448">
        <v>1598.34</v>
      </c>
    </row>
    <row r="4468" customHeight="1" spans="1:11">
      <c r="A4468" s="437"/>
      <c r="B4468" s="437"/>
      <c r="C4468" s="437"/>
      <c r="D4468" s="437"/>
      <c r="E4468" s="437"/>
      <c r="F4468" s="437"/>
      <c r="G4468" s="437"/>
      <c r="H4468" s="437"/>
      <c r="I4468" s="437"/>
      <c r="J4468" s="437"/>
      <c r="K4468" s="437"/>
    </row>
    <row r="4469" customHeight="1" spans="1:11">
      <c r="A4469" s="423" t="s">
        <v>1381</v>
      </c>
      <c r="B4469" s="424" t="s">
        <v>1714</v>
      </c>
      <c r="C4469" s="423" t="s">
        <v>1715</v>
      </c>
      <c r="D4469" s="423" t="s">
        <v>1716</v>
      </c>
      <c r="E4469" s="423" t="s">
        <v>1717</v>
      </c>
      <c r="F4469" s="423"/>
      <c r="G4469" s="425" t="s">
        <v>1718</v>
      </c>
      <c r="H4469" s="424" t="s">
        <v>1719</v>
      </c>
      <c r="I4469" s="424" t="s">
        <v>1720</v>
      </c>
      <c r="J4469" s="424" t="s">
        <v>1721</v>
      </c>
      <c r="K4469" s="424" t="s">
        <v>1722</v>
      </c>
    </row>
    <row r="4470" customHeight="1" spans="1:11">
      <c r="A4470" s="426" t="s">
        <v>1723</v>
      </c>
      <c r="B4470" s="427" t="s">
        <v>1382</v>
      </c>
      <c r="C4470" s="426" t="s">
        <v>76</v>
      </c>
      <c r="D4470" s="426" t="s">
        <v>1383</v>
      </c>
      <c r="E4470" s="426">
        <v>18</v>
      </c>
      <c r="F4470" s="426"/>
      <c r="G4470" s="428" t="s">
        <v>105</v>
      </c>
      <c r="H4470" s="429">
        <v>1</v>
      </c>
      <c r="I4470" s="445"/>
      <c r="J4470" s="445">
        <v>301.39</v>
      </c>
      <c r="K4470" s="445">
        <v>301.39</v>
      </c>
    </row>
    <row r="4471" customHeight="1" spans="1:11">
      <c r="A4471" s="430" t="s">
        <v>1724</v>
      </c>
      <c r="B4471" s="431" t="s">
        <v>3244</v>
      </c>
      <c r="C4471" s="430" t="s">
        <v>76</v>
      </c>
      <c r="D4471" s="430" t="s">
        <v>3245</v>
      </c>
      <c r="E4471" s="430">
        <v>19</v>
      </c>
      <c r="F4471" s="430"/>
      <c r="G4471" s="432" t="s">
        <v>82</v>
      </c>
      <c r="H4471" s="433">
        <v>0.2</v>
      </c>
      <c r="I4471" s="433">
        <v>0</v>
      </c>
      <c r="J4471" s="446">
        <v>64.47</v>
      </c>
      <c r="K4471" s="446">
        <v>12.89</v>
      </c>
    </row>
    <row r="4472" customHeight="1" spans="1:11">
      <c r="A4472" s="430" t="s">
        <v>1724</v>
      </c>
      <c r="B4472" s="431" t="s">
        <v>3246</v>
      </c>
      <c r="C4472" s="430" t="s">
        <v>76</v>
      </c>
      <c r="D4472" s="430" t="s">
        <v>3247</v>
      </c>
      <c r="E4472" s="430">
        <v>19</v>
      </c>
      <c r="F4472" s="430"/>
      <c r="G4472" s="432" t="s">
        <v>82</v>
      </c>
      <c r="H4472" s="433">
        <v>0.2</v>
      </c>
      <c r="I4472" s="433">
        <v>0</v>
      </c>
      <c r="J4472" s="446">
        <v>170.13</v>
      </c>
      <c r="K4472" s="446">
        <v>34.02</v>
      </c>
    </row>
    <row r="4473" customHeight="1" spans="1:11">
      <c r="A4473" s="438" t="s">
        <v>1750</v>
      </c>
      <c r="B4473" s="439" t="s">
        <v>3252</v>
      </c>
      <c r="C4473" s="438" t="s">
        <v>76</v>
      </c>
      <c r="D4473" s="438" t="s">
        <v>3253</v>
      </c>
      <c r="E4473" s="438" t="s">
        <v>1631</v>
      </c>
      <c r="F4473" s="438"/>
      <c r="G4473" s="440" t="s">
        <v>105</v>
      </c>
      <c r="H4473" s="441">
        <v>1</v>
      </c>
      <c r="I4473" s="441">
        <v>0</v>
      </c>
      <c r="J4473" s="449">
        <v>108.46</v>
      </c>
      <c r="K4473" s="449">
        <v>108.46</v>
      </c>
    </row>
    <row r="4474" customHeight="1" spans="1:11">
      <c r="A4474" s="438" t="s">
        <v>1750</v>
      </c>
      <c r="B4474" s="439" t="s">
        <v>3248</v>
      </c>
      <c r="C4474" s="438" t="s">
        <v>76</v>
      </c>
      <c r="D4474" s="438" t="s">
        <v>3249</v>
      </c>
      <c r="E4474" s="438" t="s">
        <v>1631</v>
      </c>
      <c r="F4474" s="438"/>
      <c r="G4474" s="440" t="s">
        <v>105</v>
      </c>
      <c r="H4474" s="441">
        <v>1</v>
      </c>
      <c r="I4474" s="441">
        <v>0</v>
      </c>
      <c r="J4474" s="449">
        <v>71.99</v>
      </c>
      <c r="K4474" s="449">
        <v>71.99</v>
      </c>
    </row>
    <row r="4475" customHeight="1" spans="1:11">
      <c r="A4475" s="438" t="s">
        <v>1750</v>
      </c>
      <c r="B4475" s="439" t="s">
        <v>2798</v>
      </c>
      <c r="C4475" s="438" t="s">
        <v>76</v>
      </c>
      <c r="D4475" s="438" t="s">
        <v>2799</v>
      </c>
      <c r="E4475" s="438" t="s">
        <v>1631</v>
      </c>
      <c r="F4475" s="438"/>
      <c r="G4475" s="440" t="s">
        <v>105</v>
      </c>
      <c r="H4475" s="441">
        <v>1</v>
      </c>
      <c r="I4475" s="441">
        <v>0</v>
      </c>
      <c r="J4475" s="449">
        <v>17.58</v>
      </c>
      <c r="K4475" s="449">
        <v>17.58</v>
      </c>
    </row>
    <row r="4476" customHeight="1" spans="1:11">
      <c r="A4476" s="438" t="s">
        <v>1750</v>
      </c>
      <c r="B4476" s="439" t="s">
        <v>2660</v>
      </c>
      <c r="C4476" s="438" t="s">
        <v>76</v>
      </c>
      <c r="D4476" s="438" t="s">
        <v>2661</v>
      </c>
      <c r="E4476" s="438" t="s">
        <v>1764</v>
      </c>
      <c r="F4476" s="438"/>
      <c r="G4476" s="440" t="s">
        <v>82</v>
      </c>
      <c r="H4476" s="441">
        <v>1.2</v>
      </c>
      <c r="I4476" s="441">
        <v>3</v>
      </c>
      <c r="J4476" s="449">
        <v>26.52</v>
      </c>
      <c r="K4476" s="449">
        <v>32.77</v>
      </c>
    </row>
    <row r="4477" customHeight="1" spans="1:11">
      <c r="A4477" s="438" t="s">
        <v>1750</v>
      </c>
      <c r="B4477" s="439" t="s">
        <v>1767</v>
      </c>
      <c r="C4477" s="438" t="s">
        <v>76</v>
      </c>
      <c r="D4477" s="438" t="s">
        <v>1768</v>
      </c>
      <c r="E4477" s="438" t="s">
        <v>1764</v>
      </c>
      <c r="F4477" s="438"/>
      <c r="G4477" s="440" t="s">
        <v>82</v>
      </c>
      <c r="H4477" s="441">
        <v>1.2</v>
      </c>
      <c r="I4477" s="441">
        <v>3</v>
      </c>
      <c r="J4477" s="449">
        <v>19.16</v>
      </c>
      <c r="K4477" s="449">
        <v>23.68</v>
      </c>
    </row>
    <row r="4478" customHeight="1" spans="1:11">
      <c r="A4478" s="434"/>
      <c r="B4478" s="434"/>
      <c r="C4478" s="434"/>
      <c r="D4478" s="434"/>
      <c r="E4478" s="434"/>
      <c r="F4478" s="434" t="s">
        <v>1735</v>
      </c>
      <c r="G4478" s="435">
        <v>36.37</v>
      </c>
      <c r="H4478" s="434" t="s">
        <v>1736</v>
      </c>
      <c r="I4478" s="435">
        <v>33.04</v>
      </c>
      <c r="J4478" s="434" t="s">
        <v>1737</v>
      </c>
      <c r="K4478" s="435">
        <v>69.41</v>
      </c>
    </row>
    <row r="4479" customHeight="1" spans="1:11">
      <c r="A4479" s="434"/>
      <c r="B4479" s="434"/>
      <c r="C4479" s="434"/>
      <c r="D4479" s="434"/>
      <c r="E4479" s="434"/>
      <c r="F4479" s="434" t="s">
        <v>1738</v>
      </c>
      <c r="G4479" s="435">
        <v>74.32</v>
      </c>
      <c r="H4479" s="434"/>
      <c r="I4479" s="434" t="s">
        <v>1739</v>
      </c>
      <c r="J4479" s="434"/>
      <c r="K4479" s="435">
        <v>375.71</v>
      </c>
    </row>
    <row r="4480" customHeight="1" spans="1:11">
      <c r="A4480" s="436"/>
      <c r="B4480" s="436"/>
      <c r="C4480" s="436"/>
      <c r="D4480" s="436"/>
      <c r="E4480" s="436"/>
      <c r="F4480" s="436"/>
      <c r="G4480" s="436"/>
      <c r="H4480" s="436" t="s">
        <v>1740</v>
      </c>
      <c r="I4480" s="447" t="s">
        <v>2605</v>
      </c>
      <c r="J4480" s="436" t="s">
        <v>1742</v>
      </c>
      <c r="K4480" s="448">
        <v>6387.07</v>
      </c>
    </row>
    <row r="4481" customHeight="1" spans="1:11">
      <c r="A4481" s="437"/>
      <c r="B4481" s="437"/>
      <c r="C4481" s="437"/>
      <c r="D4481" s="437"/>
      <c r="E4481" s="437"/>
      <c r="F4481" s="437"/>
      <c r="G4481" s="437"/>
      <c r="H4481" s="437"/>
      <c r="I4481" s="437"/>
      <c r="J4481" s="437"/>
      <c r="K4481" s="437"/>
    </row>
    <row r="4482" customHeight="1" spans="1:11">
      <c r="A4482" s="423" t="s">
        <v>1384</v>
      </c>
      <c r="B4482" s="424" t="s">
        <v>1714</v>
      </c>
      <c r="C4482" s="423" t="s">
        <v>1715</v>
      </c>
      <c r="D4482" s="423" t="s">
        <v>1716</v>
      </c>
      <c r="E4482" s="423" t="s">
        <v>1717</v>
      </c>
      <c r="F4482" s="423"/>
      <c r="G4482" s="425" t="s">
        <v>1718</v>
      </c>
      <c r="H4482" s="424" t="s">
        <v>1719</v>
      </c>
      <c r="I4482" s="424" t="s">
        <v>1720</v>
      </c>
      <c r="J4482" s="424" t="s">
        <v>1721</v>
      </c>
      <c r="K4482" s="424" t="s">
        <v>1722</v>
      </c>
    </row>
    <row r="4483" customHeight="1" spans="1:11">
      <c r="A4483" s="426" t="s">
        <v>1723</v>
      </c>
      <c r="B4483" s="427" t="s">
        <v>1385</v>
      </c>
      <c r="C4483" s="426" t="s">
        <v>76</v>
      </c>
      <c r="D4483" s="426" t="s">
        <v>1386</v>
      </c>
      <c r="E4483" s="426">
        <v>9</v>
      </c>
      <c r="F4483" s="426"/>
      <c r="G4483" s="428" t="s">
        <v>78</v>
      </c>
      <c r="H4483" s="429">
        <v>1</v>
      </c>
      <c r="I4483" s="445"/>
      <c r="J4483" s="445">
        <v>266.83</v>
      </c>
      <c r="K4483" s="445">
        <v>266.83</v>
      </c>
    </row>
    <row r="4484" customHeight="1" spans="1:11">
      <c r="A4484" s="430" t="s">
        <v>1724</v>
      </c>
      <c r="B4484" s="431" t="s">
        <v>3254</v>
      </c>
      <c r="C4484" s="430" t="s">
        <v>76</v>
      </c>
      <c r="D4484" s="430" t="s">
        <v>3255</v>
      </c>
      <c r="E4484" s="430">
        <v>11</v>
      </c>
      <c r="F4484" s="430"/>
      <c r="G4484" s="432" t="s">
        <v>129</v>
      </c>
      <c r="H4484" s="433">
        <v>0.065</v>
      </c>
      <c r="I4484" s="433">
        <v>0</v>
      </c>
      <c r="J4484" s="446">
        <v>143.52</v>
      </c>
      <c r="K4484" s="446">
        <v>9.32</v>
      </c>
    </row>
    <row r="4485" customHeight="1" spans="1:11">
      <c r="A4485" s="430" t="s">
        <v>1724</v>
      </c>
      <c r="B4485" s="431" t="s">
        <v>2691</v>
      </c>
      <c r="C4485" s="430" t="s">
        <v>76</v>
      </c>
      <c r="D4485" s="430" t="s">
        <v>2692</v>
      </c>
      <c r="E4485" s="430">
        <v>11</v>
      </c>
      <c r="F4485" s="430"/>
      <c r="G4485" s="432" t="s">
        <v>129</v>
      </c>
      <c r="H4485" s="433">
        <v>0.065</v>
      </c>
      <c r="I4485" s="433">
        <v>0</v>
      </c>
      <c r="J4485" s="446">
        <v>382.58</v>
      </c>
      <c r="K4485" s="446">
        <v>24.86</v>
      </c>
    </row>
    <row r="4486" customHeight="1" spans="1:11">
      <c r="A4486" s="430" t="s">
        <v>1724</v>
      </c>
      <c r="B4486" s="431" t="s">
        <v>3256</v>
      </c>
      <c r="C4486" s="430" t="s">
        <v>76</v>
      </c>
      <c r="D4486" s="430" t="s">
        <v>3257</v>
      </c>
      <c r="E4486" s="430">
        <v>11</v>
      </c>
      <c r="F4486" s="430"/>
      <c r="G4486" s="432" t="s">
        <v>73</v>
      </c>
      <c r="H4486" s="433">
        <v>0.77</v>
      </c>
      <c r="I4486" s="433">
        <v>0</v>
      </c>
      <c r="J4486" s="446">
        <v>96.84</v>
      </c>
      <c r="K4486" s="446">
        <v>74.56</v>
      </c>
    </row>
    <row r="4487" customHeight="1" spans="1:11">
      <c r="A4487" s="430" t="s">
        <v>1724</v>
      </c>
      <c r="B4487" s="431" t="s">
        <v>3258</v>
      </c>
      <c r="C4487" s="430" t="s">
        <v>76</v>
      </c>
      <c r="D4487" s="430" t="s">
        <v>3259</v>
      </c>
      <c r="E4487" s="430">
        <v>11</v>
      </c>
      <c r="F4487" s="430"/>
      <c r="G4487" s="432" t="s">
        <v>129</v>
      </c>
      <c r="H4487" s="433">
        <v>0.065</v>
      </c>
      <c r="I4487" s="433">
        <v>0</v>
      </c>
      <c r="J4487" s="446">
        <v>94.69</v>
      </c>
      <c r="K4487" s="446">
        <v>6.15</v>
      </c>
    </row>
    <row r="4488" customHeight="1" spans="1:11">
      <c r="A4488" s="438" t="s">
        <v>1750</v>
      </c>
      <c r="B4488" s="439" t="s">
        <v>1767</v>
      </c>
      <c r="C4488" s="438" t="s">
        <v>76</v>
      </c>
      <c r="D4488" s="438" t="s">
        <v>1768</v>
      </c>
      <c r="E4488" s="438" t="s">
        <v>1764</v>
      </c>
      <c r="F4488" s="438"/>
      <c r="G4488" s="440" t="s">
        <v>82</v>
      </c>
      <c r="H4488" s="441">
        <v>2.7</v>
      </c>
      <c r="I4488" s="441">
        <v>3</v>
      </c>
      <c r="J4488" s="449">
        <v>19.16</v>
      </c>
      <c r="K4488" s="449">
        <v>53.28</v>
      </c>
    </row>
    <row r="4489" customHeight="1" spans="1:11">
      <c r="A4489" s="438" t="s">
        <v>1750</v>
      </c>
      <c r="B4489" s="439" t="s">
        <v>2149</v>
      </c>
      <c r="C4489" s="438" t="s">
        <v>76</v>
      </c>
      <c r="D4489" s="438" t="s">
        <v>2150</v>
      </c>
      <c r="E4489" s="438" t="s">
        <v>1764</v>
      </c>
      <c r="F4489" s="438"/>
      <c r="G4489" s="440" t="s">
        <v>82</v>
      </c>
      <c r="H4489" s="441">
        <v>1</v>
      </c>
      <c r="I4489" s="441">
        <v>3</v>
      </c>
      <c r="J4489" s="449">
        <v>26.52</v>
      </c>
      <c r="K4489" s="449">
        <v>27.31</v>
      </c>
    </row>
    <row r="4490" customHeight="1" spans="1:11">
      <c r="A4490" s="438" t="s">
        <v>1750</v>
      </c>
      <c r="B4490" s="439" t="s">
        <v>2693</v>
      </c>
      <c r="C4490" s="438" t="s">
        <v>76</v>
      </c>
      <c r="D4490" s="438" t="s">
        <v>2694</v>
      </c>
      <c r="E4490" s="438" t="s">
        <v>1631</v>
      </c>
      <c r="F4490" s="438"/>
      <c r="G4490" s="440" t="s">
        <v>158</v>
      </c>
      <c r="H4490" s="441">
        <v>4.7</v>
      </c>
      <c r="I4490" s="441">
        <v>0</v>
      </c>
      <c r="J4490" s="449">
        <v>9.21</v>
      </c>
      <c r="K4490" s="449">
        <v>43.28</v>
      </c>
    </row>
    <row r="4491" customHeight="1" spans="1:11">
      <c r="A4491" s="438" t="s">
        <v>1750</v>
      </c>
      <c r="B4491" s="439" t="s">
        <v>1769</v>
      </c>
      <c r="C4491" s="438" t="s">
        <v>76</v>
      </c>
      <c r="D4491" s="438" t="s">
        <v>1770</v>
      </c>
      <c r="E4491" s="438" t="s">
        <v>1631</v>
      </c>
      <c r="F4491" s="438"/>
      <c r="G4491" s="440" t="s">
        <v>158</v>
      </c>
      <c r="H4491" s="441">
        <v>0.05</v>
      </c>
      <c r="I4491" s="441">
        <v>0</v>
      </c>
      <c r="J4491" s="449">
        <v>15.35</v>
      </c>
      <c r="K4491" s="449">
        <v>0.76</v>
      </c>
    </row>
    <row r="4492" customHeight="1" spans="1:11">
      <c r="A4492" s="438" t="s">
        <v>1750</v>
      </c>
      <c r="B4492" s="439" t="s">
        <v>3260</v>
      </c>
      <c r="C4492" s="438" t="s">
        <v>76</v>
      </c>
      <c r="D4492" s="438" t="s">
        <v>3261</v>
      </c>
      <c r="E4492" s="438" t="s">
        <v>1764</v>
      </c>
      <c r="F4492" s="438"/>
      <c r="G4492" s="440" t="s">
        <v>82</v>
      </c>
      <c r="H4492" s="441">
        <v>1</v>
      </c>
      <c r="I4492" s="441">
        <v>3</v>
      </c>
      <c r="J4492" s="449">
        <v>26.52</v>
      </c>
      <c r="K4492" s="449">
        <v>27.31</v>
      </c>
    </row>
    <row r="4493" customHeight="1" spans="1:11">
      <c r="A4493" s="434"/>
      <c r="B4493" s="434"/>
      <c r="C4493" s="434"/>
      <c r="D4493" s="434"/>
      <c r="E4493" s="434"/>
      <c r="F4493" s="434" t="s">
        <v>1735</v>
      </c>
      <c r="G4493" s="435">
        <v>95.3</v>
      </c>
      <c r="H4493" s="434" t="s">
        <v>1736</v>
      </c>
      <c r="I4493" s="435">
        <v>86.58</v>
      </c>
      <c r="J4493" s="434" t="s">
        <v>1737</v>
      </c>
      <c r="K4493" s="435">
        <v>181.88</v>
      </c>
    </row>
    <row r="4494" customHeight="1" spans="1:11">
      <c r="A4494" s="434"/>
      <c r="B4494" s="434"/>
      <c r="C4494" s="434"/>
      <c r="D4494" s="434"/>
      <c r="E4494" s="434"/>
      <c r="F4494" s="434" t="s">
        <v>1738</v>
      </c>
      <c r="G4494" s="435">
        <v>65.8</v>
      </c>
      <c r="H4494" s="434"/>
      <c r="I4494" s="434" t="s">
        <v>1739</v>
      </c>
      <c r="J4494" s="434"/>
      <c r="K4494" s="435">
        <v>332.63</v>
      </c>
    </row>
    <row r="4495" customHeight="1" spans="1:11">
      <c r="A4495" s="436"/>
      <c r="B4495" s="436"/>
      <c r="C4495" s="436"/>
      <c r="D4495" s="436"/>
      <c r="E4495" s="436"/>
      <c r="F4495" s="436"/>
      <c r="G4495" s="436"/>
      <c r="H4495" s="436" t="s">
        <v>1740</v>
      </c>
      <c r="I4495" s="447" t="s">
        <v>3262</v>
      </c>
      <c r="J4495" s="436" t="s">
        <v>1742</v>
      </c>
      <c r="K4495" s="448">
        <v>12207.52</v>
      </c>
    </row>
    <row r="4496" customHeight="1" spans="1:11">
      <c r="A4496" s="437"/>
      <c r="B4496" s="437"/>
      <c r="C4496" s="437"/>
      <c r="D4496" s="437"/>
      <c r="E4496" s="437"/>
      <c r="F4496" s="437"/>
      <c r="G4496" s="437"/>
      <c r="H4496" s="437"/>
      <c r="I4496" s="437"/>
      <c r="J4496" s="437"/>
      <c r="K4496" s="437"/>
    </row>
    <row r="4497" customHeight="1" spans="1:11">
      <c r="A4497" s="423" t="s">
        <v>1387</v>
      </c>
      <c r="B4497" s="424" t="s">
        <v>1714</v>
      </c>
      <c r="C4497" s="423" t="s">
        <v>1715</v>
      </c>
      <c r="D4497" s="423" t="s">
        <v>1716</v>
      </c>
      <c r="E4497" s="423" t="s">
        <v>1717</v>
      </c>
      <c r="F4497" s="423"/>
      <c r="G4497" s="425" t="s">
        <v>1718</v>
      </c>
      <c r="H4497" s="424" t="s">
        <v>1719</v>
      </c>
      <c r="I4497" s="424" t="s">
        <v>1720</v>
      </c>
      <c r="J4497" s="424" t="s">
        <v>1721</v>
      </c>
      <c r="K4497" s="424" t="s">
        <v>1722</v>
      </c>
    </row>
    <row r="4498" customHeight="1" spans="1:11">
      <c r="A4498" s="426" t="s">
        <v>1723</v>
      </c>
      <c r="B4498" s="427" t="s">
        <v>1388</v>
      </c>
      <c r="C4498" s="426" t="s">
        <v>65</v>
      </c>
      <c r="D4498" s="426" t="s">
        <v>1389</v>
      </c>
      <c r="E4498" s="426" t="s">
        <v>62</v>
      </c>
      <c r="F4498" s="426"/>
      <c r="G4498" s="428" t="s">
        <v>67</v>
      </c>
      <c r="H4498" s="429">
        <v>1</v>
      </c>
      <c r="I4498" s="445"/>
      <c r="J4498" s="445">
        <v>590.23</v>
      </c>
      <c r="K4498" s="445">
        <v>590.23</v>
      </c>
    </row>
    <row r="4499" customHeight="1" spans="1:11">
      <c r="A4499" s="430" t="s">
        <v>1724</v>
      </c>
      <c r="B4499" s="431" t="s">
        <v>1745</v>
      </c>
      <c r="C4499" s="430" t="s">
        <v>71</v>
      </c>
      <c r="D4499" s="430" t="s">
        <v>1746</v>
      </c>
      <c r="E4499" s="430" t="s">
        <v>1708</v>
      </c>
      <c r="F4499" s="430"/>
      <c r="G4499" s="432" t="s">
        <v>82</v>
      </c>
      <c r="H4499" s="433">
        <v>1.2148</v>
      </c>
      <c r="I4499" s="433">
        <v>0</v>
      </c>
      <c r="J4499" s="446">
        <v>29.15</v>
      </c>
      <c r="K4499" s="446">
        <v>35.41</v>
      </c>
    </row>
    <row r="4500" customHeight="1" spans="1:11">
      <c r="A4500" s="430" t="s">
        <v>1724</v>
      </c>
      <c r="B4500" s="431" t="s">
        <v>1936</v>
      </c>
      <c r="C4500" s="430" t="s">
        <v>71</v>
      </c>
      <c r="D4500" s="430" t="s">
        <v>1937</v>
      </c>
      <c r="E4500" s="430" t="s">
        <v>1708</v>
      </c>
      <c r="F4500" s="430"/>
      <c r="G4500" s="432" t="s">
        <v>82</v>
      </c>
      <c r="H4500" s="433">
        <v>0.6074</v>
      </c>
      <c r="I4500" s="433">
        <v>0</v>
      </c>
      <c r="J4500" s="446">
        <v>36.96</v>
      </c>
      <c r="K4500" s="446">
        <v>22.44</v>
      </c>
    </row>
    <row r="4501" customHeight="1" spans="1:11">
      <c r="A4501" s="438" t="s">
        <v>1750</v>
      </c>
      <c r="B4501" s="439" t="s">
        <v>3263</v>
      </c>
      <c r="C4501" s="438" t="s">
        <v>71</v>
      </c>
      <c r="D4501" s="438" t="s">
        <v>3264</v>
      </c>
      <c r="E4501" s="438" t="s">
        <v>1631</v>
      </c>
      <c r="F4501" s="438"/>
      <c r="G4501" s="440" t="s">
        <v>129</v>
      </c>
      <c r="H4501" s="441">
        <v>0.0333</v>
      </c>
      <c r="I4501" s="441">
        <v>0</v>
      </c>
      <c r="J4501" s="449">
        <v>108.75</v>
      </c>
      <c r="K4501" s="449">
        <v>3.62</v>
      </c>
    </row>
    <row r="4502" customHeight="1" spans="1:11">
      <c r="A4502" s="438" t="s">
        <v>1750</v>
      </c>
      <c r="B4502" s="439" t="s">
        <v>3265</v>
      </c>
      <c r="C4502" s="438" t="s">
        <v>71</v>
      </c>
      <c r="D4502" s="438" t="s">
        <v>3266</v>
      </c>
      <c r="E4502" s="438" t="s">
        <v>1631</v>
      </c>
      <c r="F4502" s="438"/>
      <c r="G4502" s="440" t="s">
        <v>105</v>
      </c>
      <c r="H4502" s="441">
        <v>1</v>
      </c>
      <c r="I4502" s="441">
        <v>0</v>
      </c>
      <c r="J4502" s="449">
        <v>515.18</v>
      </c>
      <c r="K4502" s="449">
        <v>515.18</v>
      </c>
    </row>
    <row r="4503" customHeight="1" spans="1:11">
      <c r="A4503" s="438" t="s">
        <v>1750</v>
      </c>
      <c r="B4503" s="439" t="s">
        <v>2117</v>
      </c>
      <c r="C4503" s="438" t="s">
        <v>71</v>
      </c>
      <c r="D4503" s="438" t="s">
        <v>2118</v>
      </c>
      <c r="E4503" s="438" t="s">
        <v>1631</v>
      </c>
      <c r="F4503" s="438"/>
      <c r="G4503" s="440" t="s">
        <v>158</v>
      </c>
      <c r="H4503" s="441">
        <v>15.9726</v>
      </c>
      <c r="I4503" s="441">
        <v>0</v>
      </c>
      <c r="J4503" s="449">
        <v>0.64</v>
      </c>
      <c r="K4503" s="449">
        <v>10.22</v>
      </c>
    </row>
    <row r="4504" customHeight="1" spans="1:11">
      <c r="A4504" s="438" t="s">
        <v>1750</v>
      </c>
      <c r="B4504" s="439" t="s">
        <v>3231</v>
      </c>
      <c r="C4504" s="438" t="s">
        <v>71</v>
      </c>
      <c r="D4504" s="438" t="s">
        <v>3232</v>
      </c>
      <c r="E4504" s="438" t="s">
        <v>1631</v>
      </c>
      <c r="F4504" s="438"/>
      <c r="G4504" s="440" t="s">
        <v>129</v>
      </c>
      <c r="H4504" s="441">
        <v>0.0374</v>
      </c>
      <c r="I4504" s="441">
        <v>0</v>
      </c>
      <c r="J4504" s="449">
        <v>90</v>
      </c>
      <c r="K4504" s="449">
        <v>3.36</v>
      </c>
    </row>
    <row r="4505" customHeight="1" spans="1:11">
      <c r="A4505" s="434"/>
      <c r="B4505" s="434"/>
      <c r="C4505" s="434"/>
      <c r="D4505" s="434"/>
      <c r="E4505" s="434"/>
      <c r="F4505" s="434" t="s">
        <v>1735</v>
      </c>
      <c r="G4505" s="435">
        <v>20.8</v>
      </c>
      <c r="H4505" s="434" t="s">
        <v>1736</v>
      </c>
      <c r="I4505" s="435">
        <v>18.9</v>
      </c>
      <c r="J4505" s="434" t="s">
        <v>1737</v>
      </c>
      <c r="K4505" s="435">
        <v>39.7</v>
      </c>
    </row>
    <row r="4506" customHeight="1" spans="1:11">
      <c r="A4506" s="434"/>
      <c r="B4506" s="434"/>
      <c r="C4506" s="434"/>
      <c r="D4506" s="434"/>
      <c r="E4506" s="434"/>
      <c r="F4506" s="434" t="s">
        <v>1738</v>
      </c>
      <c r="G4506" s="435">
        <v>145.55</v>
      </c>
      <c r="H4506" s="434"/>
      <c r="I4506" s="434" t="s">
        <v>1739</v>
      </c>
      <c r="J4506" s="434"/>
      <c r="K4506" s="435">
        <v>735.78</v>
      </c>
    </row>
    <row r="4507" customHeight="1" spans="1:11">
      <c r="A4507" s="436"/>
      <c r="B4507" s="436"/>
      <c r="C4507" s="436"/>
      <c r="D4507" s="436"/>
      <c r="E4507" s="436"/>
      <c r="F4507" s="436"/>
      <c r="G4507" s="436"/>
      <c r="H4507" s="436" t="s">
        <v>1740</v>
      </c>
      <c r="I4507" s="447" t="s">
        <v>1899</v>
      </c>
      <c r="J4507" s="436" t="s">
        <v>1742</v>
      </c>
      <c r="K4507" s="448">
        <v>19130.28</v>
      </c>
    </row>
    <row r="4508" customHeight="1" spans="1:11">
      <c r="A4508" s="437"/>
      <c r="B4508" s="437"/>
      <c r="C4508" s="437"/>
      <c r="D4508" s="437"/>
      <c r="E4508" s="437"/>
      <c r="F4508" s="437"/>
      <c r="G4508" s="437"/>
      <c r="H4508" s="437"/>
      <c r="I4508" s="437"/>
      <c r="J4508" s="437"/>
      <c r="K4508" s="437"/>
    </row>
    <row r="4509" customHeight="1" spans="1:11">
      <c r="A4509" s="423" t="s">
        <v>1390</v>
      </c>
      <c r="B4509" s="424" t="s">
        <v>1714</v>
      </c>
      <c r="C4509" s="423" t="s">
        <v>1715</v>
      </c>
      <c r="D4509" s="423" t="s">
        <v>1716</v>
      </c>
      <c r="E4509" s="423" t="s">
        <v>1717</v>
      </c>
      <c r="F4509" s="423"/>
      <c r="G4509" s="425" t="s">
        <v>1718</v>
      </c>
      <c r="H4509" s="424" t="s">
        <v>1719</v>
      </c>
      <c r="I4509" s="424" t="s">
        <v>1720</v>
      </c>
      <c r="J4509" s="424" t="s">
        <v>1721</v>
      </c>
      <c r="K4509" s="424" t="s">
        <v>1722</v>
      </c>
    </row>
    <row r="4510" customHeight="1" spans="1:11">
      <c r="A4510" s="426" t="s">
        <v>1723</v>
      </c>
      <c r="B4510" s="427" t="s">
        <v>1391</v>
      </c>
      <c r="C4510" s="426" t="s">
        <v>65</v>
      </c>
      <c r="D4510" s="426" t="s">
        <v>1392</v>
      </c>
      <c r="E4510" s="426" t="s">
        <v>1637</v>
      </c>
      <c r="F4510" s="426"/>
      <c r="G4510" s="428" t="s">
        <v>535</v>
      </c>
      <c r="H4510" s="429">
        <v>1</v>
      </c>
      <c r="I4510" s="445"/>
      <c r="J4510" s="445">
        <v>520.41</v>
      </c>
      <c r="K4510" s="445">
        <v>520.41</v>
      </c>
    </row>
    <row r="4511" customHeight="1" spans="1:11">
      <c r="A4511" s="430" t="s">
        <v>1724</v>
      </c>
      <c r="B4511" s="431" t="s">
        <v>1936</v>
      </c>
      <c r="C4511" s="430" t="s">
        <v>71</v>
      </c>
      <c r="D4511" s="430" t="s">
        <v>1937</v>
      </c>
      <c r="E4511" s="430" t="s">
        <v>1708</v>
      </c>
      <c r="F4511" s="430"/>
      <c r="G4511" s="432" t="s">
        <v>82</v>
      </c>
      <c r="H4511" s="433">
        <v>1</v>
      </c>
      <c r="I4511" s="433">
        <v>0</v>
      </c>
      <c r="J4511" s="446">
        <v>36.96</v>
      </c>
      <c r="K4511" s="446">
        <v>36.96</v>
      </c>
    </row>
    <row r="4512" customHeight="1" spans="1:11">
      <c r="A4512" s="430" t="s">
        <v>1724</v>
      </c>
      <c r="B4512" s="431" t="s">
        <v>2200</v>
      </c>
      <c r="C4512" s="430" t="s">
        <v>71</v>
      </c>
      <c r="D4512" s="430" t="s">
        <v>2201</v>
      </c>
      <c r="E4512" s="430" t="s">
        <v>1708</v>
      </c>
      <c r="F4512" s="430"/>
      <c r="G4512" s="432" t="s">
        <v>82</v>
      </c>
      <c r="H4512" s="433">
        <v>1</v>
      </c>
      <c r="I4512" s="433">
        <v>0</v>
      </c>
      <c r="J4512" s="446">
        <v>30.13</v>
      </c>
      <c r="K4512" s="446">
        <v>30.13</v>
      </c>
    </row>
    <row r="4513" customHeight="1" spans="1:11">
      <c r="A4513" s="430" t="s">
        <v>1724</v>
      </c>
      <c r="B4513" s="431" t="s">
        <v>3267</v>
      </c>
      <c r="C4513" s="430" t="s">
        <v>71</v>
      </c>
      <c r="D4513" s="430" t="s">
        <v>3268</v>
      </c>
      <c r="E4513" s="430" t="s">
        <v>1799</v>
      </c>
      <c r="F4513" s="430"/>
      <c r="G4513" s="432" t="s">
        <v>129</v>
      </c>
      <c r="H4513" s="433">
        <v>0.153</v>
      </c>
      <c r="I4513" s="433">
        <v>0</v>
      </c>
      <c r="J4513" s="446">
        <v>384.14</v>
      </c>
      <c r="K4513" s="446">
        <v>58.77</v>
      </c>
    </row>
    <row r="4514" customHeight="1" spans="1:11">
      <c r="A4514" s="438" t="s">
        <v>1750</v>
      </c>
      <c r="B4514" s="439" t="s">
        <v>3269</v>
      </c>
      <c r="C4514" s="438" t="s">
        <v>71</v>
      </c>
      <c r="D4514" s="438" t="s">
        <v>3270</v>
      </c>
      <c r="E4514" s="438" t="s">
        <v>1631</v>
      </c>
      <c r="F4514" s="438"/>
      <c r="G4514" s="440" t="s">
        <v>105</v>
      </c>
      <c r="H4514" s="441">
        <v>5</v>
      </c>
      <c r="I4514" s="441">
        <v>0</v>
      </c>
      <c r="J4514" s="449">
        <v>78.91</v>
      </c>
      <c r="K4514" s="449">
        <v>394.55</v>
      </c>
    </row>
    <row r="4515" customHeight="1" spans="1:11">
      <c r="A4515" s="434"/>
      <c r="B4515" s="434"/>
      <c r="C4515" s="434"/>
      <c r="D4515" s="434"/>
      <c r="E4515" s="434"/>
      <c r="F4515" s="434" t="s">
        <v>1735</v>
      </c>
      <c r="G4515" s="435">
        <v>30.39</v>
      </c>
      <c r="H4515" s="434" t="s">
        <v>1736</v>
      </c>
      <c r="I4515" s="435">
        <v>27.61</v>
      </c>
      <c r="J4515" s="434" t="s">
        <v>1737</v>
      </c>
      <c r="K4515" s="435">
        <v>58</v>
      </c>
    </row>
    <row r="4516" customHeight="1" spans="1:11">
      <c r="A4516" s="434"/>
      <c r="B4516" s="434"/>
      <c r="C4516" s="434"/>
      <c r="D4516" s="434"/>
      <c r="E4516" s="434"/>
      <c r="F4516" s="434" t="s">
        <v>1738</v>
      </c>
      <c r="G4516" s="435">
        <v>128.33</v>
      </c>
      <c r="H4516" s="434"/>
      <c r="I4516" s="434" t="s">
        <v>1739</v>
      </c>
      <c r="J4516" s="434"/>
      <c r="K4516" s="435">
        <v>648.74</v>
      </c>
    </row>
    <row r="4517" customHeight="1" spans="1:11">
      <c r="A4517" s="436"/>
      <c r="B4517" s="436"/>
      <c r="C4517" s="436"/>
      <c r="D4517" s="436"/>
      <c r="E4517" s="436"/>
      <c r="F4517" s="436"/>
      <c r="G4517" s="436"/>
      <c r="H4517" s="436" t="s">
        <v>1740</v>
      </c>
      <c r="I4517" s="447" t="s">
        <v>3271</v>
      </c>
      <c r="J4517" s="436" t="s">
        <v>1742</v>
      </c>
      <c r="K4517" s="448">
        <v>36024.53</v>
      </c>
    </row>
    <row r="4518" customHeight="1" spans="1:11">
      <c r="A4518" s="437"/>
      <c r="B4518" s="437"/>
      <c r="C4518" s="437"/>
      <c r="D4518" s="437"/>
      <c r="E4518" s="437"/>
      <c r="F4518" s="437"/>
      <c r="G4518" s="437"/>
      <c r="H4518" s="437"/>
      <c r="I4518" s="437"/>
      <c r="J4518" s="437"/>
      <c r="K4518" s="437"/>
    </row>
    <row r="4519" customHeight="1" spans="1:11">
      <c r="A4519" s="423" t="s">
        <v>1393</v>
      </c>
      <c r="B4519" s="424" t="s">
        <v>1714</v>
      </c>
      <c r="C4519" s="423" t="s">
        <v>1715</v>
      </c>
      <c r="D4519" s="423" t="s">
        <v>1716</v>
      </c>
      <c r="E4519" s="423" t="s">
        <v>1717</v>
      </c>
      <c r="F4519" s="423"/>
      <c r="G4519" s="425" t="s">
        <v>1718</v>
      </c>
      <c r="H4519" s="424" t="s">
        <v>1719</v>
      </c>
      <c r="I4519" s="424" t="s">
        <v>1720</v>
      </c>
      <c r="J4519" s="424" t="s">
        <v>1721</v>
      </c>
      <c r="K4519" s="424" t="s">
        <v>1722</v>
      </c>
    </row>
    <row r="4520" customHeight="1" spans="1:11">
      <c r="A4520" s="426" t="s">
        <v>1723</v>
      </c>
      <c r="B4520" s="427" t="s">
        <v>1394</v>
      </c>
      <c r="C4520" s="426" t="s">
        <v>65</v>
      </c>
      <c r="D4520" s="426" t="s">
        <v>1395</v>
      </c>
      <c r="E4520" s="426" t="s">
        <v>1637</v>
      </c>
      <c r="F4520" s="426"/>
      <c r="G4520" s="428" t="s">
        <v>535</v>
      </c>
      <c r="H4520" s="429">
        <v>1</v>
      </c>
      <c r="I4520" s="445"/>
      <c r="J4520" s="445">
        <v>309.69</v>
      </c>
      <c r="K4520" s="445">
        <v>309.69</v>
      </c>
    </row>
    <row r="4521" customHeight="1" spans="1:11">
      <c r="A4521" s="430" t="s">
        <v>1724</v>
      </c>
      <c r="B4521" s="431" t="s">
        <v>3267</v>
      </c>
      <c r="C4521" s="430" t="s">
        <v>71</v>
      </c>
      <c r="D4521" s="430" t="s">
        <v>3268</v>
      </c>
      <c r="E4521" s="430" t="s">
        <v>1799</v>
      </c>
      <c r="F4521" s="430"/>
      <c r="G4521" s="432" t="s">
        <v>129</v>
      </c>
      <c r="H4521" s="433">
        <v>0.0153</v>
      </c>
      <c r="I4521" s="433">
        <v>0</v>
      </c>
      <c r="J4521" s="446">
        <v>384.14</v>
      </c>
      <c r="K4521" s="446">
        <v>5.87</v>
      </c>
    </row>
    <row r="4522" customHeight="1" spans="1:11">
      <c r="A4522" s="430" t="s">
        <v>1724</v>
      </c>
      <c r="B4522" s="431" t="s">
        <v>1936</v>
      </c>
      <c r="C4522" s="430" t="s">
        <v>71</v>
      </c>
      <c r="D4522" s="430" t="s">
        <v>1937</v>
      </c>
      <c r="E4522" s="430" t="s">
        <v>1708</v>
      </c>
      <c r="F4522" s="430"/>
      <c r="G4522" s="432" t="s">
        <v>82</v>
      </c>
      <c r="H4522" s="433">
        <v>1</v>
      </c>
      <c r="I4522" s="433">
        <v>0</v>
      </c>
      <c r="J4522" s="446">
        <v>36.96</v>
      </c>
      <c r="K4522" s="446">
        <v>36.96</v>
      </c>
    </row>
    <row r="4523" customHeight="1" spans="1:11">
      <c r="A4523" s="430" t="s">
        <v>1724</v>
      </c>
      <c r="B4523" s="431" t="s">
        <v>2200</v>
      </c>
      <c r="C4523" s="430" t="s">
        <v>71</v>
      </c>
      <c r="D4523" s="430" t="s">
        <v>2201</v>
      </c>
      <c r="E4523" s="430" t="s">
        <v>1708</v>
      </c>
      <c r="F4523" s="430"/>
      <c r="G4523" s="432" t="s">
        <v>82</v>
      </c>
      <c r="H4523" s="433">
        <v>1</v>
      </c>
      <c r="I4523" s="433">
        <v>0</v>
      </c>
      <c r="J4523" s="446">
        <v>30.13</v>
      </c>
      <c r="K4523" s="446">
        <v>30.13</v>
      </c>
    </row>
    <row r="4524" customHeight="1" spans="1:11">
      <c r="A4524" s="438" t="s">
        <v>1750</v>
      </c>
      <c r="B4524" s="439" t="s">
        <v>3269</v>
      </c>
      <c r="C4524" s="438" t="s">
        <v>71</v>
      </c>
      <c r="D4524" s="438" t="s">
        <v>3270</v>
      </c>
      <c r="E4524" s="438" t="s">
        <v>1631</v>
      </c>
      <c r="F4524" s="438"/>
      <c r="G4524" s="440" t="s">
        <v>105</v>
      </c>
      <c r="H4524" s="441">
        <v>3</v>
      </c>
      <c r="I4524" s="441">
        <v>0</v>
      </c>
      <c r="J4524" s="449">
        <v>78.91</v>
      </c>
      <c r="K4524" s="449">
        <v>236.73</v>
      </c>
    </row>
    <row r="4525" customHeight="1" spans="1:11">
      <c r="A4525" s="434"/>
      <c r="B4525" s="434"/>
      <c r="C4525" s="434"/>
      <c r="D4525" s="434"/>
      <c r="E4525" s="434"/>
      <c r="F4525" s="434" t="s">
        <v>1735</v>
      </c>
      <c r="G4525" s="435">
        <v>25.22</v>
      </c>
      <c r="H4525" s="434" t="s">
        <v>1736</v>
      </c>
      <c r="I4525" s="435">
        <v>22.92</v>
      </c>
      <c r="J4525" s="434" t="s">
        <v>1737</v>
      </c>
      <c r="K4525" s="435">
        <v>48.14</v>
      </c>
    </row>
    <row r="4526" customHeight="1" spans="1:11">
      <c r="A4526" s="434"/>
      <c r="B4526" s="434"/>
      <c r="C4526" s="434"/>
      <c r="D4526" s="434"/>
      <c r="E4526" s="434"/>
      <c r="F4526" s="434" t="s">
        <v>1738</v>
      </c>
      <c r="G4526" s="435">
        <v>76.36</v>
      </c>
      <c r="H4526" s="434"/>
      <c r="I4526" s="434" t="s">
        <v>1739</v>
      </c>
      <c r="J4526" s="434"/>
      <c r="K4526" s="435">
        <v>386.05</v>
      </c>
    </row>
    <row r="4527" customHeight="1" spans="1:11">
      <c r="A4527" s="436"/>
      <c r="B4527" s="436"/>
      <c r="C4527" s="436"/>
      <c r="D4527" s="436"/>
      <c r="E4527" s="436"/>
      <c r="F4527" s="436"/>
      <c r="G4527" s="436"/>
      <c r="H4527" s="436" t="s">
        <v>1740</v>
      </c>
      <c r="I4527" s="447" t="s">
        <v>3272</v>
      </c>
      <c r="J4527" s="436" t="s">
        <v>1742</v>
      </c>
      <c r="K4527" s="448">
        <v>4177.06</v>
      </c>
    </row>
    <row r="4528" customHeight="1" spans="1:11">
      <c r="A4528" s="437"/>
      <c r="B4528" s="437"/>
      <c r="C4528" s="437"/>
      <c r="D4528" s="437"/>
      <c r="E4528" s="437"/>
      <c r="F4528" s="437"/>
      <c r="G4528" s="437"/>
      <c r="H4528" s="437"/>
      <c r="I4528" s="437"/>
      <c r="J4528" s="437"/>
      <c r="K4528" s="437"/>
    </row>
    <row r="4529" customHeight="1" spans="1:11">
      <c r="A4529" s="422" t="s">
        <v>1396</v>
      </c>
      <c r="B4529" s="422"/>
      <c r="C4529" s="422"/>
      <c r="D4529" s="422" t="s">
        <v>1397</v>
      </c>
      <c r="E4529" s="422"/>
      <c r="F4529" s="422"/>
      <c r="G4529" s="422"/>
      <c r="H4529" s="422"/>
      <c r="I4529" s="443"/>
      <c r="J4529" s="422"/>
      <c r="K4529" s="444">
        <v>19508.51</v>
      </c>
    </row>
    <row r="4530" customHeight="1" spans="1:11">
      <c r="A4530" s="423" t="s">
        <v>1398</v>
      </c>
      <c r="B4530" s="424" t="s">
        <v>1714</v>
      </c>
      <c r="C4530" s="423" t="s">
        <v>1715</v>
      </c>
      <c r="D4530" s="423" t="s">
        <v>1716</v>
      </c>
      <c r="E4530" s="423" t="s">
        <v>1717</v>
      </c>
      <c r="F4530" s="423"/>
      <c r="G4530" s="425" t="s">
        <v>1718</v>
      </c>
      <c r="H4530" s="424" t="s">
        <v>1719</v>
      </c>
      <c r="I4530" s="424" t="s">
        <v>1720</v>
      </c>
      <c r="J4530" s="424" t="s">
        <v>1721</v>
      </c>
      <c r="K4530" s="424" t="s">
        <v>1722</v>
      </c>
    </row>
    <row r="4531" customHeight="1" spans="1:11">
      <c r="A4531" s="426" t="s">
        <v>1723</v>
      </c>
      <c r="B4531" s="427" t="s">
        <v>1399</v>
      </c>
      <c r="C4531" s="426" t="s">
        <v>76</v>
      </c>
      <c r="D4531" s="426" t="s">
        <v>1400</v>
      </c>
      <c r="E4531" s="426">
        <v>14</v>
      </c>
      <c r="F4531" s="426"/>
      <c r="G4531" s="428" t="s">
        <v>78</v>
      </c>
      <c r="H4531" s="429">
        <v>1</v>
      </c>
      <c r="I4531" s="445"/>
      <c r="J4531" s="445">
        <v>252.74</v>
      </c>
      <c r="K4531" s="445">
        <v>252.74</v>
      </c>
    </row>
    <row r="4532" customHeight="1" spans="1:11">
      <c r="A4532" s="438" t="s">
        <v>1750</v>
      </c>
      <c r="B4532" s="439" t="s">
        <v>1767</v>
      </c>
      <c r="C4532" s="438" t="s">
        <v>76</v>
      </c>
      <c r="D4532" s="438" t="s">
        <v>1768</v>
      </c>
      <c r="E4532" s="438" t="s">
        <v>1764</v>
      </c>
      <c r="F4532" s="438"/>
      <c r="G4532" s="440" t="s">
        <v>82</v>
      </c>
      <c r="H4532" s="441">
        <v>3</v>
      </c>
      <c r="I4532" s="441">
        <v>3</v>
      </c>
      <c r="J4532" s="449">
        <v>19.16</v>
      </c>
      <c r="K4532" s="449">
        <v>59.2</v>
      </c>
    </row>
    <row r="4533" customHeight="1" spans="1:11">
      <c r="A4533" s="438" t="s">
        <v>1750</v>
      </c>
      <c r="B4533" s="439" t="s">
        <v>2149</v>
      </c>
      <c r="C4533" s="438" t="s">
        <v>76</v>
      </c>
      <c r="D4533" s="438" t="s">
        <v>2150</v>
      </c>
      <c r="E4533" s="438" t="s">
        <v>1764</v>
      </c>
      <c r="F4533" s="438"/>
      <c r="G4533" s="440" t="s">
        <v>82</v>
      </c>
      <c r="H4533" s="441">
        <v>0.75</v>
      </c>
      <c r="I4533" s="441">
        <v>3</v>
      </c>
      <c r="J4533" s="449">
        <v>26.52</v>
      </c>
      <c r="K4533" s="449">
        <v>20.48</v>
      </c>
    </row>
    <row r="4534" customHeight="1" spans="1:11">
      <c r="A4534" s="438" t="s">
        <v>1750</v>
      </c>
      <c r="B4534" s="439" t="s">
        <v>3273</v>
      </c>
      <c r="C4534" s="438" t="s">
        <v>76</v>
      </c>
      <c r="D4534" s="438" t="s">
        <v>3274</v>
      </c>
      <c r="E4534" s="438" t="s">
        <v>1631</v>
      </c>
      <c r="F4534" s="438"/>
      <c r="G4534" s="440" t="s">
        <v>78</v>
      </c>
      <c r="H4534" s="441">
        <v>2.1708</v>
      </c>
      <c r="I4534" s="441">
        <v>20</v>
      </c>
      <c r="J4534" s="449">
        <v>41.04</v>
      </c>
      <c r="K4534" s="449">
        <v>106.9</v>
      </c>
    </row>
    <row r="4535" customHeight="1" spans="1:11">
      <c r="A4535" s="438" t="s">
        <v>1750</v>
      </c>
      <c r="B4535" s="439" t="s">
        <v>2211</v>
      </c>
      <c r="C4535" s="438" t="s">
        <v>76</v>
      </c>
      <c r="D4535" s="438" t="s">
        <v>2212</v>
      </c>
      <c r="E4535" s="438" t="s">
        <v>1764</v>
      </c>
      <c r="F4535" s="438"/>
      <c r="G4535" s="440" t="s">
        <v>82</v>
      </c>
      <c r="H4535" s="441">
        <v>2.25</v>
      </c>
      <c r="I4535" s="441">
        <v>3</v>
      </c>
      <c r="J4535" s="449">
        <v>28.55</v>
      </c>
      <c r="K4535" s="449">
        <v>66.16</v>
      </c>
    </row>
    <row r="4536" customHeight="1" spans="1:11">
      <c r="A4536" s="434"/>
      <c r="B4536" s="434"/>
      <c r="C4536" s="434"/>
      <c r="D4536" s="434"/>
      <c r="E4536" s="434"/>
      <c r="F4536" s="434" t="s">
        <v>1735</v>
      </c>
      <c r="G4536" s="435">
        <v>76.42</v>
      </c>
      <c r="H4536" s="434" t="s">
        <v>1736</v>
      </c>
      <c r="I4536" s="435">
        <v>69.42</v>
      </c>
      <c r="J4536" s="434" t="s">
        <v>1737</v>
      </c>
      <c r="K4536" s="435">
        <v>145.84</v>
      </c>
    </row>
    <row r="4537" customHeight="1" spans="1:11">
      <c r="A4537" s="434"/>
      <c r="B4537" s="434"/>
      <c r="C4537" s="434"/>
      <c r="D4537" s="434"/>
      <c r="E4537" s="434"/>
      <c r="F4537" s="434" t="s">
        <v>1738</v>
      </c>
      <c r="G4537" s="435">
        <v>62.32</v>
      </c>
      <c r="H4537" s="434"/>
      <c r="I4537" s="434" t="s">
        <v>1739</v>
      </c>
      <c r="J4537" s="434"/>
      <c r="K4537" s="435">
        <v>315.06</v>
      </c>
    </row>
    <row r="4538" customHeight="1" spans="1:11">
      <c r="A4538" s="436"/>
      <c r="B4538" s="436"/>
      <c r="C4538" s="436"/>
      <c r="D4538" s="436"/>
      <c r="E4538" s="436"/>
      <c r="F4538" s="436"/>
      <c r="G4538" s="436"/>
      <c r="H4538" s="436" t="s">
        <v>1740</v>
      </c>
      <c r="I4538" s="447" t="s">
        <v>3275</v>
      </c>
      <c r="J4538" s="436" t="s">
        <v>1742</v>
      </c>
      <c r="K4538" s="448">
        <v>19508.51</v>
      </c>
    </row>
    <row r="4539" customHeight="1" spans="1:11">
      <c r="A4539" s="437"/>
      <c r="B4539" s="437"/>
      <c r="C4539" s="437"/>
      <c r="D4539" s="437"/>
      <c r="E4539" s="437"/>
      <c r="F4539" s="437"/>
      <c r="G4539" s="437"/>
      <c r="H4539" s="437"/>
      <c r="I4539" s="437"/>
      <c r="J4539" s="437"/>
      <c r="K4539" s="437"/>
    </row>
    <row r="4540" customHeight="1" spans="1:11">
      <c r="A4540" s="422" t="s">
        <v>1401</v>
      </c>
      <c r="B4540" s="422"/>
      <c r="C4540" s="422"/>
      <c r="D4540" s="422" t="s">
        <v>43</v>
      </c>
      <c r="E4540" s="422"/>
      <c r="F4540" s="422"/>
      <c r="G4540" s="422"/>
      <c r="H4540" s="422"/>
      <c r="I4540" s="443"/>
      <c r="J4540" s="422"/>
      <c r="K4540" s="444">
        <v>193118</v>
      </c>
    </row>
    <row r="4541" customHeight="1" spans="1:11">
      <c r="A4541" s="423" t="s">
        <v>1402</v>
      </c>
      <c r="B4541" s="424" t="s">
        <v>1714</v>
      </c>
      <c r="C4541" s="423" t="s">
        <v>1715</v>
      </c>
      <c r="D4541" s="423" t="s">
        <v>1716</v>
      </c>
      <c r="E4541" s="423" t="s">
        <v>1717</v>
      </c>
      <c r="F4541" s="423"/>
      <c r="G4541" s="425" t="s">
        <v>1718</v>
      </c>
      <c r="H4541" s="424" t="s">
        <v>1719</v>
      </c>
      <c r="I4541" s="424" t="s">
        <v>1720</v>
      </c>
      <c r="J4541" s="424" t="s">
        <v>1721</v>
      </c>
      <c r="K4541" s="424" t="s">
        <v>1722</v>
      </c>
    </row>
    <row r="4542" customHeight="1" spans="1:11">
      <c r="A4542" s="426" t="s">
        <v>1723</v>
      </c>
      <c r="B4542" s="427" t="s">
        <v>1403</v>
      </c>
      <c r="C4542" s="426" t="s">
        <v>512</v>
      </c>
      <c r="D4542" s="426" t="s">
        <v>1404</v>
      </c>
      <c r="E4542" s="426" t="s">
        <v>1695</v>
      </c>
      <c r="F4542" s="426"/>
      <c r="G4542" s="428" t="s">
        <v>67</v>
      </c>
      <c r="H4542" s="429">
        <v>1</v>
      </c>
      <c r="I4542" s="445"/>
      <c r="J4542" s="445">
        <v>1389.3</v>
      </c>
      <c r="K4542" s="445">
        <v>1389.3</v>
      </c>
    </row>
    <row r="4543" customHeight="1" spans="1:11">
      <c r="A4543" s="438" t="s">
        <v>1750</v>
      </c>
      <c r="B4543" s="439" t="s">
        <v>3276</v>
      </c>
      <c r="C4543" s="438" t="s">
        <v>512</v>
      </c>
      <c r="D4543" s="438" t="s">
        <v>3277</v>
      </c>
      <c r="E4543" s="438" t="s">
        <v>1631</v>
      </c>
      <c r="F4543" s="438"/>
      <c r="G4543" s="440" t="s">
        <v>67</v>
      </c>
      <c r="H4543" s="441">
        <v>1</v>
      </c>
      <c r="I4543" s="441">
        <v>0</v>
      </c>
      <c r="J4543" s="449">
        <v>1389.3</v>
      </c>
      <c r="K4543" s="449">
        <v>1389.3</v>
      </c>
    </row>
    <row r="4544" customHeight="1" spans="1:11">
      <c r="A4544" s="434"/>
      <c r="B4544" s="434"/>
      <c r="C4544" s="434"/>
      <c r="D4544" s="434"/>
      <c r="E4544" s="434"/>
      <c r="F4544" s="434" t="s">
        <v>1735</v>
      </c>
      <c r="G4544" s="435">
        <v>0</v>
      </c>
      <c r="H4544" s="434" t="s">
        <v>1736</v>
      </c>
      <c r="I4544" s="435">
        <v>0</v>
      </c>
      <c r="J4544" s="434" t="s">
        <v>1737</v>
      </c>
      <c r="K4544" s="435">
        <v>0</v>
      </c>
    </row>
    <row r="4545" customHeight="1" spans="1:11">
      <c r="A4545" s="434"/>
      <c r="B4545" s="434"/>
      <c r="C4545" s="434"/>
      <c r="D4545" s="434"/>
      <c r="E4545" s="434"/>
      <c r="F4545" s="434" t="s">
        <v>1738</v>
      </c>
      <c r="G4545" s="435">
        <v>342.6</v>
      </c>
      <c r="H4545" s="434"/>
      <c r="I4545" s="434" t="s">
        <v>1739</v>
      </c>
      <c r="J4545" s="434"/>
      <c r="K4545" s="435">
        <v>1731.9</v>
      </c>
    </row>
    <row r="4546" customHeight="1" spans="1:11">
      <c r="A4546" s="436"/>
      <c r="B4546" s="436"/>
      <c r="C4546" s="436"/>
      <c r="D4546" s="436"/>
      <c r="E4546" s="436"/>
      <c r="F4546" s="436"/>
      <c r="G4546" s="436"/>
      <c r="H4546" s="436" t="s">
        <v>1740</v>
      </c>
      <c r="I4546" s="447" t="s">
        <v>1741</v>
      </c>
      <c r="J4546" s="436" t="s">
        <v>1742</v>
      </c>
      <c r="K4546" s="448">
        <v>1731.9</v>
      </c>
    </row>
    <row r="4547" customHeight="1" spans="1:11">
      <c r="A4547" s="437"/>
      <c r="B4547" s="437"/>
      <c r="C4547" s="437"/>
      <c r="D4547" s="437"/>
      <c r="E4547" s="437"/>
      <c r="F4547" s="437"/>
      <c r="G4547" s="437"/>
      <c r="H4547" s="437"/>
      <c r="I4547" s="437"/>
      <c r="J4547" s="437"/>
      <c r="K4547" s="437"/>
    </row>
    <row r="4548" customHeight="1" spans="1:11">
      <c r="A4548" s="423" t="s">
        <v>1405</v>
      </c>
      <c r="B4548" s="424" t="s">
        <v>1714</v>
      </c>
      <c r="C4548" s="423" t="s">
        <v>1715</v>
      </c>
      <c r="D4548" s="423" t="s">
        <v>1716</v>
      </c>
      <c r="E4548" s="423" t="s">
        <v>1717</v>
      </c>
      <c r="F4548" s="423"/>
      <c r="G4548" s="425" t="s">
        <v>1718</v>
      </c>
      <c r="H4548" s="424" t="s">
        <v>1719</v>
      </c>
      <c r="I4548" s="424" t="s">
        <v>1720</v>
      </c>
      <c r="J4548" s="424" t="s">
        <v>1721</v>
      </c>
      <c r="K4548" s="424" t="s">
        <v>1722</v>
      </c>
    </row>
    <row r="4549" customHeight="1" spans="1:11">
      <c r="A4549" s="426" t="s">
        <v>1723</v>
      </c>
      <c r="B4549" s="427" t="s">
        <v>1406</v>
      </c>
      <c r="C4549" s="426" t="s">
        <v>65</v>
      </c>
      <c r="D4549" s="426" t="s">
        <v>1407</v>
      </c>
      <c r="E4549" s="426" t="s">
        <v>62</v>
      </c>
      <c r="F4549" s="426"/>
      <c r="G4549" s="428" t="s">
        <v>67</v>
      </c>
      <c r="H4549" s="429">
        <v>1</v>
      </c>
      <c r="I4549" s="445"/>
      <c r="J4549" s="445">
        <v>143.53</v>
      </c>
      <c r="K4549" s="445">
        <v>143.53</v>
      </c>
    </row>
    <row r="4550" customHeight="1" spans="1:11">
      <c r="A4550" s="430" t="s">
        <v>1724</v>
      </c>
      <c r="B4550" s="431" t="s">
        <v>2200</v>
      </c>
      <c r="C4550" s="430" t="s">
        <v>71</v>
      </c>
      <c r="D4550" s="430" t="s">
        <v>2201</v>
      </c>
      <c r="E4550" s="430" t="s">
        <v>1708</v>
      </c>
      <c r="F4550" s="430"/>
      <c r="G4550" s="432" t="s">
        <v>82</v>
      </c>
      <c r="H4550" s="433">
        <v>0.5</v>
      </c>
      <c r="I4550" s="433">
        <v>0</v>
      </c>
      <c r="J4550" s="446">
        <v>30.13</v>
      </c>
      <c r="K4550" s="446">
        <v>15.06</v>
      </c>
    </row>
    <row r="4551" customHeight="1" spans="1:11">
      <c r="A4551" s="430" t="s">
        <v>1724</v>
      </c>
      <c r="B4551" s="431" t="s">
        <v>1936</v>
      </c>
      <c r="C4551" s="430" t="s">
        <v>71</v>
      </c>
      <c r="D4551" s="430" t="s">
        <v>1937</v>
      </c>
      <c r="E4551" s="430" t="s">
        <v>1708</v>
      </c>
      <c r="F4551" s="430"/>
      <c r="G4551" s="432" t="s">
        <v>82</v>
      </c>
      <c r="H4551" s="433">
        <v>0.5</v>
      </c>
      <c r="I4551" s="433">
        <v>0</v>
      </c>
      <c r="J4551" s="446">
        <v>36.96</v>
      </c>
      <c r="K4551" s="446">
        <v>18.48</v>
      </c>
    </row>
    <row r="4552" customHeight="1" spans="1:11">
      <c r="A4552" s="438" t="s">
        <v>1750</v>
      </c>
      <c r="B4552" s="439" t="s">
        <v>3278</v>
      </c>
      <c r="C4552" s="438" t="s">
        <v>65</v>
      </c>
      <c r="D4552" s="438" t="s">
        <v>3279</v>
      </c>
      <c r="E4552" s="438" t="s">
        <v>1631</v>
      </c>
      <c r="F4552" s="438"/>
      <c r="G4552" s="440" t="s">
        <v>67</v>
      </c>
      <c r="H4552" s="441">
        <v>1</v>
      </c>
      <c r="I4552" s="441">
        <v>0</v>
      </c>
      <c r="J4552" s="449">
        <v>109.99</v>
      </c>
      <c r="K4552" s="449">
        <v>109.99</v>
      </c>
    </row>
    <row r="4553" customHeight="1" spans="1:11">
      <c r="A4553" s="434"/>
      <c r="B4553" s="434"/>
      <c r="C4553" s="434"/>
      <c r="D4553" s="434"/>
      <c r="E4553" s="434"/>
      <c r="F4553" s="434" t="s">
        <v>1735</v>
      </c>
      <c r="G4553" s="435">
        <v>12.32</v>
      </c>
      <c r="H4553" s="434" t="s">
        <v>1736</v>
      </c>
      <c r="I4553" s="435">
        <v>11.2</v>
      </c>
      <c r="J4553" s="434" t="s">
        <v>1737</v>
      </c>
      <c r="K4553" s="435">
        <v>23.52</v>
      </c>
    </row>
    <row r="4554" customHeight="1" spans="1:11">
      <c r="A4554" s="434"/>
      <c r="B4554" s="434"/>
      <c r="C4554" s="434"/>
      <c r="D4554" s="434"/>
      <c r="E4554" s="434"/>
      <c r="F4554" s="434" t="s">
        <v>1738</v>
      </c>
      <c r="G4554" s="435">
        <v>35.39</v>
      </c>
      <c r="H4554" s="434"/>
      <c r="I4554" s="434" t="s">
        <v>1739</v>
      </c>
      <c r="J4554" s="434"/>
      <c r="K4554" s="435">
        <v>178.92</v>
      </c>
    </row>
    <row r="4555" customHeight="1" spans="1:11">
      <c r="A4555" s="436"/>
      <c r="B4555" s="436"/>
      <c r="C4555" s="436"/>
      <c r="D4555" s="436"/>
      <c r="E4555" s="436"/>
      <c r="F4555" s="436"/>
      <c r="G4555" s="436"/>
      <c r="H4555" s="436" t="s">
        <v>1740</v>
      </c>
      <c r="I4555" s="447" t="s">
        <v>1741</v>
      </c>
      <c r="J4555" s="436" t="s">
        <v>1742</v>
      </c>
      <c r="K4555" s="448">
        <v>178.92</v>
      </c>
    </row>
    <row r="4556" customHeight="1" spans="1:11">
      <c r="A4556" s="437"/>
      <c r="B4556" s="437"/>
      <c r="C4556" s="437"/>
      <c r="D4556" s="437"/>
      <c r="E4556" s="437"/>
      <c r="F4556" s="437"/>
      <c r="G4556" s="437"/>
      <c r="H4556" s="437"/>
      <c r="I4556" s="437"/>
      <c r="J4556" s="437"/>
      <c r="K4556" s="437"/>
    </row>
    <row r="4557" customHeight="1" spans="1:11">
      <c r="A4557" s="423" t="s">
        <v>1408</v>
      </c>
      <c r="B4557" s="424" t="s">
        <v>1714</v>
      </c>
      <c r="C4557" s="423" t="s">
        <v>1715</v>
      </c>
      <c r="D4557" s="423" t="s">
        <v>1716</v>
      </c>
      <c r="E4557" s="423" t="s">
        <v>1717</v>
      </c>
      <c r="F4557" s="423"/>
      <c r="G4557" s="425" t="s">
        <v>1718</v>
      </c>
      <c r="H4557" s="424" t="s">
        <v>1719</v>
      </c>
      <c r="I4557" s="424" t="s">
        <v>1720</v>
      </c>
      <c r="J4557" s="424" t="s">
        <v>1721</v>
      </c>
      <c r="K4557" s="424" t="s">
        <v>1722</v>
      </c>
    </row>
    <row r="4558" customHeight="1" spans="1:11">
      <c r="A4558" s="426" t="s">
        <v>1723</v>
      </c>
      <c r="B4558" s="427" t="s">
        <v>1409</v>
      </c>
      <c r="C4558" s="426" t="s">
        <v>65</v>
      </c>
      <c r="D4558" s="426" t="s">
        <v>1410</v>
      </c>
      <c r="E4558" s="426" t="s">
        <v>62</v>
      </c>
      <c r="F4558" s="426"/>
      <c r="G4558" s="428" t="s">
        <v>67</v>
      </c>
      <c r="H4558" s="429">
        <v>1</v>
      </c>
      <c r="I4558" s="445"/>
      <c r="J4558" s="445">
        <v>2761.29</v>
      </c>
      <c r="K4558" s="445">
        <v>2761.29</v>
      </c>
    </row>
    <row r="4559" customHeight="1" spans="1:11">
      <c r="A4559" s="430" t="s">
        <v>1724</v>
      </c>
      <c r="B4559" s="431" t="s">
        <v>1745</v>
      </c>
      <c r="C4559" s="430" t="s">
        <v>71</v>
      </c>
      <c r="D4559" s="430" t="s">
        <v>1746</v>
      </c>
      <c r="E4559" s="430" t="s">
        <v>1708</v>
      </c>
      <c r="F4559" s="430"/>
      <c r="G4559" s="432" t="s">
        <v>82</v>
      </c>
      <c r="H4559" s="433">
        <v>0.5</v>
      </c>
      <c r="I4559" s="433">
        <v>0</v>
      </c>
      <c r="J4559" s="446">
        <v>29.15</v>
      </c>
      <c r="K4559" s="446">
        <v>14.57</v>
      </c>
    </row>
    <row r="4560" customHeight="1" spans="1:11">
      <c r="A4560" s="438" t="s">
        <v>1750</v>
      </c>
      <c r="B4560" s="439" t="s">
        <v>3280</v>
      </c>
      <c r="C4560" s="438" t="s">
        <v>65</v>
      </c>
      <c r="D4560" s="438" t="s">
        <v>3281</v>
      </c>
      <c r="E4560" s="438" t="s">
        <v>1631</v>
      </c>
      <c r="F4560" s="438"/>
      <c r="G4560" s="440" t="s">
        <v>67</v>
      </c>
      <c r="H4560" s="441">
        <v>1</v>
      </c>
      <c r="I4560" s="441">
        <v>0</v>
      </c>
      <c r="J4560" s="449">
        <v>2746.72</v>
      </c>
      <c r="K4560" s="449">
        <v>2746.72</v>
      </c>
    </row>
    <row r="4561" customHeight="1" spans="1:11">
      <c r="A4561" s="434"/>
      <c r="B4561" s="434"/>
      <c r="C4561" s="434"/>
      <c r="D4561" s="434"/>
      <c r="E4561" s="434"/>
      <c r="F4561" s="434" t="s">
        <v>1735</v>
      </c>
      <c r="G4561" s="435">
        <v>5.03</v>
      </c>
      <c r="H4561" s="434" t="s">
        <v>1736</v>
      </c>
      <c r="I4561" s="435">
        <v>4.58</v>
      </c>
      <c r="J4561" s="434" t="s">
        <v>1737</v>
      </c>
      <c r="K4561" s="435">
        <v>9.61</v>
      </c>
    </row>
    <row r="4562" customHeight="1" spans="1:11">
      <c r="A4562" s="434"/>
      <c r="B4562" s="434"/>
      <c r="C4562" s="434"/>
      <c r="D4562" s="434"/>
      <c r="E4562" s="434"/>
      <c r="F4562" s="434" t="s">
        <v>1738</v>
      </c>
      <c r="G4562" s="435">
        <v>680.93</v>
      </c>
      <c r="H4562" s="434"/>
      <c r="I4562" s="434" t="s">
        <v>1739</v>
      </c>
      <c r="J4562" s="434"/>
      <c r="K4562" s="435">
        <v>3442.22</v>
      </c>
    </row>
    <row r="4563" customHeight="1" spans="1:11">
      <c r="A4563" s="436"/>
      <c r="B4563" s="436"/>
      <c r="C4563" s="436"/>
      <c r="D4563" s="436"/>
      <c r="E4563" s="436"/>
      <c r="F4563" s="436"/>
      <c r="G4563" s="436"/>
      <c r="H4563" s="436" t="s">
        <v>1740</v>
      </c>
      <c r="I4563" s="447" t="s">
        <v>3282</v>
      </c>
      <c r="J4563" s="436" t="s">
        <v>1742</v>
      </c>
      <c r="K4563" s="448">
        <v>165226.56</v>
      </c>
    </row>
    <row r="4564" customHeight="1" spans="1:11">
      <c r="A4564" s="437"/>
      <c r="B4564" s="437"/>
      <c r="C4564" s="437"/>
      <c r="D4564" s="437"/>
      <c r="E4564" s="437"/>
      <c r="F4564" s="437"/>
      <c r="G4564" s="437"/>
      <c r="H4564" s="437"/>
      <c r="I4564" s="437"/>
      <c r="J4564" s="437"/>
      <c r="K4564" s="437"/>
    </row>
    <row r="4565" customHeight="1" spans="1:11">
      <c r="A4565" s="423" t="s">
        <v>1411</v>
      </c>
      <c r="B4565" s="424" t="s">
        <v>1714</v>
      </c>
      <c r="C4565" s="423" t="s">
        <v>1715</v>
      </c>
      <c r="D4565" s="423" t="s">
        <v>1716</v>
      </c>
      <c r="E4565" s="423" t="s">
        <v>1717</v>
      </c>
      <c r="F4565" s="423"/>
      <c r="G4565" s="425" t="s">
        <v>1718</v>
      </c>
      <c r="H4565" s="424" t="s">
        <v>1719</v>
      </c>
      <c r="I4565" s="424" t="s">
        <v>1720</v>
      </c>
      <c r="J4565" s="424" t="s">
        <v>1721</v>
      </c>
      <c r="K4565" s="424" t="s">
        <v>1722</v>
      </c>
    </row>
    <row r="4566" customHeight="1" spans="1:11">
      <c r="A4566" s="426" t="s">
        <v>1723</v>
      </c>
      <c r="B4566" s="427" t="s">
        <v>1412</v>
      </c>
      <c r="C4566" s="426" t="s">
        <v>65</v>
      </c>
      <c r="D4566" s="426" t="s">
        <v>1413</v>
      </c>
      <c r="E4566" s="426" t="s">
        <v>62</v>
      </c>
      <c r="F4566" s="426"/>
      <c r="G4566" s="428" t="s">
        <v>67</v>
      </c>
      <c r="H4566" s="429">
        <v>1</v>
      </c>
      <c r="I4566" s="445"/>
      <c r="J4566" s="445">
        <v>1449.51</v>
      </c>
      <c r="K4566" s="445">
        <v>1449.51</v>
      </c>
    </row>
    <row r="4567" customHeight="1" spans="1:11">
      <c r="A4567" s="430" t="s">
        <v>1724</v>
      </c>
      <c r="B4567" s="431" t="s">
        <v>1745</v>
      </c>
      <c r="C4567" s="430" t="s">
        <v>71</v>
      </c>
      <c r="D4567" s="430" t="s">
        <v>1746</v>
      </c>
      <c r="E4567" s="430" t="s">
        <v>1708</v>
      </c>
      <c r="F4567" s="430"/>
      <c r="G4567" s="432" t="s">
        <v>82</v>
      </c>
      <c r="H4567" s="433">
        <v>2</v>
      </c>
      <c r="I4567" s="433">
        <v>0</v>
      </c>
      <c r="J4567" s="446">
        <v>29.15</v>
      </c>
      <c r="K4567" s="446">
        <v>58.3</v>
      </c>
    </row>
    <row r="4568" customHeight="1" spans="1:11">
      <c r="A4568" s="430" t="s">
        <v>1724</v>
      </c>
      <c r="B4568" s="431" t="s">
        <v>3283</v>
      </c>
      <c r="C4568" s="430" t="s">
        <v>71</v>
      </c>
      <c r="D4568" s="430" t="s">
        <v>3284</v>
      </c>
      <c r="E4568" s="430" t="s">
        <v>2095</v>
      </c>
      <c r="F4568" s="430"/>
      <c r="G4568" s="432" t="s">
        <v>129</v>
      </c>
      <c r="H4568" s="433">
        <v>0.035</v>
      </c>
      <c r="I4568" s="433">
        <v>0</v>
      </c>
      <c r="J4568" s="446">
        <v>509.42</v>
      </c>
      <c r="K4568" s="446">
        <v>17.82</v>
      </c>
    </row>
    <row r="4569" customHeight="1" spans="1:11">
      <c r="A4569" s="430" t="s">
        <v>1724</v>
      </c>
      <c r="B4569" s="431" t="s">
        <v>2521</v>
      </c>
      <c r="C4569" s="430" t="s">
        <v>71</v>
      </c>
      <c r="D4569" s="430" t="s">
        <v>2522</v>
      </c>
      <c r="E4569" s="430" t="s">
        <v>1708</v>
      </c>
      <c r="F4569" s="430"/>
      <c r="G4569" s="432" t="s">
        <v>82</v>
      </c>
      <c r="H4569" s="433">
        <v>2</v>
      </c>
      <c r="I4569" s="433">
        <v>0</v>
      </c>
      <c r="J4569" s="446">
        <v>30.79</v>
      </c>
      <c r="K4569" s="446">
        <v>61.58</v>
      </c>
    </row>
    <row r="4570" customHeight="1" spans="1:11">
      <c r="A4570" s="438" t="s">
        <v>1750</v>
      </c>
      <c r="B4570" s="439" t="s">
        <v>2582</v>
      </c>
      <c r="C4570" s="438" t="s">
        <v>76</v>
      </c>
      <c r="D4570" s="438" t="s">
        <v>2583</v>
      </c>
      <c r="E4570" s="438" t="s">
        <v>1631</v>
      </c>
      <c r="F4570" s="438"/>
      <c r="G4570" s="440" t="s">
        <v>158</v>
      </c>
      <c r="H4570" s="441">
        <v>0.025</v>
      </c>
      <c r="I4570" s="441">
        <v>0</v>
      </c>
      <c r="J4570" s="449">
        <v>37.16</v>
      </c>
      <c r="K4570" s="449">
        <v>0.92</v>
      </c>
    </row>
    <row r="4571" customHeight="1" spans="1:11">
      <c r="A4571" s="438" t="s">
        <v>1750</v>
      </c>
      <c r="B4571" s="439" t="s">
        <v>3285</v>
      </c>
      <c r="C4571" s="438" t="s">
        <v>512</v>
      </c>
      <c r="D4571" s="438" t="s">
        <v>3286</v>
      </c>
      <c r="E4571" s="438" t="s">
        <v>1631</v>
      </c>
      <c r="F4571" s="438"/>
      <c r="G4571" s="440" t="s">
        <v>67</v>
      </c>
      <c r="H4571" s="441">
        <v>2</v>
      </c>
      <c r="I4571" s="441">
        <v>0</v>
      </c>
      <c r="J4571" s="449">
        <v>185</v>
      </c>
      <c r="K4571" s="449">
        <v>370</v>
      </c>
    </row>
    <row r="4572" customHeight="1" spans="1:11">
      <c r="A4572" s="438" t="s">
        <v>1750</v>
      </c>
      <c r="B4572" s="439" t="s">
        <v>3287</v>
      </c>
      <c r="C4572" s="438" t="s">
        <v>71</v>
      </c>
      <c r="D4572" s="438" t="s">
        <v>3288</v>
      </c>
      <c r="E4572" s="438" t="s">
        <v>1631</v>
      </c>
      <c r="F4572" s="438"/>
      <c r="G4572" s="440" t="s">
        <v>158</v>
      </c>
      <c r="H4572" s="441">
        <v>4</v>
      </c>
      <c r="I4572" s="441">
        <v>0</v>
      </c>
      <c r="J4572" s="449">
        <v>4.28</v>
      </c>
      <c r="K4572" s="449">
        <v>17.12</v>
      </c>
    </row>
    <row r="4573" customHeight="1" spans="1:11">
      <c r="A4573" s="438" t="s">
        <v>1750</v>
      </c>
      <c r="B4573" s="439" t="s">
        <v>3289</v>
      </c>
      <c r="C4573" s="438" t="s">
        <v>71</v>
      </c>
      <c r="D4573" s="438" t="s">
        <v>3290</v>
      </c>
      <c r="E4573" s="438" t="s">
        <v>1631</v>
      </c>
      <c r="F4573" s="438"/>
      <c r="G4573" s="440" t="s">
        <v>73</v>
      </c>
      <c r="H4573" s="441">
        <v>1.2</v>
      </c>
      <c r="I4573" s="441">
        <v>0</v>
      </c>
      <c r="J4573" s="449">
        <v>769.81</v>
      </c>
      <c r="K4573" s="449">
        <v>923.77</v>
      </c>
    </row>
    <row r="4574" customHeight="1" spans="1:11">
      <c r="A4574" s="434"/>
      <c r="B4574" s="434"/>
      <c r="C4574" s="434"/>
      <c r="D4574" s="434"/>
      <c r="E4574" s="434"/>
      <c r="F4574" s="434" t="s">
        <v>1735</v>
      </c>
      <c r="G4574" s="435">
        <v>43.3</v>
      </c>
      <c r="H4574" s="434" t="s">
        <v>1736</v>
      </c>
      <c r="I4574" s="435">
        <v>39.33</v>
      </c>
      <c r="J4574" s="434" t="s">
        <v>1737</v>
      </c>
      <c r="K4574" s="435">
        <v>82.63</v>
      </c>
    </row>
    <row r="4575" customHeight="1" spans="1:11">
      <c r="A4575" s="434"/>
      <c r="B4575" s="434"/>
      <c r="C4575" s="434"/>
      <c r="D4575" s="434"/>
      <c r="E4575" s="434"/>
      <c r="F4575" s="434" t="s">
        <v>1738</v>
      </c>
      <c r="G4575" s="435">
        <v>357.44</v>
      </c>
      <c r="H4575" s="434"/>
      <c r="I4575" s="434" t="s">
        <v>1739</v>
      </c>
      <c r="J4575" s="434"/>
      <c r="K4575" s="435">
        <v>1806.95</v>
      </c>
    </row>
    <row r="4576" customHeight="1" spans="1:11">
      <c r="A4576" s="436"/>
      <c r="B4576" s="436"/>
      <c r="C4576" s="436"/>
      <c r="D4576" s="436"/>
      <c r="E4576" s="436"/>
      <c r="F4576" s="436"/>
      <c r="G4576" s="436"/>
      <c r="H4576" s="436" t="s">
        <v>1740</v>
      </c>
      <c r="I4576" s="447" t="s">
        <v>3291</v>
      </c>
      <c r="J4576" s="436" t="s">
        <v>1742</v>
      </c>
      <c r="K4576" s="448">
        <v>24990.11</v>
      </c>
    </row>
    <row r="4577" customHeight="1" spans="1:11">
      <c r="A4577" s="437"/>
      <c r="B4577" s="437"/>
      <c r="C4577" s="437"/>
      <c r="D4577" s="437"/>
      <c r="E4577" s="437"/>
      <c r="F4577" s="437"/>
      <c r="G4577" s="437"/>
      <c r="H4577" s="437"/>
      <c r="I4577" s="437"/>
      <c r="J4577" s="437"/>
      <c r="K4577" s="437"/>
    </row>
    <row r="4578" customHeight="1" spans="1:11">
      <c r="A4578" s="423" t="s">
        <v>1414</v>
      </c>
      <c r="B4578" s="424" t="s">
        <v>1714</v>
      </c>
      <c r="C4578" s="423" t="s">
        <v>1715</v>
      </c>
      <c r="D4578" s="423" t="s">
        <v>1716</v>
      </c>
      <c r="E4578" s="423" t="s">
        <v>1717</v>
      </c>
      <c r="F4578" s="423"/>
      <c r="G4578" s="425" t="s">
        <v>1718</v>
      </c>
      <c r="H4578" s="424" t="s">
        <v>1719</v>
      </c>
      <c r="I4578" s="424" t="s">
        <v>1720</v>
      </c>
      <c r="J4578" s="424" t="s">
        <v>1721</v>
      </c>
      <c r="K4578" s="424" t="s">
        <v>1722</v>
      </c>
    </row>
    <row r="4579" customHeight="1" spans="1:11">
      <c r="A4579" s="426" t="s">
        <v>1723</v>
      </c>
      <c r="B4579" s="427" t="s">
        <v>1415</v>
      </c>
      <c r="C4579" s="426" t="s">
        <v>65</v>
      </c>
      <c r="D4579" s="426" t="s">
        <v>1416</v>
      </c>
      <c r="E4579" s="426" t="s">
        <v>62</v>
      </c>
      <c r="F4579" s="426"/>
      <c r="G4579" s="428" t="s">
        <v>67</v>
      </c>
      <c r="H4579" s="429">
        <v>1</v>
      </c>
      <c r="I4579" s="445"/>
      <c r="J4579" s="445">
        <v>794.57</v>
      </c>
      <c r="K4579" s="445">
        <v>794.57</v>
      </c>
    </row>
    <row r="4580" customHeight="1" spans="1:11">
      <c r="A4580" s="430" t="s">
        <v>1724</v>
      </c>
      <c r="B4580" s="431" t="s">
        <v>1745</v>
      </c>
      <c r="C4580" s="430" t="s">
        <v>71</v>
      </c>
      <c r="D4580" s="430" t="s">
        <v>1746</v>
      </c>
      <c r="E4580" s="430" t="s">
        <v>1708</v>
      </c>
      <c r="F4580" s="430"/>
      <c r="G4580" s="432" t="s">
        <v>82</v>
      </c>
      <c r="H4580" s="433">
        <v>0.5</v>
      </c>
      <c r="I4580" s="433">
        <v>0</v>
      </c>
      <c r="J4580" s="446">
        <v>29.15</v>
      </c>
      <c r="K4580" s="446">
        <v>14.57</v>
      </c>
    </row>
    <row r="4581" customHeight="1" spans="1:11">
      <c r="A4581" s="438" t="s">
        <v>1750</v>
      </c>
      <c r="B4581" s="439" t="s">
        <v>3292</v>
      </c>
      <c r="C4581" s="438" t="s">
        <v>65</v>
      </c>
      <c r="D4581" s="438" t="s">
        <v>3293</v>
      </c>
      <c r="E4581" s="438" t="s">
        <v>1631</v>
      </c>
      <c r="F4581" s="438"/>
      <c r="G4581" s="440" t="s">
        <v>67</v>
      </c>
      <c r="H4581" s="441">
        <v>1</v>
      </c>
      <c r="I4581" s="441">
        <v>0</v>
      </c>
      <c r="J4581" s="449">
        <v>780</v>
      </c>
      <c r="K4581" s="449">
        <v>780</v>
      </c>
    </row>
    <row r="4582" customHeight="1" spans="1:11">
      <c r="A4582" s="434"/>
      <c r="B4582" s="434"/>
      <c r="C4582" s="434"/>
      <c r="D4582" s="434"/>
      <c r="E4582" s="434"/>
      <c r="F4582" s="434" t="s">
        <v>1735</v>
      </c>
      <c r="G4582" s="435">
        <v>5.03</v>
      </c>
      <c r="H4582" s="434" t="s">
        <v>1736</v>
      </c>
      <c r="I4582" s="435">
        <v>4.58</v>
      </c>
      <c r="J4582" s="434" t="s">
        <v>1737</v>
      </c>
      <c r="K4582" s="435">
        <v>9.61</v>
      </c>
    </row>
    <row r="4583" customHeight="1" spans="1:11">
      <c r="A4583" s="434"/>
      <c r="B4583" s="434"/>
      <c r="C4583" s="434"/>
      <c r="D4583" s="434"/>
      <c r="E4583" s="434"/>
      <c r="F4583" s="434" t="s">
        <v>1738</v>
      </c>
      <c r="G4583" s="435">
        <v>195.94</v>
      </c>
      <c r="H4583" s="434"/>
      <c r="I4583" s="434" t="s">
        <v>1739</v>
      </c>
      <c r="J4583" s="434"/>
      <c r="K4583" s="435">
        <v>990.51</v>
      </c>
    </row>
    <row r="4584" customHeight="1" spans="1:11">
      <c r="A4584" s="436"/>
      <c r="B4584" s="436"/>
      <c r="C4584" s="436"/>
      <c r="D4584" s="436"/>
      <c r="E4584" s="436"/>
      <c r="F4584" s="436"/>
      <c r="G4584" s="436"/>
      <c r="H4584" s="436" t="s">
        <v>1740</v>
      </c>
      <c r="I4584" s="447" t="s">
        <v>1741</v>
      </c>
      <c r="J4584" s="436" t="s">
        <v>1742</v>
      </c>
      <c r="K4584" s="448">
        <v>990.51</v>
      </c>
    </row>
    <row r="4585" customHeight="1" spans="1:11">
      <c r="A4585" s="437"/>
      <c r="B4585" s="437"/>
      <c r="C4585" s="437"/>
      <c r="D4585" s="437"/>
      <c r="E4585" s="437"/>
      <c r="F4585" s="437"/>
      <c r="G4585" s="437"/>
      <c r="H4585" s="437"/>
      <c r="I4585" s="437"/>
      <c r="J4585" s="437"/>
      <c r="K4585" s="437"/>
    </row>
    <row r="4586" customHeight="1" spans="1:11">
      <c r="A4586" s="422" t="s">
        <v>1417</v>
      </c>
      <c r="B4586" s="422"/>
      <c r="C4586" s="422"/>
      <c r="D4586" s="422" t="s">
        <v>44</v>
      </c>
      <c r="E4586" s="422"/>
      <c r="F4586" s="422"/>
      <c r="G4586" s="422"/>
      <c r="H4586" s="422"/>
      <c r="I4586" s="443"/>
      <c r="J4586" s="422"/>
      <c r="K4586" s="444">
        <v>19177.99</v>
      </c>
    </row>
    <row r="4587" customHeight="1" spans="1:11">
      <c r="A4587" s="423" t="s">
        <v>1418</v>
      </c>
      <c r="B4587" s="424" t="s">
        <v>1714</v>
      </c>
      <c r="C4587" s="423" t="s">
        <v>1715</v>
      </c>
      <c r="D4587" s="423" t="s">
        <v>1716</v>
      </c>
      <c r="E4587" s="423" t="s">
        <v>1717</v>
      </c>
      <c r="F4587" s="423"/>
      <c r="G4587" s="425" t="s">
        <v>1718</v>
      </c>
      <c r="H4587" s="424" t="s">
        <v>1719</v>
      </c>
      <c r="I4587" s="424" t="s">
        <v>1720</v>
      </c>
      <c r="J4587" s="424" t="s">
        <v>1721</v>
      </c>
      <c r="K4587" s="424" t="s">
        <v>1722</v>
      </c>
    </row>
    <row r="4588" customHeight="1" spans="1:11">
      <c r="A4588" s="426" t="s">
        <v>1723</v>
      </c>
      <c r="B4588" s="427" t="s">
        <v>1419</v>
      </c>
      <c r="C4588" s="426" t="s">
        <v>65</v>
      </c>
      <c r="D4588" s="426" t="s">
        <v>1420</v>
      </c>
      <c r="E4588" s="426" t="s">
        <v>62</v>
      </c>
      <c r="F4588" s="426"/>
      <c r="G4588" s="428" t="s">
        <v>67</v>
      </c>
      <c r="H4588" s="429">
        <v>1</v>
      </c>
      <c r="I4588" s="445"/>
      <c r="J4588" s="445">
        <v>37.27</v>
      </c>
      <c r="K4588" s="445">
        <v>37.27</v>
      </c>
    </row>
    <row r="4589" customHeight="1" spans="1:11">
      <c r="A4589" s="438" t="s">
        <v>1750</v>
      </c>
      <c r="B4589" s="439" t="s">
        <v>3294</v>
      </c>
      <c r="C4589" s="438" t="s">
        <v>65</v>
      </c>
      <c r="D4589" s="438" t="s">
        <v>3295</v>
      </c>
      <c r="E4589" s="438" t="s">
        <v>1631</v>
      </c>
      <c r="F4589" s="438"/>
      <c r="G4589" s="440" t="s">
        <v>67</v>
      </c>
      <c r="H4589" s="441">
        <v>1</v>
      </c>
      <c r="I4589" s="441">
        <v>0</v>
      </c>
      <c r="J4589" s="449">
        <v>37.27</v>
      </c>
      <c r="K4589" s="449">
        <v>37.27</v>
      </c>
    </row>
    <row r="4590" customHeight="1" spans="1:11">
      <c r="A4590" s="434"/>
      <c r="B4590" s="434"/>
      <c r="C4590" s="434"/>
      <c r="D4590" s="434"/>
      <c r="E4590" s="434"/>
      <c r="F4590" s="434" t="s">
        <v>1735</v>
      </c>
      <c r="G4590" s="435">
        <v>0</v>
      </c>
      <c r="H4590" s="434" t="s">
        <v>1736</v>
      </c>
      <c r="I4590" s="435">
        <v>0</v>
      </c>
      <c r="J4590" s="434" t="s">
        <v>1737</v>
      </c>
      <c r="K4590" s="435">
        <v>0</v>
      </c>
    </row>
    <row r="4591" customHeight="1" spans="1:11">
      <c r="A4591" s="434"/>
      <c r="B4591" s="434"/>
      <c r="C4591" s="434"/>
      <c r="D4591" s="434"/>
      <c r="E4591" s="434"/>
      <c r="F4591" s="434" t="s">
        <v>1738</v>
      </c>
      <c r="G4591" s="435">
        <v>9.19</v>
      </c>
      <c r="H4591" s="434"/>
      <c r="I4591" s="434" t="s">
        <v>1739</v>
      </c>
      <c r="J4591" s="434"/>
      <c r="K4591" s="435">
        <v>46.46</v>
      </c>
    </row>
    <row r="4592" customHeight="1" spans="1:11">
      <c r="A4592" s="436"/>
      <c r="B4592" s="436"/>
      <c r="C4592" s="436"/>
      <c r="D4592" s="436"/>
      <c r="E4592" s="436"/>
      <c r="F4592" s="436"/>
      <c r="G4592" s="436"/>
      <c r="H4592" s="436" t="s">
        <v>1740</v>
      </c>
      <c r="I4592" s="447" t="s">
        <v>2336</v>
      </c>
      <c r="J4592" s="436" t="s">
        <v>1742</v>
      </c>
      <c r="K4592" s="448">
        <v>371.68</v>
      </c>
    </row>
    <row r="4593" customHeight="1" spans="1:11">
      <c r="A4593" s="437"/>
      <c r="B4593" s="437"/>
      <c r="C4593" s="437"/>
      <c r="D4593" s="437"/>
      <c r="E4593" s="437"/>
      <c r="F4593" s="437"/>
      <c r="G4593" s="437"/>
      <c r="H4593" s="437"/>
      <c r="I4593" s="437"/>
      <c r="J4593" s="437"/>
      <c r="K4593" s="437"/>
    </row>
    <row r="4594" customHeight="1" spans="1:11">
      <c r="A4594" s="423" t="s">
        <v>1421</v>
      </c>
      <c r="B4594" s="424" t="s">
        <v>1714</v>
      </c>
      <c r="C4594" s="423" t="s">
        <v>1715</v>
      </c>
      <c r="D4594" s="423" t="s">
        <v>1716</v>
      </c>
      <c r="E4594" s="423" t="s">
        <v>1717</v>
      </c>
      <c r="F4594" s="423"/>
      <c r="G4594" s="425" t="s">
        <v>1718</v>
      </c>
      <c r="H4594" s="424" t="s">
        <v>1719</v>
      </c>
      <c r="I4594" s="424" t="s">
        <v>1720</v>
      </c>
      <c r="J4594" s="424" t="s">
        <v>1721</v>
      </c>
      <c r="K4594" s="424" t="s">
        <v>1722</v>
      </c>
    </row>
    <row r="4595" customHeight="1" spans="1:11">
      <c r="A4595" s="426" t="s">
        <v>1723</v>
      </c>
      <c r="B4595" s="427" t="s">
        <v>1422</v>
      </c>
      <c r="C4595" s="426" t="s">
        <v>65</v>
      </c>
      <c r="D4595" s="426" t="s">
        <v>1423</v>
      </c>
      <c r="E4595" s="426" t="s">
        <v>62</v>
      </c>
      <c r="F4595" s="426"/>
      <c r="G4595" s="428" t="s">
        <v>67</v>
      </c>
      <c r="H4595" s="429">
        <v>1</v>
      </c>
      <c r="I4595" s="445"/>
      <c r="J4595" s="445">
        <v>36.88</v>
      </c>
      <c r="K4595" s="445">
        <v>36.88</v>
      </c>
    </row>
    <row r="4596" customHeight="1" spans="1:11">
      <c r="A4596" s="438" t="s">
        <v>1750</v>
      </c>
      <c r="B4596" s="439" t="s">
        <v>3296</v>
      </c>
      <c r="C4596" s="438" t="s">
        <v>65</v>
      </c>
      <c r="D4596" s="438" t="s">
        <v>3297</v>
      </c>
      <c r="E4596" s="438" t="s">
        <v>1631</v>
      </c>
      <c r="F4596" s="438"/>
      <c r="G4596" s="440" t="s">
        <v>67</v>
      </c>
      <c r="H4596" s="441">
        <v>1</v>
      </c>
      <c r="I4596" s="441">
        <v>0</v>
      </c>
      <c r="J4596" s="449">
        <v>36.88</v>
      </c>
      <c r="K4596" s="449">
        <v>36.88</v>
      </c>
    </row>
    <row r="4597" customHeight="1" spans="1:11">
      <c r="A4597" s="434"/>
      <c r="B4597" s="434"/>
      <c r="C4597" s="434"/>
      <c r="D4597" s="434"/>
      <c r="E4597" s="434"/>
      <c r="F4597" s="434" t="s">
        <v>1735</v>
      </c>
      <c r="G4597" s="435">
        <v>0</v>
      </c>
      <c r="H4597" s="434" t="s">
        <v>1736</v>
      </c>
      <c r="I4597" s="435">
        <v>0</v>
      </c>
      <c r="J4597" s="434" t="s">
        <v>1737</v>
      </c>
      <c r="K4597" s="435">
        <v>0</v>
      </c>
    </row>
    <row r="4598" customHeight="1" spans="1:11">
      <c r="A4598" s="434"/>
      <c r="B4598" s="434"/>
      <c r="C4598" s="434"/>
      <c r="D4598" s="434"/>
      <c r="E4598" s="434"/>
      <c r="F4598" s="434" t="s">
        <v>1738</v>
      </c>
      <c r="G4598" s="435">
        <v>9.09</v>
      </c>
      <c r="H4598" s="434"/>
      <c r="I4598" s="434" t="s">
        <v>1739</v>
      </c>
      <c r="J4598" s="434"/>
      <c r="K4598" s="435">
        <v>45.97</v>
      </c>
    </row>
    <row r="4599" customHeight="1" spans="1:11">
      <c r="A4599" s="436"/>
      <c r="B4599" s="436"/>
      <c r="C4599" s="436"/>
      <c r="D4599" s="436"/>
      <c r="E4599" s="436"/>
      <c r="F4599" s="436"/>
      <c r="G4599" s="436"/>
      <c r="H4599" s="436" t="s">
        <v>1740</v>
      </c>
      <c r="I4599" s="447" t="s">
        <v>2605</v>
      </c>
      <c r="J4599" s="436" t="s">
        <v>1742</v>
      </c>
      <c r="K4599" s="448">
        <v>781.49</v>
      </c>
    </row>
    <row r="4600" customHeight="1" spans="1:11">
      <c r="A4600" s="437"/>
      <c r="B4600" s="437"/>
      <c r="C4600" s="437"/>
      <c r="D4600" s="437"/>
      <c r="E4600" s="437"/>
      <c r="F4600" s="437"/>
      <c r="G4600" s="437"/>
      <c r="H4600" s="437"/>
      <c r="I4600" s="437"/>
      <c r="J4600" s="437"/>
      <c r="K4600" s="437"/>
    </row>
    <row r="4601" customHeight="1" spans="1:11">
      <c r="A4601" s="423" t="s">
        <v>1424</v>
      </c>
      <c r="B4601" s="424" t="s">
        <v>1714</v>
      </c>
      <c r="C4601" s="423" t="s">
        <v>1715</v>
      </c>
      <c r="D4601" s="423" t="s">
        <v>1716</v>
      </c>
      <c r="E4601" s="423" t="s">
        <v>1717</v>
      </c>
      <c r="F4601" s="423"/>
      <c r="G4601" s="425" t="s">
        <v>1718</v>
      </c>
      <c r="H4601" s="424" t="s">
        <v>1719</v>
      </c>
      <c r="I4601" s="424" t="s">
        <v>1720</v>
      </c>
      <c r="J4601" s="424" t="s">
        <v>1721</v>
      </c>
      <c r="K4601" s="424" t="s">
        <v>1722</v>
      </c>
    </row>
    <row r="4602" customHeight="1" spans="1:11">
      <c r="A4602" s="426" t="s">
        <v>1723</v>
      </c>
      <c r="B4602" s="427" t="s">
        <v>1425</v>
      </c>
      <c r="C4602" s="426" t="s">
        <v>65</v>
      </c>
      <c r="D4602" s="426" t="s">
        <v>1426</v>
      </c>
      <c r="E4602" s="426" t="s">
        <v>62</v>
      </c>
      <c r="F4602" s="426"/>
      <c r="G4602" s="428" t="s">
        <v>67</v>
      </c>
      <c r="H4602" s="429">
        <v>1</v>
      </c>
      <c r="I4602" s="445"/>
      <c r="J4602" s="445">
        <v>38.41</v>
      </c>
      <c r="K4602" s="445">
        <v>38.41</v>
      </c>
    </row>
    <row r="4603" customHeight="1" spans="1:11">
      <c r="A4603" s="438" t="s">
        <v>1750</v>
      </c>
      <c r="B4603" s="439" t="s">
        <v>3298</v>
      </c>
      <c r="C4603" s="438" t="s">
        <v>65</v>
      </c>
      <c r="D4603" s="438" t="s">
        <v>3299</v>
      </c>
      <c r="E4603" s="438" t="s">
        <v>1631</v>
      </c>
      <c r="F4603" s="438"/>
      <c r="G4603" s="440" t="s">
        <v>67</v>
      </c>
      <c r="H4603" s="441">
        <v>1</v>
      </c>
      <c r="I4603" s="441">
        <v>0</v>
      </c>
      <c r="J4603" s="449">
        <v>38.41</v>
      </c>
      <c r="K4603" s="449">
        <v>38.41</v>
      </c>
    </row>
    <row r="4604" customHeight="1" spans="1:11">
      <c r="A4604" s="434"/>
      <c r="B4604" s="434"/>
      <c r="C4604" s="434"/>
      <c r="D4604" s="434"/>
      <c r="E4604" s="434"/>
      <c r="F4604" s="434" t="s">
        <v>1735</v>
      </c>
      <c r="G4604" s="435">
        <v>0</v>
      </c>
      <c r="H4604" s="434" t="s">
        <v>1736</v>
      </c>
      <c r="I4604" s="435">
        <v>0</v>
      </c>
      <c r="J4604" s="434" t="s">
        <v>1737</v>
      </c>
      <c r="K4604" s="435">
        <v>0</v>
      </c>
    </row>
    <row r="4605" customHeight="1" spans="1:11">
      <c r="A4605" s="434"/>
      <c r="B4605" s="434"/>
      <c r="C4605" s="434"/>
      <c r="D4605" s="434"/>
      <c r="E4605" s="434"/>
      <c r="F4605" s="434" t="s">
        <v>1738</v>
      </c>
      <c r="G4605" s="435">
        <v>9.47</v>
      </c>
      <c r="H4605" s="434"/>
      <c r="I4605" s="434" t="s">
        <v>1739</v>
      </c>
      <c r="J4605" s="434"/>
      <c r="K4605" s="435">
        <v>47.88</v>
      </c>
    </row>
    <row r="4606" customHeight="1" spans="1:11">
      <c r="A4606" s="436"/>
      <c r="B4606" s="436"/>
      <c r="C4606" s="436"/>
      <c r="D4606" s="436"/>
      <c r="E4606" s="436"/>
      <c r="F4606" s="436"/>
      <c r="G4606" s="436"/>
      <c r="H4606" s="436" t="s">
        <v>1740</v>
      </c>
      <c r="I4606" s="447" t="s">
        <v>1741</v>
      </c>
      <c r="J4606" s="436" t="s">
        <v>1742</v>
      </c>
      <c r="K4606" s="448">
        <v>47.88</v>
      </c>
    </row>
    <row r="4607" customHeight="1" spans="1:11">
      <c r="A4607" s="437"/>
      <c r="B4607" s="437"/>
      <c r="C4607" s="437"/>
      <c r="D4607" s="437"/>
      <c r="E4607" s="437"/>
      <c r="F4607" s="437"/>
      <c r="G4607" s="437"/>
      <c r="H4607" s="437"/>
      <c r="I4607" s="437"/>
      <c r="J4607" s="437"/>
      <c r="K4607" s="437"/>
    </row>
    <row r="4608" customHeight="1" spans="1:11">
      <c r="A4608" s="423" t="s">
        <v>1427</v>
      </c>
      <c r="B4608" s="424" t="s">
        <v>1714</v>
      </c>
      <c r="C4608" s="423" t="s">
        <v>1715</v>
      </c>
      <c r="D4608" s="423" t="s">
        <v>1716</v>
      </c>
      <c r="E4608" s="423" t="s">
        <v>1717</v>
      </c>
      <c r="F4608" s="423"/>
      <c r="G4608" s="425" t="s">
        <v>1718</v>
      </c>
      <c r="H4608" s="424" t="s">
        <v>1719</v>
      </c>
      <c r="I4608" s="424" t="s">
        <v>1720</v>
      </c>
      <c r="J4608" s="424" t="s">
        <v>1721</v>
      </c>
      <c r="K4608" s="424" t="s">
        <v>1722</v>
      </c>
    </row>
    <row r="4609" customHeight="1" spans="1:11">
      <c r="A4609" s="426" t="s">
        <v>1723</v>
      </c>
      <c r="B4609" s="427" t="s">
        <v>1428</v>
      </c>
      <c r="C4609" s="426" t="s">
        <v>65</v>
      </c>
      <c r="D4609" s="426" t="s">
        <v>1429</v>
      </c>
      <c r="E4609" s="426" t="s">
        <v>62</v>
      </c>
      <c r="F4609" s="426"/>
      <c r="G4609" s="428" t="s">
        <v>67</v>
      </c>
      <c r="H4609" s="429">
        <v>1</v>
      </c>
      <c r="I4609" s="445"/>
      <c r="J4609" s="445">
        <v>38.41</v>
      </c>
      <c r="K4609" s="445">
        <v>38.41</v>
      </c>
    </row>
    <row r="4610" customHeight="1" spans="1:11">
      <c r="A4610" s="438" t="s">
        <v>1750</v>
      </c>
      <c r="B4610" s="439" t="s">
        <v>3300</v>
      </c>
      <c r="C4610" s="438" t="s">
        <v>65</v>
      </c>
      <c r="D4610" s="438" t="s">
        <v>3301</v>
      </c>
      <c r="E4610" s="438" t="s">
        <v>1631</v>
      </c>
      <c r="F4610" s="438"/>
      <c r="G4610" s="440" t="s">
        <v>67</v>
      </c>
      <c r="H4610" s="441">
        <v>1</v>
      </c>
      <c r="I4610" s="441">
        <v>0</v>
      </c>
      <c r="J4610" s="449">
        <v>38.41</v>
      </c>
      <c r="K4610" s="449">
        <v>38.41</v>
      </c>
    </row>
    <row r="4611" customHeight="1" spans="1:11">
      <c r="A4611" s="434"/>
      <c r="B4611" s="434"/>
      <c r="C4611" s="434"/>
      <c r="D4611" s="434"/>
      <c r="E4611" s="434"/>
      <c r="F4611" s="434" t="s">
        <v>1735</v>
      </c>
      <c r="G4611" s="435">
        <v>0</v>
      </c>
      <c r="H4611" s="434" t="s">
        <v>1736</v>
      </c>
      <c r="I4611" s="435">
        <v>0</v>
      </c>
      <c r="J4611" s="434" t="s">
        <v>1737</v>
      </c>
      <c r="K4611" s="435">
        <v>0</v>
      </c>
    </row>
    <row r="4612" customHeight="1" spans="1:11">
      <c r="A4612" s="434"/>
      <c r="B4612" s="434"/>
      <c r="C4612" s="434"/>
      <c r="D4612" s="434"/>
      <c r="E4612" s="434"/>
      <c r="F4612" s="434" t="s">
        <v>1738</v>
      </c>
      <c r="G4612" s="435">
        <v>9.47</v>
      </c>
      <c r="H4612" s="434"/>
      <c r="I4612" s="434" t="s">
        <v>1739</v>
      </c>
      <c r="J4612" s="434"/>
      <c r="K4612" s="435">
        <v>47.88</v>
      </c>
    </row>
    <row r="4613" customHeight="1" spans="1:11">
      <c r="A4613" s="436"/>
      <c r="B4613" s="436"/>
      <c r="C4613" s="436"/>
      <c r="D4613" s="436"/>
      <c r="E4613" s="436"/>
      <c r="F4613" s="436"/>
      <c r="G4613" s="436"/>
      <c r="H4613" s="436" t="s">
        <v>1740</v>
      </c>
      <c r="I4613" s="447" t="s">
        <v>1741</v>
      </c>
      <c r="J4613" s="436" t="s">
        <v>1742</v>
      </c>
      <c r="K4613" s="448">
        <v>47.88</v>
      </c>
    </row>
    <row r="4614" customHeight="1" spans="1:11">
      <c r="A4614" s="437"/>
      <c r="B4614" s="437"/>
      <c r="C4614" s="437"/>
      <c r="D4614" s="437"/>
      <c r="E4614" s="437"/>
      <c r="F4614" s="437"/>
      <c r="G4614" s="437"/>
      <c r="H4614" s="437"/>
      <c r="I4614" s="437"/>
      <c r="J4614" s="437"/>
      <c r="K4614" s="437"/>
    </row>
    <row r="4615" customHeight="1" spans="1:11">
      <c r="A4615" s="423" t="s">
        <v>1430</v>
      </c>
      <c r="B4615" s="424" t="s">
        <v>1714</v>
      </c>
      <c r="C4615" s="423" t="s">
        <v>1715</v>
      </c>
      <c r="D4615" s="423" t="s">
        <v>1716</v>
      </c>
      <c r="E4615" s="423" t="s">
        <v>1717</v>
      </c>
      <c r="F4615" s="423"/>
      <c r="G4615" s="425" t="s">
        <v>1718</v>
      </c>
      <c r="H4615" s="424" t="s">
        <v>1719</v>
      </c>
      <c r="I4615" s="424" t="s">
        <v>1720</v>
      </c>
      <c r="J4615" s="424" t="s">
        <v>1721</v>
      </c>
      <c r="K4615" s="424" t="s">
        <v>1722</v>
      </c>
    </row>
    <row r="4616" customHeight="1" spans="1:11">
      <c r="A4616" s="426" t="s">
        <v>1723</v>
      </c>
      <c r="B4616" s="427" t="s">
        <v>1431</v>
      </c>
      <c r="C4616" s="426" t="s">
        <v>65</v>
      </c>
      <c r="D4616" s="426" t="s">
        <v>1432</v>
      </c>
      <c r="E4616" s="426" t="s">
        <v>62</v>
      </c>
      <c r="F4616" s="426"/>
      <c r="G4616" s="428" t="s">
        <v>67</v>
      </c>
      <c r="H4616" s="429">
        <v>1</v>
      </c>
      <c r="I4616" s="445"/>
      <c r="J4616" s="445">
        <v>42.31</v>
      </c>
      <c r="K4616" s="445">
        <v>42.31</v>
      </c>
    </row>
    <row r="4617" customHeight="1" spans="1:11">
      <c r="A4617" s="438" t="s">
        <v>1750</v>
      </c>
      <c r="B4617" s="439" t="s">
        <v>3302</v>
      </c>
      <c r="C4617" s="438" t="s">
        <v>65</v>
      </c>
      <c r="D4617" s="438" t="s">
        <v>3303</v>
      </c>
      <c r="E4617" s="438" t="s">
        <v>1631</v>
      </c>
      <c r="F4617" s="438"/>
      <c r="G4617" s="440" t="s">
        <v>67</v>
      </c>
      <c r="H4617" s="441">
        <v>1</v>
      </c>
      <c r="I4617" s="441">
        <v>0</v>
      </c>
      <c r="J4617" s="449">
        <v>42.31</v>
      </c>
      <c r="K4617" s="449">
        <v>42.31</v>
      </c>
    </row>
    <row r="4618" customHeight="1" spans="1:11">
      <c r="A4618" s="434"/>
      <c r="B4618" s="434"/>
      <c r="C4618" s="434"/>
      <c r="D4618" s="434"/>
      <c r="E4618" s="434"/>
      <c r="F4618" s="434" t="s">
        <v>1735</v>
      </c>
      <c r="G4618" s="435">
        <v>0</v>
      </c>
      <c r="H4618" s="434" t="s">
        <v>1736</v>
      </c>
      <c r="I4618" s="435">
        <v>0</v>
      </c>
      <c r="J4618" s="434" t="s">
        <v>1737</v>
      </c>
      <c r="K4618" s="435">
        <v>0</v>
      </c>
    </row>
    <row r="4619" customHeight="1" spans="1:11">
      <c r="A4619" s="434"/>
      <c r="B4619" s="434"/>
      <c r="C4619" s="434"/>
      <c r="D4619" s="434"/>
      <c r="E4619" s="434"/>
      <c r="F4619" s="434" t="s">
        <v>1738</v>
      </c>
      <c r="G4619" s="435">
        <v>10.43</v>
      </c>
      <c r="H4619" s="434"/>
      <c r="I4619" s="434" t="s">
        <v>1739</v>
      </c>
      <c r="J4619" s="434"/>
      <c r="K4619" s="435">
        <v>52.74</v>
      </c>
    </row>
    <row r="4620" customHeight="1" spans="1:11">
      <c r="A4620" s="436"/>
      <c r="B4620" s="436"/>
      <c r="C4620" s="436"/>
      <c r="D4620" s="436"/>
      <c r="E4620" s="436"/>
      <c r="F4620" s="436"/>
      <c r="G4620" s="436"/>
      <c r="H4620" s="436" t="s">
        <v>1740</v>
      </c>
      <c r="I4620" s="447" t="s">
        <v>1741</v>
      </c>
      <c r="J4620" s="436" t="s">
        <v>1742</v>
      </c>
      <c r="K4620" s="448">
        <v>52.74</v>
      </c>
    </row>
    <row r="4621" customHeight="1" spans="1:11">
      <c r="A4621" s="437"/>
      <c r="B4621" s="437"/>
      <c r="C4621" s="437"/>
      <c r="D4621" s="437"/>
      <c r="E4621" s="437"/>
      <c r="F4621" s="437"/>
      <c r="G4621" s="437"/>
      <c r="H4621" s="437"/>
      <c r="I4621" s="437"/>
      <c r="J4621" s="437"/>
      <c r="K4621" s="437"/>
    </row>
    <row r="4622" customHeight="1" spans="1:11">
      <c r="A4622" s="423" t="s">
        <v>1433</v>
      </c>
      <c r="B4622" s="424" t="s">
        <v>1714</v>
      </c>
      <c r="C4622" s="423" t="s">
        <v>1715</v>
      </c>
      <c r="D4622" s="423" t="s">
        <v>1716</v>
      </c>
      <c r="E4622" s="423" t="s">
        <v>1717</v>
      </c>
      <c r="F4622" s="423"/>
      <c r="G4622" s="425" t="s">
        <v>1718</v>
      </c>
      <c r="H4622" s="424" t="s">
        <v>1719</v>
      </c>
      <c r="I4622" s="424" t="s">
        <v>1720</v>
      </c>
      <c r="J4622" s="424" t="s">
        <v>1721</v>
      </c>
      <c r="K4622" s="424" t="s">
        <v>1722</v>
      </c>
    </row>
    <row r="4623" customHeight="1" spans="1:11">
      <c r="A4623" s="426" t="s">
        <v>1723</v>
      </c>
      <c r="B4623" s="427" t="s">
        <v>1434</v>
      </c>
      <c r="C4623" s="426" t="s">
        <v>65</v>
      </c>
      <c r="D4623" s="426" t="s">
        <v>1435</v>
      </c>
      <c r="E4623" s="426" t="s">
        <v>62</v>
      </c>
      <c r="F4623" s="426"/>
      <c r="G4623" s="428" t="s">
        <v>67</v>
      </c>
      <c r="H4623" s="429">
        <v>1</v>
      </c>
      <c r="I4623" s="445"/>
      <c r="J4623" s="445">
        <v>42.18</v>
      </c>
      <c r="K4623" s="445">
        <v>42.18</v>
      </c>
    </row>
    <row r="4624" customHeight="1" spans="1:11">
      <c r="A4624" s="438" t="s">
        <v>1750</v>
      </c>
      <c r="B4624" s="439" t="s">
        <v>3304</v>
      </c>
      <c r="C4624" s="438" t="s">
        <v>65</v>
      </c>
      <c r="D4624" s="438" t="s">
        <v>3305</v>
      </c>
      <c r="E4624" s="438" t="s">
        <v>1631</v>
      </c>
      <c r="F4624" s="438"/>
      <c r="G4624" s="440" t="s">
        <v>67</v>
      </c>
      <c r="H4624" s="441">
        <v>1</v>
      </c>
      <c r="I4624" s="441">
        <v>0</v>
      </c>
      <c r="J4624" s="449">
        <v>42.18</v>
      </c>
      <c r="K4624" s="449">
        <v>42.18</v>
      </c>
    </row>
    <row r="4625" customHeight="1" spans="1:11">
      <c r="A4625" s="434"/>
      <c r="B4625" s="434"/>
      <c r="C4625" s="434"/>
      <c r="D4625" s="434"/>
      <c r="E4625" s="434"/>
      <c r="F4625" s="434" t="s">
        <v>1735</v>
      </c>
      <c r="G4625" s="435">
        <v>0</v>
      </c>
      <c r="H4625" s="434" t="s">
        <v>1736</v>
      </c>
      <c r="I4625" s="435">
        <v>0</v>
      </c>
      <c r="J4625" s="434" t="s">
        <v>1737</v>
      </c>
      <c r="K4625" s="435">
        <v>0</v>
      </c>
    </row>
    <row r="4626" customHeight="1" spans="1:11">
      <c r="A4626" s="434"/>
      <c r="B4626" s="434"/>
      <c r="C4626" s="434"/>
      <c r="D4626" s="434"/>
      <c r="E4626" s="434"/>
      <c r="F4626" s="434" t="s">
        <v>1738</v>
      </c>
      <c r="G4626" s="435">
        <v>10.4</v>
      </c>
      <c r="H4626" s="434"/>
      <c r="I4626" s="434" t="s">
        <v>1739</v>
      </c>
      <c r="J4626" s="434"/>
      <c r="K4626" s="435">
        <v>52.58</v>
      </c>
    </row>
    <row r="4627" customHeight="1" spans="1:11">
      <c r="A4627" s="436"/>
      <c r="B4627" s="436"/>
      <c r="C4627" s="436"/>
      <c r="D4627" s="436"/>
      <c r="E4627" s="436"/>
      <c r="F4627" s="436"/>
      <c r="G4627" s="436"/>
      <c r="H4627" s="436" t="s">
        <v>1740</v>
      </c>
      <c r="I4627" s="447" t="s">
        <v>1741</v>
      </c>
      <c r="J4627" s="436" t="s">
        <v>1742</v>
      </c>
      <c r="K4627" s="448">
        <v>52.58</v>
      </c>
    </row>
    <row r="4628" customHeight="1" spans="1:11">
      <c r="A4628" s="437"/>
      <c r="B4628" s="437"/>
      <c r="C4628" s="437"/>
      <c r="D4628" s="437"/>
      <c r="E4628" s="437"/>
      <c r="F4628" s="437"/>
      <c r="G4628" s="437"/>
      <c r="H4628" s="437"/>
      <c r="I4628" s="437"/>
      <c r="J4628" s="437"/>
      <c r="K4628" s="437"/>
    </row>
    <row r="4629" customHeight="1" spans="1:11">
      <c r="A4629" s="423" t="s">
        <v>1436</v>
      </c>
      <c r="B4629" s="424" t="s">
        <v>1714</v>
      </c>
      <c r="C4629" s="423" t="s">
        <v>1715</v>
      </c>
      <c r="D4629" s="423" t="s">
        <v>1716</v>
      </c>
      <c r="E4629" s="423" t="s">
        <v>1717</v>
      </c>
      <c r="F4629" s="423"/>
      <c r="G4629" s="425" t="s">
        <v>1718</v>
      </c>
      <c r="H4629" s="424" t="s">
        <v>1719</v>
      </c>
      <c r="I4629" s="424" t="s">
        <v>1720</v>
      </c>
      <c r="J4629" s="424" t="s">
        <v>1721</v>
      </c>
      <c r="K4629" s="424" t="s">
        <v>1722</v>
      </c>
    </row>
    <row r="4630" customHeight="1" spans="1:11">
      <c r="A4630" s="426" t="s">
        <v>1723</v>
      </c>
      <c r="B4630" s="427" t="s">
        <v>1437</v>
      </c>
      <c r="C4630" s="426" t="s">
        <v>65</v>
      </c>
      <c r="D4630" s="426" t="s">
        <v>1438</v>
      </c>
      <c r="E4630" s="426" t="s">
        <v>62</v>
      </c>
      <c r="F4630" s="426"/>
      <c r="G4630" s="428" t="s">
        <v>67</v>
      </c>
      <c r="H4630" s="429">
        <v>1</v>
      </c>
      <c r="I4630" s="445"/>
      <c r="J4630" s="445">
        <v>36.63</v>
      </c>
      <c r="K4630" s="445">
        <v>36.63</v>
      </c>
    </row>
    <row r="4631" customHeight="1" spans="1:11">
      <c r="A4631" s="438" t="s">
        <v>1750</v>
      </c>
      <c r="B4631" s="439" t="s">
        <v>3306</v>
      </c>
      <c r="C4631" s="438" t="s">
        <v>65</v>
      </c>
      <c r="D4631" s="438" t="s">
        <v>3307</v>
      </c>
      <c r="E4631" s="438" t="s">
        <v>1631</v>
      </c>
      <c r="F4631" s="438"/>
      <c r="G4631" s="440" t="s">
        <v>67</v>
      </c>
      <c r="H4631" s="441">
        <v>1</v>
      </c>
      <c r="I4631" s="441">
        <v>0</v>
      </c>
      <c r="J4631" s="449">
        <v>36.63</v>
      </c>
      <c r="K4631" s="449">
        <v>36.63</v>
      </c>
    </row>
    <row r="4632" customHeight="1" spans="1:11">
      <c r="A4632" s="434"/>
      <c r="B4632" s="434"/>
      <c r="C4632" s="434"/>
      <c r="D4632" s="434"/>
      <c r="E4632" s="434"/>
      <c r="F4632" s="434" t="s">
        <v>1735</v>
      </c>
      <c r="G4632" s="435">
        <v>0</v>
      </c>
      <c r="H4632" s="434" t="s">
        <v>1736</v>
      </c>
      <c r="I4632" s="435">
        <v>0</v>
      </c>
      <c r="J4632" s="434" t="s">
        <v>1737</v>
      </c>
      <c r="K4632" s="435">
        <v>0</v>
      </c>
    </row>
    <row r="4633" customHeight="1" spans="1:11">
      <c r="A4633" s="434"/>
      <c r="B4633" s="434"/>
      <c r="C4633" s="434"/>
      <c r="D4633" s="434"/>
      <c r="E4633" s="434"/>
      <c r="F4633" s="434" t="s">
        <v>1738</v>
      </c>
      <c r="G4633" s="435">
        <v>9.03</v>
      </c>
      <c r="H4633" s="434"/>
      <c r="I4633" s="434" t="s">
        <v>1739</v>
      </c>
      <c r="J4633" s="434"/>
      <c r="K4633" s="435">
        <v>45.66</v>
      </c>
    </row>
    <row r="4634" customHeight="1" spans="1:11">
      <c r="A4634" s="436"/>
      <c r="B4634" s="436"/>
      <c r="C4634" s="436"/>
      <c r="D4634" s="436"/>
      <c r="E4634" s="436"/>
      <c r="F4634" s="436"/>
      <c r="G4634" s="436"/>
      <c r="H4634" s="436" t="s">
        <v>1740</v>
      </c>
      <c r="I4634" s="447" t="s">
        <v>1741</v>
      </c>
      <c r="J4634" s="436" t="s">
        <v>1742</v>
      </c>
      <c r="K4634" s="448">
        <v>45.66</v>
      </c>
    </row>
    <row r="4635" customHeight="1" spans="1:11">
      <c r="A4635" s="437"/>
      <c r="B4635" s="437"/>
      <c r="C4635" s="437"/>
      <c r="D4635" s="437"/>
      <c r="E4635" s="437"/>
      <c r="F4635" s="437"/>
      <c r="G4635" s="437"/>
      <c r="H4635" s="437"/>
      <c r="I4635" s="437"/>
      <c r="J4635" s="437"/>
      <c r="K4635" s="437"/>
    </row>
    <row r="4636" customHeight="1" spans="1:11">
      <c r="A4636" s="423" t="s">
        <v>1439</v>
      </c>
      <c r="B4636" s="424" t="s">
        <v>1714</v>
      </c>
      <c r="C4636" s="423" t="s">
        <v>1715</v>
      </c>
      <c r="D4636" s="423" t="s">
        <v>1716</v>
      </c>
      <c r="E4636" s="423" t="s">
        <v>1717</v>
      </c>
      <c r="F4636" s="423"/>
      <c r="G4636" s="425" t="s">
        <v>1718</v>
      </c>
      <c r="H4636" s="424" t="s">
        <v>1719</v>
      </c>
      <c r="I4636" s="424" t="s">
        <v>1720</v>
      </c>
      <c r="J4636" s="424" t="s">
        <v>1721</v>
      </c>
      <c r="K4636" s="424" t="s">
        <v>1722</v>
      </c>
    </row>
    <row r="4637" customHeight="1" spans="1:11">
      <c r="A4637" s="426" t="s">
        <v>1723</v>
      </c>
      <c r="B4637" s="427" t="s">
        <v>1440</v>
      </c>
      <c r="C4637" s="426" t="s">
        <v>65</v>
      </c>
      <c r="D4637" s="426" t="s">
        <v>1441</v>
      </c>
      <c r="E4637" s="426" t="s">
        <v>62</v>
      </c>
      <c r="F4637" s="426"/>
      <c r="G4637" s="428" t="s">
        <v>67</v>
      </c>
      <c r="H4637" s="429">
        <v>1</v>
      </c>
      <c r="I4637" s="445"/>
      <c r="J4637" s="445">
        <v>44.07</v>
      </c>
      <c r="K4637" s="445">
        <v>44.07</v>
      </c>
    </row>
    <row r="4638" customHeight="1" spans="1:11">
      <c r="A4638" s="438" t="s">
        <v>1750</v>
      </c>
      <c r="B4638" s="439" t="s">
        <v>3308</v>
      </c>
      <c r="C4638" s="438" t="s">
        <v>65</v>
      </c>
      <c r="D4638" s="438" t="s">
        <v>3309</v>
      </c>
      <c r="E4638" s="438" t="s">
        <v>1631</v>
      </c>
      <c r="F4638" s="438"/>
      <c r="G4638" s="440" t="s">
        <v>67</v>
      </c>
      <c r="H4638" s="441">
        <v>1</v>
      </c>
      <c r="I4638" s="441">
        <v>0</v>
      </c>
      <c r="J4638" s="449">
        <v>44.07</v>
      </c>
      <c r="K4638" s="449">
        <v>44.07</v>
      </c>
    </row>
    <row r="4639" customHeight="1" spans="1:11">
      <c r="A4639" s="434"/>
      <c r="B4639" s="434"/>
      <c r="C4639" s="434"/>
      <c r="D4639" s="434"/>
      <c r="E4639" s="434"/>
      <c r="F4639" s="434" t="s">
        <v>1735</v>
      </c>
      <c r="G4639" s="435">
        <v>0</v>
      </c>
      <c r="H4639" s="434" t="s">
        <v>1736</v>
      </c>
      <c r="I4639" s="435">
        <v>0</v>
      </c>
      <c r="J4639" s="434" t="s">
        <v>1737</v>
      </c>
      <c r="K4639" s="435">
        <v>0</v>
      </c>
    </row>
    <row r="4640" customHeight="1" spans="1:11">
      <c r="A4640" s="434"/>
      <c r="B4640" s="434"/>
      <c r="C4640" s="434"/>
      <c r="D4640" s="434"/>
      <c r="E4640" s="434"/>
      <c r="F4640" s="434" t="s">
        <v>1738</v>
      </c>
      <c r="G4640" s="435">
        <v>10.86</v>
      </c>
      <c r="H4640" s="434"/>
      <c r="I4640" s="434" t="s">
        <v>1739</v>
      </c>
      <c r="J4640" s="434"/>
      <c r="K4640" s="435">
        <v>54.93</v>
      </c>
    </row>
    <row r="4641" customHeight="1" spans="1:11">
      <c r="A4641" s="436"/>
      <c r="B4641" s="436"/>
      <c r="C4641" s="436"/>
      <c r="D4641" s="436"/>
      <c r="E4641" s="436"/>
      <c r="F4641" s="436"/>
      <c r="G4641" s="436"/>
      <c r="H4641" s="436" t="s">
        <v>1740</v>
      </c>
      <c r="I4641" s="447" t="s">
        <v>1971</v>
      </c>
      <c r="J4641" s="436" t="s">
        <v>1742</v>
      </c>
      <c r="K4641" s="448">
        <v>109.86</v>
      </c>
    </row>
    <row r="4642" customHeight="1" spans="1:11">
      <c r="A4642" s="437"/>
      <c r="B4642" s="437"/>
      <c r="C4642" s="437"/>
      <c r="D4642" s="437"/>
      <c r="E4642" s="437"/>
      <c r="F4642" s="437"/>
      <c r="G4642" s="437"/>
      <c r="H4642" s="437"/>
      <c r="I4642" s="437"/>
      <c r="J4642" s="437"/>
      <c r="K4642" s="437"/>
    </row>
    <row r="4643" customHeight="1" spans="1:11">
      <c r="A4643" s="423" t="s">
        <v>1442</v>
      </c>
      <c r="B4643" s="424" t="s">
        <v>1714</v>
      </c>
      <c r="C4643" s="423" t="s">
        <v>1715</v>
      </c>
      <c r="D4643" s="423" t="s">
        <v>1716</v>
      </c>
      <c r="E4643" s="423" t="s">
        <v>1717</v>
      </c>
      <c r="F4643" s="423"/>
      <c r="G4643" s="425" t="s">
        <v>1718</v>
      </c>
      <c r="H4643" s="424" t="s">
        <v>1719</v>
      </c>
      <c r="I4643" s="424" t="s">
        <v>1720</v>
      </c>
      <c r="J4643" s="424" t="s">
        <v>1721</v>
      </c>
      <c r="K4643" s="424" t="s">
        <v>1722</v>
      </c>
    </row>
    <row r="4644" customHeight="1" spans="1:11">
      <c r="A4644" s="426" t="s">
        <v>1723</v>
      </c>
      <c r="B4644" s="427" t="s">
        <v>1443</v>
      </c>
      <c r="C4644" s="426" t="s">
        <v>65</v>
      </c>
      <c r="D4644" s="426" t="s">
        <v>1444</v>
      </c>
      <c r="E4644" s="426" t="s">
        <v>62</v>
      </c>
      <c r="F4644" s="426"/>
      <c r="G4644" s="428" t="s">
        <v>67</v>
      </c>
      <c r="H4644" s="429">
        <v>1</v>
      </c>
      <c r="I4644" s="445"/>
      <c r="J4644" s="445">
        <v>44.07</v>
      </c>
      <c r="K4644" s="445">
        <v>44.07</v>
      </c>
    </row>
    <row r="4645" customHeight="1" spans="1:11">
      <c r="A4645" s="438" t="s">
        <v>1750</v>
      </c>
      <c r="B4645" s="439" t="s">
        <v>3310</v>
      </c>
      <c r="C4645" s="438" t="s">
        <v>65</v>
      </c>
      <c r="D4645" s="438" t="s">
        <v>3311</v>
      </c>
      <c r="E4645" s="438" t="s">
        <v>1631</v>
      </c>
      <c r="F4645" s="438"/>
      <c r="G4645" s="440" t="s">
        <v>67</v>
      </c>
      <c r="H4645" s="441">
        <v>1</v>
      </c>
      <c r="I4645" s="441">
        <v>0</v>
      </c>
      <c r="J4645" s="449">
        <v>44.07</v>
      </c>
      <c r="K4645" s="449">
        <v>44.07</v>
      </c>
    </row>
    <row r="4646" customHeight="1" spans="1:11">
      <c r="A4646" s="434"/>
      <c r="B4646" s="434"/>
      <c r="C4646" s="434"/>
      <c r="D4646" s="434"/>
      <c r="E4646" s="434"/>
      <c r="F4646" s="434" t="s">
        <v>1735</v>
      </c>
      <c r="G4646" s="435">
        <v>0</v>
      </c>
      <c r="H4646" s="434" t="s">
        <v>1736</v>
      </c>
      <c r="I4646" s="435">
        <v>0</v>
      </c>
      <c r="J4646" s="434" t="s">
        <v>1737</v>
      </c>
      <c r="K4646" s="435">
        <v>0</v>
      </c>
    </row>
    <row r="4647" customHeight="1" spans="1:11">
      <c r="A4647" s="434"/>
      <c r="B4647" s="434"/>
      <c r="C4647" s="434"/>
      <c r="D4647" s="434"/>
      <c r="E4647" s="434"/>
      <c r="F4647" s="434" t="s">
        <v>1738</v>
      </c>
      <c r="G4647" s="435">
        <v>10.86</v>
      </c>
      <c r="H4647" s="434"/>
      <c r="I4647" s="434" t="s">
        <v>1739</v>
      </c>
      <c r="J4647" s="434"/>
      <c r="K4647" s="435">
        <v>54.93</v>
      </c>
    </row>
    <row r="4648" customHeight="1" spans="1:11">
      <c r="A4648" s="436"/>
      <c r="B4648" s="436"/>
      <c r="C4648" s="436"/>
      <c r="D4648" s="436"/>
      <c r="E4648" s="436"/>
      <c r="F4648" s="436"/>
      <c r="G4648" s="436"/>
      <c r="H4648" s="436" t="s">
        <v>1740</v>
      </c>
      <c r="I4648" s="447" t="s">
        <v>1971</v>
      </c>
      <c r="J4648" s="436" t="s">
        <v>1742</v>
      </c>
      <c r="K4648" s="448">
        <v>109.86</v>
      </c>
    </row>
    <row r="4649" customHeight="1" spans="1:11">
      <c r="A4649" s="437"/>
      <c r="B4649" s="437"/>
      <c r="C4649" s="437"/>
      <c r="D4649" s="437"/>
      <c r="E4649" s="437"/>
      <c r="F4649" s="437"/>
      <c r="G4649" s="437"/>
      <c r="H4649" s="437"/>
      <c r="I4649" s="437"/>
      <c r="J4649" s="437"/>
      <c r="K4649" s="437"/>
    </row>
    <row r="4650" customHeight="1" spans="1:11">
      <c r="A4650" s="423" t="s">
        <v>1445</v>
      </c>
      <c r="B4650" s="424" t="s">
        <v>1714</v>
      </c>
      <c r="C4650" s="423" t="s">
        <v>1715</v>
      </c>
      <c r="D4650" s="423" t="s">
        <v>1716</v>
      </c>
      <c r="E4650" s="423" t="s">
        <v>1717</v>
      </c>
      <c r="F4650" s="423"/>
      <c r="G4650" s="425" t="s">
        <v>1718</v>
      </c>
      <c r="H4650" s="424" t="s">
        <v>1719</v>
      </c>
      <c r="I4650" s="424" t="s">
        <v>1720</v>
      </c>
      <c r="J4650" s="424" t="s">
        <v>1721</v>
      </c>
      <c r="K4650" s="424" t="s">
        <v>1722</v>
      </c>
    </row>
    <row r="4651" customHeight="1" spans="1:11">
      <c r="A4651" s="426" t="s">
        <v>1723</v>
      </c>
      <c r="B4651" s="427" t="s">
        <v>1446</v>
      </c>
      <c r="C4651" s="426" t="s">
        <v>65</v>
      </c>
      <c r="D4651" s="426" t="s">
        <v>1447</v>
      </c>
      <c r="E4651" s="426" t="s">
        <v>1650</v>
      </c>
      <c r="F4651" s="426"/>
      <c r="G4651" s="428" t="s">
        <v>67</v>
      </c>
      <c r="H4651" s="429">
        <v>1</v>
      </c>
      <c r="I4651" s="445"/>
      <c r="J4651" s="445">
        <v>14085</v>
      </c>
      <c r="K4651" s="445">
        <v>14085</v>
      </c>
    </row>
    <row r="4652" customHeight="1" spans="1:11">
      <c r="A4652" s="438" t="s">
        <v>1750</v>
      </c>
      <c r="B4652" s="439" t="s">
        <v>3312</v>
      </c>
      <c r="C4652" s="438" t="s">
        <v>65</v>
      </c>
      <c r="D4652" s="438" t="s">
        <v>1447</v>
      </c>
      <c r="E4652" s="438" t="s">
        <v>1631</v>
      </c>
      <c r="F4652" s="438"/>
      <c r="G4652" s="440" t="s">
        <v>67</v>
      </c>
      <c r="H4652" s="441">
        <v>1</v>
      </c>
      <c r="I4652" s="441">
        <v>0</v>
      </c>
      <c r="J4652" s="449">
        <v>14085</v>
      </c>
      <c r="K4652" s="449">
        <v>14085</v>
      </c>
    </row>
    <row r="4653" customHeight="1" spans="1:11">
      <c r="A4653" s="434"/>
      <c r="B4653" s="434"/>
      <c r="C4653" s="434"/>
      <c r="D4653" s="434"/>
      <c r="E4653" s="434"/>
      <c r="F4653" s="434" t="s">
        <v>1735</v>
      </c>
      <c r="G4653" s="435">
        <v>0</v>
      </c>
      <c r="H4653" s="434" t="s">
        <v>1736</v>
      </c>
      <c r="I4653" s="435">
        <v>0</v>
      </c>
      <c r="J4653" s="434" t="s">
        <v>1737</v>
      </c>
      <c r="K4653" s="435">
        <v>0</v>
      </c>
    </row>
    <row r="4654" customHeight="1" spans="1:11">
      <c r="A4654" s="434"/>
      <c r="B4654" s="434"/>
      <c r="C4654" s="434"/>
      <c r="D4654" s="434"/>
      <c r="E4654" s="434"/>
      <c r="F4654" s="434" t="s">
        <v>1738</v>
      </c>
      <c r="G4654" s="435">
        <v>3473.36</v>
      </c>
      <c r="H4654" s="434"/>
      <c r="I4654" s="434" t="s">
        <v>1739</v>
      </c>
      <c r="J4654" s="434"/>
      <c r="K4654" s="435">
        <v>17558.36</v>
      </c>
    </row>
    <row r="4655" customHeight="1" spans="1:11">
      <c r="A4655" s="436"/>
      <c r="B4655" s="436"/>
      <c r="C4655" s="436"/>
      <c r="D4655" s="436"/>
      <c r="E4655" s="436"/>
      <c r="F4655" s="436"/>
      <c r="G4655" s="436"/>
      <c r="H4655" s="436" t="s">
        <v>1740</v>
      </c>
      <c r="I4655" s="447" t="s">
        <v>1741</v>
      </c>
      <c r="J4655" s="436" t="s">
        <v>1742</v>
      </c>
      <c r="K4655" s="448">
        <v>17558.36</v>
      </c>
    </row>
    <row r="4656" customHeight="1" spans="1:11">
      <c r="A4656" s="437"/>
      <c r="B4656" s="437"/>
      <c r="C4656" s="437"/>
      <c r="D4656" s="437"/>
      <c r="E4656" s="437"/>
      <c r="F4656" s="437"/>
      <c r="G4656" s="437"/>
      <c r="H4656" s="437"/>
      <c r="I4656" s="437"/>
      <c r="J4656" s="437"/>
      <c r="K4656" s="437"/>
    </row>
    <row r="4657" customHeight="1" spans="1:11">
      <c r="A4657" s="422" t="s">
        <v>1448</v>
      </c>
      <c r="B4657" s="422"/>
      <c r="C4657" s="422"/>
      <c r="D4657" s="422" t="s">
        <v>45</v>
      </c>
      <c r="E4657" s="422"/>
      <c r="F4657" s="422"/>
      <c r="G4657" s="422"/>
      <c r="H4657" s="422"/>
      <c r="I4657" s="443"/>
      <c r="J4657" s="422"/>
      <c r="K4657" s="444">
        <v>291787</v>
      </c>
    </row>
    <row r="4658" customHeight="1" spans="1:11">
      <c r="A4658" s="422" t="s">
        <v>1449</v>
      </c>
      <c r="B4658" s="422"/>
      <c r="C4658" s="422"/>
      <c r="D4658" s="422" t="s">
        <v>1450</v>
      </c>
      <c r="E4658" s="422"/>
      <c r="F4658" s="422"/>
      <c r="G4658" s="422"/>
      <c r="H4658" s="422"/>
      <c r="I4658" s="443"/>
      <c r="J4658" s="422"/>
      <c r="K4658" s="444">
        <v>68146.29</v>
      </c>
    </row>
    <row r="4659" customHeight="1" spans="1:11">
      <c r="A4659" s="422" t="s">
        <v>1451</v>
      </c>
      <c r="B4659" s="422"/>
      <c r="C4659" s="422"/>
      <c r="D4659" s="422" t="s">
        <v>1452</v>
      </c>
      <c r="E4659" s="422"/>
      <c r="F4659" s="422"/>
      <c r="G4659" s="422"/>
      <c r="H4659" s="422"/>
      <c r="I4659" s="443"/>
      <c r="J4659" s="422"/>
      <c r="K4659" s="444">
        <v>17587.23</v>
      </c>
    </row>
    <row r="4660" customHeight="1" spans="1:11">
      <c r="A4660" s="423" t="s">
        <v>1453</v>
      </c>
      <c r="B4660" s="424" t="s">
        <v>1714</v>
      </c>
      <c r="C4660" s="423" t="s">
        <v>1715</v>
      </c>
      <c r="D4660" s="423" t="s">
        <v>1716</v>
      </c>
      <c r="E4660" s="423" t="s">
        <v>1717</v>
      </c>
      <c r="F4660" s="423"/>
      <c r="G4660" s="425" t="s">
        <v>1718</v>
      </c>
      <c r="H4660" s="424" t="s">
        <v>1719</v>
      </c>
      <c r="I4660" s="424" t="s">
        <v>1720</v>
      </c>
      <c r="J4660" s="424" t="s">
        <v>1721</v>
      </c>
      <c r="K4660" s="424" t="s">
        <v>1722</v>
      </c>
    </row>
    <row r="4661" customHeight="1" spans="1:11">
      <c r="A4661" s="426" t="s">
        <v>1723</v>
      </c>
      <c r="B4661" s="427" t="s">
        <v>147</v>
      </c>
      <c r="C4661" s="426" t="s">
        <v>71</v>
      </c>
      <c r="D4661" s="426" t="s">
        <v>148</v>
      </c>
      <c r="E4661" s="426" t="s">
        <v>1634</v>
      </c>
      <c r="F4661" s="426"/>
      <c r="G4661" s="428" t="s">
        <v>129</v>
      </c>
      <c r="H4661" s="429">
        <v>1</v>
      </c>
      <c r="I4661" s="445"/>
      <c r="J4661" s="445">
        <v>126.82</v>
      </c>
      <c r="K4661" s="445">
        <v>126.82</v>
      </c>
    </row>
    <row r="4662" customHeight="1" spans="1:11">
      <c r="A4662" s="430" t="s">
        <v>1724</v>
      </c>
      <c r="B4662" s="431" t="s">
        <v>1745</v>
      </c>
      <c r="C4662" s="430" t="s">
        <v>71</v>
      </c>
      <c r="D4662" s="430" t="s">
        <v>1746</v>
      </c>
      <c r="E4662" s="430" t="s">
        <v>1708</v>
      </c>
      <c r="F4662" s="430"/>
      <c r="G4662" s="432" t="s">
        <v>82</v>
      </c>
      <c r="H4662" s="433">
        <v>3.126</v>
      </c>
      <c r="I4662" s="433">
        <v>0</v>
      </c>
      <c r="J4662" s="446">
        <v>29.15</v>
      </c>
      <c r="K4662" s="446">
        <v>91.12</v>
      </c>
    </row>
    <row r="4663" customHeight="1" spans="1:11">
      <c r="A4663" s="430" t="s">
        <v>1724</v>
      </c>
      <c r="B4663" s="431" t="s">
        <v>1936</v>
      </c>
      <c r="C4663" s="430" t="s">
        <v>71</v>
      </c>
      <c r="D4663" s="430" t="s">
        <v>1937</v>
      </c>
      <c r="E4663" s="430" t="s">
        <v>1708</v>
      </c>
      <c r="F4663" s="430"/>
      <c r="G4663" s="432" t="s">
        <v>82</v>
      </c>
      <c r="H4663" s="433">
        <v>0.966</v>
      </c>
      <c r="I4663" s="433">
        <v>0</v>
      </c>
      <c r="J4663" s="446">
        <v>36.96</v>
      </c>
      <c r="K4663" s="446">
        <v>35.7</v>
      </c>
    </row>
    <row r="4664" customHeight="1" spans="1:11">
      <c r="A4664" s="434"/>
      <c r="B4664" s="434"/>
      <c r="C4664" s="434"/>
      <c r="D4664" s="434"/>
      <c r="E4664" s="434"/>
      <c r="F4664" s="434" t="s">
        <v>1735</v>
      </c>
      <c r="G4664" s="435">
        <v>45.11</v>
      </c>
      <c r="H4664" s="434" t="s">
        <v>1736</v>
      </c>
      <c r="I4664" s="435">
        <v>40.99</v>
      </c>
      <c r="J4664" s="434" t="s">
        <v>1737</v>
      </c>
      <c r="K4664" s="435">
        <v>86.1</v>
      </c>
    </row>
    <row r="4665" customHeight="1" spans="1:11">
      <c r="A4665" s="434"/>
      <c r="B4665" s="434"/>
      <c r="C4665" s="434"/>
      <c r="D4665" s="434"/>
      <c r="E4665" s="434"/>
      <c r="F4665" s="434" t="s">
        <v>1738</v>
      </c>
      <c r="G4665" s="435">
        <v>31.27</v>
      </c>
      <c r="H4665" s="434"/>
      <c r="I4665" s="434" t="s">
        <v>1739</v>
      </c>
      <c r="J4665" s="434"/>
      <c r="K4665" s="435">
        <v>158.09</v>
      </c>
    </row>
    <row r="4666" customHeight="1" spans="1:11">
      <c r="A4666" s="436"/>
      <c r="B4666" s="436"/>
      <c r="C4666" s="436"/>
      <c r="D4666" s="436"/>
      <c r="E4666" s="436"/>
      <c r="F4666" s="436"/>
      <c r="G4666" s="436"/>
      <c r="H4666" s="436" t="s">
        <v>1740</v>
      </c>
      <c r="I4666" s="447" t="s">
        <v>3313</v>
      </c>
      <c r="J4666" s="436" t="s">
        <v>1742</v>
      </c>
      <c r="K4666" s="448">
        <v>2410.87</v>
      </c>
    </row>
    <row r="4667" customHeight="1" spans="1:11">
      <c r="A4667" s="437"/>
      <c r="B4667" s="437"/>
      <c r="C4667" s="437"/>
      <c r="D4667" s="437"/>
      <c r="E4667" s="437"/>
      <c r="F4667" s="437"/>
      <c r="G4667" s="437"/>
      <c r="H4667" s="437"/>
      <c r="I4667" s="437"/>
      <c r="J4667" s="437"/>
      <c r="K4667" s="437"/>
    </row>
    <row r="4668" customHeight="1" spans="1:11">
      <c r="A4668" s="423" t="s">
        <v>1454</v>
      </c>
      <c r="B4668" s="424" t="s">
        <v>1714</v>
      </c>
      <c r="C4668" s="423" t="s">
        <v>1715</v>
      </c>
      <c r="D4668" s="423" t="s">
        <v>1716</v>
      </c>
      <c r="E4668" s="423" t="s">
        <v>1717</v>
      </c>
      <c r="F4668" s="423"/>
      <c r="G4668" s="425" t="s">
        <v>1718</v>
      </c>
      <c r="H4668" s="424" t="s">
        <v>1719</v>
      </c>
      <c r="I4668" s="424" t="s">
        <v>1720</v>
      </c>
      <c r="J4668" s="424" t="s">
        <v>1721</v>
      </c>
      <c r="K4668" s="424" t="s">
        <v>1722</v>
      </c>
    </row>
    <row r="4669" customHeight="1" spans="1:11">
      <c r="A4669" s="426" t="s">
        <v>1723</v>
      </c>
      <c r="B4669" s="427" t="s">
        <v>1455</v>
      </c>
      <c r="C4669" s="426" t="s">
        <v>71</v>
      </c>
      <c r="D4669" s="426" t="s">
        <v>1456</v>
      </c>
      <c r="E4669" s="426" t="s">
        <v>1634</v>
      </c>
      <c r="F4669" s="426"/>
      <c r="G4669" s="428" t="s">
        <v>73</v>
      </c>
      <c r="H4669" s="429">
        <v>1</v>
      </c>
      <c r="I4669" s="445"/>
      <c r="J4669" s="445">
        <v>223.64</v>
      </c>
      <c r="K4669" s="445">
        <v>223.64</v>
      </c>
    </row>
    <row r="4670" customHeight="1" spans="1:11">
      <c r="A4670" s="430" t="s">
        <v>1724</v>
      </c>
      <c r="B4670" s="431" t="s">
        <v>1805</v>
      </c>
      <c r="C4670" s="430" t="s">
        <v>71</v>
      </c>
      <c r="D4670" s="430" t="s">
        <v>1806</v>
      </c>
      <c r="E4670" s="430" t="s">
        <v>1795</v>
      </c>
      <c r="F4670" s="430"/>
      <c r="G4670" s="432" t="s">
        <v>1796</v>
      </c>
      <c r="H4670" s="433">
        <v>0.06</v>
      </c>
      <c r="I4670" s="433">
        <v>0</v>
      </c>
      <c r="J4670" s="446">
        <v>41.6</v>
      </c>
      <c r="K4670" s="446">
        <v>2.49</v>
      </c>
    </row>
    <row r="4671" customHeight="1" spans="1:11">
      <c r="A4671" s="430" t="s">
        <v>1724</v>
      </c>
      <c r="B4671" s="431" t="s">
        <v>1800</v>
      </c>
      <c r="C4671" s="430" t="s">
        <v>71</v>
      </c>
      <c r="D4671" s="430" t="s">
        <v>1801</v>
      </c>
      <c r="E4671" s="430" t="s">
        <v>1708</v>
      </c>
      <c r="F4671" s="430"/>
      <c r="G4671" s="432" t="s">
        <v>82</v>
      </c>
      <c r="H4671" s="433">
        <v>1.387</v>
      </c>
      <c r="I4671" s="433">
        <v>0</v>
      </c>
      <c r="J4671" s="446">
        <v>29.91</v>
      </c>
      <c r="K4671" s="446">
        <v>41.48</v>
      </c>
    </row>
    <row r="4672" customHeight="1" spans="1:11">
      <c r="A4672" s="430" t="s">
        <v>1724</v>
      </c>
      <c r="B4672" s="431" t="s">
        <v>1802</v>
      </c>
      <c r="C4672" s="430" t="s">
        <v>71</v>
      </c>
      <c r="D4672" s="430" t="s">
        <v>1803</v>
      </c>
      <c r="E4672" s="430" t="s">
        <v>1795</v>
      </c>
      <c r="F4672" s="430"/>
      <c r="G4672" s="432" t="s">
        <v>1804</v>
      </c>
      <c r="H4672" s="433">
        <v>0.239</v>
      </c>
      <c r="I4672" s="433">
        <v>0</v>
      </c>
      <c r="J4672" s="446">
        <v>39.98</v>
      </c>
      <c r="K4672" s="446">
        <v>9.55</v>
      </c>
    </row>
    <row r="4673" customHeight="1" spans="1:11">
      <c r="A4673" s="430" t="s">
        <v>1724</v>
      </c>
      <c r="B4673" s="431" t="s">
        <v>1743</v>
      </c>
      <c r="C4673" s="430" t="s">
        <v>71</v>
      </c>
      <c r="D4673" s="430" t="s">
        <v>1744</v>
      </c>
      <c r="E4673" s="430" t="s">
        <v>1708</v>
      </c>
      <c r="F4673" s="430"/>
      <c r="G4673" s="432" t="s">
        <v>82</v>
      </c>
      <c r="H4673" s="433">
        <v>3.395</v>
      </c>
      <c r="I4673" s="433">
        <v>0</v>
      </c>
      <c r="J4673" s="446">
        <v>37.51</v>
      </c>
      <c r="K4673" s="446">
        <v>127.34</v>
      </c>
    </row>
    <row r="4674" customHeight="1" spans="1:11">
      <c r="A4674" s="438" t="s">
        <v>1750</v>
      </c>
      <c r="B4674" s="439" t="s">
        <v>1948</v>
      </c>
      <c r="C4674" s="438" t="s">
        <v>71</v>
      </c>
      <c r="D4674" s="438" t="s">
        <v>1949</v>
      </c>
      <c r="E4674" s="438" t="s">
        <v>1631</v>
      </c>
      <c r="F4674" s="438"/>
      <c r="G4674" s="440" t="s">
        <v>158</v>
      </c>
      <c r="H4674" s="441">
        <v>0.119</v>
      </c>
      <c r="I4674" s="441">
        <v>0</v>
      </c>
      <c r="J4674" s="449">
        <v>22.69</v>
      </c>
      <c r="K4674" s="449">
        <v>2.7</v>
      </c>
    </row>
    <row r="4675" customHeight="1" spans="1:11">
      <c r="A4675" s="438" t="s">
        <v>1750</v>
      </c>
      <c r="B4675" s="439" t="s">
        <v>1941</v>
      </c>
      <c r="C4675" s="438" t="s">
        <v>71</v>
      </c>
      <c r="D4675" s="438" t="s">
        <v>1942</v>
      </c>
      <c r="E4675" s="438" t="s">
        <v>1631</v>
      </c>
      <c r="F4675" s="438"/>
      <c r="G4675" s="440" t="s">
        <v>78</v>
      </c>
      <c r="H4675" s="441">
        <v>5.401</v>
      </c>
      <c r="I4675" s="441">
        <v>0</v>
      </c>
      <c r="J4675" s="449">
        <v>3.07</v>
      </c>
      <c r="K4675" s="449">
        <v>16.58</v>
      </c>
    </row>
    <row r="4676" customHeight="1" spans="1:11">
      <c r="A4676" s="438" t="s">
        <v>1750</v>
      </c>
      <c r="B4676" s="439" t="s">
        <v>3314</v>
      </c>
      <c r="C4676" s="438" t="s">
        <v>71</v>
      </c>
      <c r="D4676" s="438" t="s">
        <v>3315</v>
      </c>
      <c r="E4676" s="438" t="s">
        <v>1631</v>
      </c>
      <c r="F4676" s="438"/>
      <c r="G4676" s="440" t="s">
        <v>158</v>
      </c>
      <c r="H4676" s="441">
        <v>0.022</v>
      </c>
      <c r="I4676" s="441">
        <v>0</v>
      </c>
      <c r="J4676" s="449">
        <v>20.35</v>
      </c>
      <c r="K4676" s="449">
        <v>0.44</v>
      </c>
    </row>
    <row r="4677" customHeight="1" spans="1:11">
      <c r="A4677" s="438" t="s">
        <v>1750</v>
      </c>
      <c r="B4677" s="439" t="s">
        <v>3316</v>
      </c>
      <c r="C4677" s="438" t="s">
        <v>71</v>
      </c>
      <c r="D4677" s="438" t="s">
        <v>3317</v>
      </c>
      <c r="E4677" s="438" t="s">
        <v>1631</v>
      </c>
      <c r="F4677" s="438"/>
      <c r="G4677" s="440" t="s">
        <v>73</v>
      </c>
      <c r="H4677" s="441">
        <v>0.336</v>
      </c>
      <c r="I4677" s="441">
        <v>0</v>
      </c>
      <c r="J4677" s="449">
        <v>45.9</v>
      </c>
      <c r="K4677" s="449">
        <v>15.42</v>
      </c>
    </row>
    <row r="4678" customHeight="1" spans="1:11">
      <c r="A4678" s="438" t="s">
        <v>1750</v>
      </c>
      <c r="B4678" s="439" t="s">
        <v>1950</v>
      </c>
      <c r="C4678" s="438" t="s">
        <v>71</v>
      </c>
      <c r="D4678" s="438" t="s">
        <v>1951</v>
      </c>
      <c r="E4678" s="438" t="s">
        <v>1631</v>
      </c>
      <c r="F4678" s="438"/>
      <c r="G4678" s="440" t="s">
        <v>158</v>
      </c>
      <c r="H4678" s="441">
        <v>0.005</v>
      </c>
      <c r="I4678" s="441">
        <v>0</v>
      </c>
      <c r="J4678" s="449">
        <v>20.59</v>
      </c>
      <c r="K4678" s="449">
        <v>0.1</v>
      </c>
    </row>
    <row r="4679" customHeight="1" spans="1:11">
      <c r="A4679" s="438" t="s">
        <v>1750</v>
      </c>
      <c r="B4679" s="439" t="s">
        <v>1946</v>
      </c>
      <c r="C4679" s="438" t="s">
        <v>71</v>
      </c>
      <c r="D4679" s="438" t="s">
        <v>1947</v>
      </c>
      <c r="E4679" s="438" t="s">
        <v>1631</v>
      </c>
      <c r="F4679" s="438"/>
      <c r="G4679" s="440" t="s">
        <v>158</v>
      </c>
      <c r="H4679" s="441">
        <v>0.055</v>
      </c>
      <c r="I4679" s="441">
        <v>0</v>
      </c>
      <c r="J4679" s="449">
        <v>18.73</v>
      </c>
      <c r="K4679" s="449">
        <v>1.03</v>
      </c>
    </row>
    <row r="4680" customHeight="1" spans="1:11">
      <c r="A4680" s="438" t="s">
        <v>1750</v>
      </c>
      <c r="B4680" s="439" t="s">
        <v>1807</v>
      </c>
      <c r="C4680" s="438" t="s">
        <v>71</v>
      </c>
      <c r="D4680" s="438" t="s">
        <v>1808</v>
      </c>
      <c r="E4680" s="438" t="s">
        <v>1631</v>
      </c>
      <c r="F4680" s="438"/>
      <c r="G4680" s="440" t="s">
        <v>78</v>
      </c>
      <c r="H4680" s="441">
        <v>0.733</v>
      </c>
      <c r="I4680" s="441">
        <v>0</v>
      </c>
      <c r="J4680" s="449">
        <v>8.79</v>
      </c>
      <c r="K4680" s="449">
        <v>6.44</v>
      </c>
    </row>
    <row r="4681" customHeight="1" spans="1:11">
      <c r="A4681" s="438" t="s">
        <v>1750</v>
      </c>
      <c r="B4681" s="439" t="s">
        <v>1943</v>
      </c>
      <c r="C4681" s="438" t="s">
        <v>71</v>
      </c>
      <c r="D4681" s="438" t="s">
        <v>1944</v>
      </c>
      <c r="E4681" s="438" t="s">
        <v>1631</v>
      </c>
      <c r="F4681" s="438"/>
      <c r="G4681" s="440" t="s">
        <v>1945</v>
      </c>
      <c r="H4681" s="441">
        <v>0.00955</v>
      </c>
      <c r="I4681" s="441">
        <v>0</v>
      </c>
      <c r="J4681" s="449">
        <v>7.97</v>
      </c>
      <c r="K4681" s="449">
        <v>0.07</v>
      </c>
    </row>
    <row r="4682" customHeight="1" spans="1:11">
      <c r="A4682" s="434"/>
      <c r="B4682" s="434"/>
      <c r="C4682" s="434"/>
      <c r="D4682" s="434"/>
      <c r="E4682" s="434"/>
      <c r="F4682" s="434" t="s">
        <v>1735</v>
      </c>
      <c r="G4682" s="435">
        <v>68.77</v>
      </c>
      <c r="H4682" s="434" t="s">
        <v>1736</v>
      </c>
      <c r="I4682" s="435">
        <v>62.47</v>
      </c>
      <c r="J4682" s="434" t="s">
        <v>1737</v>
      </c>
      <c r="K4682" s="435">
        <v>131.24</v>
      </c>
    </row>
    <row r="4683" customHeight="1" spans="1:11">
      <c r="A4683" s="434"/>
      <c r="B4683" s="434"/>
      <c r="C4683" s="434"/>
      <c r="D4683" s="434"/>
      <c r="E4683" s="434"/>
      <c r="F4683" s="434" t="s">
        <v>1738</v>
      </c>
      <c r="G4683" s="435">
        <v>55.14</v>
      </c>
      <c r="H4683" s="434"/>
      <c r="I4683" s="434" t="s">
        <v>1739</v>
      </c>
      <c r="J4683" s="434"/>
      <c r="K4683" s="435">
        <v>278.78</v>
      </c>
    </row>
    <row r="4684" customHeight="1" spans="1:11">
      <c r="A4684" s="436"/>
      <c r="B4684" s="436"/>
      <c r="C4684" s="436"/>
      <c r="D4684" s="436"/>
      <c r="E4684" s="436"/>
      <c r="F4684" s="436"/>
      <c r="G4684" s="436"/>
      <c r="H4684" s="436" t="s">
        <v>1740</v>
      </c>
      <c r="I4684" s="447" t="s">
        <v>3318</v>
      </c>
      <c r="J4684" s="436" t="s">
        <v>1742</v>
      </c>
      <c r="K4684" s="448">
        <v>3512.62</v>
      </c>
    </row>
    <row r="4685" customHeight="1" spans="1:11">
      <c r="A4685" s="437"/>
      <c r="B4685" s="437"/>
      <c r="C4685" s="437"/>
      <c r="D4685" s="437"/>
      <c r="E4685" s="437"/>
      <c r="F4685" s="437"/>
      <c r="G4685" s="437"/>
      <c r="H4685" s="437"/>
      <c r="I4685" s="437"/>
      <c r="J4685" s="437"/>
      <c r="K4685" s="437"/>
    </row>
    <row r="4686" customHeight="1" spans="1:11">
      <c r="A4686" s="423" t="s">
        <v>1457</v>
      </c>
      <c r="B4686" s="424" t="s">
        <v>1714</v>
      </c>
      <c r="C4686" s="423" t="s">
        <v>1715</v>
      </c>
      <c r="D4686" s="423" t="s">
        <v>1716</v>
      </c>
      <c r="E4686" s="423" t="s">
        <v>1717</v>
      </c>
      <c r="F4686" s="423"/>
      <c r="G4686" s="425" t="s">
        <v>1718</v>
      </c>
      <c r="H4686" s="424" t="s">
        <v>1719</v>
      </c>
      <c r="I4686" s="424" t="s">
        <v>1720</v>
      </c>
      <c r="J4686" s="424" t="s">
        <v>1721</v>
      </c>
      <c r="K4686" s="424" t="s">
        <v>1722</v>
      </c>
    </row>
    <row r="4687" customHeight="1" spans="1:11">
      <c r="A4687" s="426" t="s">
        <v>1723</v>
      </c>
      <c r="B4687" s="427" t="s">
        <v>169</v>
      </c>
      <c r="C4687" s="426" t="s">
        <v>71</v>
      </c>
      <c r="D4687" s="426" t="s">
        <v>170</v>
      </c>
      <c r="E4687" s="426" t="s">
        <v>1634</v>
      </c>
      <c r="F4687" s="426"/>
      <c r="G4687" s="428" t="s">
        <v>158</v>
      </c>
      <c r="H4687" s="429">
        <v>1</v>
      </c>
      <c r="I4687" s="445"/>
      <c r="J4687" s="445">
        <v>14.25</v>
      </c>
      <c r="K4687" s="445">
        <v>14.25</v>
      </c>
    </row>
    <row r="4688" customHeight="1" spans="1:11">
      <c r="A4688" s="430" t="s">
        <v>1724</v>
      </c>
      <c r="B4688" s="431" t="s">
        <v>1958</v>
      </c>
      <c r="C4688" s="430" t="s">
        <v>71</v>
      </c>
      <c r="D4688" s="430" t="s">
        <v>1959</v>
      </c>
      <c r="E4688" s="430" t="s">
        <v>1708</v>
      </c>
      <c r="F4688" s="430"/>
      <c r="G4688" s="432" t="s">
        <v>82</v>
      </c>
      <c r="H4688" s="433">
        <v>0.081</v>
      </c>
      <c r="I4688" s="433">
        <v>0</v>
      </c>
      <c r="J4688" s="446">
        <v>35.95</v>
      </c>
      <c r="K4688" s="446">
        <v>2.91</v>
      </c>
    </row>
    <row r="4689" customHeight="1" spans="1:11">
      <c r="A4689" s="430" t="s">
        <v>1724</v>
      </c>
      <c r="B4689" s="431" t="s">
        <v>1965</v>
      </c>
      <c r="C4689" s="430" t="s">
        <v>71</v>
      </c>
      <c r="D4689" s="430" t="s">
        <v>1966</v>
      </c>
      <c r="E4689" s="430" t="s">
        <v>1632</v>
      </c>
      <c r="F4689" s="430"/>
      <c r="G4689" s="432" t="s">
        <v>158</v>
      </c>
      <c r="H4689" s="433">
        <v>1</v>
      </c>
      <c r="I4689" s="433">
        <v>0</v>
      </c>
      <c r="J4689" s="446">
        <v>9.78</v>
      </c>
      <c r="K4689" s="446">
        <v>9.78</v>
      </c>
    </row>
    <row r="4690" customHeight="1" spans="1:11">
      <c r="A4690" s="430" t="s">
        <v>1724</v>
      </c>
      <c r="B4690" s="431" t="s">
        <v>1956</v>
      </c>
      <c r="C4690" s="430" t="s">
        <v>71</v>
      </c>
      <c r="D4690" s="430" t="s">
        <v>1957</v>
      </c>
      <c r="E4690" s="430" t="s">
        <v>1708</v>
      </c>
      <c r="F4690" s="430"/>
      <c r="G4690" s="432" t="s">
        <v>82</v>
      </c>
      <c r="H4690" s="433">
        <v>0.031</v>
      </c>
      <c r="I4690" s="433">
        <v>0</v>
      </c>
      <c r="J4690" s="446">
        <v>30.06</v>
      </c>
      <c r="K4690" s="446">
        <v>0.93</v>
      </c>
    </row>
    <row r="4691" customHeight="1" spans="1:11">
      <c r="A4691" s="438" t="s">
        <v>1750</v>
      </c>
      <c r="B4691" s="439" t="s">
        <v>1962</v>
      </c>
      <c r="C4691" s="438" t="s">
        <v>71</v>
      </c>
      <c r="D4691" s="438" t="s">
        <v>1963</v>
      </c>
      <c r="E4691" s="438" t="s">
        <v>1631</v>
      </c>
      <c r="F4691" s="438"/>
      <c r="G4691" s="440" t="s">
        <v>105</v>
      </c>
      <c r="H4691" s="441">
        <v>0.399</v>
      </c>
      <c r="I4691" s="441">
        <v>0</v>
      </c>
      <c r="J4691" s="449">
        <v>0.22</v>
      </c>
      <c r="K4691" s="449">
        <v>0.08</v>
      </c>
    </row>
    <row r="4692" customHeight="1" spans="1:11">
      <c r="A4692" s="438" t="s">
        <v>1750</v>
      </c>
      <c r="B4692" s="439" t="s">
        <v>1960</v>
      </c>
      <c r="C4692" s="438" t="s">
        <v>71</v>
      </c>
      <c r="D4692" s="438" t="s">
        <v>1961</v>
      </c>
      <c r="E4692" s="438" t="s">
        <v>1631</v>
      </c>
      <c r="F4692" s="438"/>
      <c r="G4692" s="440" t="s">
        <v>158</v>
      </c>
      <c r="H4692" s="441">
        <v>0.025</v>
      </c>
      <c r="I4692" s="441">
        <v>0</v>
      </c>
      <c r="J4692" s="449">
        <v>22</v>
      </c>
      <c r="K4692" s="449">
        <v>0.55</v>
      </c>
    </row>
    <row r="4693" customHeight="1" spans="1:11">
      <c r="A4693" s="434"/>
      <c r="B4693" s="434"/>
      <c r="C4693" s="434"/>
      <c r="D4693" s="434"/>
      <c r="E4693" s="434"/>
      <c r="F4693" s="434" t="s">
        <v>1735</v>
      </c>
      <c r="G4693" s="435">
        <v>1.55</v>
      </c>
      <c r="H4693" s="434" t="s">
        <v>1736</v>
      </c>
      <c r="I4693" s="435">
        <v>1.41</v>
      </c>
      <c r="J4693" s="434" t="s">
        <v>1737</v>
      </c>
      <c r="K4693" s="435">
        <v>2.96</v>
      </c>
    </row>
    <row r="4694" customHeight="1" spans="1:11">
      <c r="A4694" s="434"/>
      <c r="B4694" s="434"/>
      <c r="C4694" s="434"/>
      <c r="D4694" s="434"/>
      <c r="E4694" s="434"/>
      <c r="F4694" s="434" t="s">
        <v>1738</v>
      </c>
      <c r="G4694" s="435">
        <v>3.51</v>
      </c>
      <c r="H4694" s="434"/>
      <c r="I4694" s="434" t="s">
        <v>1739</v>
      </c>
      <c r="J4694" s="434"/>
      <c r="K4694" s="435">
        <v>17.76</v>
      </c>
    </row>
    <row r="4695" customHeight="1" spans="1:11">
      <c r="A4695" s="436"/>
      <c r="B4695" s="436"/>
      <c r="C4695" s="436"/>
      <c r="D4695" s="436"/>
      <c r="E4695" s="436"/>
      <c r="F4695" s="436"/>
      <c r="G4695" s="436"/>
      <c r="H4695" s="436" t="s">
        <v>1740</v>
      </c>
      <c r="I4695" s="447" t="s">
        <v>3319</v>
      </c>
      <c r="J4695" s="436" t="s">
        <v>1742</v>
      </c>
      <c r="K4695" s="448">
        <v>2704.84</v>
      </c>
    </row>
    <row r="4696" customHeight="1" spans="1:11">
      <c r="A4696" s="437"/>
      <c r="B4696" s="437"/>
      <c r="C4696" s="437"/>
      <c r="D4696" s="437"/>
      <c r="E4696" s="437"/>
      <c r="F4696" s="437"/>
      <c r="G4696" s="437"/>
      <c r="H4696" s="437"/>
      <c r="I4696" s="437"/>
      <c r="J4696" s="437"/>
      <c r="K4696" s="437"/>
    </row>
    <row r="4697" customHeight="1" spans="1:11">
      <c r="A4697" s="423" t="s">
        <v>1458</v>
      </c>
      <c r="B4697" s="424" t="s">
        <v>1714</v>
      </c>
      <c r="C4697" s="423" t="s">
        <v>1715</v>
      </c>
      <c r="D4697" s="423" t="s">
        <v>1716</v>
      </c>
      <c r="E4697" s="423" t="s">
        <v>1717</v>
      </c>
      <c r="F4697" s="423"/>
      <c r="G4697" s="425" t="s">
        <v>1718</v>
      </c>
      <c r="H4697" s="424" t="s">
        <v>1719</v>
      </c>
      <c r="I4697" s="424" t="s">
        <v>1720</v>
      </c>
      <c r="J4697" s="424" t="s">
        <v>1721</v>
      </c>
      <c r="K4697" s="424" t="s">
        <v>1722</v>
      </c>
    </row>
    <row r="4698" customHeight="1" spans="1:11">
      <c r="A4698" s="426" t="s">
        <v>1723</v>
      </c>
      <c r="B4698" s="427" t="s">
        <v>172</v>
      </c>
      <c r="C4698" s="426" t="s">
        <v>71</v>
      </c>
      <c r="D4698" s="426" t="s">
        <v>173</v>
      </c>
      <c r="E4698" s="426" t="s">
        <v>1634</v>
      </c>
      <c r="F4698" s="426"/>
      <c r="G4698" s="428" t="s">
        <v>158</v>
      </c>
      <c r="H4698" s="429">
        <v>1</v>
      </c>
      <c r="I4698" s="445"/>
      <c r="J4698" s="445">
        <v>12.01</v>
      </c>
      <c r="K4698" s="445">
        <v>12.01</v>
      </c>
    </row>
    <row r="4699" customHeight="1" spans="1:11">
      <c r="A4699" s="430" t="s">
        <v>1724</v>
      </c>
      <c r="B4699" s="431" t="s">
        <v>1973</v>
      </c>
      <c r="C4699" s="430" t="s">
        <v>71</v>
      </c>
      <c r="D4699" s="430" t="s">
        <v>1974</v>
      </c>
      <c r="E4699" s="430" t="s">
        <v>1632</v>
      </c>
      <c r="F4699" s="430"/>
      <c r="G4699" s="432" t="s">
        <v>158</v>
      </c>
      <c r="H4699" s="433">
        <v>1</v>
      </c>
      <c r="I4699" s="433">
        <v>0</v>
      </c>
      <c r="J4699" s="446">
        <v>8.35</v>
      </c>
      <c r="K4699" s="446">
        <v>8.35</v>
      </c>
    </row>
    <row r="4700" customHeight="1" spans="1:11">
      <c r="A4700" s="430" t="s">
        <v>1724</v>
      </c>
      <c r="B4700" s="431" t="s">
        <v>1958</v>
      </c>
      <c r="C4700" s="430" t="s">
        <v>71</v>
      </c>
      <c r="D4700" s="430" t="s">
        <v>1959</v>
      </c>
      <c r="E4700" s="430" t="s">
        <v>1708</v>
      </c>
      <c r="F4700" s="430"/>
      <c r="G4700" s="432" t="s">
        <v>82</v>
      </c>
      <c r="H4700" s="433">
        <v>0.064</v>
      </c>
      <c r="I4700" s="433">
        <v>0</v>
      </c>
      <c r="J4700" s="446">
        <v>35.95</v>
      </c>
      <c r="K4700" s="446">
        <v>2.3</v>
      </c>
    </row>
    <row r="4701" customHeight="1" spans="1:11">
      <c r="A4701" s="430" t="s">
        <v>1724</v>
      </c>
      <c r="B4701" s="431" t="s">
        <v>1956</v>
      </c>
      <c r="C4701" s="430" t="s">
        <v>71</v>
      </c>
      <c r="D4701" s="430" t="s">
        <v>1957</v>
      </c>
      <c r="E4701" s="430" t="s">
        <v>1708</v>
      </c>
      <c r="F4701" s="430"/>
      <c r="G4701" s="432" t="s">
        <v>82</v>
      </c>
      <c r="H4701" s="433">
        <v>0.025</v>
      </c>
      <c r="I4701" s="433">
        <v>0</v>
      </c>
      <c r="J4701" s="446">
        <v>30.06</v>
      </c>
      <c r="K4701" s="446">
        <v>0.75</v>
      </c>
    </row>
    <row r="4702" customHeight="1" spans="1:11">
      <c r="A4702" s="438" t="s">
        <v>1750</v>
      </c>
      <c r="B4702" s="439" t="s">
        <v>1960</v>
      </c>
      <c r="C4702" s="438" t="s">
        <v>71</v>
      </c>
      <c r="D4702" s="438" t="s">
        <v>1961</v>
      </c>
      <c r="E4702" s="438" t="s">
        <v>1631</v>
      </c>
      <c r="F4702" s="438"/>
      <c r="G4702" s="440" t="s">
        <v>158</v>
      </c>
      <c r="H4702" s="441">
        <v>0.025</v>
      </c>
      <c r="I4702" s="441">
        <v>0</v>
      </c>
      <c r="J4702" s="449">
        <v>22</v>
      </c>
      <c r="K4702" s="449">
        <v>0.55</v>
      </c>
    </row>
    <row r="4703" customHeight="1" spans="1:11">
      <c r="A4703" s="438" t="s">
        <v>1750</v>
      </c>
      <c r="B4703" s="439" t="s">
        <v>1962</v>
      </c>
      <c r="C4703" s="438" t="s">
        <v>71</v>
      </c>
      <c r="D4703" s="438" t="s">
        <v>1963</v>
      </c>
      <c r="E4703" s="438" t="s">
        <v>1631</v>
      </c>
      <c r="F4703" s="438"/>
      <c r="G4703" s="440" t="s">
        <v>105</v>
      </c>
      <c r="H4703" s="441">
        <v>0.317</v>
      </c>
      <c r="I4703" s="441">
        <v>0</v>
      </c>
      <c r="J4703" s="449">
        <v>0.22</v>
      </c>
      <c r="K4703" s="449">
        <v>0.06</v>
      </c>
    </row>
    <row r="4704" customHeight="1" spans="1:11">
      <c r="A4704" s="434"/>
      <c r="B4704" s="434"/>
      <c r="C4704" s="434"/>
      <c r="D4704" s="434"/>
      <c r="E4704" s="434"/>
      <c r="F4704" s="434" t="s">
        <v>1735</v>
      </c>
      <c r="G4704" s="435">
        <v>1.19</v>
      </c>
      <c r="H4704" s="434" t="s">
        <v>1736</v>
      </c>
      <c r="I4704" s="435">
        <v>1.09</v>
      </c>
      <c r="J4704" s="434" t="s">
        <v>1737</v>
      </c>
      <c r="K4704" s="435">
        <v>2.28</v>
      </c>
    </row>
    <row r="4705" customHeight="1" spans="1:11">
      <c r="A4705" s="434"/>
      <c r="B4705" s="434"/>
      <c r="C4705" s="434"/>
      <c r="D4705" s="434"/>
      <c r="E4705" s="434"/>
      <c r="F4705" s="434" t="s">
        <v>1738</v>
      </c>
      <c r="G4705" s="435">
        <v>2.96</v>
      </c>
      <c r="H4705" s="434"/>
      <c r="I4705" s="434" t="s">
        <v>1739</v>
      </c>
      <c r="J4705" s="434"/>
      <c r="K4705" s="435">
        <v>14.97</v>
      </c>
    </row>
    <row r="4706" customHeight="1" spans="1:11">
      <c r="A4706" s="436"/>
      <c r="B4706" s="436"/>
      <c r="C4706" s="436"/>
      <c r="D4706" s="436"/>
      <c r="E4706" s="436"/>
      <c r="F4706" s="436"/>
      <c r="G4706" s="436"/>
      <c r="H4706" s="436" t="s">
        <v>1740</v>
      </c>
      <c r="I4706" s="447" t="s">
        <v>3320</v>
      </c>
      <c r="J4706" s="436" t="s">
        <v>1742</v>
      </c>
      <c r="K4706" s="448">
        <v>1619.75</v>
      </c>
    </row>
    <row r="4707" customHeight="1" spans="1:11">
      <c r="A4707" s="437"/>
      <c r="B4707" s="437"/>
      <c r="C4707" s="437"/>
      <c r="D4707" s="437"/>
      <c r="E4707" s="437"/>
      <c r="F4707" s="437"/>
      <c r="G4707" s="437"/>
      <c r="H4707" s="437"/>
      <c r="I4707" s="437"/>
      <c r="J4707" s="437"/>
      <c r="K4707" s="437"/>
    </row>
    <row r="4708" customHeight="1" spans="1:11">
      <c r="A4708" s="423" t="s">
        <v>1459</v>
      </c>
      <c r="B4708" s="424" t="s">
        <v>1714</v>
      </c>
      <c r="C4708" s="423" t="s">
        <v>1715</v>
      </c>
      <c r="D4708" s="423" t="s">
        <v>1716</v>
      </c>
      <c r="E4708" s="423" t="s">
        <v>1717</v>
      </c>
      <c r="F4708" s="423"/>
      <c r="G4708" s="425" t="s">
        <v>1718</v>
      </c>
      <c r="H4708" s="424" t="s">
        <v>1719</v>
      </c>
      <c r="I4708" s="424" t="s">
        <v>1720</v>
      </c>
      <c r="J4708" s="424" t="s">
        <v>1721</v>
      </c>
      <c r="K4708" s="424" t="s">
        <v>1722</v>
      </c>
    </row>
    <row r="4709" customHeight="1" spans="1:11">
      <c r="A4709" s="426" t="s">
        <v>1723</v>
      </c>
      <c r="B4709" s="427" t="s">
        <v>1460</v>
      </c>
      <c r="C4709" s="426" t="s">
        <v>76</v>
      </c>
      <c r="D4709" s="426" t="s">
        <v>1461</v>
      </c>
      <c r="E4709" s="426">
        <v>11</v>
      </c>
      <c r="F4709" s="426"/>
      <c r="G4709" s="428" t="s">
        <v>129</v>
      </c>
      <c r="H4709" s="429">
        <v>1</v>
      </c>
      <c r="I4709" s="445"/>
      <c r="J4709" s="445">
        <v>808.65</v>
      </c>
      <c r="K4709" s="445">
        <v>808.65</v>
      </c>
    </row>
    <row r="4710" customHeight="1" spans="1:11">
      <c r="A4710" s="430" t="s">
        <v>1724</v>
      </c>
      <c r="B4710" s="431" t="s">
        <v>2143</v>
      </c>
      <c r="C4710" s="430" t="s">
        <v>76</v>
      </c>
      <c r="D4710" s="430" t="s">
        <v>2144</v>
      </c>
      <c r="E4710" s="430">
        <v>7</v>
      </c>
      <c r="F4710" s="430"/>
      <c r="G4710" s="432" t="s">
        <v>129</v>
      </c>
      <c r="H4710" s="433">
        <v>0.0125</v>
      </c>
      <c r="I4710" s="433">
        <v>0</v>
      </c>
      <c r="J4710" s="446">
        <v>468.89</v>
      </c>
      <c r="K4710" s="446">
        <v>5.86</v>
      </c>
    </row>
    <row r="4711" customHeight="1" spans="1:11">
      <c r="A4711" s="430" t="s">
        <v>1724</v>
      </c>
      <c r="B4711" s="431" t="s">
        <v>3321</v>
      </c>
      <c r="C4711" s="430" t="s">
        <v>76</v>
      </c>
      <c r="D4711" s="430" t="s">
        <v>3322</v>
      </c>
      <c r="E4711" s="430">
        <v>19</v>
      </c>
      <c r="F4711" s="430"/>
      <c r="G4711" s="432" t="s">
        <v>82</v>
      </c>
      <c r="H4711" s="433">
        <v>0.23</v>
      </c>
      <c r="I4711" s="433">
        <v>0</v>
      </c>
      <c r="J4711" s="446">
        <v>1.77</v>
      </c>
      <c r="K4711" s="446">
        <v>0.4</v>
      </c>
    </row>
    <row r="4712" customHeight="1" spans="1:11">
      <c r="A4712" s="430" t="s">
        <v>1724</v>
      </c>
      <c r="B4712" s="431" t="s">
        <v>3323</v>
      </c>
      <c r="C4712" s="430" t="s">
        <v>76</v>
      </c>
      <c r="D4712" s="430" t="s">
        <v>3322</v>
      </c>
      <c r="E4712" s="430">
        <v>19</v>
      </c>
      <c r="F4712" s="430"/>
      <c r="G4712" s="432" t="s">
        <v>82</v>
      </c>
      <c r="H4712" s="433">
        <v>0.39</v>
      </c>
      <c r="I4712" s="433">
        <v>0</v>
      </c>
      <c r="J4712" s="446">
        <v>0.48</v>
      </c>
      <c r="K4712" s="446">
        <v>0.18</v>
      </c>
    </row>
    <row r="4713" customHeight="1" spans="1:11">
      <c r="A4713" s="438" t="s">
        <v>1750</v>
      </c>
      <c r="B4713" s="439" t="s">
        <v>3324</v>
      </c>
      <c r="C4713" s="438" t="s">
        <v>76</v>
      </c>
      <c r="D4713" s="438" t="s">
        <v>3325</v>
      </c>
      <c r="E4713" s="438" t="s">
        <v>1631</v>
      </c>
      <c r="F4713" s="438"/>
      <c r="G4713" s="440" t="s">
        <v>129</v>
      </c>
      <c r="H4713" s="441">
        <v>1</v>
      </c>
      <c r="I4713" s="441">
        <v>0</v>
      </c>
      <c r="J4713" s="449">
        <v>60</v>
      </c>
      <c r="K4713" s="449">
        <v>60</v>
      </c>
    </row>
    <row r="4714" customHeight="1" spans="1:11">
      <c r="A4714" s="438" t="s">
        <v>1750</v>
      </c>
      <c r="B4714" s="439" t="s">
        <v>3326</v>
      </c>
      <c r="C4714" s="438" t="s">
        <v>76</v>
      </c>
      <c r="D4714" s="438" t="s">
        <v>3327</v>
      </c>
      <c r="E4714" s="438" t="s">
        <v>1631</v>
      </c>
      <c r="F4714" s="438"/>
      <c r="G4714" s="440" t="s">
        <v>129</v>
      </c>
      <c r="H4714" s="441">
        <v>1.05</v>
      </c>
      <c r="I4714" s="441">
        <v>0</v>
      </c>
      <c r="J4714" s="449">
        <v>630</v>
      </c>
      <c r="K4714" s="449">
        <v>661.5</v>
      </c>
    </row>
    <row r="4715" customHeight="1" spans="1:11">
      <c r="A4715" s="438" t="s">
        <v>1750</v>
      </c>
      <c r="B4715" s="439" t="s">
        <v>1762</v>
      </c>
      <c r="C4715" s="438" t="s">
        <v>76</v>
      </c>
      <c r="D4715" s="438" t="s">
        <v>1763</v>
      </c>
      <c r="E4715" s="438" t="s">
        <v>1764</v>
      </c>
      <c r="F4715" s="438"/>
      <c r="G4715" s="440" t="s">
        <v>82</v>
      </c>
      <c r="H4715" s="441">
        <v>0.6</v>
      </c>
      <c r="I4715" s="441">
        <v>3</v>
      </c>
      <c r="J4715" s="449">
        <v>26.52</v>
      </c>
      <c r="K4715" s="449">
        <v>16.38</v>
      </c>
    </row>
    <row r="4716" customHeight="1" spans="1:11">
      <c r="A4716" s="438" t="s">
        <v>1750</v>
      </c>
      <c r="B4716" s="439" t="s">
        <v>2149</v>
      </c>
      <c r="C4716" s="438" t="s">
        <v>76</v>
      </c>
      <c r="D4716" s="438" t="s">
        <v>2150</v>
      </c>
      <c r="E4716" s="438" t="s">
        <v>1764</v>
      </c>
      <c r="F4716" s="438"/>
      <c r="G4716" s="440" t="s">
        <v>82</v>
      </c>
      <c r="H4716" s="441">
        <v>0.6</v>
      </c>
      <c r="I4716" s="441">
        <v>3</v>
      </c>
      <c r="J4716" s="449">
        <v>26.52</v>
      </c>
      <c r="K4716" s="449">
        <v>16.38</v>
      </c>
    </row>
    <row r="4717" customHeight="1" spans="1:11">
      <c r="A4717" s="438" t="s">
        <v>1750</v>
      </c>
      <c r="B4717" s="439" t="s">
        <v>1767</v>
      </c>
      <c r="C4717" s="438" t="s">
        <v>76</v>
      </c>
      <c r="D4717" s="438" t="s">
        <v>1768</v>
      </c>
      <c r="E4717" s="438" t="s">
        <v>1764</v>
      </c>
      <c r="F4717" s="438"/>
      <c r="G4717" s="440" t="s">
        <v>82</v>
      </c>
      <c r="H4717" s="441">
        <v>1.6</v>
      </c>
      <c r="I4717" s="441">
        <v>3</v>
      </c>
      <c r="J4717" s="449">
        <v>19.16</v>
      </c>
      <c r="K4717" s="449">
        <v>31.57</v>
      </c>
    </row>
    <row r="4718" customHeight="1" spans="1:11">
      <c r="A4718" s="438" t="s">
        <v>1750</v>
      </c>
      <c r="B4718" s="439" t="s">
        <v>3260</v>
      </c>
      <c r="C4718" s="438" t="s">
        <v>76</v>
      </c>
      <c r="D4718" s="438" t="s">
        <v>3261</v>
      </c>
      <c r="E4718" s="438" t="s">
        <v>1764</v>
      </c>
      <c r="F4718" s="438"/>
      <c r="G4718" s="440" t="s">
        <v>82</v>
      </c>
      <c r="H4718" s="441">
        <v>0.6</v>
      </c>
      <c r="I4718" s="441">
        <v>3</v>
      </c>
      <c r="J4718" s="449">
        <v>26.52</v>
      </c>
      <c r="K4718" s="449">
        <v>16.38</v>
      </c>
    </row>
    <row r="4719" customHeight="1" spans="1:11">
      <c r="A4719" s="434"/>
      <c r="B4719" s="434"/>
      <c r="C4719" s="434"/>
      <c r="D4719" s="434"/>
      <c r="E4719" s="434"/>
      <c r="F4719" s="434" t="s">
        <v>1735</v>
      </c>
      <c r="G4719" s="435">
        <v>42.69</v>
      </c>
      <c r="H4719" s="434" t="s">
        <v>1736</v>
      </c>
      <c r="I4719" s="435">
        <v>38.78</v>
      </c>
      <c r="J4719" s="434" t="s">
        <v>1737</v>
      </c>
      <c r="K4719" s="435">
        <v>81.47</v>
      </c>
    </row>
    <row r="4720" customHeight="1" spans="1:11">
      <c r="A4720" s="434"/>
      <c r="B4720" s="434"/>
      <c r="C4720" s="434"/>
      <c r="D4720" s="434"/>
      <c r="E4720" s="434"/>
      <c r="F4720" s="434" t="s">
        <v>1738</v>
      </c>
      <c r="G4720" s="435">
        <v>199.41</v>
      </c>
      <c r="H4720" s="434"/>
      <c r="I4720" s="434" t="s">
        <v>1739</v>
      </c>
      <c r="J4720" s="434"/>
      <c r="K4720" s="435">
        <v>1008.06</v>
      </c>
    </row>
    <row r="4721" customHeight="1" spans="1:11">
      <c r="A4721" s="436"/>
      <c r="B4721" s="436"/>
      <c r="C4721" s="436"/>
      <c r="D4721" s="436"/>
      <c r="E4721" s="436"/>
      <c r="F4721" s="436"/>
      <c r="G4721" s="436"/>
      <c r="H4721" s="436" t="s">
        <v>1740</v>
      </c>
      <c r="I4721" s="447" t="s">
        <v>3328</v>
      </c>
      <c r="J4721" s="436" t="s">
        <v>1742</v>
      </c>
      <c r="K4721" s="448">
        <v>6350.77</v>
      </c>
    </row>
    <row r="4722" customHeight="1" spans="1:11">
      <c r="A4722" s="437"/>
      <c r="B4722" s="437"/>
      <c r="C4722" s="437"/>
      <c r="D4722" s="437"/>
      <c r="E4722" s="437"/>
      <c r="F4722" s="437"/>
      <c r="G4722" s="437"/>
      <c r="H4722" s="437"/>
      <c r="I4722" s="437"/>
      <c r="J4722" s="437"/>
      <c r="K4722" s="437"/>
    </row>
    <row r="4723" customHeight="1" spans="1:11">
      <c r="A4723" s="423" t="s">
        <v>1462</v>
      </c>
      <c r="B4723" s="424" t="s">
        <v>1714</v>
      </c>
      <c r="C4723" s="423" t="s">
        <v>1715</v>
      </c>
      <c r="D4723" s="423" t="s">
        <v>1716</v>
      </c>
      <c r="E4723" s="423" t="s">
        <v>1717</v>
      </c>
      <c r="F4723" s="423"/>
      <c r="G4723" s="425" t="s">
        <v>1718</v>
      </c>
      <c r="H4723" s="424" t="s">
        <v>1719</v>
      </c>
      <c r="I4723" s="424" t="s">
        <v>1720</v>
      </c>
      <c r="J4723" s="424" t="s">
        <v>1721</v>
      </c>
      <c r="K4723" s="424" t="s">
        <v>1722</v>
      </c>
    </row>
    <row r="4724" customHeight="1" spans="1:11">
      <c r="A4724" s="426" t="s">
        <v>1723</v>
      </c>
      <c r="B4724" s="427" t="s">
        <v>1463</v>
      </c>
      <c r="C4724" s="426" t="s">
        <v>71</v>
      </c>
      <c r="D4724" s="426" t="s">
        <v>1464</v>
      </c>
      <c r="E4724" s="426" t="s">
        <v>1703</v>
      </c>
      <c r="F4724" s="426"/>
      <c r="G4724" s="428" t="s">
        <v>129</v>
      </c>
      <c r="H4724" s="429">
        <v>1</v>
      </c>
      <c r="I4724" s="445"/>
      <c r="J4724" s="445">
        <v>88.1</v>
      </c>
      <c r="K4724" s="445">
        <v>88.1</v>
      </c>
    </row>
    <row r="4725" customHeight="1" spans="1:11">
      <c r="A4725" s="430" t="s">
        <v>1724</v>
      </c>
      <c r="B4725" s="431" t="s">
        <v>1929</v>
      </c>
      <c r="C4725" s="430" t="s">
        <v>71</v>
      </c>
      <c r="D4725" s="430" t="s">
        <v>1930</v>
      </c>
      <c r="E4725" s="430" t="s">
        <v>1795</v>
      </c>
      <c r="F4725" s="430"/>
      <c r="G4725" s="432" t="s">
        <v>1804</v>
      </c>
      <c r="H4725" s="433">
        <v>0.0006</v>
      </c>
      <c r="I4725" s="433">
        <v>0</v>
      </c>
      <c r="J4725" s="446">
        <v>94.91</v>
      </c>
      <c r="K4725" s="446">
        <v>0.05</v>
      </c>
    </row>
    <row r="4726" customHeight="1" spans="1:11">
      <c r="A4726" s="430" t="s">
        <v>1724</v>
      </c>
      <c r="B4726" s="431" t="s">
        <v>1923</v>
      </c>
      <c r="C4726" s="430" t="s">
        <v>71</v>
      </c>
      <c r="D4726" s="430" t="s">
        <v>1924</v>
      </c>
      <c r="E4726" s="430" t="s">
        <v>1795</v>
      </c>
      <c r="F4726" s="430"/>
      <c r="G4726" s="432" t="s">
        <v>1796</v>
      </c>
      <c r="H4726" s="433">
        <v>0.0054</v>
      </c>
      <c r="I4726" s="433">
        <v>0</v>
      </c>
      <c r="J4726" s="446">
        <v>339.64</v>
      </c>
      <c r="K4726" s="446">
        <v>1.83</v>
      </c>
    </row>
    <row r="4727" customHeight="1" spans="1:11">
      <c r="A4727" s="430" t="s">
        <v>1724</v>
      </c>
      <c r="B4727" s="431" t="s">
        <v>3329</v>
      </c>
      <c r="C4727" s="430" t="s">
        <v>71</v>
      </c>
      <c r="D4727" s="430" t="s">
        <v>3330</v>
      </c>
      <c r="E4727" s="430" t="s">
        <v>1795</v>
      </c>
      <c r="F4727" s="430"/>
      <c r="G4727" s="432" t="s">
        <v>1796</v>
      </c>
      <c r="H4727" s="433">
        <v>0.1962</v>
      </c>
      <c r="I4727" s="433">
        <v>0</v>
      </c>
      <c r="J4727" s="446">
        <v>48.29</v>
      </c>
      <c r="K4727" s="446">
        <v>9.47</v>
      </c>
    </row>
    <row r="4728" customHeight="1" spans="1:11">
      <c r="A4728" s="430" t="s">
        <v>1724</v>
      </c>
      <c r="B4728" s="431" t="s">
        <v>1745</v>
      </c>
      <c r="C4728" s="430" t="s">
        <v>71</v>
      </c>
      <c r="D4728" s="430" t="s">
        <v>1746</v>
      </c>
      <c r="E4728" s="430" t="s">
        <v>1708</v>
      </c>
      <c r="F4728" s="430"/>
      <c r="G4728" s="432" t="s">
        <v>82</v>
      </c>
      <c r="H4728" s="433">
        <v>0.7866</v>
      </c>
      <c r="I4728" s="433">
        <v>0</v>
      </c>
      <c r="J4728" s="446">
        <v>29.15</v>
      </c>
      <c r="K4728" s="446">
        <v>22.92</v>
      </c>
    </row>
    <row r="4729" customHeight="1" spans="1:11">
      <c r="A4729" s="438" t="s">
        <v>1750</v>
      </c>
      <c r="B4729" s="439" t="s">
        <v>3331</v>
      </c>
      <c r="C4729" s="438" t="s">
        <v>71</v>
      </c>
      <c r="D4729" s="438" t="s">
        <v>3332</v>
      </c>
      <c r="E4729" s="438" t="s">
        <v>1631</v>
      </c>
      <c r="F4729" s="438"/>
      <c r="G4729" s="440" t="s">
        <v>129</v>
      </c>
      <c r="H4729" s="441">
        <v>1.3889</v>
      </c>
      <c r="I4729" s="441">
        <v>0</v>
      </c>
      <c r="J4729" s="449">
        <v>38.76</v>
      </c>
      <c r="K4729" s="449">
        <v>53.83</v>
      </c>
    </row>
    <row r="4730" customHeight="1" spans="1:11">
      <c r="A4730" s="434"/>
      <c r="B4730" s="434"/>
      <c r="C4730" s="434"/>
      <c r="D4730" s="434"/>
      <c r="E4730" s="434"/>
      <c r="F4730" s="434" t="s">
        <v>1735</v>
      </c>
      <c r="G4730" s="435">
        <v>11.23</v>
      </c>
      <c r="H4730" s="434" t="s">
        <v>1736</v>
      </c>
      <c r="I4730" s="435">
        <v>10.21</v>
      </c>
      <c r="J4730" s="434" t="s">
        <v>1737</v>
      </c>
      <c r="K4730" s="435">
        <v>21.44</v>
      </c>
    </row>
    <row r="4731" customHeight="1" spans="1:11">
      <c r="A4731" s="434"/>
      <c r="B4731" s="434"/>
      <c r="C4731" s="434"/>
      <c r="D4731" s="434"/>
      <c r="E4731" s="434"/>
      <c r="F4731" s="434" t="s">
        <v>1738</v>
      </c>
      <c r="G4731" s="435">
        <v>21.72</v>
      </c>
      <c r="H4731" s="434"/>
      <c r="I4731" s="434" t="s">
        <v>1739</v>
      </c>
      <c r="J4731" s="434"/>
      <c r="K4731" s="435">
        <v>109.82</v>
      </c>
    </row>
    <row r="4732" customHeight="1" spans="1:11">
      <c r="A4732" s="436"/>
      <c r="B4732" s="436"/>
      <c r="C4732" s="436"/>
      <c r="D4732" s="436"/>
      <c r="E4732" s="436"/>
      <c r="F4732" s="436"/>
      <c r="G4732" s="436"/>
      <c r="H4732" s="436" t="s">
        <v>1740</v>
      </c>
      <c r="I4732" s="447" t="s">
        <v>2306</v>
      </c>
      <c r="J4732" s="436" t="s">
        <v>1742</v>
      </c>
      <c r="K4732" s="448">
        <v>988.38</v>
      </c>
    </row>
    <row r="4733" customHeight="1" spans="1:11">
      <c r="A4733" s="437"/>
      <c r="B4733" s="437"/>
      <c r="C4733" s="437"/>
      <c r="D4733" s="437"/>
      <c r="E4733" s="437"/>
      <c r="F4733" s="437"/>
      <c r="G4733" s="437"/>
      <c r="H4733" s="437"/>
      <c r="I4733" s="437"/>
      <c r="J4733" s="437"/>
      <c r="K4733" s="437"/>
    </row>
    <row r="4734" customHeight="1" spans="1:11">
      <c r="A4734" s="422" t="s">
        <v>1465</v>
      </c>
      <c r="B4734" s="422"/>
      <c r="C4734" s="422"/>
      <c r="D4734" s="422" t="s">
        <v>1466</v>
      </c>
      <c r="E4734" s="422"/>
      <c r="F4734" s="422"/>
      <c r="G4734" s="422"/>
      <c r="H4734" s="422"/>
      <c r="I4734" s="443"/>
      <c r="J4734" s="422"/>
      <c r="K4734" s="444">
        <v>23561.85</v>
      </c>
    </row>
    <row r="4735" customHeight="1" spans="1:11">
      <c r="A4735" s="423" t="s">
        <v>1467</v>
      </c>
      <c r="B4735" s="424" t="s">
        <v>1714</v>
      </c>
      <c r="C4735" s="423" t="s">
        <v>1715</v>
      </c>
      <c r="D4735" s="423" t="s">
        <v>1716</v>
      </c>
      <c r="E4735" s="423" t="s">
        <v>1717</v>
      </c>
      <c r="F4735" s="423"/>
      <c r="G4735" s="425" t="s">
        <v>1718</v>
      </c>
      <c r="H4735" s="424" t="s">
        <v>1719</v>
      </c>
      <c r="I4735" s="424" t="s">
        <v>1720</v>
      </c>
      <c r="J4735" s="424" t="s">
        <v>1721</v>
      </c>
      <c r="K4735" s="424" t="s">
        <v>1722</v>
      </c>
    </row>
    <row r="4736" customHeight="1" spans="1:11">
      <c r="A4736" s="426" t="s">
        <v>1723</v>
      </c>
      <c r="B4736" s="427" t="s">
        <v>209</v>
      </c>
      <c r="C4736" s="426" t="s">
        <v>71</v>
      </c>
      <c r="D4736" s="426" t="s">
        <v>210</v>
      </c>
      <c r="E4736" s="426" t="s">
        <v>1626</v>
      </c>
      <c r="F4736" s="426"/>
      <c r="G4736" s="428" t="s">
        <v>73</v>
      </c>
      <c r="H4736" s="429">
        <v>1</v>
      </c>
      <c r="I4736" s="445"/>
      <c r="J4736" s="445">
        <v>129.51</v>
      </c>
      <c r="K4736" s="445">
        <v>129.51</v>
      </c>
    </row>
    <row r="4737" customHeight="1" spans="1:11">
      <c r="A4737" s="430" t="s">
        <v>1724</v>
      </c>
      <c r="B4737" s="431" t="s">
        <v>1743</v>
      </c>
      <c r="C4737" s="430" t="s">
        <v>71</v>
      </c>
      <c r="D4737" s="430" t="s">
        <v>1744</v>
      </c>
      <c r="E4737" s="430" t="s">
        <v>1708</v>
      </c>
      <c r="F4737" s="430"/>
      <c r="G4737" s="432" t="s">
        <v>82</v>
      </c>
      <c r="H4737" s="433">
        <v>2.052</v>
      </c>
      <c r="I4737" s="433">
        <v>0</v>
      </c>
      <c r="J4737" s="446">
        <v>37.51</v>
      </c>
      <c r="K4737" s="446">
        <v>76.97</v>
      </c>
    </row>
    <row r="4738" customHeight="1" spans="1:11">
      <c r="A4738" s="430" t="s">
        <v>1724</v>
      </c>
      <c r="B4738" s="431" t="s">
        <v>1800</v>
      </c>
      <c r="C4738" s="430" t="s">
        <v>71</v>
      </c>
      <c r="D4738" s="430" t="s">
        <v>1801</v>
      </c>
      <c r="E4738" s="430" t="s">
        <v>1708</v>
      </c>
      <c r="F4738" s="430"/>
      <c r="G4738" s="432" t="s">
        <v>82</v>
      </c>
      <c r="H4738" s="433">
        <v>0.376</v>
      </c>
      <c r="I4738" s="433">
        <v>0</v>
      </c>
      <c r="J4738" s="446">
        <v>29.91</v>
      </c>
      <c r="K4738" s="446">
        <v>11.24</v>
      </c>
    </row>
    <row r="4739" customHeight="1" spans="1:11">
      <c r="A4739" s="430" t="s">
        <v>1724</v>
      </c>
      <c r="B4739" s="431" t="s">
        <v>2023</v>
      </c>
      <c r="C4739" s="430" t="s">
        <v>71</v>
      </c>
      <c r="D4739" s="430" t="s">
        <v>2024</v>
      </c>
      <c r="E4739" s="430" t="s">
        <v>1626</v>
      </c>
      <c r="F4739" s="430"/>
      <c r="G4739" s="432" t="s">
        <v>73</v>
      </c>
      <c r="H4739" s="433">
        <v>0.275</v>
      </c>
      <c r="I4739" s="433">
        <v>0</v>
      </c>
      <c r="J4739" s="446">
        <v>147.52</v>
      </c>
      <c r="K4739" s="446">
        <v>40.56</v>
      </c>
    </row>
    <row r="4740" customHeight="1" spans="1:11">
      <c r="A4740" s="438" t="s">
        <v>1750</v>
      </c>
      <c r="B4740" s="439" t="s">
        <v>1943</v>
      </c>
      <c r="C4740" s="438" t="s">
        <v>71</v>
      </c>
      <c r="D4740" s="438" t="s">
        <v>1944</v>
      </c>
      <c r="E4740" s="438" t="s">
        <v>1631</v>
      </c>
      <c r="F4740" s="438"/>
      <c r="G4740" s="440" t="s">
        <v>1945</v>
      </c>
      <c r="H4740" s="441">
        <v>0.017</v>
      </c>
      <c r="I4740" s="441">
        <v>0</v>
      </c>
      <c r="J4740" s="449">
        <v>7.97</v>
      </c>
      <c r="K4740" s="449">
        <v>0.13</v>
      </c>
    </row>
    <row r="4741" customHeight="1" spans="1:11">
      <c r="A4741" s="438" t="s">
        <v>1750</v>
      </c>
      <c r="B4741" s="439" t="s">
        <v>1948</v>
      </c>
      <c r="C4741" s="438" t="s">
        <v>71</v>
      </c>
      <c r="D4741" s="438" t="s">
        <v>1949</v>
      </c>
      <c r="E4741" s="438" t="s">
        <v>1631</v>
      </c>
      <c r="F4741" s="438"/>
      <c r="G4741" s="440" t="s">
        <v>158</v>
      </c>
      <c r="H4741" s="441">
        <v>0.027</v>
      </c>
      <c r="I4741" s="441">
        <v>0</v>
      </c>
      <c r="J4741" s="449">
        <v>22.69</v>
      </c>
      <c r="K4741" s="449">
        <v>0.61</v>
      </c>
    </row>
    <row r="4742" customHeight="1" spans="1:11">
      <c r="A4742" s="434"/>
      <c r="B4742" s="434"/>
      <c r="C4742" s="434"/>
      <c r="D4742" s="434"/>
      <c r="E4742" s="434"/>
      <c r="F4742" s="434" t="s">
        <v>1735</v>
      </c>
      <c r="G4742" s="435">
        <v>37.71</v>
      </c>
      <c r="H4742" s="434" t="s">
        <v>1736</v>
      </c>
      <c r="I4742" s="435">
        <v>34.26</v>
      </c>
      <c r="J4742" s="434" t="s">
        <v>1737</v>
      </c>
      <c r="K4742" s="435">
        <v>71.97</v>
      </c>
    </row>
    <row r="4743" customHeight="1" spans="1:11">
      <c r="A4743" s="434"/>
      <c r="B4743" s="434"/>
      <c r="C4743" s="434"/>
      <c r="D4743" s="434"/>
      <c r="E4743" s="434"/>
      <c r="F4743" s="434" t="s">
        <v>1738</v>
      </c>
      <c r="G4743" s="435">
        <v>31.93</v>
      </c>
      <c r="H4743" s="434"/>
      <c r="I4743" s="434" t="s">
        <v>1739</v>
      </c>
      <c r="J4743" s="434"/>
      <c r="K4743" s="435">
        <v>161.44</v>
      </c>
    </row>
    <row r="4744" customHeight="1" spans="1:11">
      <c r="A4744" s="436"/>
      <c r="B4744" s="436"/>
      <c r="C4744" s="436"/>
      <c r="D4744" s="436"/>
      <c r="E4744" s="436"/>
      <c r="F4744" s="436"/>
      <c r="G4744" s="436"/>
      <c r="H4744" s="436" t="s">
        <v>1740</v>
      </c>
      <c r="I4744" s="447" t="s">
        <v>1968</v>
      </c>
      <c r="J4744" s="436" t="s">
        <v>1742</v>
      </c>
      <c r="K4744" s="448">
        <v>4358.88</v>
      </c>
    </row>
    <row r="4745" customHeight="1" spans="1:11">
      <c r="A4745" s="437"/>
      <c r="B4745" s="437"/>
      <c r="C4745" s="437"/>
      <c r="D4745" s="437"/>
      <c r="E4745" s="437"/>
      <c r="F4745" s="437"/>
      <c r="G4745" s="437"/>
      <c r="H4745" s="437"/>
      <c r="I4745" s="437"/>
      <c r="J4745" s="437"/>
      <c r="K4745" s="437"/>
    </row>
    <row r="4746" customHeight="1" spans="1:11">
      <c r="A4746" s="423" t="s">
        <v>1468</v>
      </c>
      <c r="B4746" s="424" t="s">
        <v>1714</v>
      </c>
      <c r="C4746" s="423" t="s">
        <v>1715</v>
      </c>
      <c r="D4746" s="423" t="s">
        <v>1716</v>
      </c>
      <c r="E4746" s="423" t="s">
        <v>1717</v>
      </c>
      <c r="F4746" s="423"/>
      <c r="G4746" s="425" t="s">
        <v>1718</v>
      </c>
      <c r="H4746" s="424" t="s">
        <v>1719</v>
      </c>
      <c r="I4746" s="424" t="s">
        <v>1720</v>
      </c>
      <c r="J4746" s="424" t="s">
        <v>1721</v>
      </c>
      <c r="K4746" s="424" t="s">
        <v>1722</v>
      </c>
    </row>
    <row r="4747" customHeight="1" spans="1:11">
      <c r="A4747" s="426" t="s">
        <v>1723</v>
      </c>
      <c r="B4747" s="427" t="s">
        <v>235</v>
      </c>
      <c r="C4747" s="426" t="s">
        <v>71</v>
      </c>
      <c r="D4747" s="426" t="s">
        <v>236</v>
      </c>
      <c r="E4747" s="426" t="s">
        <v>1626</v>
      </c>
      <c r="F4747" s="426"/>
      <c r="G4747" s="428" t="s">
        <v>73</v>
      </c>
      <c r="H4747" s="429">
        <v>1</v>
      </c>
      <c r="I4747" s="445"/>
      <c r="J4747" s="445">
        <v>175.44</v>
      </c>
      <c r="K4747" s="445">
        <v>175.44</v>
      </c>
    </row>
    <row r="4748" customHeight="1" spans="1:11">
      <c r="A4748" s="430" t="s">
        <v>1724</v>
      </c>
      <c r="B4748" s="431" t="s">
        <v>2037</v>
      </c>
      <c r="C4748" s="430" t="s">
        <v>71</v>
      </c>
      <c r="D4748" s="430" t="s">
        <v>2038</v>
      </c>
      <c r="E4748" s="430" t="s">
        <v>1626</v>
      </c>
      <c r="F4748" s="430"/>
      <c r="G4748" s="432" t="s">
        <v>78</v>
      </c>
      <c r="H4748" s="433">
        <v>1.729</v>
      </c>
      <c r="I4748" s="433">
        <v>0</v>
      </c>
      <c r="J4748" s="446">
        <v>39.85</v>
      </c>
      <c r="K4748" s="446">
        <v>68.9</v>
      </c>
    </row>
    <row r="4749" customHeight="1" spans="1:11">
      <c r="A4749" s="430" t="s">
        <v>1724</v>
      </c>
      <c r="B4749" s="431" t="s">
        <v>2039</v>
      </c>
      <c r="C4749" s="430" t="s">
        <v>71</v>
      </c>
      <c r="D4749" s="430" t="s">
        <v>2040</v>
      </c>
      <c r="E4749" s="430" t="s">
        <v>1626</v>
      </c>
      <c r="F4749" s="430"/>
      <c r="G4749" s="432" t="s">
        <v>73</v>
      </c>
      <c r="H4749" s="433">
        <v>0.414</v>
      </c>
      <c r="I4749" s="433">
        <v>0</v>
      </c>
      <c r="J4749" s="446">
        <v>130.07</v>
      </c>
      <c r="K4749" s="446">
        <v>53.84</v>
      </c>
    </row>
    <row r="4750" customHeight="1" spans="1:11">
      <c r="A4750" s="430" t="s">
        <v>1724</v>
      </c>
      <c r="B4750" s="431" t="s">
        <v>1800</v>
      </c>
      <c r="C4750" s="430" t="s">
        <v>71</v>
      </c>
      <c r="D4750" s="430" t="s">
        <v>1801</v>
      </c>
      <c r="E4750" s="430" t="s">
        <v>1708</v>
      </c>
      <c r="F4750" s="430"/>
      <c r="G4750" s="432" t="s">
        <v>82</v>
      </c>
      <c r="H4750" s="433">
        <v>0.19</v>
      </c>
      <c r="I4750" s="433">
        <v>0</v>
      </c>
      <c r="J4750" s="446">
        <v>29.91</v>
      </c>
      <c r="K4750" s="446">
        <v>5.68</v>
      </c>
    </row>
    <row r="4751" customHeight="1" spans="1:11">
      <c r="A4751" s="430" t="s">
        <v>1724</v>
      </c>
      <c r="B4751" s="431" t="s">
        <v>1743</v>
      </c>
      <c r="C4751" s="430" t="s">
        <v>71</v>
      </c>
      <c r="D4751" s="430" t="s">
        <v>1744</v>
      </c>
      <c r="E4751" s="430" t="s">
        <v>1708</v>
      </c>
      <c r="F4751" s="430"/>
      <c r="G4751" s="432" t="s">
        <v>82</v>
      </c>
      <c r="H4751" s="433">
        <v>1.035</v>
      </c>
      <c r="I4751" s="433">
        <v>0</v>
      </c>
      <c r="J4751" s="446">
        <v>37.51</v>
      </c>
      <c r="K4751" s="446">
        <v>38.82</v>
      </c>
    </row>
    <row r="4752" customHeight="1" spans="1:11">
      <c r="A4752" s="438" t="s">
        <v>1750</v>
      </c>
      <c r="B4752" s="439" t="s">
        <v>1943</v>
      </c>
      <c r="C4752" s="438" t="s">
        <v>71</v>
      </c>
      <c r="D4752" s="438" t="s">
        <v>1944</v>
      </c>
      <c r="E4752" s="438" t="s">
        <v>1631</v>
      </c>
      <c r="F4752" s="438"/>
      <c r="G4752" s="440" t="s">
        <v>1945</v>
      </c>
      <c r="H4752" s="441">
        <v>0.01</v>
      </c>
      <c r="I4752" s="441">
        <v>0</v>
      </c>
      <c r="J4752" s="449">
        <v>7.97</v>
      </c>
      <c r="K4752" s="449">
        <v>0.07</v>
      </c>
    </row>
    <row r="4753" customHeight="1" spans="1:11">
      <c r="A4753" s="438" t="s">
        <v>1750</v>
      </c>
      <c r="B4753" s="439" t="s">
        <v>1948</v>
      </c>
      <c r="C4753" s="438" t="s">
        <v>71</v>
      </c>
      <c r="D4753" s="438" t="s">
        <v>1949</v>
      </c>
      <c r="E4753" s="438" t="s">
        <v>1631</v>
      </c>
      <c r="F4753" s="438"/>
      <c r="G4753" s="440" t="s">
        <v>158</v>
      </c>
      <c r="H4753" s="441">
        <v>0.049</v>
      </c>
      <c r="I4753" s="441">
        <v>0</v>
      </c>
      <c r="J4753" s="449">
        <v>22.69</v>
      </c>
      <c r="K4753" s="449">
        <v>1.11</v>
      </c>
    </row>
    <row r="4754" customHeight="1" spans="1:11">
      <c r="A4754" s="438" t="s">
        <v>1750</v>
      </c>
      <c r="B4754" s="439" t="s">
        <v>2041</v>
      </c>
      <c r="C4754" s="438" t="s">
        <v>71</v>
      </c>
      <c r="D4754" s="438" t="s">
        <v>2042</v>
      </c>
      <c r="E4754" s="438" t="s">
        <v>1631</v>
      </c>
      <c r="F4754" s="438"/>
      <c r="G4754" s="440" t="s">
        <v>78</v>
      </c>
      <c r="H4754" s="441">
        <v>0.328</v>
      </c>
      <c r="I4754" s="441">
        <v>0</v>
      </c>
      <c r="J4754" s="449">
        <v>21.41</v>
      </c>
      <c r="K4754" s="449">
        <v>7.02</v>
      </c>
    </row>
    <row r="4755" customHeight="1" spans="1:11">
      <c r="A4755" s="434"/>
      <c r="B4755" s="434"/>
      <c r="C4755" s="434"/>
      <c r="D4755" s="434"/>
      <c r="E4755" s="434"/>
      <c r="F4755" s="434" t="s">
        <v>1735</v>
      </c>
      <c r="G4755" s="435">
        <v>31.05</v>
      </c>
      <c r="H4755" s="434" t="s">
        <v>1736</v>
      </c>
      <c r="I4755" s="435">
        <v>28.21</v>
      </c>
      <c r="J4755" s="434" t="s">
        <v>1737</v>
      </c>
      <c r="K4755" s="435">
        <v>59.26</v>
      </c>
    </row>
    <row r="4756" customHeight="1" spans="1:11">
      <c r="A4756" s="434"/>
      <c r="B4756" s="434"/>
      <c r="C4756" s="434"/>
      <c r="D4756" s="434"/>
      <c r="E4756" s="434"/>
      <c r="F4756" s="434" t="s">
        <v>1738</v>
      </c>
      <c r="G4756" s="435">
        <v>43.26</v>
      </c>
      <c r="H4756" s="434"/>
      <c r="I4756" s="434" t="s">
        <v>1739</v>
      </c>
      <c r="J4756" s="434"/>
      <c r="K4756" s="435">
        <v>218.7</v>
      </c>
    </row>
    <row r="4757" customHeight="1" spans="1:11">
      <c r="A4757" s="436"/>
      <c r="B4757" s="436"/>
      <c r="C4757" s="436"/>
      <c r="D4757" s="436"/>
      <c r="E4757" s="436"/>
      <c r="F4757" s="436"/>
      <c r="G4757" s="436"/>
      <c r="H4757" s="436" t="s">
        <v>1740</v>
      </c>
      <c r="I4757" s="447" t="s">
        <v>2401</v>
      </c>
      <c r="J4757" s="436" t="s">
        <v>1742</v>
      </c>
      <c r="K4757" s="448">
        <v>7217.1</v>
      </c>
    </row>
    <row r="4758" customHeight="1" spans="1:11">
      <c r="A4758" s="437"/>
      <c r="B4758" s="437"/>
      <c r="C4758" s="437"/>
      <c r="D4758" s="437"/>
      <c r="E4758" s="437"/>
      <c r="F4758" s="437"/>
      <c r="G4758" s="437"/>
      <c r="H4758" s="437"/>
      <c r="I4758" s="437"/>
      <c r="J4758" s="437"/>
      <c r="K4758" s="437"/>
    </row>
    <row r="4759" customHeight="1" spans="1:11">
      <c r="A4759" s="423" t="s">
        <v>1469</v>
      </c>
      <c r="B4759" s="424" t="s">
        <v>1714</v>
      </c>
      <c r="C4759" s="423" t="s">
        <v>1715</v>
      </c>
      <c r="D4759" s="423" t="s">
        <v>1716</v>
      </c>
      <c r="E4759" s="423" t="s">
        <v>1717</v>
      </c>
      <c r="F4759" s="423"/>
      <c r="G4759" s="425" t="s">
        <v>1718</v>
      </c>
      <c r="H4759" s="424" t="s">
        <v>1719</v>
      </c>
      <c r="I4759" s="424" t="s">
        <v>1720</v>
      </c>
      <c r="J4759" s="424" t="s">
        <v>1721</v>
      </c>
      <c r="K4759" s="424" t="s">
        <v>1722</v>
      </c>
    </row>
    <row r="4760" customHeight="1" spans="1:11">
      <c r="A4760" s="426" t="s">
        <v>1723</v>
      </c>
      <c r="B4760" s="427" t="s">
        <v>212</v>
      </c>
      <c r="C4760" s="426" t="s">
        <v>71</v>
      </c>
      <c r="D4760" s="426" t="s">
        <v>213</v>
      </c>
      <c r="E4760" s="426" t="s">
        <v>1632</v>
      </c>
      <c r="F4760" s="426"/>
      <c r="G4760" s="428" t="s">
        <v>158</v>
      </c>
      <c r="H4760" s="429">
        <v>1</v>
      </c>
      <c r="I4760" s="445"/>
      <c r="J4760" s="445">
        <v>16.13</v>
      </c>
      <c r="K4760" s="445">
        <v>16.13</v>
      </c>
    </row>
    <row r="4761" customHeight="1" spans="1:11">
      <c r="A4761" s="430" t="s">
        <v>1724</v>
      </c>
      <c r="B4761" s="431" t="s">
        <v>1956</v>
      </c>
      <c r="C4761" s="430" t="s">
        <v>71</v>
      </c>
      <c r="D4761" s="430" t="s">
        <v>1957</v>
      </c>
      <c r="E4761" s="430" t="s">
        <v>1708</v>
      </c>
      <c r="F4761" s="430"/>
      <c r="G4761" s="432" t="s">
        <v>82</v>
      </c>
      <c r="H4761" s="433">
        <v>0.0175</v>
      </c>
      <c r="I4761" s="433">
        <v>0</v>
      </c>
      <c r="J4761" s="446">
        <v>30.06</v>
      </c>
      <c r="K4761" s="446">
        <v>0.52</v>
      </c>
    </row>
    <row r="4762" customHeight="1" spans="1:11">
      <c r="A4762" s="430" t="s">
        <v>1724</v>
      </c>
      <c r="B4762" s="431" t="s">
        <v>1958</v>
      </c>
      <c r="C4762" s="430" t="s">
        <v>71</v>
      </c>
      <c r="D4762" s="430" t="s">
        <v>1959</v>
      </c>
      <c r="E4762" s="430" t="s">
        <v>1708</v>
      </c>
      <c r="F4762" s="430"/>
      <c r="G4762" s="432" t="s">
        <v>82</v>
      </c>
      <c r="H4762" s="433">
        <v>0.1069</v>
      </c>
      <c r="I4762" s="433">
        <v>0</v>
      </c>
      <c r="J4762" s="446">
        <v>35.95</v>
      </c>
      <c r="K4762" s="446">
        <v>3.84</v>
      </c>
    </row>
    <row r="4763" customHeight="1" spans="1:11">
      <c r="A4763" s="430" t="s">
        <v>1724</v>
      </c>
      <c r="B4763" s="431" t="s">
        <v>1954</v>
      </c>
      <c r="C4763" s="430" t="s">
        <v>71</v>
      </c>
      <c r="D4763" s="430" t="s">
        <v>1955</v>
      </c>
      <c r="E4763" s="430" t="s">
        <v>1632</v>
      </c>
      <c r="F4763" s="430"/>
      <c r="G4763" s="432" t="s">
        <v>158</v>
      </c>
      <c r="H4763" s="433">
        <v>1</v>
      </c>
      <c r="I4763" s="433">
        <v>0</v>
      </c>
      <c r="J4763" s="446">
        <v>10.96</v>
      </c>
      <c r="K4763" s="446">
        <v>10.96</v>
      </c>
    </row>
    <row r="4764" customHeight="1" spans="1:11">
      <c r="A4764" s="438" t="s">
        <v>1750</v>
      </c>
      <c r="B4764" s="439" t="s">
        <v>1962</v>
      </c>
      <c r="C4764" s="438" t="s">
        <v>71</v>
      </c>
      <c r="D4764" s="438" t="s">
        <v>1963</v>
      </c>
      <c r="E4764" s="438" t="s">
        <v>1631</v>
      </c>
      <c r="F4764" s="438"/>
      <c r="G4764" s="440" t="s">
        <v>105</v>
      </c>
      <c r="H4764" s="441">
        <v>1.19</v>
      </c>
      <c r="I4764" s="441">
        <v>0</v>
      </c>
      <c r="J4764" s="449">
        <v>0.22</v>
      </c>
      <c r="K4764" s="449">
        <v>0.26</v>
      </c>
    </row>
    <row r="4765" customHeight="1" spans="1:11">
      <c r="A4765" s="438" t="s">
        <v>1750</v>
      </c>
      <c r="B4765" s="439" t="s">
        <v>1960</v>
      </c>
      <c r="C4765" s="438" t="s">
        <v>71</v>
      </c>
      <c r="D4765" s="438" t="s">
        <v>1961</v>
      </c>
      <c r="E4765" s="438" t="s">
        <v>1631</v>
      </c>
      <c r="F4765" s="438"/>
      <c r="G4765" s="440" t="s">
        <v>158</v>
      </c>
      <c r="H4765" s="441">
        <v>0.025</v>
      </c>
      <c r="I4765" s="441">
        <v>0</v>
      </c>
      <c r="J4765" s="449">
        <v>22</v>
      </c>
      <c r="K4765" s="449">
        <v>0.55</v>
      </c>
    </row>
    <row r="4766" customHeight="1" spans="1:11">
      <c r="A4766" s="434"/>
      <c r="B4766" s="434"/>
      <c r="C4766" s="434"/>
      <c r="D4766" s="434"/>
      <c r="E4766" s="434"/>
      <c r="F4766" s="434" t="s">
        <v>1735</v>
      </c>
      <c r="G4766" s="435">
        <v>2.52</v>
      </c>
      <c r="H4766" s="434" t="s">
        <v>1736</v>
      </c>
      <c r="I4766" s="435">
        <v>2.29</v>
      </c>
      <c r="J4766" s="434" t="s">
        <v>1737</v>
      </c>
      <c r="K4766" s="435">
        <v>4.81</v>
      </c>
    </row>
    <row r="4767" customHeight="1" spans="1:11">
      <c r="A4767" s="434"/>
      <c r="B4767" s="434"/>
      <c r="C4767" s="434"/>
      <c r="D4767" s="434"/>
      <c r="E4767" s="434"/>
      <c r="F4767" s="434" t="s">
        <v>1738</v>
      </c>
      <c r="G4767" s="435">
        <v>3.97</v>
      </c>
      <c r="H4767" s="434"/>
      <c r="I4767" s="434" t="s">
        <v>1739</v>
      </c>
      <c r="J4767" s="434"/>
      <c r="K4767" s="435">
        <v>20.1</v>
      </c>
    </row>
    <row r="4768" customHeight="1" spans="1:11">
      <c r="A4768" s="436"/>
      <c r="B4768" s="436"/>
      <c r="C4768" s="436"/>
      <c r="D4768" s="436"/>
      <c r="E4768" s="436"/>
      <c r="F4768" s="436"/>
      <c r="G4768" s="436"/>
      <c r="H4768" s="436" t="s">
        <v>1740</v>
      </c>
      <c r="I4768" s="447" t="s">
        <v>3333</v>
      </c>
      <c r="J4768" s="436" t="s">
        <v>1742</v>
      </c>
      <c r="K4768" s="448">
        <v>1951.71</v>
      </c>
    </row>
    <row r="4769" customHeight="1" spans="1:11">
      <c r="A4769" s="437"/>
      <c r="B4769" s="437"/>
      <c r="C4769" s="437"/>
      <c r="D4769" s="437"/>
      <c r="E4769" s="437"/>
      <c r="F4769" s="437"/>
      <c r="G4769" s="437"/>
      <c r="H4769" s="437"/>
      <c r="I4769" s="437"/>
      <c r="J4769" s="437"/>
      <c r="K4769" s="437"/>
    </row>
    <row r="4770" customHeight="1" spans="1:11">
      <c r="A4770" s="423" t="s">
        <v>1470</v>
      </c>
      <c r="B4770" s="424" t="s">
        <v>1714</v>
      </c>
      <c r="C4770" s="423" t="s">
        <v>1715</v>
      </c>
      <c r="D4770" s="423" t="s">
        <v>1716</v>
      </c>
      <c r="E4770" s="423" t="s">
        <v>1717</v>
      </c>
      <c r="F4770" s="423"/>
      <c r="G4770" s="425" t="s">
        <v>1718</v>
      </c>
      <c r="H4770" s="424" t="s">
        <v>1719</v>
      </c>
      <c r="I4770" s="424" t="s">
        <v>1720</v>
      </c>
      <c r="J4770" s="424" t="s">
        <v>1721</v>
      </c>
      <c r="K4770" s="424" t="s">
        <v>1722</v>
      </c>
    </row>
    <row r="4771" customHeight="1" spans="1:11">
      <c r="A4771" s="426" t="s">
        <v>1723</v>
      </c>
      <c r="B4771" s="427" t="s">
        <v>218</v>
      </c>
      <c r="C4771" s="426" t="s">
        <v>71</v>
      </c>
      <c r="D4771" s="426" t="s">
        <v>219</v>
      </c>
      <c r="E4771" s="426" t="s">
        <v>1632</v>
      </c>
      <c r="F4771" s="426"/>
      <c r="G4771" s="428" t="s">
        <v>158</v>
      </c>
      <c r="H4771" s="429">
        <v>1</v>
      </c>
      <c r="I4771" s="445"/>
      <c r="J4771" s="445">
        <v>13.64</v>
      </c>
      <c r="K4771" s="445">
        <v>13.64</v>
      </c>
    </row>
    <row r="4772" customHeight="1" spans="1:11">
      <c r="A4772" s="430" t="s">
        <v>1724</v>
      </c>
      <c r="B4772" s="431" t="s">
        <v>1958</v>
      </c>
      <c r="C4772" s="430" t="s">
        <v>71</v>
      </c>
      <c r="D4772" s="430" t="s">
        <v>1959</v>
      </c>
      <c r="E4772" s="430" t="s">
        <v>1708</v>
      </c>
      <c r="F4772" s="430"/>
      <c r="G4772" s="432" t="s">
        <v>82</v>
      </c>
      <c r="H4772" s="433">
        <v>0.0561</v>
      </c>
      <c r="I4772" s="433">
        <v>0</v>
      </c>
      <c r="J4772" s="446">
        <v>35.95</v>
      </c>
      <c r="K4772" s="446">
        <v>2.01</v>
      </c>
    </row>
    <row r="4773" customHeight="1" spans="1:11">
      <c r="A4773" s="430" t="s">
        <v>1724</v>
      </c>
      <c r="B4773" s="431" t="s">
        <v>1969</v>
      </c>
      <c r="C4773" s="430" t="s">
        <v>71</v>
      </c>
      <c r="D4773" s="430" t="s">
        <v>1970</v>
      </c>
      <c r="E4773" s="430" t="s">
        <v>1632</v>
      </c>
      <c r="F4773" s="430"/>
      <c r="G4773" s="432" t="s">
        <v>158</v>
      </c>
      <c r="H4773" s="433">
        <v>1</v>
      </c>
      <c r="I4773" s="433">
        <v>0</v>
      </c>
      <c r="J4773" s="446">
        <v>10.65</v>
      </c>
      <c r="K4773" s="446">
        <v>10.65</v>
      </c>
    </row>
    <row r="4774" customHeight="1" spans="1:11">
      <c r="A4774" s="430" t="s">
        <v>1724</v>
      </c>
      <c r="B4774" s="431" t="s">
        <v>1956</v>
      </c>
      <c r="C4774" s="430" t="s">
        <v>71</v>
      </c>
      <c r="D4774" s="430" t="s">
        <v>1957</v>
      </c>
      <c r="E4774" s="430" t="s">
        <v>1708</v>
      </c>
      <c r="F4774" s="430"/>
      <c r="G4774" s="432" t="s">
        <v>82</v>
      </c>
      <c r="H4774" s="433">
        <v>0.0092</v>
      </c>
      <c r="I4774" s="433">
        <v>0</v>
      </c>
      <c r="J4774" s="446">
        <v>30.06</v>
      </c>
      <c r="K4774" s="446">
        <v>0.27</v>
      </c>
    </row>
    <row r="4775" customHeight="1" spans="1:11">
      <c r="A4775" s="438" t="s">
        <v>1750</v>
      </c>
      <c r="B4775" s="439" t="s">
        <v>1962</v>
      </c>
      <c r="C4775" s="438" t="s">
        <v>71</v>
      </c>
      <c r="D4775" s="438" t="s">
        <v>1963</v>
      </c>
      <c r="E4775" s="438" t="s">
        <v>1631</v>
      </c>
      <c r="F4775" s="438"/>
      <c r="G4775" s="440" t="s">
        <v>105</v>
      </c>
      <c r="H4775" s="441">
        <v>0.743</v>
      </c>
      <c r="I4775" s="441">
        <v>0</v>
      </c>
      <c r="J4775" s="449">
        <v>0.22</v>
      </c>
      <c r="K4775" s="449">
        <v>0.16</v>
      </c>
    </row>
    <row r="4776" customHeight="1" spans="1:11">
      <c r="A4776" s="438" t="s">
        <v>1750</v>
      </c>
      <c r="B4776" s="439" t="s">
        <v>1960</v>
      </c>
      <c r="C4776" s="438" t="s">
        <v>71</v>
      </c>
      <c r="D4776" s="438" t="s">
        <v>1961</v>
      </c>
      <c r="E4776" s="438" t="s">
        <v>1631</v>
      </c>
      <c r="F4776" s="438"/>
      <c r="G4776" s="440" t="s">
        <v>158</v>
      </c>
      <c r="H4776" s="441">
        <v>0.025</v>
      </c>
      <c r="I4776" s="441">
        <v>0</v>
      </c>
      <c r="J4776" s="449">
        <v>22</v>
      </c>
      <c r="K4776" s="449">
        <v>0.55</v>
      </c>
    </row>
    <row r="4777" customHeight="1" spans="1:11">
      <c r="A4777" s="434"/>
      <c r="B4777" s="434"/>
      <c r="C4777" s="434"/>
      <c r="D4777" s="434"/>
      <c r="E4777" s="434"/>
      <c r="F4777" s="434" t="s">
        <v>1735</v>
      </c>
      <c r="G4777" s="435">
        <v>1.1</v>
      </c>
      <c r="H4777" s="434" t="s">
        <v>1736</v>
      </c>
      <c r="I4777" s="435">
        <v>1</v>
      </c>
      <c r="J4777" s="434" t="s">
        <v>1737</v>
      </c>
      <c r="K4777" s="435">
        <v>2.1</v>
      </c>
    </row>
    <row r="4778" customHeight="1" spans="1:11">
      <c r="A4778" s="434"/>
      <c r="B4778" s="434"/>
      <c r="C4778" s="434"/>
      <c r="D4778" s="434"/>
      <c r="E4778" s="434"/>
      <c r="F4778" s="434" t="s">
        <v>1738</v>
      </c>
      <c r="G4778" s="435">
        <v>3.36</v>
      </c>
      <c r="H4778" s="434"/>
      <c r="I4778" s="434" t="s">
        <v>1739</v>
      </c>
      <c r="J4778" s="434"/>
      <c r="K4778" s="435">
        <v>17</v>
      </c>
    </row>
    <row r="4779" customHeight="1" spans="1:11">
      <c r="A4779" s="436"/>
      <c r="B4779" s="436"/>
      <c r="C4779" s="436"/>
      <c r="D4779" s="436"/>
      <c r="E4779" s="436"/>
      <c r="F4779" s="436"/>
      <c r="G4779" s="436"/>
      <c r="H4779" s="436" t="s">
        <v>1740</v>
      </c>
      <c r="I4779" s="447" t="s">
        <v>3334</v>
      </c>
      <c r="J4779" s="436" t="s">
        <v>1742</v>
      </c>
      <c r="K4779" s="448">
        <v>197.2</v>
      </c>
    </row>
    <row r="4780" customHeight="1" spans="1:11">
      <c r="A4780" s="437"/>
      <c r="B4780" s="437"/>
      <c r="C4780" s="437"/>
      <c r="D4780" s="437"/>
      <c r="E4780" s="437"/>
      <c r="F4780" s="437"/>
      <c r="G4780" s="437"/>
      <c r="H4780" s="437"/>
      <c r="I4780" s="437"/>
      <c r="J4780" s="437"/>
      <c r="K4780" s="437"/>
    </row>
    <row r="4781" customHeight="1" spans="1:11">
      <c r="A4781" s="423" t="s">
        <v>1471</v>
      </c>
      <c r="B4781" s="424" t="s">
        <v>1714</v>
      </c>
      <c r="C4781" s="423" t="s">
        <v>1715</v>
      </c>
      <c r="D4781" s="423" t="s">
        <v>1716</v>
      </c>
      <c r="E4781" s="423" t="s">
        <v>1717</v>
      </c>
      <c r="F4781" s="423"/>
      <c r="G4781" s="425" t="s">
        <v>1718</v>
      </c>
      <c r="H4781" s="424" t="s">
        <v>1719</v>
      </c>
      <c r="I4781" s="424" t="s">
        <v>1720</v>
      </c>
      <c r="J4781" s="424" t="s">
        <v>1721</v>
      </c>
      <c r="K4781" s="424" t="s">
        <v>1722</v>
      </c>
    </row>
    <row r="4782" customHeight="1" spans="1:11">
      <c r="A4782" s="426" t="s">
        <v>1723</v>
      </c>
      <c r="B4782" s="427" t="s">
        <v>221</v>
      </c>
      <c r="C4782" s="426" t="s">
        <v>71</v>
      </c>
      <c r="D4782" s="426" t="s">
        <v>222</v>
      </c>
      <c r="E4782" s="426" t="s">
        <v>1632</v>
      </c>
      <c r="F4782" s="426"/>
      <c r="G4782" s="428" t="s">
        <v>158</v>
      </c>
      <c r="H4782" s="429">
        <v>1</v>
      </c>
      <c r="I4782" s="445"/>
      <c r="J4782" s="445">
        <v>12.03</v>
      </c>
      <c r="K4782" s="445">
        <v>12.03</v>
      </c>
    </row>
    <row r="4783" customHeight="1" spans="1:11">
      <c r="A4783" s="430" t="s">
        <v>1724</v>
      </c>
      <c r="B4783" s="431" t="s">
        <v>1958</v>
      </c>
      <c r="C4783" s="430" t="s">
        <v>71</v>
      </c>
      <c r="D4783" s="430" t="s">
        <v>1959</v>
      </c>
      <c r="E4783" s="430" t="s">
        <v>1708</v>
      </c>
      <c r="F4783" s="430"/>
      <c r="G4783" s="432" t="s">
        <v>82</v>
      </c>
      <c r="H4783" s="433">
        <v>0.0392</v>
      </c>
      <c r="I4783" s="433">
        <v>0</v>
      </c>
      <c r="J4783" s="446">
        <v>35.95</v>
      </c>
      <c r="K4783" s="446">
        <v>1.4</v>
      </c>
    </row>
    <row r="4784" customHeight="1" spans="1:11">
      <c r="A4784" s="430" t="s">
        <v>1724</v>
      </c>
      <c r="B4784" s="431" t="s">
        <v>1956</v>
      </c>
      <c r="C4784" s="430" t="s">
        <v>71</v>
      </c>
      <c r="D4784" s="430" t="s">
        <v>1957</v>
      </c>
      <c r="E4784" s="430" t="s">
        <v>1708</v>
      </c>
      <c r="F4784" s="430"/>
      <c r="G4784" s="432" t="s">
        <v>82</v>
      </c>
      <c r="H4784" s="433">
        <v>0.0064</v>
      </c>
      <c r="I4784" s="433">
        <v>0</v>
      </c>
      <c r="J4784" s="446">
        <v>30.06</v>
      </c>
      <c r="K4784" s="446">
        <v>0.19</v>
      </c>
    </row>
    <row r="4785" customHeight="1" spans="1:11">
      <c r="A4785" s="430" t="s">
        <v>1724</v>
      </c>
      <c r="B4785" s="431" t="s">
        <v>1965</v>
      </c>
      <c r="C4785" s="430" t="s">
        <v>71</v>
      </c>
      <c r="D4785" s="430" t="s">
        <v>1966</v>
      </c>
      <c r="E4785" s="430" t="s">
        <v>1632</v>
      </c>
      <c r="F4785" s="430"/>
      <c r="G4785" s="432" t="s">
        <v>158</v>
      </c>
      <c r="H4785" s="433">
        <v>1</v>
      </c>
      <c r="I4785" s="433">
        <v>0</v>
      </c>
      <c r="J4785" s="446">
        <v>9.78</v>
      </c>
      <c r="K4785" s="446">
        <v>9.78</v>
      </c>
    </row>
    <row r="4786" customHeight="1" spans="1:11">
      <c r="A4786" s="438" t="s">
        <v>1750</v>
      </c>
      <c r="B4786" s="439" t="s">
        <v>1960</v>
      </c>
      <c r="C4786" s="438" t="s">
        <v>71</v>
      </c>
      <c r="D4786" s="438" t="s">
        <v>1961</v>
      </c>
      <c r="E4786" s="438" t="s">
        <v>1631</v>
      </c>
      <c r="F4786" s="438"/>
      <c r="G4786" s="440" t="s">
        <v>158</v>
      </c>
      <c r="H4786" s="441">
        <v>0.025</v>
      </c>
      <c r="I4786" s="441">
        <v>0</v>
      </c>
      <c r="J4786" s="449">
        <v>22</v>
      </c>
      <c r="K4786" s="449">
        <v>0.55</v>
      </c>
    </row>
    <row r="4787" customHeight="1" spans="1:11">
      <c r="A4787" s="438" t="s">
        <v>1750</v>
      </c>
      <c r="B4787" s="439" t="s">
        <v>1962</v>
      </c>
      <c r="C4787" s="438" t="s">
        <v>71</v>
      </c>
      <c r="D4787" s="438" t="s">
        <v>1963</v>
      </c>
      <c r="E4787" s="438" t="s">
        <v>1631</v>
      </c>
      <c r="F4787" s="438"/>
      <c r="G4787" s="440" t="s">
        <v>105</v>
      </c>
      <c r="H4787" s="441">
        <v>0.543</v>
      </c>
      <c r="I4787" s="441">
        <v>0</v>
      </c>
      <c r="J4787" s="449">
        <v>0.22</v>
      </c>
      <c r="K4787" s="449">
        <v>0.11</v>
      </c>
    </row>
    <row r="4788" customHeight="1" spans="1:11">
      <c r="A4788" s="434"/>
      <c r="B4788" s="434"/>
      <c r="C4788" s="434"/>
      <c r="D4788" s="434"/>
      <c r="E4788" s="434"/>
      <c r="F4788" s="434" t="s">
        <v>1735</v>
      </c>
      <c r="G4788" s="435">
        <v>0.71</v>
      </c>
      <c r="H4788" s="434" t="s">
        <v>1736</v>
      </c>
      <c r="I4788" s="435">
        <v>0.66</v>
      </c>
      <c r="J4788" s="434" t="s">
        <v>1737</v>
      </c>
      <c r="K4788" s="435">
        <v>1.37</v>
      </c>
    </row>
    <row r="4789" customHeight="1" spans="1:11">
      <c r="A4789" s="434"/>
      <c r="B4789" s="434"/>
      <c r="C4789" s="434"/>
      <c r="D4789" s="434"/>
      <c r="E4789" s="434"/>
      <c r="F4789" s="434" t="s">
        <v>1738</v>
      </c>
      <c r="G4789" s="435">
        <v>2.96</v>
      </c>
      <c r="H4789" s="434"/>
      <c r="I4789" s="434" t="s">
        <v>1739</v>
      </c>
      <c r="J4789" s="434"/>
      <c r="K4789" s="435">
        <v>14.99</v>
      </c>
    </row>
    <row r="4790" customHeight="1" spans="1:11">
      <c r="A4790" s="436"/>
      <c r="B4790" s="436"/>
      <c r="C4790" s="436"/>
      <c r="D4790" s="436"/>
      <c r="E4790" s="436"/>
      <c r="F4790" s="436"/>
      <c r="G4790" s="436"/>
      <c r="H4790" s="436" t="s">
        <v>1740</v>
      </c>
      <c r="I4790" s="447" t="s">
        <v>3335</v>
      </c>
      <c r="J4790" s="436" t="s">
        <v>1742</v>
      </c>
      <c r="K4790" s="448">
        <v>1666.88</v>
      </c>
    </row>
    <row r="4791" customHeight="1" spans="1:11">
      <c r="A4791" s="437"/>
      <c r="B4791" s="437"/>
      <c r="C4791" s="437"/>
      <c r="D4791" s="437"/>
      <c r="E4791" s="437"/>
      <c r="F4791" s="437"/>
      <c r="G4791" s="437"/>
      <c r="H4791" s="437"/>
      <c r="I4791" s="437"/>
      <c r="J4791" s="437"/>
      <c r="K4791" s="437"/>
    </row>
    <row r="4792" customHeight="1" spans="1:11">
      <c r="A4792" s="423" t="s">
        <v>1472</v>
      </c>
      <c r="B4792" s="424" t="s">
        <v>1714</v>
      </c>
      <c r="C4792" s="423" t="s">
        <v>1715</v>
      </c>
      <c r="D4792" s="423" t="s">
        <v>1716</v>
      </c>
      <c r="E4792" s="423" t="s">
        <v>1717</v>
      </c>
      <c r="F4792" s="423"/>
      <c r="G4792" s="425" t="s">
        <v>1718</v>
      </c>
      <c r="H4792" s="424" t="s">
        <v>1719</v>
      </c>
      <c r="I4792" s="424" t="s">
        <v>1720</v>
      </c>
      <c r="J4792" s="424" t="s">
        <v>1721</v>
      </c>
      <c r="K4792" s="424" t="s">
        <v>1722</v>
      </c>
    </row>
    <row r="4793" customHeight="1" spans="1:11">
      <c r="A4793" s="426" t="s">
        <v>1723</v>
      </c>
      <c r="B4793" s="427" t="s">
        <v>224</v>
      </c>
      <c r="C4793" s="426" t="s">
        <v>71</v>
      </c>
      <c r="D4793" s="426" t="s">
        <v>225</v>
      </c>
      <c r="E4793" s="426" t="s">
        <v>1632</v>
      </c>
      <c r="F4793" s="426"/>
      <c r="G4793" s="428" t="s">
        <v>158</v>
      </c>
      <c r="H4793" s="429">
        <v>1</v>
      </c>
      <c r="I4793" s="445"/>
      <c r="J4793" s="445">
        <v>10.02</v>
      </c>
      <c r="K4793" s="445">
        <v>10.02</v>
      </c>
    </row>
    <row r="4794" customHeight="1" spans="1:11">
      <c r="A4794" s="430" t="s">
        <v>1724</v>
      </c>
      <c r="B4794" s="431" t="s">
        <v>1956</v>
      </c>
      <c r="C4794" s="430" t="s">
        <v>71</v>
      </c>
      <c r="D4794" s="430" t="s">
        <v>1957</v>
      </c>
      <c r="E4794" s="430" t="s">
        <v>1708</v>
      </c>
      <c r="F4794" s="430"/>
      <c r="G4794" s="432" t="s">
        <v>82</v>
      </c>
      <c r="H4794" s="433">
        <v>0.0042</v>
      </c>
      <c r="I4794" s="433">
        <v>0</v>
      </c>
      <c r="J4794" s="446">
        <v>30.06</v>
      </c>
      <c r="K4794" s="446">
        <v>0.12</v>
      </c>
    </row>
    <row r="4795" customHeight="1" spans="1:11">
      <c r="A4795" s="430" t="s">
        <v>1724</v>
      </c>
      <c r="B4795" s="431" t="s">
        <v>1973</v>
      </c>
      <c r="C4795" s="430" t="s">
        <v>71</v>
      </c>
      <c r="D4795" s="430" t="s">
        <v>1974</v>
      </c>
      <c r="E4795" s="430" t="s">
        <v>1632</v>
      </c>
      <c r="F4795" s="430"/>
      <c r="G4795" s="432" t="s">
        <v>158</v>
      </c>
      <c r="H4795" s="433">
        <v>1</v>
      </c>
      <c r="I4795" s="433">
        <v>0</v>
      </c>
      <c r="J4795" s="446">
        <v>8.35</v>
      </c>
      <c r="K4795" s="446">
        <v>8.35</v>
      </c>
    </row>
    <row r="4796" customHeight="1" spans="1:11">
      <c r="A4796" s="430" t="s">
        <v>1724</v>
      </c>
      <c r="B4796" s="431" t="s">
        <v>1958</v>
      </c>
      <c r="C4796" s="430" t="s">
        <v>71</v>
      </c>
      <c r="D4796" s="430" t="s">
        <v>1959</v>
      </c>
      <c r="E4796" s="430" t="s">
        <v>1708</v>
      </c>
      <c r="F4796" s="430"/>
      <c r="G4796" s="432" t="s">
        <v>82</v>
      </c>
      <c r="H4796" s="433">
        <v>0.0257</v>
      </c>
      <c r="I4796" s="433">
        <v>0</v>
      </c>
      <c r="J4796" s="446">
        <v>35.95</v>
      </c>
      <c r="K4796" s="446">
        <v>0.92</v>
      </c>
    </row>
    <row r="4797" customHeight="1" spans="1:11">
      <c r="A4797" s="438" t="s">
        <v>1750</v>
      </c>
      <c r="B4797" s="439" t="s">
        <v>1962</v>
      </c>
      <c r="C4797" s="438" t="s">
        <v>71</v>
      </c>
      <c r="D4797" s="438" t="s">
        <v>1963</v>
      </c>
      <c r="E4797" s="438" t="s">
        <v>1631</v>
      </c>
      <c r="F4797" s="438"/>
      <c r="G4797" s="440" t="s">
        <v>105</v>
      </c>
      <c r="H4797" s="441">
        <v>0.367</v>
      </c>
      <c r="I4797" s="441">
        <v>0</v>
      </c>
      <c r="J4797" s="449">
        <v>0.22</v>
      </c>
      <c r="K4797" s="449">
        <v>0.08</v>
      </c>
    </row>
    <row r="4798" customHeight="1" spans="1:11">
      <c r="A4798" s="438" t="s">
        <v>1750</v>
      </c>
      <c r="B4798" s="439" t="s">
        <v>1960</v>
      </c>
      <c r="C4798" s="438" t="s">
        <v>71</v>
      </c>
      <c r="D4798" s="438" t="s">
        <v>1961</v>
      </c>
      <c r="E4798" s="438" t="s">
        <v>1631</v>
      </c>
      <c r="F4798" s="438"/>
      <c r="G4798" s="440" t="s">
        <v>158</v>
      </c>
      <c r="H4798" s="441">
        <v>0.025</v>
      </c>
      <c r="I4798" s="441">
        <v>0</v>
      </c>
      <c r="J4798" s="449">
        <v>22</v>
      </c>
      <c r="K4798" s="449">
        <v>0.55</v>
      </c>
    </row>
    <row r="4799" customHeight="1" spans="1:11">
      <c r="A4799" s="434"/>
      <c r="B4799" s="434"/>
      <c r="C4799" s="434"/>
      <c r="D4799" s="434"/>
      <c r="E4799" s="434"/>
      <c r="F4799" s="434" t="s">
        <v>1735</v>
      </c>
      <c r="G4799" s="435">
        <v>0.45</v>
      </c>
      <c r="H4799" s="434" t="s">
        <v>1736</v>
      </c>
      <c r="I4799" s="435">
        <v>0.42</v>
      </c>
      <c r="J4799" s="434" t="s">
        <v>1737</v>
      </c>
      <c r="K4799" s="435">
        <v>0.87</v>
      </c>
    </row>
    <row r="4800" customHeight="1" spans="1:11">
      <c r="A4800" s="434"/>
      <c r="B4800" s="434"/>
      <c r="C4800" s="434"/>
      <c r="D4800" s="434"/>
      <c r="E4800" s="434"/>
      <c r="F4800" s="434" t="s">
        <v>1738</v>
      </c>
      <c r="G4800" s="435">
        <v>2.47</v>
      </c>
      <c r="H4800" s="434"/>
      <c r="I4800" s="434" t="s">
        <v>1739</v>
      </c>
      <c r="J4800" s="434"/>
      <c r="K4800" s="435">
        <v>12.49</v>
      </c>
    </row>
    <row r="4801" customHeight="1" spans="1:11">
      <c r="A4801" s="436"/>
      <c r="B4801" s="436"/>
      <c r="C4801" s="436"/>
      <c r="D4801" s="436"/>
      <c r="E4801" s="436"/>
      <c r="F4801" s="436"/>
      <c r="G4801" s="436"/>
      <c r="H4801" s="436" t="s">
        <v>1740</v>
      </c>
      <c r="I4801" s="447" t="s">
        <v>3336</v>
      </c>
      <c r="J4801" s="436" t="s">
        <v>1742</v>
      </c>
      <c r="K4801" s="448">
        <v>2726.56</v>
      </c>
    </row>
    <row r="4802" customHeight="1" spans="1:11">
      <c r="A4802" s="437"/>
      <c r="B4802" s="437"/>
      <c r="C4802" s="437"/>
      <c r="D4802" s="437"/>
      <c r="E4802" s="437"/>
      <c r="F4802" s="437"/>
      <c r="G4802" s="437"/>
      <c r="H4802" s="437"/>
      <c r="I4802" s="437"/>
      <c r="J4802" s="437"/>
      <c r="K4802" s="437"/>
    </row>
    <row r="4803" customHeight="1" spans="1:11">
      <c r="A4803" s="423" t="s">
        <v>1473</v>
      </c>
      <c r="B4803" s="424" t="s">
        <v>1714</v>
      </c>
      <c r="C4803" s="423" t="s">
        <v>1715</v>
      </c>
      <c r="D4803" s="423" t="s">
        <v>1716</v>
      </c>
      <c r="E4803" s="423" t="s">
        <v>1717</v>
      </c>
      <c r="F4803" s="423"/>
      <c r="G4803" s="425" t="s">
        <v>1718</v>
      </c>
      <c r="H4803" s="424" t="s">
        <v>1719</v>
      </c>
      <c r="I4803" s="424" t="s">
        <v>1720</v>
      </c>
      <c r="J4803" s="424" t="s">
        <v>1721</v>
      </c>
      <c r="K4803" s="424" t="s">
        <v>1722</v>
      </c>
    </row>
    <row r="4804" customHeight="1" spans="1:11">
      <c r="A4804" s="426" t="s">
        <v>1723</v>
      </c>
      <c r="B4804" s="427" t="s">
        <v>1460</v>
      </c>
      <c r="C4804" s="426" t="s">
        <v>76</v>
      </c>
      <c r="D4804" s="426" t="s">
        <v>1461</v>
      </c>
      <c r="E4804" s="426">
        <v>11</v>
      </c>
      <c r="F4804" s="426"/>
      <c r="G4804" s="428" t="s">
        <v>129</v>
      </c>
      <c r="H4804" s="429">
        <v>1</v>
      </c>
      <c r="I4804" s="445"/>
      <c r="J4804" s="445">
        <v>808.65</v>
      </c>
      <c r="K4804" s="445">
        <v>808.65</v>
      </c>
    </row>
    <row r="4805" customHeight="1" spans="1:11">
      <c r="A4805" s="430" t="s">
        <v>1724</v>
      </c>
      <c r="B4805" s="431" t="s">
        <v>2143</v>
      </c>
      <c r="C4805" s="430" t="s">
        <v>76</v>
      </c>
      <c r="D4805" s="430" t="s">
        <v>2144</v>
      </c>
      <c r="E4805" s="430">
        <v>7</v>
      </c>
      <c r="F4805" s="430"/>
      <c r="G4805" s="432" t="s">
        <v>129</v>
      </c>
      <c r="H4805" s="433">
        <v>0.0125</v>
      </c>
      <c r="I4805" s="433">
        <v>0</v>
      </c>
      <c r="J4805" s="446">
        <v>468.89</v>
      </c>
      <c r="K4805" s="446">
        <v>5.86</v>
      </c>
    </row>
    <row r="4806" customHeight="1" spans="1:11">
      <c r="A4806" s="430" t="s">
        <v>1724</v>
      </c>
      <c r="B4806" s="431" t="s">
        <v>3321</v>
      </c>
      <c r="C4806" s="430" t="s">
        <v>76</v>
      </c>
      <c r="D4806" s="430" t="s">
        <v>3322</v>
      </c>
      <c r="E4806" s="430">
        <v>19</v>
      </c>
      <c r="F4806" s="430"/>
      <c r="G4806" s="432" t="s">
        <v>82</v>
      </c>
      <c r="H4806" s="433">
        <v>0.23</v>
      </c>
      <c r="I4806" s="433">
        <v>0</v>
      </c>
      <c r="J4806" s="446">
        <v>1.77</v>
      </c>
      <c r="K4806" s="446">
        <v>0.4</v>
      </c>
    </row>
    <row r="4807" customHeight="1" spans="1:11">
      <c r="A4807" s="430" t="s">
        <v>1724</v>
      </c>
      <c r="B4807" s="431" t="s">
        <v>3323</v>
      </c>
      <c r="C4807" s="430" t="s">
        <v>76</v>
      </c>
      <c r="D4807" s="430" t="s">
        <v>3322</v>
      </c>
      <c r="E4807" s="430">
        <v>19</v>
      </c>
      <c r="F4807" s="430"/>
      <c r="G4807" s="432" t="s">
        <v>82</v>
      </c>
      <c r="H4807" s="433">
        <v>0.39</v>
      </c>
      <c r="I4807" s="433">
        <v>0</v>
      </c>
      <c r="J4807" s="446">
        <v>0.48</v>
      </c>
      <c r="K4807" s="446">
        <v>0.18</v>
      </c>
    </row>
    <row r="4808" customHeight="1" spans="1:11">
      <c r="A4808" s="438" t="s">
        <v>1750</v>
      </c>
      <c r="B4808" s="439" t="s">
        <v>3324</v>
      </c>
      <c r="C4808" s="438" t="s">
        <v>76</v>
      </c>
      <c r="D4808" s="438" t="s">
        <v>3325</v>
      </c>
      <c r="E4808" s="438" t="s">
        <v>1631</v>
      </c>
      <c r="F4808" s="438"/>
      <c r="G4808" s="440" t="s">
        <v>129</v>
      </c>
      <c r="H4808" s="441">
        <v>1</v>
      </c>
      <c r="I4808" s="441">
        <v>0</v>
      </c>
      <c r="J4808" s="449">
        <v>60</v>
      </c>
      <c r="K4808" s="449">
        <v>60</v>
      </c>
    </row>
    <row r="4809" customHeight="1" spans="1:11">
      <c r="A4809" s="438" t="s">
        <v>1750</v>
      </c>
      <c r="B4809" s="439" t="s">
        <v>3326</v>
      </c>
      <c r="C4809" s="438" t="s">
        <v>76</v>
      </c>
      <c r="D4809" s="438" t="s">
        <v>3327</v>
      </c>
      <c r="E4809" s="438" t="s">
        <v>1631</v>
      </c>
      <c r="F4809" s="438"/>
      <c r="G4809" s="440" t="s">
        <v>129</v>
      </c>
      <c r="H4809" s="441">
        <v>1.05</v>
      </c>
      <c r="I4809" s="441">
        <v>0</v>
      </c>
      <c r="J4809" s="449">
        <v>630</v>
      </c>
      <c r="K4809" s="449">
        <v>661.5</v>
      </c>
    </row>
    <row r="4810" customHeight="1" spans="1:11">
      <c r="A4810" s="438" t="s">
        <v>1750</v>
      </c>
      <c r="B4810" s="439" t="s">
        <v>1762</v>
      </c>
      <c r="C4810" s="438" t="s">
        <v>76</v>
      </c>
      <c r="D4810" s="438" t="s">
        <v>1763</v>
      </c>
      <c r="E4810" s="438" t="s">
        <v>1764</v>
      </c>
      <c r="F4810" s="438"/>
      <c r="G4810" s="440" t="s">
        <v>82</v>
      </c>
      <c r="H4810" s="441">
        <v>0.6</v>
      </c>
      <c r="I4810" s="441">
        <v>3</v>
      </c>
      <c r="J4810" s="449">
        <v>26.52</v>
      </c>
      <c r="K4810" s="449">
        <v>16.38</v>
      </c>
    </row>
    <row r="4811" customHeight="1" spans="1:11">
      <c r="A4811" s="438" t="s">
        <v>1750</v>
      </c>
      <c r="B4811" s="439" t="s">
        <v>2149</v>
      </c>
      <c r="C4811" s="438" t="s">
        <v>76</v>
      </c>
      <c r="D4811" s="438" t="s">
        <v>2150</v>
      </c>
      <c r="E4811" s="438" t="s">
        <v>1764</v>
      </c>
      <c r="F4811" s="438"/>
      <c r="G4811" s="440" t="s">
        <v>82</v>
      </c>
      <c r="H4811" s="441">
        <v>0.6</v>
      </c>
      <c r="I4811" s="441">
        <v>3</v>
      </c>
      <c r="J4811" s="449">
        <v>26.52</v>
      </c>
      <c r="K4811" s="449">
        <v>16.38</v>
      </c>
    </row>
    <row r="4812" customHeight="1" spans="1:11">
      <c r="A4812" s="438" t="s">
        <v>1750</v>
      </c>
      <c r="B4812" s="439" t="s">
        <v>1767</v>
      </c>
      <c r="C4812" s="438" t="s">
        <v>76</v>
      </c>
      <c r="D4812" s="438" t="s">
        <v>1768</v>
      </c>
      <c r="E4812" s="438" t="s">
        <v>1764</v>
      </c>
      <c r="F4812" s="438"/>
      <c r="G4812" s="440" t="s">
        <v>82</v>
      </c>
      <c r="H4812" s="441">
        <v>1.6</v>
      </c>
      <c r="I4812" s="441">
        <v>3</v>
      </c>
      <c r="J4812" s="449">
        <v>19.16</v>
      </c>
      <c r="K4812" s="449">
        <v>31.57</v>
      </c>
    </row>
    <row r="4813" customHeight="1" spans="1:11">
      <c r="A4813" s="438" t="s">
        <v>1750</v>
      </c>
      <c r="B4813" s="439" t="s">
        <v>3260</v>
      </c>
      <c r="C4813" s="438" t="s">
        <v>76</v>
      </c>
      <c r="D4813" s="438" t="s">
        <v>3261</v>
      </c>
      <c r="E4813" s="438" t="s">
        <v>1764</v>
      </c>
      <c r="F4813" s="438"/>
      <c r="G4813" s="440" t="s">
        <v>82</v>
      </c>
      <c r="H4813" s="441">
        <v>0.6</v>
      </c>
      <c r="I4813" s="441">
        <v>3</v>
      </c>
      <c r="J4813" s="449">
        <v>26.52</v>
      </c>
      <c r="K4813" s="449">
        <v>16.38</v>
      </c>
    </row>
    <row r="4814" customHeight="1" spans="1:11">
      <c r="A4814" s="434"/>
      <c r="B4814" s="434"/>
      <c r="C4814" s="434"/>
      <c r="D4814" s="434"/>
      <c r="E4814" s="434"/>
      <c r="F4814" s="434" t="s">
        <v>1735</v>
      </c>
      <c r="G4814" s="435">
        <v>42.69</v>
      </c>
      <c r="H4814" s="434" t="s">
        <v>1736</v>
      </c>
      <c r="I4814" s="435">
        <v>38.78</v>
      </c>
      <c r="J4814" s="434" t="s">
        <v>1737</v>
      </c>
      <c r="K4814" s="435">
        <v>81.47</v>
      </c>
    </row>
    <row r="4815" customHeight="1" spans="1:11">
      <c r="A4815" s="434"/>
      <c r="B4815" s="434"/>
      <c r="C4815" s="434"/>
      <c r="D4815" s="434"/>
      <c r="E4815" s="434"/>
      <c r="F4815" s="434" t="s">
        <v>1738</v>
      </c>
      <c r="G4815" s="435">
        <v>199.41</v>
      </c>
      <c r="H4815" s="434"/>
      <c r="I4815" s="434" t="s">
        <v>1739</v>
      </c>
      <c r="J4815" s="434"/>
      <c r="K4815" s="435">
        <v>1008.06</v>
      </c>
    </row>
    <row r="4816" customHeight="1" spans="1:11">
      <c r="A4816" s="436"/>
      <c r="B4816" s="436"/>
      <c r="C4816" s="436"/>
      <c r="D4816" s="436"/>
      <c r="E4816" s="436"/>
      <c r="F4816" s="436"/>
      <c r="G4816" s="436"/>
      <c r="H4816" s="436" t="s">
        <v>1740</v>
      </c>
      <c r="I4816" s="447" t="s">
        <v>3337</v>
      </c>
      <c r="J4816" s="436" t="s">
        <v>1742</v>
      </c>
      <c r="K4816" s="448">
        <v>5443.52</v>
      </c>
    </row>
    <row r="4817" customHeight="1" spans="1:11">
      <c r="A4817" s="437"/>
      <c r="B4817" s="437"/>
      <c r="C4817" s="437"/>
      <c r="D4817" s="437"/>
      <c r="E4817" s="437"/>
      <c r="F4817" s="437"/>
      <c r="G4817" s="437"/>
      <c r="H4817" s="437"/>
      <c r="I4817" s="437"/>
      <c r="J4817" s="437"/>
      <c r="K4817" s="437"/>
    </row>
    <row r="4818" customHeight="1" spans="1:11">
      <c r="A4818" s="422" t="s">
        <v>1474</v>
      </c>
      <c r="B4818" s="422"/>
      <c r="C4818" s="422"/>
      <c r="D4818" s="422" t="s">
        <v>247</v>
      </c>
      <c r="E4818" s="422"/>
      <c r="F4818" s="422"/>
      <c r="G4818" s="422"/>
      <c r="H4818" s="422"/>
      <c r="I4818" s="443"/>
      <c r="J4818" s="422"/>
      <c r="K4818" s="444">
        <v>26997.21</v>
      </c>
    </row>
    <row r="4819" customHeight="1" spans="1:11">
      <c r="A4819" s="423" t="s">
        <v>1475</v>
      </c>
      <c r="B4819" s="424" t="s">
        <v>1714</v>
      </c>
      <c r="C4819" s="423" t="s">
        <v>1715</v>
      </c>
      <c r="D4819" s="423" t="s">
        <v>1716</v>
      </c>
      <c r="E4819" s="423" t="s">
        <v>1717</v>
      </c>
      <c r="F4819" s="423"/>
      <c r="G4819" s="425" t="s">
        <v>1718</v>
      </c>
      <c r="H4819" s="424" t="s">
        <v>1719</v>
      </c>
      <c r="I4819" s="424" t="s">
        <v>1720</v>
      </c>
      <c r="J4819" s="424" t="s">
        <v>1721</v>
      </c>
      <c r="K4819" s="424" t="s">
        <v>1722</v>
      </c>
    </row>
    <row r="4820" customHeight="1" spans="1:11">
      <c r="A4820" s="426" t="s">
        <v>1723</v>
      </c>
      <c r="B4820" s="427" t="s">
        <v>249</v>
      </c>
      <c r="C4820" s="426" t="s">
        <v>71</v>
      </c>
      <c r="D4820" s="426" t="s">
        <v>250</v>
      </c>
      <c r="E4820" s="426" t="s">
        <v>1626</v>
      </c>
      <c r="F4820" s="426"/>
      <c r="G4820" s="428" t="s">
        <v>73</v>
      </c>
      <c r="H4820" s="429">
        <v>1</v>
      </c>
      <c r="I4820" s="445"/>
      <c r="J4820" s="445">
        <v>73.76</v>
      </c>
      <c r="K4820" s="445">
        <v>73.76</v>
      </c>
    </row>
    <row r="4821" customHeight="1" spans="1:11">
      <c r="A4821" s="430" t="s">
        <v>1724</v>
      </c>
      <c r="B4821" s="431" t="s">
        <v>1800</v>
      </c>
      <c r="C4821" s="430" t="s">
        <v>71</v>
      </c>
      <c r="D4821" s="430" t="s">
        <v>1801</v>
      </c>
      <c r="E4821" s="430" t="s">
        <v>1708</v>
      </c>
      <c r="F4821" s="430"/>
      <c r="G4821" s="432" t="s">
        <v>82</v>
      </c>
      <c r="H4821" s="433">
        <v>0.126</v>
      </c>
      <c r="I4821" s="433">
        <v>0</v>
      </c>
      <c r="J4821" s="446">
        <v>29.91</v>
      </c>
      <c r="K4821" s="446">
        <v>3.76</v>
      </c>
    </row>
    <row r="4822" customHeight="1" spans="1:11">
      <c r="A4822" s="430" t="s">
        <v>1724</v>
      </c>
      <c r="B4822" s="431" t="s">
        <v>1743</v>
      </c>
      <c r="C4822" s="430" t="s">
        <v>71</v>
      </c>
      <c r="D4822" s="430" t="s">
        <v>1744</v>
      </c>
      <c r="E4822" s="430" t="s">
        <v>1708</v>
      </c>
      <c r="F4822" s="430"/>
      <c r="G4822" s="432" t="s">
        <v>82</v>
      </c>
      <c r="H4822" s="433">
        <v>0.687</v>
      </c>
      <c r="I4822" s="433">
        <v>0</v>
      </c>
      <c r="J4822" s="446">
        <v>37.51</v>
      </c>
      <c r="K4822" s="446">
        <v>25.76</v>
      </c>
    </row>
    <row r="4823" customHeight="1" spans="1:11">
      <c r="A4823" s="430" t="s">
        <v>1724</v>
      </c>
      <c r="B4823" s="431" t="s">
        <v>2053</v>
      </c>
      <c r="C4823" s="430" t="s">
        <v>71</v>
      </c>
      <c r="D4823" s="430" t="s">
        <v>2054</v>
      </c>
      <c r="E4823" s="430" t="s">
        <v>1626</v>
      </c>
      <c r="F4823" s="430"/>
      <c r="G4823" s="432" t="s">
        <v>73</v>
      </c>
      <c r="H4823" s="433">
        <v>0.577</v>
      </c>
      <c r="I4823" s="433">
        <v>0</v>
      </c>
      <c r="J4823" s="446">
        <v>49.58</v>
      </c>
      <c r="K4823" s="446">
        <v>28.6</v>
      </c>
    </row>
    <row r="4824" customHeight="1" spans="1:11">
      <c r="A4824" s="438" t="s">
        <v>1750</v>
      </c>
      <c r="B4824" s="439" t="s">
        <v>1943</v>
      </c>
      <c r="C4824" s="438" t="s">
        <v>71</v>
      </c>
      <c r="D4824" s="438" t="s">
        <v>1944</v>
      </c>
      <c r="E4824" s="438" t="s">
        <v>1631</v>
      </c>
      <c r="F4824" s="438"/>
      <c r="G4824" s="440" t="s">
        <v>1945</v>
      </c>
      <c r="H4824" s="441">
        <v>0.01</v>
      </c>
      <c r="I4824" s="441">
        <v>0</v>
      </c>
      <c r="J4824" s="449">
        <v>7.97</v>
      </c>
      <c r="K4824" s="449">
        <v>0.07</v>
      </c>
    </row>
    <row r="4825" customHeight="1" spans="1:11">
      <c r="A4825" s="438" t="s">
        <v>1750</v>
      </c>
      <c r="B4825" s="439" t="s">
        <v>2055</v>
      </c>
      <c r="C4825" s="438" t="s">
        <v>71</v>
      </c>
      <c r="D4825" s="438" t="s">
        <v>2056</v>
      </c>
      <c r="E4825" s="438" t="s">
        <v>1892</v>
      </c>
      <c r="F4825" s="438"/>
      <c r="G4825" s="440" t="s">
        <v>93</v>
      </c>
      <c r="H4825" s="441">
        <v>0.397</v>
      </c>
      <c r="I4825" s="441">
        <v>0</v>
      </c>
      <c r="J4825" s="449">
        <v>26.62</v>
      </c>
      <c r="K4825" s="449">
        <v>10.56</v>
      </c>
    </row>
    <row r="4826" customHeight="1" spans="1:11">
      <c r="A4826" s="438" t="s">
        <v>1750</v>
      </c>
      <c r="B4826" s="439" t="s">
        <v>2057</v>
      </c>
      <c r="C4826" s="438" t="s">
        <v>71</v>
      </c>
      <c r="D4826" s="438" t="s">
        <v>2058</v>
      </c>
      <c r="E4826" s="438" t="s">
        <v>1631</v>
      </c>
      <c r="F4826" s="438"/>
      <c r="G4826" s="440" t="s">
        <v>78</v>
      </c>
      <c r="H4826" s="441">
        <v>0.038</v>
      </c>
      <c r="I4826" s="441">
        <v>0</v>
      </c>
      <c r="J4826" s="449">
        <v>132.03</v>
      </c>
      <c r="K4826" s="449">
        <v>5.01</v>
      </c>
    </row>
    <row r="4827" customHeight="1" spans="1:11">
      <c r="A4827" s="434"/>
      <c r="B4827" s="434"/>
      <c r="C4827" s="434"/>
      <c r="D4827" s="434"/>
      <c r="E4827" s="434"/>
      <c r="F4827" s="434" t="s">
        <v>1735</v>
      </c>
      <c r="G4827" s="435">
        <v>11.61</v>
      </c>
      <c r="H4827" s="434" t="s">
        <v>1736</v>
      </c>
      <c r="I4827" s="435">
        <v>10.56</v>
      </c>
      <c r="J4827" s="434" t="s">
        <v>1737</v>
      </c>
      <c r="K4827" s="435">
        <v>22.17</v>
      </c>
    </row>
    <row r="4828" customHeight="1" spans="1:11">
      <c r="A4828" s="434"/>
      <c r="B4828" s="434"/>
      <c r="C4828" s="434"/>
      <c r="D4828" s="434"/>
      <c r="E4828" s="434"/>
      <c r="F4828" s="434" t="s">
        <v>1738</v>
      </c>
      <c r="G4828" s="435">
        <v>18.18</v>
      </c>
      <c r="H4828" s="434"/>
      <c r="I4828" s="434" t="s">
        <v>1739</v>
      </c>
      <c r="J4828" s="434"/>
      <c r="K4828" s="435">
        <v>91.94</v>
      </c>
    </row>
    <row r="4829" customHeight="1" spans="1:11">
      <c r="A4829" s="436"/>
      <c r="B4829" s="436"/>
      <c r="C4829" s="436"/>
      <c r="D4829" s="436"/>
      <c r="E4829" s="436"/>
      <c r="F4829" s="436"/>
      <c r="G4829" s="436"/>
      <c r="H4829" s="436" t="s">
        <v>1740</v>
      </c>
      <c r="I4829" s="447" t="s">
        <v>3338</v>
      </c>
      <c r="J4829" s="436" t="s">
        <v>1742</v>
      </c>
      <c r="K4829" s="448">
        <v>4615.38</v>
      </c>
    </row>
    <row r="4830" customHeight="1" spans="1:11">
      <c r="A4830" s="437"/>
      <c r="B4830" s="437"/>
      <c r="C4830" s="437"/>
      <c r="D4830" s="437"/>
      <c r="E4830" s="437"/>
      <c r="F4830" s="437"/>
      <c r="G4830" s="437"/>
      <c r="H4830" s="437"/>
      <c r="I4830" s="437"/>
      <c r="J4830" s="437"/>
      <c r="K4830" s="437"/>
    </row>
    <row r="4831" customHeight="1" spans="1:11">
      <c r="A4831" s="423" t="s">
        <v>1476</v>
      </c>
      <c r="B4831" s="424" t="s">
        <v>1714</v>
      </c>
      <c r="C4831" s="423" t="s">
        <v>1715</v>
      </c>
      <c r="D4831" s="423" t="s">
        <v>1716</v>
      </c>
      <c r="E4831" s="423" t="s">
        <v>1717</v>
      </c>
      <c r="F4831" s="423"/>
      <c r="G4831" s="425" t="s">
        <v>1718</v>
      </c>
      <c r="H4831" s="424" t="s">
        <v>1719</v>
      </c>
      <c r="I4831" s="424" t="s">
        <v>1720</v>
      </c>
      <c r="J4831" s="424" t="s">
        <v>1721</v>
      </c>
      <c r="K4831" s="424" t="s">
        <v>1722</v>
      </c>
    </row>
    <row r="4832" customHeight="1" spans="1:11">
      <c r="A4832" s="426" t="s">
        <v>1723</v>
      </c>
      <c r="B4832" s="427" t="s">
        <v>252</v>
      </c>
      <c r="C4832" s="426" t="s">
        <v>71</v>
      </c>
      <c r="D4832" s="426" t="s">
        <v>253</v>
      </c>
      <c r="E4832" s="426" t="s">
        <v>1632</v>
      </c>
      <c r="F4832" s="426"/>
      <c r="G4832" s="428" t="s">
        <v>158</v>
      </c>
      <c r="H4832" s="429">
        <v>1</v>
      </c>
      <c r="I4832" s="445"/>
      <c r="J4832" s="445">
        <v>15.37</v>
      </c>
      <c r="K4832" s="445">
        <v>15.37</v>
      </c>
    </row>
    <row r="4833" customHeight="1" spans="1:11">
      <c r="A4833" s="430" t="s">
        <v>1724</v>
      </c>
      <c r="B4833" s="431" t="s">
        <v>1954</v>
      </c>
      <c r="C4833" s="430" t="s">
        <v>71</v>
      </c>
      <c r="D4833" s="430" t="s">
        <v>1955</v>
      </c>
      <c r="E4833" s="430" t="s">
        <v>1632</v>
      </c>
      <c r="F4833" s="430"/>
      <c r="G4833" s="432" t="s">
        <v>158</v>
      </c>
      <c r="H4833" s="433">
        <v>1</v>
      </c>
      <c r="I4833" s="433">
        <v>0</v>
      </c>
      <c r="J4833" s="446">
        <v>10.96</v>
      </c>
      <c r="K4833" s="446">
        <v>10.96</v>
      </c>
    </row>
    <row r="4834" customHeight="1" spans="1:11">
      <c r="A4834" s="430" t="s">
        <v>1724</v>
      </c>
      <c r="B4834" s="431" t="s">
        <v>1956</v>
      </c>
      <c r="C4834" s="430" t="s">
        <v>71</v>
      </c>
      <c r="D4834" s="430" t="s">
        <v>1957</v>
      </c>
      <c r="E4834" s="430" t="s">
        <v>1708</v>
      </c>
      <c r="F4834" s="430"/>
      <c r="G4834" s="432" t="s">
        <v>82</v>
      </c>
      <c r="H4834" s="433">
        <v>0.0136</v>
      </c>
      <c r="I4834" s="433">
        <v>0</v>
      </c>
      <c r="J4834" s="446">
        <v>30.06</v>
      </c>
      <c r="K4834" s="446">
        <v>0.4</v>
      </c>
    </row>
    <row r="4835" customHeight="1" spans="1:11">
      <c r="A4835" s="430" t="s">
        <v>1724</v>
      </c>
      <c r="B4835" s="431" t="s">
        <v>1958</v>
      </c>
      <c r="C4835" s="430" t="s">
        <v>71</v>
      </c>
      <c r="D4835" s="430" t="s">
        <v>1959</v>
      </c>
      <c r="E4835" s="430" t="s">
        <v>1708</v>
      </c>
      <c r="F4835" s="430"/>
      <c r="G4835" s="432" t="s">
        <v>82</v>
      </c>
      <c r="H4835" s="433">
        <v>0.0836</v>
      </c>
      <c r="I4835" s="433">
        <v>0</v>
      </c>
      <c r="J4835" s="446">
        <v>35.95</v>
      </c>
      <c r="K4835" s="446">
        <v>3</v>
      </c>
    </row>
    <row r="4836" customHeight="1" spans="1:11">
      <c r="A4836" s="438" t="s">
        <v>1750</v>
      </c>
      <c r="B4836" s="439" t="s">
        <v>1960</v>
      </c>
      <c r="C4836" s="438" t="s">
        <v>71</v>
      </c>
      <c r="D4836" s="438" t="s">
        <v>1961</v>
      </c>
      <c r="E4836" s="438" t="s">
        <v>1631</v>
      </c>
      <c r="F4836" s="438"/>
      <c r="G4836" s="440" t="s">
        <v>158</v>
      </c>
      <c r="H4836" s="441">
        <v>0.025</v>
      </c>
      <c r="I4836" s="441">
        <v>0</v>
      </c>
      <c r="J4836" s="449">
        <v>22</v>
      </c>
      <c r="K4836" s="449">
        <v>0.55</v>
      </c>
    </row>
    <row r="4837" customHeight="1" spans="1:11">
      <c r="A4837" s="438" t="s">
        <v>1750</v>
      </c>
      <c r="B4837" s="439" t="s">
        <v>1962</v>
      </c>
      <c r="C4837" s="438" t="s">
        <v>71</v>
      </c>
      <c r="D4837" s="438" t="s">
        <v>1963</v>
      </c>
      <c r="E4837" s="438" t="s">
        <v>1631</v>
      </c>
      <c r="F4837" s="438"/>
      <c r="G4837" s="440" t="s">
        <v>105</v>
      </c>
      <c r="H4837" s="441">
        <v>2.118</v>
      </c>
      <c r="I4837" s="441">
        <v>0</v>
      </c>
      <c r="J4837" s="449">
        <v>0.22</v>
      </c>
      <c r="K4837" s="449">
        <v>0.46</v>
      </c>
    </row>
    <row r="4838" customHeight="1" spans="1:11">
      <c r="A4838" s="434"/>
      <c r="B4838" s="434"/>
      <c r="C4838" s="434"/>
      <c r="D4838" s="434"/>
      <c r="E4838" s="434"/>
      <c r="F4838" s="434" t="s">
        <v>1735</v>
      </c>
      <c r="G4838" s="435">
        <v>2.15</v>
      </c>
      <c r="H4838" s="434" t="s">
        <v>1736</v>
      </c>
      <c r="I4838" s="435">
        <v>1.97</v>
      </c>
      <c r="J4838" s="434" t="s">
        <v>1737</v>
      </c>
      <c r="K4838" s="435">
        <v>4.12</v>
      </c>
    </row>
    <row r="4839" customHeight="1" spans="1:11">
      <c r="A4839" s="434"/>
      <c r="B4839" s="434"/>
      <c r="C4839" s="434"/>
      <c r="D4839" s="434"/>
      <c r="E4839" s="434"/>
      <c r="F4839" s="434" t="s">
        <v>1738</v>
      </c>
      <c r="G4839" s="435">
        <v>3.79</v>
      </c>
      <c r="H4839" s="434"/>
      <c r="I4839" s="434" t="s">
        <v>1739</v>
      </c>
      <c r="J4839" s="434"/>
      <c r="K4839" s="435">
        <v>19.16</v>
      </c>
    </row>
    <row r="4840" customHeight="1" spans="1:11">
      <c r="A4840" s="436"/>
      <c r="B4840" s="436"/>
      <c r="C4840" s="436"/>
      <c r="D4840" s="436"/>
      <c r="E4840" s="436"/>
      <c r="F4840" s="436"/>
      <c r="G4840" s="436"/>
      <c r="H4840" s="436" t="s">
        <v>1740</v>
      </c>
      <c r="I4840" s="447" t="s">
        <v>3339</v>
      </c>
      <c r="J4840" s="436" t="s">
        <v>1742</v>
      </c>
      <c r="K4840" s="448">
        <v>21.07</v>
      </c>
    </row>
    <row r="4841" customHeight="1" spans="1:11">
      <c r="A4841" s="437"/>
      <c r="B4841" s="437"/>
      <c r="C4841" s="437"/>
      <c r="D4841" s="437"/>
      <c r="E4841" s="437"/>
      <c r="F4841" s="437"/>
      <c r="G4841" s="437"/>
      <c r="H4841" s="437"/>
      <c r="I4841" s="437"/>
      <c r="J4841" s="437"/>
      <c r="K4841" s="437"/>
    </row>
    <row r="4842" customHeight="1" spans="1:11">
      <c r="A4842" s="423" t="s">
        <v>1477</v>
      </c>
      <c r="B4842" s="424" t="s">
        <v>1714</v>
      </c>
      <c r="C4842" s="423" t="s">
        <v>1715</v>
      </c>
      <c r="D4842" s="423" t="s">
        <v>1716</v>
      </c>
      <c r="E4842" s="423" t="s">
        <v>1717</v>
      </c>
      <c r="F4842" s="423"/>
      <c r="G4842" s="425" t="s">
        <v>1718</v>
      </c>
      <c r="H4842" s="424" t="s">
        <v>1719</v>
      </c>
      <c r="I4842" s="424" t="s">
        <v>1720</v>
      </c>
      <c r="J4842" s="424" t="s">
        <v>1721</v>
      </c>
      <c r="K4842" s="424" t="s">
        <v>1722</v>
      </c>
    </row>
    <row r="4843" customHeight="1" spans="1:11">
      <c r="A4843" s="426" t="s">
        <v>1723</v>
      </c>
      <c r="B4843" s="427" t="s">
        <v>258</v>
      </c>
      <c r="C4843" s="426" t="s">
        <v>71</v>
      </c>
      <c r="D4843" s="426" t="s">
        <v>259</v>
      </c>
      <c r="E4843" s="426" t="s">
        <v>1632</v>
      </c>
      <c r="F4843" s="426"/>
      <c r="G4843" s="428" t="s">
        <v>158</v>
      </c>
      <c r="H4843" s="429">
        <v>1</v>
      </c>
      <c r="I4843" s="445"/>
      <c r="J4843" s="445">
        <v>12.99</v>
      </c>
      <c r="K4843" s="445">
        <v>12.99</v>
      </c>
    </row>
    <row r="4844" customHeight="1" spans="1:11">
      <c r="A4844" s="430" t="s">
        <v>1724</v>
      </c>
      <c r="B4844" s="431" t="s">
        <v>1969</v>
      </c>
      <c r="C4844" s="430" t="s">
        <v>71</v>
      </c>
      <c r="D4844" s="430" t="s">
        <v>1970</v>
      </c>
      <c r="E4844" s="430" t="s">
        <v>1632</v>
      </c>
      <c r="F4844" s="430"/>
      <c r="G4844" s="432" t="s">
        <v>158</v>
      </c>
      <c r="H4844" s="433">
        <v>1</v>
      </c>
      <c r="I4844" s="433">
        <v>0</v>
      </c>
      <c r="J4844" s="446">
        <v>10.65</v>
      </c>
      <c r="K4844" s="446">
        <v>10.65</v>
      </c>
    </row>
    <row r="4845" customHeight="1" spans="1:11">
      <c r="A4845" s="430" t="s">
        <v>1724</v>
      </c>
      <c r="B4845" s="431" t="s">
        <v>1958</v>
      </c>
      <c r="C4845" s="430" t="s">
        <v>71</v>
      </c>
      <c r="D4845" s="430" t="s">
        <v>1959</v>
      </c>
      <c r="E4845" s="430" t="s">
        <v>1708</v>
      </c>
      <c r="F4845" s="430"/>
      <c r="G4845" s="432" t="s">
        <v>82</v>
      </c>
      <c r="H4845" s="433">
        <v>0.0403</v>
      </c>
      <c r="I4845" s="433">
        <v>0</v>
      </c>
      <c r="J4845" s="446">
        <v>35.95</v>
      </c>
      <c r="K4845" s="446">
        <v>1.44</v>
      </c>
    </row>
    <row r="4846" customHeight="1" spans="1:11">
      <c r="A4846" s="430" t="s">
        <v>1724</v>
      </c>
      <c r="B4846" s="431" t="s">
        <v>1956</v>
      </c>
      <c r="C4846" s="430" t="s">
        <v>71</v>
      </c>
      <c r="D4846" s="430" t="s">
        <v>1957</v>
      </c>
      <c r="E4846" s="430" t="s">
        <v>1708</v>
      </c>
      <c r="F4846" s="430"/>
      <c r="G4846" s="432" t="s">
        <v>82</v>
      </c>
      <c r="H4846" s="433">
        <v>0.0066</v>
      </c>
      <c r="I4846" s="433">
        <v>0</v>
      </c>
      <c r="J4846" s="446">
        <v>30.06</v>
      </c>
      <c r="K4846" s="446">
        <v>0.19</v>
      </c>
    </row>
    <row r="4847" customHeight="1" spans="1:11">
      <c r="A4847" s="438" t="s">
        <v>1750</v>
      </c>
      <c r="B4847" s="439" t="s">
        <v>1960</v>
      </c>
      <c r="C4847" s="438" t="s">
        <v>71</v>
      </c>
      <c r="D4847" s="438" t="s">
        <v>1961</v>
      </c>
      <c r="E4847" s="438" t="s">
        <v>1631</v>
      </c>
      <c r="F4847" s="438"/>
      <c r="G4847" s="440" t="s">
        <v>158</v>
      </c>
      <c r="H4847" s="441">
        <v>0.025</v>
      </c>
      <c r="I4847" s="441">
        <v>0</v>
      </c>
      <c r="J4847" s="449">
        <v>22</v>
      </c>
      <c r="K4847" s="449">
        <v>0.55</v>
      </c>
    </row>
    <row r="4848" customHeight="1" spans="1:11">
      <c r="A4848" s="438" t="s">
        <v>1750</v>
      </c>
      <c r="B4848" s="439" t="s">
        <v>1962</v>
      </c>
      <c r="C4848" s="438" t="s">
        <v>71</v>
      </c>
      <c r="D4848" s="438" t="s">
        <v>1963</v>
      </c>
      <c r="E4848" s="438" t="s">
        <v>1631</v>
      </c>
      <c r="F4848" s="438"/>
      <c r="G4848" s="440" t="s">
        <v>105</v>
      </c>
      <c r="H4848" s="441">
        <v>0.728</v>
      </c>
      <c r="I4848" s="441">
        <v>0</v>
      </c>
      <c r="J4848" s="449">
        <v>0.22</v>
      </c>
      <c r="K4848" s="449">
        <v>0.16</v>
      </c>
    </row>
    <row r="4849" customHeight="1" spans="1:11">
      <c r="A4849" s="434"/>
      <c r="B4849" s="434"/>
      <c r="C4849" s="434"/>
      <c r="D4849" s="434"/>
      <c r="E4849" s="434"/>
      <c r="F4849" s="434" t="s">
        <v>1735</v>
      </c>
      <c r="G4849" s="435">
        <v>0.85</v>
      </c>
      <c r="H4849" s="434" t="s">
        <v>1736</v>
      </c>
      <c r="I4849" s="435">
        <v>0.79</v>
      </c>
      <c r="J4849" s="434" t="s">
        <v>1737</v>
      </c>
      <c r="K4849" s="435">
        <v>1.64</v>
      </c>
    </row>
    <row r="4850" customHeight="1" spans="1:11">
      <c r="A4850" s="434"/>
      <c r="B4850" s="434"/>
      <c r="C4850" s="434"/>
      <c r="D4850" s="434"/>
      <c r="E4850" s="434"/>
      <c r="F4850" s="434" t="s">
        <v>1738</v>
      </c>
      <c r="G4850" s="435">
        <v>3.2</v>
      </c>
      <c r="H4850" s="434"/>
      <c r="I4850" s="434" t="s">
        <v>1739</v>
      </c>
      <c r="J4850" s="434"/>
      <c r="K4850" s="435">
        <v>16.19</v>
      </c>
    </row>
    <row r="4851" customHeight="1" spans="1:11">
      <c r="A4851" s="436"/>
      <c r="B4851" s="436"/>
      <c r="C4851" s="436"/>
      <c r="D4851" s="436"/>
      <c r="E4851" s="436"/>
      <c r="F4851" s="436"/>
      <c r="G4851" s="436"/>
      <c r="H4851" s="436" t="s">
        <v>1740</v>
      </c>
      <c r="I4851" s="447" t="s">
        <v>3340</v>
      </c>
      <c r="J4851" s="436" t="s">
        <v>1742</v>
      </c>
      <c r="K4851" s="448">
        <v>4005.4</v>
      </c>
    </row>
    <row r="4852" customHeight="1" spans="1:11">
      <c r="A4852" s="437"/>
      <c r="B4852" s="437"/>
      <c r="C4852" s="437"/>
      <c r="D4852" s="437"/>
      <c r="E4852" s="437"/>
      <c r="F4852" s="437"/>
      <c r="G4852" s="437"/>
      <c r="H4852" s="437"/>
      <c r="I4852" s="437"/>
      <c r="J4852" s="437"/>
      <c r="K4852" s="437"/>
    </row>
    <row r="4853" customHeight="1" spans="1:11">
      <c r="A4853" s="423" t="s">
        <v>1478</v>
      </c>
      <c r="B4853" s="424" t="s">
        <v>1714</v>
      </c>
      <c r="C4853" s="423" t="s">
        <v>1715</v>
      </c>
      <c r="D4853" s="423" t="s">
        <v>1716</v>
      </c>
      <c r="E4853" s="423" t="s">
        <v>1717</v>
      </c>
      <c r="F4853" s="423"/>
      <c r="G4853" s="425" t="s">
        <v>1718</v>
      </c>
      <c r="H4853" s="424" t="s">
        <v>1719</v>
      </c>
      <c r="I4853" s="424" t="s">
        <v>1720</v>
      </c>
      <c r="J4853" s="424" t="s">
        <v>1721</v>
      </c>
      <c r="K4853" s="424" t="s">
        <v>1722</v>
      </c>
    </row>
    <row r="4854" customHeight="1" spans="1:11">
      <c r="A4854" s="426" t="s">
        <v>1723</v>
      </c>
      <c r="B4854" s="427" t="s">
        <v>261</v>
      </c>
      <c r="C4854" s="426" t="s">
        <v>71</v>
      </c>
      <c r="D4854" s="426" t="s">
        <v>262</v>
      </c>
      <c r="E4854" s="426" t="s">
        <v>1632</v>
      </c>
      <c r="F4854" s="426"/>
      <c r="G4854" s="428" t="s">
        <v>158</v>
      </c>
      <c r="H4854" s="429">
        <v>1</v>
      </c>
      <c r="I4854" s="445"/>
      <c r="J4854" s="445">
        <v>11.45</v>
      </c>
      <c r="K4854" s="445">
        <v>11.45</v>
      </c>
    </row>
    <row r="4855" customHeight="1" spans="1:11">
      <c r="A4855" s="430" t="s">
        <v>1724</v>
      </c>
      <c r="B4855" s="431" t="s">
        <v>1965</v>
      </c>
      <c r="C4855" s="430" t="s">
        <v>71</v>
      </c>
      <c r="D4855" s="430" t="s">
        <v>1966</v>
      </c>
      <c r="E4855" s="430" t="s">
        <v>1632</v>
      </c>
      <c r="F4855" s="430"/>
      <c r="G4855" s="432" t="s">
        <v>158</v>
      </c>
      <c r="H4855" s="433">
        <v>1</v>
      </c>
      <c r="I4855" s="433">
        <v>0</v>
      </c>
      <c r="J4855" s="446">
        <v>9.78</v>
      </c>
      <c r="K4855" s="446">
        <v>9.78</v>
      </c>
    </row>
    <row r="4856" customHeight="1" spans="1:11">
      <c r="A4856" s="430" t="s">
        <v>1724</v>
      </c>
      <c r="B4856" s="431" t="s">
        <v>1956</v>
      </c>
      <c r="C4856" s="430" t="s">
        <v>71</v>
      </c>
      <c r="D4856" s="430" t="s">
        <v>1957</v>
      </c>
      <c r="E4856" s="430" t="s">
        <v>1708</v>
      </c>
      <c r="F4856" s="430"/>
      <c r="G4856" s="432" t="s">
        <v>82</v>
      </c>
      <c r="H4856" s="433">
        <v>0.0042</v>
      </c>
      <c r="I4856" s="433">
        <v>0</v>
      </c>
      <c r="J4856" s="446">
        <v>30.06</v>
      </c>
      <c r="K4856" s="446">
        <v>0.12</v>
      </c>
    </row>
    <row r="4857" customHeight="1" spans="1:11">
      <c r="A4857" s="430" t="s">
        <v>1724</v>
      </c>
      <c r="B4857" s="431" t="s">
        <v>1958</v>
      </c>
      <c r="C4857" s="430" t="s">
        <v>71</v>
      </c>
      <c r="D4857" s="430" t="s">
        <v>1959</v>
      </c>
      <c r="E4857" s="430" t="s">
        <v>1708</v>
      </c>
      <c r="F4857" s="430"/>
      <c r="G4857" s="432" t="s">
        <v>82</v>
      </c>
      <c r="H4857" s="433">
        <v>0.0259</v>
      </c>
      <c r="I4857" s="433">
        <v>0</v>
      </c>
      <c r="J4857" s="446">
        <v>35.95</v>
      </c>
      <c r="K4857" s="446">
        <v>0.93</v>
      </c>
    </row>
    <row r="4858" customHeight="1" spans="1:11">
      <c r="A4858" s="438" t="s">
        <v>1750</v>
      </c>
      <c r="B4858" s="439" t="s">
        <v>1962</v>
      </c>
      <c r="C4858" s="438" t="s">
        <v>71</v>
      </c>
      <c r="D4858" s="438" t="s">
        <v>1963</v>
      </c>
      <c r="E4858" s="438" t="s">
        <v>1631</v>
      </c>
      <c r="F4858" s="438"/>
      <c r="G4858" s="440" t="s">
        <v>105</v>
      </c>
      <c r="H4858" s="441">
        <v>0.357</v>
      </c>
      <c r="I4858" s="441">
        <v>0</v>
      </c>
      <c r="J4858" s="449">
        <v>0.22</v>
      </c>
      <c r="K4858" s="449">
        <v>0.07</v>
      </c>
    </row>
    <row r="4859" customHeight="1" spans="1:11">
      <c r="A4859" s="438" t="s">
        <v>1750</v>
      </c>
      <c r="B4859" s="439" t="s">
        <v>1960</v>
      </c>
      <c r="C4859" s="438" t="s">
        <v>71</v>
      </c>
      <c r="D4859" s="438" t="s">
        <v>1961</v>
      </c>
      <c r="E4859" s="438" t="s">
        <v>1631</v>
      </c>
      <c r="F4859" s="438"/>
      <c r="G4859" s="440" t="s">
        <v>158</v>
      </c>
      <c r="H4859" s="441">
        <v>0.025</v>
      </c>
      <c r="I4859" s="441">
        <v>0</v>
      </c>
      <c r="J4859" s="449">
        <v>22</v>
      </c>
      <c r="K4859" s="449">
        <v>0.55</v>
      </c>
    </row>
    <row r="4860" customHeight="1" spans="1:11">
      <c r="A4860" s="434"/>
      <c r="B4860" s="434"/>
      <c r="C4860" s="434"/>
      <c r="D4860" s="434"/>
      <c r="E4860" s="434"/>
      <c r="F4860" s="434" t="s">
        <v>1735</v>
      </c>
      <c r="G4860" s="435">
        <v>0.51</v>
      </c>
      <c r="H4860" s="434" t="s">
        <v>1736</v>
      </c>
      <c r="I4860" s="435">
        <v>0.48</v>
      </c>
      <c r="J4860" s="434" t="s">
        <v>1737</v>
      </c>
      <c r="K4860" s="435">
        <v>0.99</v>
      </c>
    </row>
    <row r="4861" customHeight="1" spans="1:11">
      <c r="A4861" s="434"/>
      <c r="B4861" s="434"/>
      <c r="C4861" s="434"/>
      <c r="D4861" s="434"/>
      <c r="E4861" s="434"/>
      <c r="F4861" s="434" t="s">
        <v>1738</v>
      </c>
      <c r="G4861" s="435">
        <v>2.82</v>
      </c>
      <c r="H4861" s="434"/>
      <c r="I4861" s="434" t="s">
        <v>1739</v>
      </c>
      <c r="J4861" s="434"/>
      <c r="K4861" s="435">
        <v>14.27</v>
      </c>
    </row>
    <row r="4862" customHeight="1" spans="1:11">
      <c r="A4862" s="436"/>
      <c r="B4862" s="436"/>
      <c r="C4862" s="436"/>
      <c r="D4862" s="436"/>
      <c r="E4862" s="436"/>
      <c r="F4862" s="436"/>
      <c r="G4862" s="436"/>
      <c r="H4862" s="436" t="s">
        <v>1740</v>
      </c>
      <c r="I4862" s="447" t="s">
        <v>3341</v>
      </c>
      <c r="J4862" s="436" t="s">
        <v>1742</v>
      </c>
      <c r="K4862" s="448">
        <v>2033.47</v>
      </c>
    </row>
    <row r="4863" customHeight="1" spans="1:11">
      <c r="A4863" s="437"/>
      <c r="B4863" s="437"/>
      <c r="C4863" s="437"/>
      <c r="D4863" s="437"/>
      <c r="E4863" s="437"/>
      <c r="F4863" s="437"/>
      <c r="G4863" s="437"/>
      <c r="H4863" s="437"/>
      <c r="I4863" s="437"/>
      <c r="J4863" s="437"/>
      <c r="K4863" s="437"/>
    </row>
    <row r="4864" customHeight="1" spans="1:11">
      <c r="A4864" s="423" t="s">
        <v>1479</v>
      </c>
      <c r="B4864" s="424" t="s">
        <v>1714</v>
      </c>
      <c r="C4864" s="423" t="s">
        <v>1715</v>
      </c>
      <c r="D4864" s="423" t="s">
        <v>1716</v>
      </c>
      <c r="E4864" s="423" t="s">
        <v>1717</v>
      </c>
      <c r="F4864" s="423"/>
      <c r="G4864" s="425" t="s">
        <v>1718</v>
      </c>
      <c r="H4864" s="424" t="s">
        <v>1719</v>
      </c>
      <c r="I4864" s="424" t="s">
        <v>1720</v>
      </c>
      <c r="J4864" s="424" t="s">
        <v>1721</v>
      </c>
      <c r="K4864" s="424" t="s">
        <v>1722</v>
      </c>
    </row>
    <row r="4865" customHeight="1" spans="1:11">
      <c r="A4865" s="426" t="s">
        <v>1723</v>
      </c>
      <c r="B4865" s="427" t="s">
        <v>264</v>
      </c>
      <c r="C4865" s="426" t="s">
        <v>71</v>
      </c>
      <c r="D4865" s="426" t="s">
        <v>265</v>
      </c>
      <c r="E4865" s="426" t="s">
        <v>1632</v>
      </c>
      <c r="F4865" s="426"/>
      <c r="G4865" s="428" t="s">
        <v>158</v>
      </c>
      <c r="H4865" s="429">
        <v>1</v>
      </c>
      <c r="I4865" s="445"/>
      <c r="J4865" s="445">
        <v>9.5</v>
      </c>
      <c r="K4865" s="445">
        <v>9.5</v>
      </c>
    </row>
    <row r="4866" customHeight="1" spans="1:11">
      <c r="A4866" s="430" t="s">
        <v>1724</v>
      </c>
      <c r="B4866" s="431" t="s">
        <v>1958</v>
      </c>
      <c r="C4866" s="430" t="s">
        <v>71</v>
      </c>
      <c r="D4866" s="430" t="s">
        <v>1959</v>
      </c>
      <c r="E4866" s="430" t="s">
        <v>1708</v>
      </c>
      <c r="F4866" s="430"/>
      <c r="G4866" s="432" t="s">
        <v>82</v>
      </c>
      <c r="H4866" s="433">
        <v>0.0143</v>
      </c>
      <c r="I4866" s="433">
        <v>0</v>
      </c>
      <c r="J4866" s="446">
        <v>35.95</v>
      </c>
      <c r="K4866" s="446">
        <v>0.51</v>
      </c>
    </row>
    <row r="4867" customHeight="1" spans="1:11">
      <c r="A4867" s="430" t="s">
        <v>1724</v>
      </c>
      <c r="B4867" s="431" t="s">
        <v>1973</v>
      </c>
      <c r="C4867" s="430" t="s">
        <v>71</v>
      </c>
      <c r="D4867" s="430" t="s">
        <v>1974</v>
      </c>
      <c r="E4867" s="430" t="s">
        <v>1632</v>
      </c>
      <c r="F4867" s="430"/>
      <c r="G4867" s="432" t="s">
        <v>158</v>
      </c>
      <c r="H4867" s="433">
        <v>1</v>
      </c>
      <c r="I4867" s="433">
        <v>0</v>
      </c>
      <c r="J4867" s="446">
        <v>8.35</v>
      </c>
      <c r="K4867" s="446">
        <v>8.35</v>
      </c>
    </row>
    <row r="4868" customHeight="1" spans="1:11">
      <c r="A4868" s="430" t="s">
        <v>1724</v>
      </c>
      <c r="B4868" s="431" t="s">
        <v>1956</v>
      </c>
      <c r="C4868" s="430" t="s">
        <v>71</v>
      </c>
      <c r="D4868" s="430" t="s">
        <v>1957</v>
      </c>
      <c r="E4868" s="430" t="s">
        <v>1708</v>
      </c>
      <c r="F4868" s="430"/>
      <c r="G4868" s="432" t="s">
        <v>82</v>
      </c>
      <c r="H4868" s="433">
        <v>0.0023</v>
      </c>
      <c r="I4868" s="433">
        <v>0</v>
      </c>
      <c r="J4868" s="446">
        <v>30.06</v>
      </c>
      <c r="K4868" s="446">
        <v>0.06</v>
      </c>
    </row>
    <row r="4869" customHeight="1" spans="1:11">
      <c r="A4869" s="438" t="s">
        <v>1750</v>
      </c>
      <c r="B4869" s="439" t="s">
        <v>1960</v>
      </c>
      <c r="C4869" s="438" t="s">
        <v>71</v>
      </c>
      <c r="D4869" s="438" t="s">
        <v>1961</v>
      </c>
      <c r="E4869" s="438" t="s">
        <v>1631</v>
      </c>
      <c r="F4869" s="438"/>
      <c r="G4869" s="440" t="s">
        <v>158</v>
      </c>
      <c r="H4869" s="441">
        <v>0.025</v>
      </c>
      <c r="I4869" s="441">
        <v>0</v>
      </c>
      <c r="J4869" s="449">
        <v>22</v>
      </c>
      <c r="K4869" s="449">
        <v>0.55</v>
      </c>
    </row>
    <row r="4870" customHeight="1" spans="1:11">
      <c r="A4870" s="438" t="s">
        <v>1750</v>
      </c>
      <c r="B4870" s="439" t="s">
        <v>1962</v>
      </c>
      <c r="C4870" s="438" t="s">
        <v>71</v>
      </c>
      <c r="D4870" s="438" t="s">
        <v>1963</v>
      </c>
      <c r="E4870" s="438" t="s">
        <v>1631</v>
      </c>
      <c r="F4870" s="438"/>
      <c r="G4870" s="440" t="s">
        <v>105</v>
      </c>
      <c r="H4870" s="441">
        <v>0.147</v>
      </c>
      <c r="I4870" s="441">
        <v>0</v>
      </c>
      <c r="J4870" s="449">
        <v>0.22</v>
      </c>
      <c r="K4870" s="449">
        <v>0.03</v>
      </c>
    </row>
    <row r="4871" customHeight="1" spans="1:11">
      <c r="A4871" s="434"/>
      <c r="B4871" s="434"/>
      <c r="C4871" s="434"/>
      <c r="D4871" s="434"/>
      <c r="E4871" s="434"/>
      <c r="F4871" s="434" t="s">
        <v>1735</v>
      </c>
      <c r="G4871" s="435">
        <v>0.28</v>
      </c>
      <c r="H4871" s="434" t="s">
        <v>1736</v>
      </c>
      <c r="I4871" s="435">
        <v>0.26</v>
      </c>
      <c r="J4871" s="434" t="s">
        <v>1737</v>
      </c>
      <c r="K4871" s="435">
        <v>0.54</v>
      </c>
    </row>
    <row r="4872" customHeight="1" spans="1:11">
      <c r="A4872" s="434"/>
      <c r="B4872" s="434"/>
      <c r="C4872" s="434"/>
      <c r="D4872" s="434"/>
      <c r="E4872" s="434"/>
      <c r="F4872" s="434" t="s">
        <v>1738</v>
      </c>
      <c r="G4872" s="435">
        <v>2.34</v>
      </c>
      <c r="H4872" s="434"/>
      <c r="I4872" s="434" t="s">
        <v>1739</v>
      </c>
      <c r="J4872" s="434"/>
      <c r="K4872" s="435">
        <v>11.84</v>
      </c>
    </row>
    <row r="4873" customHeight="1" spans="1:11">
      <c r="A4873" s="436"/>
      <c r="B4873" s="436"/>
      <c r="C4873" s="436"/>
      <c r="D4873" s="436"/>
      <c r="E4873" s="436"/>
      <c r="F4873" s="436"/>
      <c r="G4873" s="436"/>
      <c r="H4873" s="436" t="s">
        <v>1740</v>
      </c>
      <c r="I4873" s="447" t="s">
        <v>3342</v>
      </c>
      <c r="J4873" s="436" t="s">
        <v>1742</v>
      </c>
      <c r="K4873" s="448">
        <v>1487.1</v>
      </c>
    </row>
    <row r="4874" customHeight="1" spans="1:11">
      <c r="A4874" s="437"/>
      <c r="B4874" s="437"/>
      <c r="C4874" s="437"/>
      <c r="D4874" s="437"/>
      <c r="E4874" s="437"/>
      <c r="F4874" s="437"/>
      <c r="G4874" s="437"/>
      <c r="H4874" s="437"/>
      <c r="I4874" s="437"/>
      <c r="J4874" s="437"/>
      <c r="K4874" s="437"/>
    </row>
    <row r="4875" customHeight="1" spans="1:11">
      <c r="A4875" s="423" t="s">
        <v>1480</v>
      </c>
      <c r="B4875" s="424" t="s">
        <v>1714</v>
      </c>
      <c r="C4875" s="423" t="s">
        <v>1715</v>
      </c>
      <c r="D4875" s="423" t="s">
        <v>1716</v>
      </c>
      <c r="E4875" s="423" t="s">
        <v>1717</v>
      </c>
      <c r="F4875" s="423"/>
      <c r="G4875" s="425" t="s">
        <v>1718</v>
      </c>
      <c r="H4875" s="424" t="s">
        <v>1719</v>
      </c>
      <c r="I4875" s="424" t="s">
        <v>1720</v>
      </c>
      <c r="J4875" s="424" t="s">
        <v>1721</v>
      </c>
      <c r="K4875" s="424" t="s">
        <v>1722</v>
      </c>
    </row>
    <row r="4876" customHeight="1" spans="1:11">
      <c r="A4876" s="426" t="s">
        <v>1723</v>
      </c>
      <c r="B4876" s="427" t="s">
        <v>267</v>
      </c>
      <c r="C4876" s="426" t="s">
        <v>71</v>
      </c>
      <c r="D4876" s="426" t="s">
        <v>268</v>
      </c>
      <c r="E4876" s="426" t="s">
        <v>1632</v>
      </c>
      <c r="F4876" s="426"/>
      <c r="G4876" s="428" t="s">
        <v>158</v>
      </c>
      <c r="H4876" s="429">
        <v>1</v>
      </c>
      <c r="I4876" s="445"/>
      <c r="J4876" s="445">
        <v>9.28</v>
      </c>
      <c r="K4876" s="445">
        <v>9.28</v>
      </c>
    </row>
    <row r="4877" customHeight="1" spans="1:11">
      <c r="A4877" s="430" t="s">
        <v>1724</v>
      </c>
      <c r="B4877" s="431" t="s">
        <v>1956</v>
      </c>
      <c r="C4877" s="430" t="s">
        <v>71</v>
      </c>
      <c r="D4877" s="430" t="s">
        <v>1957</v>
      </c>
      <c r="E4877" s="430" t="s">
        <v>1708</v>
      </c>
      <c r="F4877" s="430"/>
      <c r="G4877" s="432" t="s">
        <v>82</v>
      </c>
      <c r="H4877" s="433">
        <v>0.002</v>
      </c>
      <c r="I4877" s="433">
        <v>0</v>
      </c>
      <c r="J4877" s="446">
        <v>30.06</v>
      </c>
      <c r="K4877" s="446">
        <v>0.06</v>
      </c>
    </row>
    <row r="4878" customHeight="1" spans="1:11">
      <c r="A4878" s="430" t="s">
        <v>1724</v>
      </c>
      <c r="B4878" s="431" t="s">
        <v>1976</v>
      </c>
      <c r="C4878" s="430" t="s">
        <v>71</v>
      </c>
      <c r="D4878" s="430" t="s">
        <v>1977</v>
      </c>
      <c r="E4878" s="430" t="s">
        <v>1632</v>
      </c>
      <c r="F4878" s="430"/>
      <c r="G4878" s="432" t="s">
        <v>158</v>
      </c>
      <c r="H4878" s="433">
        <v>1</v>
      </c>
      <c r="I4878" s="433">
        <v>0</v>
      </c>
      <c r="J4878" s="446">
        <v>8.24</v>
      </c>
      <c r="K4878" s="446">
        <v>8.24</v>
      </c>
    </row>
    <row r="4879" customHeight="1" spans="1:11">
      <c r="A4879" s="430" t="s">
        <v>1724</v>
      </c>
      <c r="B4879" s="431" t="s">
        <v>1958</v>
      </c>
      <c r="C4879" s="430" t="s">
        <v>71</v>
      </c>
      <c r="D4879" s="430" t="s">
        <v>1959</v>
      </c>
      <c r="E4879" s="430" t="s">
        <v>1708</v>
      </c>
      <c r="F4879" s="430"/>
      <c r="G4879" s="432" t="s">
        <v>82</v>
      </c>
      <c r="H4879" s="433">
        <v>0.0121</v>
      </c>
      <c r="I4879" s="433">
        <v>0</v>
      </c>
      <c r="J4879" s="446">
        <v>35.95</v>
      </c>
      <c r="K4879" s="446">
        <v>0.43</v>
      </c>
    </row>
    <row r="4880" customHeight="1" spans="1:11">
      <c r="A4880" s="438" t="s">
        <v>1750</v>
      </c>
      <c r="B4880" s="439" t="s">
        <v>1960</v>
      </c>
      <c r="C4880" s="438" t="s">
        <v>71</v>
      </c>
      <c r="D4880" s="438" t="s">
        <v>1961</v>
      </c>
      <c r="E4880" s="438" t="s">
        <v>1631</v>
      </c>
      <c r="F4880" s="438"/>
      <c r="G4880" s="440" t="s">
        <v>158</v>
      </c>
      <c r="H4880" s="441">
        <v>0.025</v>
      </c>
      <c r="I4880" s="441">
        <v>0</v>
      </c>
      <c r="J4880" s="449">
        <v>22</v>
      </c>
      <c r="K4880" s="449">
        <v>0.55</v>
      </c>
    </row>
    <row r="4881" customHeight="1" spans="1:11">
      <c r="A4881" s="434"/>
      <c r="B4881" s="434"/>
      <c r="C4881" s="434"/>
      <c r="D4881" s="434"/>
      <c r="E4881" s="434"/>
      <c r="F4881" s="434" t="s">
        <v>1735</v>
      </c>
      <c r="G4881" s="435">
        <v>0.21</v>
      </c>
      <c r="H4881" s="434" t="s">
        <v>1736</v>
      </c>
      <c r="I4881" s="435">
        <v>0.2</v>
      </c>
      <c r="J4881" s="434" t="s">
        <v>1737</v>
      </c>
      <c r="K4881" s="435">
        <v>0.41</v>
      </c>
    </row>
    <row r="4882" customHeight="1" spans="1:11">
      <c r="A4882" s="434"/>
      <c r="B4882" s="434"/>
      <c r="C4882" s="434"/>
      <c r="D4882" s="434"/>
      <c r="E4882" s="434"/>
      <c r="F4882" s="434" t="s">
        <v>1738</v>
      </c>
      <c r="G4882" s="435">
        <v>2.28</v>
      </c>
      <c r="H4882" s="434"/>
      <c r="I4882" s="434" t="s">
        <v>1739</v>
      </c>
      <c r="J4882" s="434"/>
      <c r="K4882" s="435">
        <v>11.56</v>
      </c>
    </row>
    <row r="4883" customHeight="1" spans="1:11">
      <c r="A4883" s="436"/>
      <c r="B4883" s="436"/>
      <c r="C4883" s="436"/>
      <c r="D4883" s="436"/>
      <c r="E4883" s="436"/>
      <c r="F4883" s="436"/>
      <c r="G4883" s="436"/>
      <c r="H4883" s="436" t="s">
        <v>1740</v>
      </c>
      <c r="I4883" s="447" t="s">
        <v>3343</v>
      </c>
      <c r="J4883" s="436" t="s">
        <v>1742</v>
      </c>
      <c r="K4883" s="448">
        <v>3443.72</v>
      </c>
    </row>
    <row r="4884" customHeight="1" spans="1:11">
      <c r="A4884" s="437"/>
      <c r="B4884" s="437"/>
      <c r="C4884" s="437"/>
      <c r="D4884" s="437"/>
      <c r="E4884" s="437"/>
      <c r="F4884" s="437"/>
      <c r="G4884" s="437"/>
      <c r="H4884" s="437"/>
      <c r="I4884" s="437"/>
      <c r="J4884" s="437"/>
      <c r="K4884" s="437"/>
    </row>
    <row r="4885" customHeight="1" spans="1:11">
      <c r="A4885" s="423" t="s">
        <v>1481</v>
      </c>
      <c r="B4885" s="424" t="s">
        <v>1714</v>
      </c>
      <c r="C4885" s="423" t="s">
        <v>1715</v>
      </c>
      <c r="D4885" s="423" t="s">
        <v>1716</v>
      </c>
      <c r="E4885" s="423" t="s">
        <v>1717</v>
      </c>
      <c r="F4885" s="423"/>
      <c r="G4885" s="425" t="s">
        <v>1718</v>
      </c>
      <c r="H4885" s="424" t="s">
        <v>1719</v>
      </c>
      <c r="I4885" s="424" t="s">
        <v>1720</v>
      </c>
      <c r="J4885" s="424" t="s">
        <v>1721</v>
      </c>
      <c r="K4885" s="424" t="s">
        <v>1722</v>
      </c>
    </row>
    <row r="4886" customHeight="1" spans="1:11">
      <c r="A4886" s="426" t="s">
        <v>1723</v>
      </c>
      <c r="B4886" s="427" t="s">
        <v>1460</v>
      </c>
      <c r="C4886" s="426" t="s">
        <v>76</v>
      </c>
      <c r="D4886" s="426" t="s">
        <v>1461</v>
      </c>
      <c r="E4886" s="426">
        <v>11</v>
      </c>
      <c r="F4886" s="426"/>
      <c r="G4886" s="428" t="s">
        <v>129</v>
      </c>
      <c r="H4886" s="429">
        <v>1</v>
      </c>
      <c r="I4886" s="445"/>
      <c r="J4886" s="445">
        <v>808.65</v>
      </c>
      <c r="K4886" s="445">
        <v>808.65</v>
      </c>
    </row>
    <row r="4887" customHeight="1" spans="1:11">
      <c r="A4887" s="430" t="s">
        <v>1724</v>
      </c>
      <c r="B4887" s="431" t="s">
        <v>2143</v>
      </c>
      <c r="C4887" s="430" t="s">
        <v>76</v>
      </c>
      <c r="D4887" s="430" t="s">
        <v>2144</v>
      </c>
      <c r="E4887" s="430">
        <v>7</v>
      </c>
      <c r="F4887" s="430"/>
      <c r="G4887" s="432" t="s">
        <v>129</v>
      </c>
      <c r="H4887" s="433">
        <v>0.0125</v>
      </c>
      <c r="I4887" s="433">
        <v>0</v>
      </c>
      <c r="J4887" s="446">
        <v>468.89</v>
      </c>
      <c r="K4887" s="446">
        <v>5.86</v>
      </c>
    </row>
    <row r="4888" customHeight="1" spans="1:11">
      <c r="A4888" s="430" t="s">
        <v>1724</v>
      </c>
      <c r="B4888" s="431" t="s">
        <v>3321</v>
      </c>
      <c r="C4888" s="430" t="s">
        <v>76</v>
      </c>
      <c r="D4888" s="430" t="s">
        <v>3322</v>
      </c>
      <c r="E4888" s="430">
        <v>19</v>
      </c>
      <c r="F4888" s="430"/>
      <c r="G4888" s="432" t="s">
        <v>82</v>
      </c>
      <c r="H4888" s="433">
        <v>0.23</v>
      </c>
      <c r="I4888" s="433">
        <v>0</v>
      </c>
      <c r="J4888" s="446">
        <v>1.77</v>
      </c>
      <c r="K4888" s="446">
        <v>0.4</v>
      </c>
    </row>
    <row r="4889" customHeight="1" spans="1:11">
      <c r="A4889" s="430" t="s">
        <v>1724</v>
      </c>
      <c r="B4889" s="431" t="s">
        <v>3323</v>
      </c>
      <c r="C4889" s="430" t="s">
        <v>76</v>
      </c>
      <c r="D4889" s="430" t="s">
        <v>3322</v>
      </c>
      <c r="E4889" s="430">
        <v>19</v>
      </c>
      <c r="F4889" s="430"/>
      <c r="G4889" s="432" t="s">
        <v>82</v>
      </c>
      <c r="H4889" s="433">
        <v>0.39</v>
      </c>
      <c r="I4889" s="433">
        <v>0</v>
      </c>
      <c r="J4889" s="446">
        <v>0.48</v>
      </c>
      <c r="K4889" s="446">
        <v>0.18</v>
      </c>
    </row>
    <row r="4890" customHeight="1" spans="1:11">
      <c r="A4890" s="438" t="s">
        <v>1750</v>
      </c>
      <c r="B4890" s="439" t="s">
        <v>3324</v>
      </c>
      <c r="C4890" s="438" t="s">
        <v>76</v>
      </c>
      <c r="D4890" s="438" t="s">
        <v>3325</v>
      </c>
      <c r="E4890" s="438" t="s">
        <v>1631</v>
      </c>
      <c r="F4890" s="438"/>
      <c r="G4890" s="440" t="s">
        <v>129</v>
      </c>
      <c r="H4890" s="441">
        <v>1</v>
      </c>
      <c r="I4890" s="441">
        <v>0</v>
      </c>
      <c r="J4890" s="449">
        <v>60</v>
      </c>
      <c r="K4890" s="449">
        <v>60</v>
      </c>
    </row>
    <row r="4891" customHeight="1" spans="1:11">
      <c r="A4891" s="438" t="s">
        <v>1750</v>
      </c>
      <c r="B4891" s="439" t="s">
        <v>3326</v>
      </c>
      <c r="C4891" s="438" t="s">
        <v>76</v>
      </c>
      <c r="D4891" s="438" t="s">
        <v>3327</v>
      </c>
      <c r="E4891" s="438" t="s">
        <v>1631</v>
      </c>
      <c r="F4891" s="438"/>
      <c r="G4891" s="440" t="s">
        <v>129</v>
      </c>
      <c r="H4891" s="441">
        <v>1.05</v>
      </c>
      <c r="I4891" s="441">
        <v>0</v>
      </c>
      <c r="J4891" s="449">
        <v>630</v>
      </c>
      <c r="K4891" s="449">
        <v>661.5</v>
      </c>
    </row>
    <row r="4892" customHeight="1" spans="1:11">
      <c r="A4892" s="438" t="s">
        <v>1750</v>
      </c>
      <c r="B4892" s="439" t="s">
        <v>1762</v>
      </c>
      <c r="C4892" s="438" t="s">
        <v>76</v>
      </c>
      <c r="D4892" s="438" t="s">
        <v>1763</v>
      </c>
      <c r="E4892" s="438" t="s">
        <v>1764</v>
      </c>
      <c r="F4892" s="438"/>
      <c r="G4892" s="440" t="s">
        <v>82</v>
      </c>
      <c r="H4892" s="441">
        <v>0.6</v>
      </c>
      <c r="I4892" s="441">
        <v>3</v>
      </c>
      <c r="J4892" s="449">
        <v>26.52</v>
      </c>
      <c r="K4892" s="449">
        <v>16.38</v>
      </c>
    </row>
    <row r="4893" customHeight="1" spans="1:11">
      <c r="A4893" s="438" t="s">
        <v>1750</v>
      </c>
      <c r="B4893" s="439" t="s">
        <v>2149</v>
      </c>
      <c r="C4893" s="438" t="s">
        <v>76</v>
      </c>
      <c r="D4893" s="438" t="s">
        <v>2150</v>
      </c>
      <c r="E4893" s="438" t="s">
        <v>1764</v>
      </c>
      <c r="F4893" s="438"/>
      <c r="G4893" s="440" t="s">
        <v>82</v>
      </c>
      <c r="H4893" s="441">
        <v>0.6</v>
      </c>
      <c r="I4893" s="441">
        <v>3</v>
      </c>
      <c r="J4893" s="449">
        <v>26.52</v>
      </c>
      <c r="K4893" s="449">
        <v>16.38</v>
      </c>
    </row>
    <row r="4894" customHeight="1" spans="1:11">
      <c r="A4894" s="438" t="s">
        <v>1750</v>
      </c>
      <c r="B4894" s="439" t="s">
        <v>1767</v>
      </c>
      <c r="C4894" s="438" t="s">
        <v>76</v>
      </c>
      <c r="D4894" s="438" t="s">
        <v>1768</v>
      </c>
      <c r="E4894" s="438" t="s">
        <v>1764</v>
      </c>
      <c r="F4894" s="438"/>
      <c r="G4894" s="440" t="s">
        <v>82</v>
      </c>
      <c r="H4894" s="441">
        <v>1.6</v>
      </c>
      <c r="I4894" s="441">
        <v>3</v>
      </c>
      <c r="J4894" s="449">
        <v>19.16</v>
      </c>
      <c r="K4894" s="449">
        <v>31.57</v>
      </c>
    </row>
    <row r="4895" customHeight="1" spans="1:11">
      <c r="A4895" s="438" t="s">
        <v>1750</v>
      </c>
      <c r="B4895" s="439" t="s">
        <v>3260</v>
      </c>
      <c r="C4895" s="438" t="s">
        <v>76</v>
      </c>
      <c r="D4895" s="438" t="s">
        <v>3261</v>
      </c>
      <c r="E4895" s="438" t="s">
        <v>1764</v>
      </c>
      <c r="F4895" s="438"/>
      <c r="G4895" s="440" t="s">
        <v>82</v>
      </c>
      <c r="H4895" s="441">
        <v>0.6</v>
      </c>
      <c r="I4895" s="441">
        <v>3</v>
      </c>
      <c r="J4895" s="449">
        <v>26.52</v>
      </c>
      <c r="K4895" s="449">
        <v>16.38</v>
      </c>
    </row>
    <row r="4896" customHeight="1" spans="1:11">
      <c r="A4896" s="434"/>
      <c r="B4896" s="434"/>
      <c r="C4896" s="434"/>
      <c r="D4896" s="434"/>
      <c r="E4896" s="434"/>
      <c r="F4896" s="434" t="s">
        <v>1735</v>
      </c>
      <c r="G4896" s="435">
        <v>42.69</v>
      </c>
      <c r="H4896" s="434" t="s">
        <v>1736</v>
      </c>
      <c r="I4896" s="435">
        <v>38.78</v>
      </c>
      <c r="J4896" s="434" t="s">
        <v>1737</v>
      </c>
      <c r="K4896" s="435">
        <v>81.47</v>
      </c>
    </row>
    <row r="4897" customHeight="1" spans="1:11">
      <c r="A4897" s="434"/>
      <c r="B4897" s="434"/>
      <c r="C4897" s="434"/>
      <c r="D4897" s="434"/>
      <c r="E4897" s="434"/>
      <c r="F4897" s="434" t="s">
        <v>1738</v>
      </c>
      <c r="G4897" s="435">
        <v>199.41</v>
      </c>
      <c r="H4897" s="434"/>
      <c r="I4897" s="434" t="s">
        <v>1739</v>
      </c>
      <c r="J4897" s="434"/>
      <c r="K4897" s="435">
        <v>1008.06</v>
      </c>
    </row>
    <row r="4898" customHeight="1" spans="1:11">
      <c r="A4898" s="436"/>
      <c r="B4898" s="436"/>
      <c r="C4898" s="436"/>
      <c r="D4898" s="436"/>
      <c r="E4898" s="436"/>
      <c r="F4898" s="436"/>
      <c r="G4898" s="436"/>
      <c r="H4898" s="436" t="s">
        <v>1740</v>
      </c>
      <c r="I4898" s="447" t="s">
        <v>3344</v>
      </c>
      <c r="J4898" s="436" t="s">
        <v>1742</v>
      </c>
      <c r="K4898" s="448">
        <v>11391.07</v>
      </c>
    </row>
    <row r="4899" customHeight="1" spans="1:11">
      <c r="A4899" s="437"/>
      <c r="B4899" s="437"/>
      <c r="C4899" s="437"/>
      <c r="D4899" s="437"/>
      <c r="E4899" s="437"/>
      <c r="F4899" s="437"/>
      <c r="G4899" s="437"/>
      <c r="H4899" s="437"/>
      <c r="I4899" s="437"/>
      <c r="J4899" s="437"/>
      <c r="K4899" s="437"/>
    </row>
    <row r="4900" customHeight="1" spans="1:11">
      <c r="A4900" s="422" t="s">
        <v>1482</v>
      </c>
      <c r="B4900" s="422"/>
      <c r="C4900" s="422"/>
      <c r="D4900" s="422" t="s">
        <v>1483</v>
      </c>
      <c r="E4900" s="422"/>
      <c r="F4900" s="422"/>
      <c r="G4900" s="422"/>
      <c r="H4900" s="422"/>
      <c r="I4900" s="443"/>
      <c r="J4900" s="422"/>
      <c r="K4900" s="444">
        <v>1532.14</v>
      </c>
    </row>
    <row r="4901" customHeight="1" spans="1:11">
      <c r="A4901" s="423" t="s">
        <v>1484</v>
      </c>
      <c r="B4901" s="424" t="s">
        <v>1714</v>
      </c>
      <c r="C4901" s="423" t="s">
        <v>1715</v>
      </c>
      <c r="D4901" s="423" t="s">
        <v>1716</v>
      </c>
      <c r="E4901" s="423" t="s">
        <v>1717</v>
      </c>
      <c r="F4901" s="423"/>
      <c r="G4901" s="425" t="s">
        <v>1718</v>
      </c>
      <c r="H4901" s="424" t="s">
        <v>1719</v>
      </c>
      <c r="I4901" s="424" t="s">
        <v>1720</v>
      </c>
      <c r="J4901" s="424" t="s">
        <v>1721</v>
      </c>
      <c r="K4901" s="424" t="s">
        <v>1722</v>
      </c>
    </row>
    <row r="4902" customHeight="1" spans="1:11">
      <c r="A4902" s="426" t="s">
        <v>1723</v>
      </c>
      <c r="B4902" s="427" t="s">
        <v>1485</v>
      </c>
      <c r="C4902" s="426" t="s">
        <v>76</v>
      </c>
      <c r="D4902" s="426" t="s">
        <v>1486</v>
      </c>
      <c r="E4902" s="426">
        <v>14</v>
      </c>
      <c r="F4902" s="426"/>
      <c r="G4902" s="428" t="s">
        <v>73</v>
      </c>
      <c r="H4902" s="429">
        <v>1</v>
      </c>
      <c r="I4902" s="445"/>
      <c r="J4902" s="445">
        <v>628.92</v>
      </c>
      <c r="K4902" s="445">
        <v>628.92</v>
      </c>
    </row>
    <row r="4903" customHeight="1" spans="1:11">
      <c r="A4903" s="438" t="s">
        <v>1750</v>
      </c>
      <c r="B4903" s="439" t="s">
        <v>3345</v>
      </c>
      <c r="C4903" s="438" t="s">
        <v>76</v>
      </c>
      <c r="D4903" s="438" t="s">
        <v>3346</v>
      </c>
      <c r="E4903" s="438" t="s">
        <v>1631</v>
      </c>
      <c r="F4903" s="438"/>
      <c r="G4903" s="440" t="s">
        <v>73</v>
      </c>
      <c r="H4903" s="441">
        <v>1.1</v>
      </c>
      <c r="I4903" s="441">
        <v>0</v>
      </c>
      <c r="J4903" s="449">
        <v>62.54</v>
      </c>
      <c r="K4903" s="449">
        <v>68.79</v>
      </c>
    </row>
    <row r="4904" customHeight="1" spans="1:11">
      <c r="A4904" s="438" t="s">
        <v>1750</v>
      </c>
      <c r="B4904" s="439" t="s">
        <v>3347</v>
      </c>
      <c r="C4904" s="438" t="s">
        <v>76</v>
      </c>
      <c r="D4904" s="438" t="s">
        <v>3348</v>
      </c>
      <c r="E4904" s="438" t="s">
        <v>1631</v>
      </c>
      <c r="F4904" s="438"/>
      <c r="G4904" s="440" t="s">
        <v>78</v>
      </c>
      <c r="H4904" s="441">
        <v>1.2551</v>
      </c>
      <c r="I4904" s="441">
        <v>20</v>
      </c>
      <c r="J4904" s="449">
        <v>62.93</v>
      </c>
      <c r="K4904" s="449">
        <v>94.78</v>
      </c>
    </row>
    <row r="4905" customHeight="1" spans="1:11">
      <c r="A4905" s="438" t="s">
        <v>1750</v>
      </c>
      <c r="B4905" s="439" t="s">
        <v>2211</v>
      </c>
      <c r="C4905" s="438" t="s">
        <v>76</v>
      </c>
      <c r="D4905" s="438" t="s">
        <v>2212</v>
      </c>
      <c r="E4905" s="438" t="s">
        <v>1764</v>
      </c>
      <c r="F4905" s="438"/>
      <c r="G4905" s="440" t="s">
        <v>82</v>
      </c>
      <c r="H4905" s="441">
        <v>8</v>
      </c>
      <c r="I4905" s="441">
        <v>3</v>
      </c>
      <c r="J4905" s="449">
        <v>28.55</v>
      </c>
      <c r="K4905" s="449">
        <v>235.25</v>
      </c>
    </row>
    <row r="4906" customHeight="1" spans="1:11">
      <c r="A4906" s="438" t="s">
        <v>1750</v>
      </c>
      <c r="B4906" s="439" t="s">
        <v>1767</v>
      </c>
      <c r="C4906" s="438" t="s">
        <v>76</v>
      </c>
      <c r="D4906" s="438" t="s">
        <v>1768</v>
      </c>
      <c r="E4906" s="438" t="s">
        <v>1764</v>
      </c>
      <c r="F4906" s="438"/>
      <c r="G4906" s="440" t="s">
        <v>82</v>
      </c>
      <c r="H4906" s="441">
        <v>8</v>
      </c>
      <c r="I4906" s="441">
        <v>3</v>
      </c>
      <c r="J4906" s="449">
        <v>19.16</v>
      </c>
      <c r="K4906" s="449">
        <v>157.87</v>
      </c>
    </row>
    <row r="4907" customHeight="1" spans="1:11">
      <c r="A4907" s="438" t="s">
        <v>1750</v>
      </c>
      <c r="B4907" s="439" t="s">
        <v>2163</v>
      </c>
      <c r="C4907" s="438" t="s">
        <v>76</v>
      </c>
      <c r="D4907" s="438" t="s">
        <v>2164</v>
      </c>
      <c r="E4907" s="438" t="s">
        <v>1631</v>
      </c>
      <c r="F4907" s="438"/>
      <c r="G4907" s="440" t="s">
        <v>158</v>
      </c>
      <c r="H4907" s="441">
        <v>7.68</v>
      </c>
      <c r="I4907" s="441">
        <v>10</v>
      </c>
      <c r="J4907" s="449">
        <v>8.55</v>
      </c>
      <c r="K4907" s="449">
        <v>72.23</v>
      </c>
    </row>
    <row r="4908" customHeight="1" spans="1:11">
      <c r="A4908" s="434"/>
      <c r="B4908" s="434"/>
      <c r="C4908" s="434"/>
      <c r="D4908" s="434"/>
      <c r="E4908" s="434"/>
      <c r="F4908" s="434" t="s">
        <v>1735</v>
      </c>
      <c r="G4908" s="435">
        <v>206</v>
      </c>
      <c r="H4908" s="434" t="s">
        <v>1736</v>
      </c>
      <c r="I4908" s="435">
        <v>187.12</v>
      </c>
      <c r="J4908" s="434" t="s">
        <v>1737</v>
      </c>
      <c r="K4908" s="435">
        <v>393.12</v>
      </c>
    </row>
    <row r="4909" customHeight="1" spans="1:11">
      <c r="A4909" s="434"/>
      <c r="B4909" s="434"/>
      <c r="C4909" s="434"/>
      <c r="D4909" s="434"/>
      <c r="E4909" s="434"/>
      <c r="F4909" s="434" t="s">
        <v>1738</v>
      </c>
      <c r="G4909" s="435">
        <v>155.09</v>
      </c>
      <c r="H4909" s="434"/>
      <c r="I4909" s="434" t="s">
        <v>1739</v>
      </c>
      <c r="J4909" s="434"/>
      <c r="K4909" s="435">
        <v>784.01</v>
      </c>
    </row>
    <row r="4910" customHeight="1" spans="1:11">
      <c r="A4910" s="436"/>
      <c r="B4910" s="436"/>
      <c r="C4910" s="436"/>
      <c r="D4910" s="436"/>
      <c r="E4910" s="436"/>
      <c r="F4910" s="436"/>
      <c r="G4910" s="436"/>
      <c r="H4910" s="436" t="s">
        <v>1740</v>
      </c>
      <c r="I4910" s="447" t="s">
        <v>3349</v>
      </c>
      <c r="J4910" s="436" t="s">
        <v>1742</v>
      </c>
      <c r="K4910" s="448">
        <v>109.76</v>
      </c>
    </row>
    <row r="4911" customHeight="1" spans="1:11">
      <c r="A4911" s="437"/>
      <c r="B4911" s="437"/>
      <c r="C4911" s="437"/>
      <c r="D4911" s="437"/>
      <c r="E4911" s="437"/>
      <c r="F4911" s="437"/>
      <c r="G4911" s="437"/>
      <c r="H4911" s="437"/>
      <c r="I4911" s="437"/>
      <c r="J4911" s="437"/>
      <c r="K4911" s="437"/>
    </row>
    <row r="4912" customHeight="1" spans="1:11">
      <c r="A4912" s="423" t="s">
        <v>1487</v>
      </c>
      <c r="B4912" s="424" t="s">
        <v>1714</v>
      </c>
      <c r="C4912" s="423" t="s">
        <v>1715</v>
      </c>
      <c r="D4912" s="423" t="s">
        <v>1716</v>
      </c>
      <c r="E4912" s="423" t="s">
        <v>1717</v>
      </c>
      <c r="F4912" s="423"/>
      <c r="G4912" s="425" t="s">
        <v>1718</v>
      </c>
      <c r="H4912" s="424" t="s">
        <v>1719</v>
      </c>
      <c r="I4912" s="424" t="s">
        <v>1720</v>
      </c>
      <c r="J4912" s="424" t="s">
        <v>1721</v>
      </c>
      <c r="K4912" s="424" t="s">
        <v>1722</v>
      </c>
    </row>
    <row r="4913" customHeight="1" spans="1:11">
      <c r="A4913" s="426" t="s">
        <v>1723</v>
      </c>
      <c r="B4913" s="427" t="s">
        <v>1488</v>
      </c>
      <c r="C4913" s="426" t="s">
        <v>65</v>
      </c>
      <c r="D4913" s="426" t="s">
        <v>1489</v>
      </c>
      <c r="E4913" s="426" t="s">
        <v>62</v>
      </c>
      <c r="F4913" s="426"/>
      <c r="G4913" s="428" t="s">
        <v>67</v>
      </c>
      <c r="H4913" s="429">
        <v>1</v>
      </c>
      <c r="I4913" s="445"/>
      <c r="J4913" s="445">
        <v>155.18</v>
      </c>
      <c r="K4913" s="445">
        <v>155.18</v>
      </c>
    </row>
    <row r="4914" customHeight="1" spans="1:11">
      <c r="A4914" s="438" t="s">
        <v>1750</v>
      </c>
      <c r="B4914" s="439" t="s">
        <v>2945</v>
      </c>
      <c r="C4914" s="438" t="s">
        <v>65</v>
      </c>
      <c r="D4914" s="438" t="s">
        <v>2946</v>
      </c>
      <c r="E4914" s="438" t="s">
        <v>1631</v>
      </c>
      <c r="F4914" s="438"/>
      <c r="G4914" s="440" t="s">
        <v>67</v>
      </c>
      <c r="H4914" s="441">
        <v>1</v>
      </c>
      <c r="I4914" s="441">
        <v>0</v>
      </c>
      <c r="J4914" s="449">
        <v>155.18</v>
      </c>
      <c r="K4914" s="449">
        <v>155.18</v>
      </c>
    </row>
    <row r="4915" customHeight="1" spans="1:11">
      <c r="A4915" s="434"/>
      <c r="B4915" s="434"/>
      <c r="C4915" s="434"/>
      <c r="D4915" s="434"/>
      <c r="E4915" s="434"/>
      <c r="F4915" s="434" t="s">
        <v>1735</v>
      </c>
      <c r="G4915" s="435">
        <v>0</v>
      </c>
      <c r="H4915" s="434" t="s">
        <v>1736</v>
      </c>
      <c r="I4915" s="435">
        <v>0</v>
      </c>
      <c r="J4915" s="434" t="s">
        <v>1737</v>
      </c>
      <c r="K4915" s="435">
        <v>0</v>
      </c>
    </row>
    <row r="4916" customHeight="1" spans="1:11">
      <c r="A4916" s="434"/>
      <c r="B4916" s="434"/>
      <c r="C4916" s="434"/>
      <c r="D4916" s="434"/>
      <c r="E4916" s="434"/>
      <c r="F4916" s="434" t="s">
        <v>1738</v>
      </c>
      <c r="G4916" s="435">
        <v>38.26</v>
      </c>
      <c r="H4916" s="434"/>
      <c r="I4916" s="434" t="s">
        <v>1739</v>
      </c>
      <c r="J4916" s="434"/>
      <c r="K4916" s="435">
        <v>193.44</v>
      </c>
    </row>
    <row r="4917" customHeight="1" spans="1:11">
      <c r="A4917" s="436"/>
      <c r="B4917" s="436"/>
      <c r="C4917" s="436"/>
      <c r="D4917" s="436"/>
      <c r="E4917" s="436"/>
      <c r="F4917" s="436"/>
      <c r="G4917" s="436"/>
      <c r="H4917" s="436" t="s">
        <v>1740</v>
      </c>
      <c r="I4917" s="447" t="s">
        <v>1971</v>
      </c>
      <c r="J4917" s="436" t="s">
        <v>1742</v>
      </c>
      <c r="K4917" s="448">
        <v>386.88</v>
      </c>
    </row>
    <row r="4918" customHeight="1" spans="1:11">
      <c r="A4918" s="437"/>
      <c r="B4918" s="437"/>
      <c r="C4918" s="437"/>
      <c r="D4918" s="437"/>
      <c r="E4918" s="437"/>
      <c r="F4918" s="437"/>
      <c r="G4918" s="437"/>
      <c r="H4918" s="437"/>
      <c r="I4918" s="437"/>
      <c r="J4918" s="437"/>
      <c r="K4918" s="437"/>
    </row>
    <row r="4919" customHeight="1" spans="1:11">
      <c r="A4919" s="423" t="s">
        <v>1490</v>
      </c>
      <c r="B4919" s="424" t="s">
        <v>1714</v>
      </c>
      <c r="C4919" s="423" t="s">
        <v>1715</v>
      </c>
      <c r="D4919" s="423" t="s">
        <v>1716</v>
      </c>
      <c r="E4919" s="423" t="s">
        <v>1717</v>
      </c>
      <c r="F4919" s="423"/>
      <c r="G4919" s="425" t="s">
        <v>1718</v>
      </c>
      <c r="H4919" s="424" t="s">
        <v>1719</v>
      </c>
      <c r="I4919" s="424" t="s">
        <v>1720</v>
      </c>
      <c r="J4919" s="424" t="s">
        <v>1721</v>
      </c>
      <c r="K4919" s="424" t="s">
        <v>1722</v>
      </c>
    </row>
    <row r="4920" customHeight="1" spans="1:11">
      <c r="A4920" s="426" t="s">
        <v>1723</v>
      </c>
      <c r="B4920" s="427" t="s">
        <v>1491</v>
      </c>
      <c r="C4920" s="426" t="s">
        <v>76</v>
      </c>
      <c r="D4920" s="426" t="s">
        <v>1492</v>
      </c>
      <c r="E4920" s="426">
        <v>9</v>
      </c>
      <c r="F4920" s="426"/>
      <c r="G4920" s="428" t="s">
        <v>105</v>
      </c>
      <c r="H4920" s="429">
        <v>1</v>
      </c>
      <c r="I4920" s="445"/>
      <c r="J4920" s="445">
        <v>83.07</v>
      </c>
      <c r="K4920" s="445">
        <v>83.07</v>
      </c>
    </row>
    <row r="4921" customHeight="1" spans="1:11">
      <c r="A4921" s="430" t="s">
        <v>1724</v>
      </c>
      <c r="B4921" s="431" t="s">
        <v>3350</v>
      </c>
      <c r="C4921" s="430" t="s">
        <v>76</v>
      </c>
      <c r="D4921" s="430" t="s">
        <v>3351</v>
      </c>
      <c r="E4921" s="430">
        <v>19</v>
      </c>
      <c r="F4921" s="430"/>
      <c r="G4921" s="432" t="s">
        <v>82</v>
      </c>
      <c r="H4921" s="433">
        <v>0.031</v>
      </c>
      <c r="I4921" s="433">
        <v>0</v>
      </c>
      <c r="J4921" s="446">
        <v>81.79</v>
      </c>
      <c r="K4921" s="446">
        <v>2.53</v>
      </c>
    </row>
    <row r="4922" customHeight="1" spans="1:11">
      <c r="A4922" s="438" t="s">
        <v>1750</v>
      </c>
      <c r="B4922" s="439" t="s">
        <v>3199</v>
      </c>
      <c r="C4922" s="438" t="s">
        <v>76</v>
      </c>
      <c r="D4922" s="438" t="s">
        <v>3200</v>
      </c>
      <c r="E4922" s="438" t="s">
        <v>1764</v>
      </c>
      <c r="F4922" s="438"/>
      <c r="G4922" s="440" t="s">
        <v>82</v>
      </c>
      <c r="H4922" s="441">
        <v>5</v>
      </c>
      <c r="I4922" s="441">
        <v>3</v>
      </c>
      <c r="J4922" s="449">
        <v>15.64</v>
      </c>
      <c r="K4922" s="449">
        <v>80.54</v>
      </c>
    </row>
    <row r="4923" customHeight="1" spans="1:11">
      <c r="A4923" s="434"/>
      <c r="B4923" s="434"/>
      <c r="C4923" s="434"/>
      <c r="D4923" s="434"/>
      <c r="E4923" s="434"/>
      <c r="F4923" s="434" t="s">
        <v>1735</v>
      </c>
      <c r="G4923" s="435">
        <v>42.63</v>
      </c>
      <c r="H4923" s="434" t="s">
        <v>1736</v>
      </c>
      <c r="I4923" s="435">
        <v>38.73</v>
      </c>
      <c r="J4923" s="434" t="s">
        <v>1737</v>
      </c>
      <c r="K4923" s="435">
        <v>81.36</v>
      </c>
    </row>
    <row r="4924" customHeight="1" spans="1:11">
      <c r="A4924" s="434"/>
      <c r="B4924" s="434"/>
      <c r="C4924" s="434"/>
      <c r="D4924" s="434"/>
      <c r="E4924" s="434"/>
      <c r="F4924" s="434" t="s">
        <v>1738</v>
      </c>
      <c r="G4924" s="435">
        <v>20.48</v>
      </c>
      <c r="H4924" s="434"/>
      <c r="I4924" s="434" t="s">
        <v>1739</v>
      </c>
      <c r="J4924" s="434"/>
      <c r="K4924" s="435">
        <v>103.55</v>
      </c>
    </row>
    <row r="4925" customHeight="1" spans="1:11">
      <c r="A4925" s="436"/>
      <c r="B4925" s="436"/>
      <c r="C4925" s="436"/>
      <c r="D4925" s="436"/>
      <c r="E4925" s="436"/>
      <c r="F4925" s="436"/>
      <c r="G4925" s="436"/>
      <c r="H4925" s="436" t="s">
        <v>1740</v>
      </c>
      <c r="I4925" s="447" t="s">
        <v>1964</v>
      </c>
      <c r="J4925" s="436" t="s">
        <v>1742</v>
      </c>
      <c r="K4925" s="448">
        <v>1035.5</v>
      </c>
    </row>
    <row r="4926" customHeight="1" spans="1:11">
      <c r="A4926" s="437"/>
      <c r="B4926" s="437"/>
      <c r="C4926" s="437"/>
      <c r="D4926" s="437"/>
      <c r="E4926" s="437"/>
      <c r="F4926" s="437"/>
      <c r="G4926" s="437"/>
      <c r="H4926" s="437"/>
      <c r="I4926" s="437"/>
      <c r="J4926" s="437"/>
      <c r="K4926" s="437"/>
    </row>
    <row r="4927" customHeight="1" spans="1:11">
      <c r="A4927" s="422" t="s">
        <v>1493</v>
      </c>
      <c r="B4927" s="422"/>
      <c r="C4927" s="422"/>
      <c r="D4927" s="422" t="s">
        <v>43</v>
      </c>
      <c r="E4927" s="422"/>
      <c r="F4927" s="422"/>
      <c r="G4927" s="422"/>
      <c r="H4927" s="422"/>
      <c r="I4927" s="443"/>
      <c r="J4927" s="422"/>
      <c r="K4927" s="444">
        <v>210932.45</v>
      </c>
    </row>
    <row r="4928" customHeight="1" spans="1:11">
      <c r="A4928" s="423" t="s">
        <v>1494</v>
      </c>
      <c r="B4928" s="424" t="s">
        <v>1714</v>
      </c>
      <c r="C4928" s="423" t="s">
        <v>1715</v>
      </c>
      <c r="D4928" s="423" t="s">
        <v>1716</v>
      </c>
      <c r="E4928" s="423" t="s">
        <v>1717</v>
      </c>
      <c r="F4928" s="423"/>
      <c r="G4928" s="425" t="s">
        <v>1718</v>
      </c>
      <c r="H4928" s="424" t="s">
        <v>1719</v>
      </c>
      <c r="I4928" s="424" t="s">
        <v>1720</v>
      </c>
      <c r="J4928" s="424" t="s">
        <v>1721</v>
      </c>
      <c r="K4928" s="424" t="s">
        <v>1722</v>
      </c>
    </row>
    <row r="4929" customHeight="1" spans="1:11">
      <c r="A4929" s="426" t="s">
        <v>1723</v>
      </c>
      <c r="B4929" s="427" t="s">
        <v>1495</v>
      </c>
      <c r="C4929" s="426" t="s">
        <v>76</v>
      </c>
      <c r="D4929" s="426" t="s">
        <v>1496</v>
      </c>
      <c r="E4929" s="426">
        <v>18</v>
      </c>
      <c r="F4929" s="426"/>
      <c r="G4929" s="428" t="s">
        <v>105</v>
      </c>
      <c r="H4929" s="429">
        <v>1</v>
      </c>
      <c r="I4929" s="445"/>
      <c r="J4929" s="445">
        <v>57164.67</v>
      </c>
      <c r="K4929" s="445">
        <v>57164.67</v>
      </c>
    </row>
    <row r="4930" customHeight="1" spans="1:11">
      <c r="A4930" s="438" t="s">
        <v>1750</v>
      </c>
      <c r="B4930" s="439" t="s">
        <v>3352</v>
      </c>
      <c r="C4930" s="438" t="s">
        <v>76</v>
      </c>
      <c r="D4930" s="438" t="s">
        <v>3353</v>
      </c>
      <c r="E4930" s="438" t="s">
        <v>1631</v>
      </c>
      <c r="F4930" s="438"/>
      <c r="G4930" s="440" t="s">
        <v>105</v>
      </c>
      <c r="H4930" s="441">
        <v>1</v>
      </c>
      <c r="I4930" s="441">
        <v>0</v>
      </c>
      <c r="J4930" s="449">
        <v>57000</v>
      </c>
      <c r="K4930" s="449">
        <v>57000</v>
      </c>
    </row>
    <row r="4931" customHeight="1" spans="1:11">
      <c r="A4931" s="438" t="s">
        <v>1750</v>
      </c>
      <c r="B4931" s="439" t="s">
        <v>2660</v>
      </c>
      <c r="C4931" s="438" t="s">
        <v>76</v>
      </c>
      <c r="D4931" s="438" t="s">
        <v>2661</v>
      </c>
      <c r="E4931" s="438" t="s">
        <v>1764</v>
      </c>
      <c r="F4931" s="438"/>
      <c r="G4931" s="440" t="s">
        <v>82</v>
      </c>
      <c r="H4931" s="441">
        <v>3.5</v>
      </c>
      <c r="I4931" s="441">
        <v>3</v>
      </c>
      <c r="J4931" s="449">
        <v>26.52</v>
      </c>
      <c r="K4931" s="449">
        <v>95.6</v>
      </c>
    </row>
    <row r="4932" customHeight="1" spans="1:11">
      <c r="A4932" s="438" t="s">
        <v>1750</v>
      </c>
      <c r="B4932" s="439" t="s">
        <v>1767</v>
      </c>
      <c r="C4932" s="438" t="s">
        <v>76</v>
      </c>
      <c r="D4932" s="438" t="s">
        <v>1768</v>
      </c>
      <c r="E4932" s="438" t="s">
        <v>1764</v>
      </c>
      <c r="F4932" s="438"/>
      <c r="G4932" s="440" t="s">
        <v>82</v>
      </c>
      <c r="H4932" s="441">
        <v>3.5</v>
      </c>
      <c r="I4932" s="441">
        <v>3</v>
      </c>
      <c r="J4932" s="449">
        <v>19.16</v>
      </c>
      <c r="K4932" s="449">
        <v>69.07</v>
      </c>
    </row>
    <row r="4933" customHeight="1" spans="1:11">
      <c r="A4933" s="434"/>
      <c r="B4933" s="434"/>
      <c r="C4933" s="434"/>
      <c r="D4933" s="434"/>
      <c r="E4933" s="434"/>
      <c r="F4933" s="434" t="s">
        <v>1735</v>
      </c>
      <c r="G4933" s="435">
        <v>86.29</v>
      </c>
      <c r="H4933" s="434" t="s">
        <v>1736</v>
      </c>
      <c r="I4933" s="435">
        <v>78.38</v>
      </c>
      <c r="J4933" s="434" t="s">
        <v>1737</v>
      </c>
      <c r="K4933" s="435">
        <v>164.67</v>
      </c>
    </row>
    <row r="4934" customHeight="1" spans="1:11">
      <c r="A4934" s="434"/>
      <c r="B4934" s="434"/>
      <c r="C4934" s="434"/>
      <c r="D4934" s="434"/>
      <c r="E4934" s="434"/>
      <c r="F4934" s="434" t="s">
        <v>1738</v>
      </c>
      <c r="G4934" s="435">
        <v>14096.8</v>
      </c>
      <c r="H4934" s="434"/>
      <c r="I4934" s="434" t="s">
        <v>1739</v>
      </c>
      <c r="J4934" s="434"/>
      <c r="K4934" s="435">
        <v>71261.47</v>
      </c>
    </row>
    <row r="4935" customHeight="1" spans="1:11">
      <c r="A4935" s="436"/>
      <c r="B4935" s="436"/>
      <c r="C4935" s="436"/>
      <c r="D4935" s="436"/>
      <c r="E4935" s="436"/>
      <c r="F4935" s="436"/>
      <c r="G4935" s="436"/>
      <c r="H4935" s="436" t="s">
        <v>1740</v>
      </c>
      <c r="I4935" s="447" t="s">
        <v>1741</v>
      </c>
      <c r="J4935" s="436" t="s">
        <v>1742</v>
      </c>
      <c r="K4935" s="448">
        <v>71261.47</v>
      </c>
    </row>
    <row r="4936" customHeight="1" spans="1:11">
      <c r="A4936" s="437"/>
      <c r="B4936" s="437"/>
      <c r="C4936" s="437"/>
      <c r="D4936" s="437"/>
      <c r="E4936" s="437"/>
      <c r="F4936" s="437"/>
      <c r="G4936" s="437"/>
      <c r="H4936" s="437"/>
      <c r="I4936" s="437"/>
      <c r="J4936" s="437"/>
      <c r="K4936" s="437"/>
    </row>
    <row r="4937" customHeight="1" spans="1:11">
      <c r="A4937" s="423" t="s">
        <v>1497</v>
      </c>
      <c r="B4937" s="424" t="s">
        <v>1714</v>
      </c>
      <c r="C4937" s="423" t="s">
        <v>1715</v>
      </c>
      <c r="D4937" s="423" t="s">
        <v>1716</v>
      </c>
      <c r="E4937" s="423" t="s">
        <v>1717</v>
      </c>
      <c r="F4937" s="423"/>
      <c r="G4937" s="425" t="s">
        <v>1718</v>
      </c>
      <c r="H4937" s="424" t="s">
        <v>1719</v>
      </c>
      <c r="I4937" s="424" t="s">
        <v>1720</v>
      </c>
      <c r="J4937" s="424" t="s">
        <v>1721</v>
      </c>
      <c r="K4937" s="424" t="s">
        <v>1722</v>
      </c>
    </row>
    <row r="4938" customHeight="1" spans="1:11">
      <c r="A4938" s="426" t="s">
        <v>1723</v>
      </c>
      <c r="B4938" s="427" t="s">
        <v>1498</v>
      </c>
      <c r="C4938" s="426" t="s">
        <v>65</v>
      </c>
      <c r="D4938" s="426" t="s">
        <v>1499</v>
      </c>
      <c r="E4938" s="426">
        <v>36.01</v>
      </c>
      <c r="F4938" s="426"/>
      <c r="G4938" s="428" t="s">
        <v>1079</v>
      </c>
      <c r="H4938" s="429">
        <v>1</v>
      </c>
      <c r="I4938" s="445"/>
      <c r="J4938" s="445">
        <v>112041.54</v>
      </c>
      <c r="K4938" s="445">
        <v>112041.54</v>
      </c>
    </row>
    <row r="4939" customHeight="1" spans="1:11">
      <c r="A4939" s="430" t="s">
        <v>1724</v>
      </c>
      <c r="B4939" s="431" t="s">
        <v>2903</v>
      </c>
      <c r="C4939" s="430" t="s">
        <v>71</v>
      </c>
      <c r="D4939" s="430" t="s">
        <v>2904</v>
      </c>
      <c r="E4939" s="430" t="s">
        <v>1708</v>
      </c>
      <c r="F4939" s="430"/>
      <c r="G4939" s="432" t="s">
        <v>82</v>
      </c>
      <c r="H4939" s="433">
        <v>2</v>
      </c>
      <c r="I4939" s="433">
        <v>0</v>
      </c>
      <c r="J4939" s="446">
        <v>40.65</v>
      </c>
      <c r="K4939" s="446">
        <v>81.3</v>
      </c>
    </row>
    <row r="4940" customHeight="1" spans="1:11">
      <c r="A4940" s="430" t="s">
        <v>1724</v>
      </c>
      <c r="B4940" s="431" t="s">
        <v>2387</v>
      </c>
      <c r="C4940" s="430" t="s">
        <v>71</v>
      </c>
      <c r="D4940" s="430" t="s">
        <v>2388</v>
      </c>
      <c r="E4940" s="430" t="s">
        <v>1708</v>
      </c>
      <c r="F4940" s="430"/>
      <c r="G4940" s="432" t="s">
        <v>82</v>
      </c>
      <c r="H4940" s="433">
        <v>8</v>
      </c>
      <c r="I4940" s="433">
        <v>0</v>
      </c>
      <c r="J4940" s="446">
        <v>36.82</v>
      </c>
      <c r="K4940" s="446">
        <v>294.56</v>
      </c>
    </row>
    <row r="4941" customHeight="1" spans="1:11">
      <c r="A4941" s="430" t="s">
        <v>1724</v>
      </c>
      <c r="B4941" s="431" t="s">
        <v>2247</v>
      </c>
      <c r="C4941" s="430" t="s">
        <v>71</v>
      </c>
      <c r="D4941" s="430" t="s">
        <v>2248</v>
      </c>
      <c r="E4941" s="430" t="s">
        <v>1708</v>
      </c>
      <c r="F4941" s="430"/>
      <c r="G4941" s="432" t="s">
        <v>82</v>
      </c>
      <c r="H4941" s="433">
        <v>8</v>
      </c>
      <c r="I4941" s="433">
        <v>0</v>
      </c>
      <c r="J4941" s="446">
        <v>30.31</v>
      </c>
      <c r="K4941" s="446">
        <v>242.48</v>
      </c>
    </row>
    <row r="4942" customHeight="1" spans="1:11">
      <c r="A4942" s="438" t="s">
        <v>1750</v>
      </c>
      <c r="B4942" s="439" t="s">
        <v>3354</v>
      </c>
      <c r="C4942" s="438" t="s">
        <v>1934</v>
      </c>
      <c r="D4942" s="438" t="s">
        <v>3355</v>
      </c>
      <c r="E4942" s="438" t="s">
        <v>1631</v>
      </c>
      <c r="F4942" s="438"/>
      <c r="G4942" s="440" t="s">
        <v>2367</v>
      </c>
      <c r="H4942" s="441">
        <v>16</v>
      </c>
      <c r="I4942" s="441">
        <v>0</v>
      </c>
      <c r="J4942" s="449">
        <v>268.96</v>
      </c>
      <c r="K4942" s="449">
        <v>4303.36</v>
      </c>
    </row>
    <row r="4943" customHeight="1" spans="1:11">
      <c r="A4943" s="438" t="s">
        <v>1750</v>
      </c>
      <c r="B4943" s="439" t="s">
        <v>3356</v>
      </c>
      <c r="C4943" s="438" t="s">
        <v>1934</v>
      </c>
      <c r="D4943" s="438" t="s">
        <v>3357</v>
      </c>
      <c r="E4943" s="438" t="s">
        <v>1631</v>
      </c>
      <c r="F4943" s="438"/>
      <c r="G4943" s="440" t="s">
        <v>3358</v>
      </c>
      <c r="H4943" s="441">
        <v>1</v>
      </c>
      <c r="I4943" s="441">
        <v>0</v>
      </c>
      <c r="J4943" s="449">
        <v>107119.84</v>
      </c>
      <c r="K4943" s="449">
        <v>107119.84</v>
      </c>
    </row>
    <row r="4944" customHeight="1" spans="1:11">
      <c r="A4944" s="434"/>
      <c r="B4944" s="434"/>
      <c r="C4944" s="434"/>
      <c r="D4944" s="434"/>
      <c r="E4944" s="434"/>
      <c r="F4944" s="434" t="s">
        <v>1735</v>
      </c>
      <c r="G4944" s="435">
        <v>229.73</v>
      </c>
      <c r="H4944" s="434" t="s">
        <v>1736</v>
      </c>
      <c r="I4944" s="435">
        <v>208.67</v>
      </c>
      <c r="J4944" s="434" t="s">
        <v>1737</v>
      </c>
      <c r="K4944" s="435">
        <v>438.4</v>
      </c>
    </row>
    <row r="4945" customHeight="1" spans="1:11">
      <c r="A4945" s="434"/>
      <c r="B4945" s="434"/>
      <c r="C4945" s="434"/>
      <c r="D4945" s="434"/>
      <c r="E4945" s="434"/>
      <c r="F4945" s="434" t="s">
        <v>1738</v>
      </c>
      <c r="G4945" s="435">
        <v>27629.44</v>
      </c>
      <c r="H4945" s="434"/>
      <c r="I4945" s="434" t="s">
        <v>1739</v>
      </c>
      <c r="J4945" s="434"/>
      <c r="K4945" s="435">
        <v>139670.98</v>
      </c>
    </row>
    <row r="4946" customHeight="1" spans="1:11">
      <c r="A4946" s="436"/>
      <c r="B4946" s="436"/>
      <c r="C4946" s="436"/>
      <c r="D4946" s="436"/>
      <c r="E4946" s="436"/>
      <c r="F4946" s="436"/>
      <c r="G4946" s="436"/>
      <c r="H4946" s="436" t="s">
        <v>1740</v>
      </c>
      <c r="I4946" s="447" t="s">
        <v>1741</v>
      </c>
      <c r="J4946" s="436" t="s">
        <v>1742</v>
      </c>
      <c r="K4946" s="448">
        <v>139670.98</v>
      </c>
    </row>
    <row r="4947" customHeight="1" spans="1:11">
      <c r="A4947" s="437"/>
      <c r="B4947" s="437"/>
      <c r="C4947" s="437"/>
      <c r="D4947" s="437"/>
      <c r="E4947" s="437"/>
      <c r="F4947" s="437"/>
      <c r="G4947" s="437"/>
      <c r="H4947" s="437"/>
      <c r="I4947" s="437"/>
      <c r="J4947" s="437"/>
      <c r="K4947" s="437"/>
    </row>
    <row r="4948" customHeight="1" spans="1:11">
      <c r="A4948" s="422" t="s">
        <v>1500</v>
      </c>
      <c r="B4948" s="422"/>
      <c r="C4948" s="422"/>
      <c r="D4948" s="422" t="s">
        <v>1501</v>
      </c>
      <c r="E4948" s="422"/>
      <c r="F4948" s="422"/>
      <c r="G4948" s="422"/>
      <c r="H4948" s="422"/>
      <c r="I4948" s="443"/>
      <c r="J4948" s="422"/>
      <c r="K4948" s="444">
        <v>11176.12</v>
      </c>
    </row>
    <row r="4949" customHeight="1" spans="1:11">
      <c r="A4949" s="423" t="s">
        <v>1502</v>
      </c>
      <c r="B4949" s="424" t="s">
        <v>1714</v>
      </c>
      <c r="C4949" s="423" t="s">
        <v>1715</v>
      </c>
      <c r="D4949" s="423" t="s">
        <v>1716</v>
      </c>
      <c r="E4949" s="423" t="s">
        <v>1717</v>
      </c>
      <c r="F4949" s="423"/>
      <c r="G4949" s="425" t="s">
        <v>1718</v>
      </c>
      <c r="H4949" s="424" t="s">
        <v>1719</v>
      </c>
      <c r="I4949" s="424" t="s">
        <v>1720</v>
      </c>
      <c r="J4949" s="424" t="s">
        <v>1721</v>
      </c>
      <c r="K4949" s="424" t="s">
        <v>1722</v>
      </c>
    </row>
    <row r="4950" customHeight="1" spans="1:11">
      <c r="A4950" s="426" t="s">
        <v>1723</v>
      </c>
      <c r="B4950" s="427" t="s">
        <v>1503</v>
      </c>
      <c r="C4950" s="426" t="s">
        <v>71</v>
      </c>
      <c r="D4950" s="426" t="s">
        <v>1504</v>
      </c>
      <c r="E4950" s="426" t="s">
        <v>1692</v>
      </c>
      <c r="F4950" s="426"/>
      <c r="G4950" s="428" t="s">
        <v>105</v>
      </c>
      <c r="H4950" s="429">
        <v>1</v>
      </c>
      <c r="I4950" s="445"/>
      <c r="J4950" s="445">
        <v>51.58</v>
      </c>
      <c r="K4950" s="445">
        <v>51.58</v>
      </c>
    </row>
    <row r="4951" customHeight="1" spans="1:11">
      <c r="A4951" s="430" t="s">
        <v>1724</v>
      </c>
      <c r="B4951" s="431" t="s">
        <v>2387</v>
      </c>
      <c r="C4951" s="430" t="s">
        <v>71</v>
      </c>
      <c r="D4951" s="430" t="s">
        <v>2388</v>
      </c>
      <c r="E4951" s="430" t="s">
        <v>1708</v>
      </c>
      <c r="F4951" s="430"/>
      <c r="G4951" s="432" t="s">
        <v>82</v>
      </c>
      <c r="H4951" s="433">
        <v>0.070857</v>
      </c>
      <c r="I4951" s="433">
        <v>0</v>
      </c>
      <c r="J4951" s="446">
        <v>36.82</v>
      </c>
      <c r="K4951" s="446">
        <v>2.6</v>
      </c>
    </row>
    <row r="4952" customHeight="1" spans="1:11">
      <c r="A4952" s="430" t="s">
        <v>1724</v>
      </c>
      <c r="B4952" s="431" t="s">
        <v>2385</v>
      </c>
      <c r="C4952" s="430" t="s">
        <v>71</v>
      </c>
      <c r="D4952" s="430" t="s">
        <v>2386</v>
      </c>
      <c r="E4952" s="430" t="s">
        <v>1708</v>
      </c>
      <c r="F4952" s="430"/>
      <c r="G4952" s="432" t="s">
        <v>82</v>
      </c>
      <c r="H4952" s="433">
        <v>0.070857</v>
      </c>
      <c r="I4952" s="433">
        <v>0</v>
      </c>
      <c r="J4952" s="446">
        <v>30.6</v>
      </c>
      <c r="K4952" s="446">
        <v>2.16</v>
      </c>
    </row>
    <row r="4953" customHeight="1" spans="1:11">
      <c r="A4953" s="438" t="s">
        <v>1750</v>
      </c>
      <c r="B4953" s="439" t="s">
        <v>3359</v>
      </c>
      <c r="C4953" s="438" t="s">
        <v>71</v>
      </c>
      <c r="D4953" s="438" t="s">
        <v>3360</v>
      </c>
      <c r="E4953" s="438" t="s">
        <v>1631</v>
      </c>
      <c r="F4953" s="438"/>
      <c r="G4953" s="440" t="s">
        <v>105</v>
      </c>
      <c r="H4953" s="441">
        <v>2</v>
      </c>
      <c r="I4953" s="441">
        <v>0</v>
      </c>
      <c r="J4953" s="449">
        <v>1.06</v>
      </c>
      <c r="K4953" s="449">
        <v>2.12</v>
      </c>
    </row>
    <row r="4954" customHeight="1" spans="1:11">
      <c r="A4954" s="438" t="s">
        <v>1750</v>
      </c>
      <c r="B4954" s="439" t="s">
        <v>3361</v>
      </c>
      <c r="C4954" s="438" t="s">
        <v>71</v>
      </c>
      <c r="D4954" s="438" t="s">
        <v>3362</v>
      </c>
      <c r="E4954" s="438" t="s">
        <v>1631</v>
      </c>
      <c r="F4954" s="438"/>
      <c r="G4954" s="440" t="s">
        <v>105</v>
      </c>
      <c r="H4954" s="441">
        <v>1</v>
      </c>
      <c r="I4954" s="441">
        <v>0</v>
      </c>
      <c r="J4954" s="449">
        <v>44.7</v>
      </c>
      <c r="K4954" s="449">
        <v>44.7</v>
      </c>
    </row>
    <row r="4955" customHeight="1" spans="1:11">
      <c r="A4955" s="434"/>
      <c r="B4955" s="434"/>
      <c r="C4955" s="434"/>
      <c r="D4955" s="434"/>
      <c r="E4955" s="434"/>
      <c r="F4955" s="434" t="s">
        <v>1735</v>
      </c>
      <c r="G4955" s="435">
        <v>1.75</v>
      </c>
      <c r="H4955" s="434" t="s">
        <v>1736</v>
      </c>
      <c r="I4955" s="435">
        <v>1.59</v>
      </c>
      <c r="J4955" s="434" t="s">
        <v>1737</v>
      </c>
      <c r="K4955" s="435">
        <v>3.34</v>
      </c>
    </row>
    <row r="4956" customHeight="1" spans="1:11">
      <c r="A4956" s="434"/>
      <c r="B4956" s="434"/>
      <c r="C4956" s="434"/>
      <c r="D4956" s="434"/>
      <c r="E4956" s="434"/>
      <c r="F4956" s="434" t="s">
        <v>1738</v>
      </c>
      <c r="G4956" s="435">
        <v>12.71</v>
      </c>
      <c r="H4956" s="434"/>
      <c r="I4956" s="434" t="s">
        <v>1739</v>
      </c>
      <c r="J4956" s="434"/>
      <c r="K4956" s="435">
        <v>64.29</v>
      </c>
    </row>
    <row r="4957" customHeight="1" spans="1:11">
      <c r="A4957" s="436"/>
      <c r="B4957" s="436"/>
      <c r="C4957" s="436"/>
      <c r="D4957" s="436"/>
      <c r="E4957" s="436"/>
      <c r="F4957" s="436"/>
      <c r="G4957" s="436"/>
      <c r="H4957" s="436" t="s">
        <v>1740</v>
      </c>
      <c r="I4957" s="447" t="s">
        <v>2964</v>
      </c>
      <c r="J4957" s="436" t="s">
        <v>1742</v>
      </c>
      <c r="K4957" s="448">
        <v>900.06</v>
      </c>
    </row>
    <row r="4958" customHeight="1" spans="1:11">
      <c r="A4958" s="437"/>
      <c r="B4958" s="437"/>
      <c r="C4958" s="437"/>
      <c r="D4958" s="437"/>
      <c r="E4958" s="437"/>
      <c r="F4958" s="437"/>
      <c r="G4958" s="437"/>
      <c r="H4958" s="437"/>
      <c r="I4958" s="437"/>
      <c r="J4958" s="437"/>
      <c r="K4958" s="437"/>
    </row>
    <row r="4959" customHeight="1" spans="1:11">
      <c r="A4959" s="423" t="s">
        <v>1505</v>
      </c>
      <c r="B4959" s="424" t="s">
        <v>1714</v>
      </c>
      <c r="C4959" s="423" t="s">
        <v>1715</v>
      </c>
      <c r="D4959" s="423" t="s">
        <v>1716</v>
      </c>
      <c r="E4959" s="423" t="s">
        <v>1717</v>
      </c>
      <c r="F4959" s="423"/>
      <c r="G4959" s="425" t="s">
        <v>1718</v>
      </c>
      <c r="H4959" s="424" t="s">
        <v>1719</v>
      </c>
      <c r="I4959" s="424" t="s">
        <v>1720</v>
      </c>
      <c r="J4959" s="424" t="s">
        <v>1721</v>
      </c>
      <c r="K4959" s="424" t="s">
        <v>1722</v>
      </c>
    </row>
    <row r="4960" customHeight="1" spans="1:11">
      <c r="A4960" s="426" t="s">
        <v>1723</v>
      </c>
      <c r="B4960" s="427" t="s">
        <v>1506</v>
      </c>
      <c r="C4960" s="426" t="s">
        <v>71</v>
      </c>
      <c r="D4960" s="426" t="s">
        <v>1507</v>
      </c>
      <c r="E4960" s="426" t="s">
        <v>1692</v>
      </c>
      <c r="F4960" s="426"/>
      <c r="G4960" s="428" t="s">
        <v>105</v>
      </c>
      <c r="H4960" s="429">
        <v>1</v>
      </c>
      <c r="I4960" s="445"/>
      <c r="J4960" s="445">
        <v>11.24</v>
      </c>
      <c r="K4960" s="445">
        <v>11.24</v>
      </c>
    </row>
    <row r="4961" customHeight="1" spans="1:11">
      <c r="A4961" s="430" t="s">
        <v>1724</v>
      </c>
      <c r="B4961" s="431" t="s">
        <v>2385</v>
      </c>
      <c r="C4961" s="430" t="s">
        <v>71</v>
      </c>
      <c r="D4961" s="430" t="s">
        <v>2386</v>
      </c>
      <c r="E4961" s="430" t="s">
        <v>1708</v>
      </c>
      <c r="F4961" s="430"/>
      <c r="G4961" s="432" t="s">
        <v>82</v>
      </c>
      <c r="H4961" s="433">
        <v>0.035428</v>
      </c>
      <c r="I4961" s="433">
        <v>0</v>
      </c>
      <c r="J4961" s="446">
        <v>30.6</v>
      </c>
      <c r="K4961" s="446">
        <v>1.08</v>
      </c>
    </row>
    <row r="4962" customHeight="1" spans="1:11">
      <c r="A4962" s="430" t="s">
        <v>1724</v>
      </c>
      <c r="B4962" s="431" t="s">
        <v>2387</v>
      </c>
      <c r="C4962" s="430" t="s">
        <v>71</v>
      </c>
      <c r="D4962" s="430" t="s">
        <v>2388</v>
      </c>
      <c r="E4962" s="430" t="s">
        <v>1708</v>
      </c>
      <c r="F4962" s="430"/>
      <c r="G4962" s="432" t="s">
        <v>82</v>
      </c>
      <c r="H4962" s="433">
        <v>0.035428</v>
      </c>
      <c r="I4962" s="433">
        <v>0</v>
      </c>
      <c r="J4962" s="446">
        <v>36.82</v>
      </c>
      <c r="K4962" s="446">
        <v>1.3</v>
      </c>
    </row>
    <row r="4963" customHeight="1" spans="1:11">
      <c r="A4963" s="438" t="s">
        <v>1750</v>
      </c>
      <c r="B4963" s="439" t="s">
        <v>3359</v>
      </c>
      <c r="C4963" s="438" t="s">
        <v>71</v>
      </c>
      <c r="D4963" s="438" t="s">
        <v>3360</v>
      </c>
      <c r="E4963" s="438" t="s">
        <v>1631</v>
      </c>
      <c r="F4963" s="438"/>
      <c r="G4963" s="440" t="s">
        <v>105</v>
      </c>
      <c r="H4963" s="441">
        <v>1</v>
      </c>
      <c r="I4963" s="441">
        <v>0</v>
      </c>
      <c r="J4963" s="449">
        <v>1.06</v>
      </c>
      <c r="K4963" s="449">
        <v>1.06</v>
      </c>
    </row>
    <row r="4964" customHeight="1" spans="1:11">
      <c r="A4964" s="438" t="s">
        <v>1750</v>
      </c>
      <c r="B4964" s="439" t="s">
        <v>3363</v>
      </c>
      <c r="C4964" s="438" t="s">
        <v>71</v>
      </c>
      <c r="D4964" s="438" t="s">
        <v>3364</v>
      </c>
      <c r="E4964" s="438" t="s">
        <v>1631</v>
      </c>
      <c r="F4964" s="438"/>
      <c r="G4964" s="440" t="s">
        <v>105</v>
      </c>
      <c r="H4964" s="441">
        <v>1</v>
      </c>
      <c r="I4964" s="441">
        <v>0</v>
      </c>
      <c r="J4964" s="449">
        <v>7.8</v>
      </c>
      <c r="K4964" s="449">
        <v>7.8</v>
      </c>
    </row>
    <row r="4965" customHeight="1" spans="1:11">
      <c r="A4965" s="434"/>
      <c r="B4965" s="434"/>
      <c r="C4965" s="434"/>
      <c r="D4965" s="434"/>
      <c r="E4965" s="434"/>
      <c r="F4965" s="434" t="s">
        <v>1735</v>
      </c>
      <c r="G4965" s="435">
        <v>0.86</v>
      </c>
      <c r="H4965" s="434" t="s">
        <v>1736</v>
      </c>
      <c r="I4965" s="435">
        <v>0.8</v>
      </c>
      <c r="J4965" s="434" t="s">
        <v>1737</v>
      </c>
      <c r="K4965" s="435">
        <v>1.66</v>
      </c>
    </row>
    <row r="4966" customHeight="1" spans="1:11">
      <c r="A4966" s="434"/>
      <c r="B4966" s="434"/>
      <c r="C4966" s="434"/>
      <c r="D4966" s="434"/>
      <c r="E4966" s="434"/>
      <c r="F4966" s="434" t="s">
        <v>1738</v>
      </c>
      <c r="G4966" s="435">
        <v>2.77</v>
      </c>
      <c r="H4966" s="434"/>
      <c r="I4966" s="434" t="s">
        <v>1739</v>
      </c>
      <c r="J4966" s="434"/>
      <c r="K4966" s="435">
        <v>14.01</v>
      </c>
    </row>
    <row r="4967" customHeight="1" spans="1:11">
      <c r="A4967" s="436"/>
      <c r="B4967" s="436"/>
      <c r="C4967" s="436"/>
      <c r="D4967" s="436"/>
      <c r="E4967" s="436"/>
      <c r="F4967" s="436"/>
      <c r="G4967" s="436"/>
      <c r="H4967" s="436" t="s">
        <v>1740</v>
      </c>
      <c r="I4967" s="447" t="s">
        <v>1741</v>
      </c>
      <c r="J4967" s="436" t="s">
        <v>1742</v>
      </c>
      <c r="K4967" s="448">
        <v>14.01</v>
      </c>
    </row>
    <row r="4968" customHeight="1" spans="1:11">
      <c r="A4968" s="437"/>
      <c r="B4968" s="437"/>
      <c r="C4968" s="437"/>
      <c r="D4968" s="437"/>
      <c r="E4968" s="437"/>
      <c r="F4968" s="437"/>
      <c r="G4968" s="437"/>
      <c r="H4968" s="437"/>
      <c r="I4968" s="437"/>
      <c r="J4968" s="437"/>
      <c r="K4968" s="437"/>
    </row>
    <row r="4969" customHeight="1" spans="1:11">
      <c r="A4969" s="423" t="s">
        <v>1508</v>
      </c>
      <c r="B4969" s="424" t="s">
        <v>1714</v>
      </c>
      <c r="C4969" s="423" t="s">
        <v>1715</v>
      </c>
      <c r="D4969" s="423" t="s">
        <v>1716</v>
      </c>
      <c r="E4969" s="423" t="s">
        <v>1717</v>
      </c>
      <c r="F4969" s="423"/>
      <c r="G4969" s="425" t="s">
        <v>1718</v>
      </c>
      <c r="H4969" s="424" t="s">
        <v>1719</v>
      </c>
      <c r="I4969" s="424" t="s">
        <v>1720</v>
      </c>
      <c r="J4969" s="424" t="s">
        <v>1721</v>
      </c>
      <c r="K4969" s="424" t="s">
        <v>1722</v>
      </c>
    </row>
    <row r="4970" customHeight="1" spans="1:11">
      <c r="A4970" s="426" t="s">
        <v>1723</v>
      </c>
      <c r="B4970" s="427" t="s">
        <v>1509</v>
      </c>
      <c r="C4970" s="426" t="s">
        <v>71</v>
      </c>
      <c r="D4970" s="426" t="s">
        <v>1510</v>
      </c>
      <c r="E4970" s="426" t="s">
        <v>1692</v>
      </c>
      <c r="F4970" s="426"/>
      <c r="G4970" s="428" t="s">
        <v>105</v>
      </c>
      <c r="H4970" s="429">
        <v>1</v>
      </c>
      <c r="I4970" s="445"/>
      <c r="J4970" s="445">
        <v>11.24</v>
      </c>
      <c r="K4970" s="445">
        <v>11.24</v>
      </c>
    </row>
    <row r="4971" customHeight="1" spans="1:11">
      <c r="A4971" s="430" t="s">
        <v>1724</v>
      </c>
      <c r="B4971" s="431" t="s">
        <v>2387</v>
      </c>
      <c r="C4971" s="430" t="s">
        <v>71</v>
      </c>
      <c r="D4971" s="430" t="s">
        <v>2388</v>
      </c>
      <c r="E4971" s="430" t="s">
        <v>1708</v>
      </c>
      <c r="F4971" s="430"/>
      <c r="G4971" s="432" t="s">
        <v>82</v>
      </c>
      <c r="H4971" s="433">
        <v>0.035428</v>
      </c>
      <c r="I4971" s="433">
        <v>0</v>
      </c>
      <c r="J4971" s="446">
        <v>36.82</v>
      </c>
      <c r="K4971" s="446">
        <v>1.3</v>
      </c>
    </row>
    <row r="4972" customHeight="1" spans="1:11">
      <c r="A4972" s="430" t="s">
        <v>1724</v>
      </c>
      <c r="B4972" s="431" t="s">
        <v>2385</v>
      </c>
      <c r="C4972" s="430" t="s">
        <v>71</v>
      </c>
      <c r="D4972" s="430" t="s">
        <v>2386</v>
      </c>
      <c r="E4972" s="430" t="s">
        <v>1708</v>
      </c>
      <c r="F4972" s="430"/>
      <c r="G4972" s="432" t="s">
        <v>82</v>
      </c>
      <c r="H4972" s="433">
        <v>0.035428</v>
      </c>
      <c r="I4972" s="433">
        <v>0</v>
      </c>
      <c r="J4972" s="446">
        <v>30.6</v>
      </c>
      <c r="K4972" s="446">
        <v>1.08</v>
      </c>
    </row>
    <row r="4973" customHeight="1" spans="1:11">
      <c r="A4973" s="438" t="s">
        <v>1750</v>
      </c>
      <c r="B4973" s="439" t="s">
        <v>3359</v>
      </c>
      <c r="C4973" s="438" t="s">
        <v>71</v>
      </c>
      <c r="D4973" s="438" t="s">
        <v>3360</v>
      </c>
      <c r="E4973" s="438" t="s">
        <v>1631</v>
      </c>
      <c r="F4973" s="438"/>
      <c r="G4973" s="440" t="s">
        <v>105</v>
      </c>
      <c r="H4973" s="441">
        <v>1</v>
      </c>
      <c r="I4973" s="441">
        <v>0</v>
      </c>
      <c r="J4973" s="449">
        <v>1.06</v>
      </c>
      <c r="K4973" s="449">
        <v>1.06</v>
      </c>
    </row>
    <row r="4974" customHeight="1" spans="1:11">
      <c r="A4974" s="438" t="s">
        <v>1750</v>
      </c>
      <c r="B4974" s="439" t="s">
        <v>3363</v>
      </c>
      <c r="C4974" s="438" t="s">
        <v>71</v>
      </c>
      <c r="D4974" s="438" t="s">
        <v>3364</v>
      </c>
      <c r="E4974" s="438" t="s">
        <v>1631</v>
      </c>
      <c r="F4974" s="438"/>
      <c r="G4974" s="440" t="s">
        <v>105</v>
      </c>
      <c r="H4974" s="441">
        <v>1</v>
      </c>
      <c r="I4974" s="441">
        <v>0</v>
      </c>
      <c r="J4974" s="449">
        <v>7.8</v>
      </c>
      <c r="K4974" s="449">
        <v>7.8</v>
      </c>
    </row>
    <row r="4975" customHeight="1" spans="1:11">
      <c r="A4975" s="434"/>
      <c r="B4975" s="434"/>
      <c r="C4975" s="434"/>
      <c r="D4975" s="434"/>
      <c r="E4975" s="434"/>
      <c r="F4975" s="434" t="s">
        <v>1735</v>
      </c>
      <c r="G4975" s="435">
        <v>0.86</v>
      </c>
      <c r="H4975" s="434" t="s">
        <v>1736</v>
      </c>
      <c r="I4975" s="435">
        <v>0.8</v>
      </c>
      <c r="J4975" s="434" t="s">
        <v>1737</v>
      </c>
      <c r="K4975" s="435">
        <v>1.66</v>
      </c>
    </row>
    <row r="4976" customHeight="1" spans="1:11">
      <c r="A4976" s="434"/>
      <c r="B4976" s="434"/>
      <c r="C4976" s="434"/>
      <c r="D4976" s="434"/>
      <c r="E4976" s="434"/>
      <c r="F4976" s="434" t="s">
        <v>1738</v>
      </c>
      <c r="G4976" s="435">
        <v>2.77</v>
      </c>
      <c r="H4976" s="434"/>
      <c r="I4976" s="434" t="s">
        <v>1739</v>
      </c>
      <c r="J4976" s="434"/>
      <c r="K4976" s="435">
        <v>14.01</v>
      </c>
    </row>
    <row r="4977" customHeight="1" spans="1:11">
      <c r="A4977" s="436"/>
      <c r="B4977" s="436"/>
      <c r="C4977" s="436"/>
      <c r="D4977" s="436"/>
      <c r="E4977" s="436"/>
      <c r="F4977" s="436"/>
      <c r="G4977" s="436"/>
      <c r="H4977" s="436" t="s">
        <v>1740</v>
      </c>
      <c r="I4977" s="447" t="s">
        <v>3365</v>
      </c>
      <c r="J4977" s="436" t="s">
        <v>1742</v>
      </c>
      <c r="K4977" s="448">
        <v>490.35</v>
      </c>
    </row>
    <row r="4978" customHeight="1" spans="1:11">
      <c r="A4978" s="437"/>
      <c r="B4978" s="437"/>
      <c r="C4978" s="437"/>
      <c r="D4978" s="437"/>
      <c r="E4978" s="437"/>
      <c r="F4978" s="437"/>
      <c r="G4978" s="437"/>
      <c r="H4978" s="437"/>
      <c r="I4978" s="437"/>
      <c r="J4978" s="437"/>
      <c r="K4978" s="437"/>
    </row>
    <row r="4979" customHeight="1" spans="1:11">
      <c r="A4979" s="423" t="s">
        <v>1511</v>
      </c>
      <c r="B4979" s="424" t="s">
        <v>1714</v>
      </c>
      <c r="C4979" s="423" t="s">
        <v>1715</v>
      </c>
      <c r="D4979" s="423" t="s">
        <v>1716</v>
      </c>
      <c r="E4979" s="423" t="s">
        <v>1717</v>
      </c>
      <c r="F4979" s="423"/>
      <c r="G4979" s="425" t="s">
        <v>1718</v>
      </c>
      <c r="H4979" s="424" t="s">
        <v>1719</v>
      </c>
      <c r="I4979" s="424" t="s">
        <v>1720</v>
      </c>
      <c r="J4979" s="424" t="s">
        <v>1721</v>
      </c>
      <c r="K4979" s="424" t="s">
        <v>1722</v>
      </c>
    </row>
    <row r="4980" customHeight="1" spans="1:11">
      <c r="A4980" s="426" t="s">
        <v>1723</v>
      </c>
      <c r="B4980" s="427" t="s">
        <v>1512</v>
      </c>
      <c r="C4980" s="426" t="s">
        <v>71</v>
      </c>
      <c r="D4980" s="426" t="s">
        <v>1513</v>
      </c>
      <c r="E4980" s="426" t="s">
        <v>1692</v>
      </c>
      <c r="F4980" s="426"/>
      <c r="G4980" s="428" t="s">
        <v>105</v>
      </c>
      <c r="H4980" s="429">
        <v>1</v>
      </c>
      <c r="I4980" s="445"/>
      <c r="J4980" s="445">
        <v>51.58</v>
      </c>
      <c r="K4980" s="445">
        <v>51.58</v>
      </c>
    </row>
    <row r="4981" customHeight="1" spans="1:11">
      <c r="A4981" s="430" t="s">
        <v>1724</v>
      </c>
      <c r="B4981" s="431" t="s">
        <v>2387</v>
      </c>
      <c r="C4981" s="430" t="s">
        <v>71</v>
      </c>
      <c r="D4981" s="430" t="s">
        <v>2388</v>
      </c>
      <c r="E4981" s="430" t="s">
        <v>1708</v>
      </c>
      <c r="F4981" s="430"/>
      <c r="G4981" s="432" t="s">
        <v>82</v>
      </c>
      <c r="H4981" s="433">
        <v>0.070857</v>
      </c>
      <c r="I4981" s="433">
        <v>0</v>
      </c>
      <c r="J4981" s="446">
        <v>36.82</v>
      </c>
      <c r="K4981" s="446">
        <v>2.6</v>
      </c>
    </row>
    <row r="4982" customHeight="1" spans="1:11">
      <c r="A4982" s="430" t="s">
        <v>1724</v>
      </c>
      <c r="B4982" s="431" t="s">
        <v>2385</v>
      </c>
      <c r="C4982" s="430" t="s">
        <v>71</v>
      </c>
      <c r="D4982" s="430" t="s">
        <v>2386</v>
      </c>
      <c r="E4982" s="430" t="s">
        <v>1708</v>
      </c>
      <c r="F4982" s="430"/>
      <c r="G4982" s="432" t="s">
        <v>82</v>
      </c>
      <c r="H4982" s="433">
        <v>0.070857</v>
      </c>
      <c r="I4982" s="433">
        <v>0</v>
      </c>
      <c r="J4982" s="446">
        <v>30.6</v>
      </c>
      <c r="K4982" s="446">
        <v>2.16</v>
      </c>
    </row>
    <row r="4983" customHeight="1" spans="1:11">
      <c r="A4983" s="438" t="s">
        <v>1750</v>
      </c>
      <c r="B4983" s="439" t="s">
        <v>3359</v>
      </c>
      <c r="C4983" s="438" t="s">
        <v>71</v>
      </c>
      <c r="D4983" s="438" t="s">
        <v>3360</v>
      </c>
      <c r="E4983" s="438" t="s">
        <v>1631</v>
      </c>
      <c r="F4983" s="438"/>
      <c r="G4983" s="440" t="s">
        <v>105</v>
      </c>
      <c r="H4983" s="441">
        <v>2</v>
      </c>
      <c r="I4983" s="441">
        <v>0</v>
      </c>
      <c r="J4983" s="449">
        <v>1.06</v>
      </c>
      <c r="K4983" s="449">
        <v>2.12</v>
      </c>
    </row>
    <row r="4984" customHeight="1" spans="1:11">
      <c r="A4984" s="438" t="s">
        <v>1750</v>
      </c>
      <c r="B4984" s="439" t="s">
        <v>3361</v>
      </c>
      <c r="C4984" s="438" t="s">
        <v>71</v>
      </c>
      <c r="D4984" s="438" t="s">
        <v>3362</v>
      </c>
      <c r="E4984" s="438" t="s">
        <v>1631</v>
      </c>
      <c r="F4984" s="438"/>
      <c r="G4984" s="440" t="s">
        <v>105</v>
      </c>
      <c r="H4984" s="441">
        <v>1</v>
      </c>
      <c r="I4984" s="441">
        <v>0</v>
      </c>
      <c r="J4984" s="449">
        <v>44.7</v>
      </c>
      <c r="K4984" s="449">
        <v>44.7</v>
      </c>
    </row>
    <row r="4985" customHeight="1" spans="1:11">
      <c r="A4985" s="434"/>
      <c r="B4985" s="434"/>
      <c r="C4985" s="434"/>
      <c r="D4985" s="434"/>
      <c r="E4985" s="434"/>
      <c r="F4985" s="434" t="s">
        <v>1735</v>
      </c>
      <c r="G4985" s="435">
        <v>1.75</v>
      </c>
      <c r="H4985" s="434" t="s">
        <v>1736</v>
      </c>
      <c r="I4985" s="435">
        <v>1.59</v>
      </c>
      <c r="J4985" s="434" t="s">
        <v>1737</v>
      </c>
      <c r="K4985" s="435">
        <v>3.34</v>
      </c>
    </row>
    <row r="4986" customHeight="1" spans="1:11">
      <c r="A4986" s="434"/>
      <c r="B4986" s="434"/>
      <c r="C4986" s="434"/>
      <c r="D4986" s="434"/>
      <c r="E4986" s="434"/>
      <c r="F4986" s="434" t="s">
        <v>1738</v>
      </c>
      <c r="G4986" s="435">
        <v>12.71</v>
      </c>
      <c r="H4986" s="434"/>
      <c r="I4986" s="434" t="s">
        <v>1739</v>
      </c>
      <c r="J4986" s="434"/>
      <c r="K4986" s="435">
        <v>64.29</v>
      </c>
    </row>
    <row r="4987" customHeight="1" spans="1:11">
      <c r="A4987" s="436"/>
      <c r="B4987" s="436"/>
      <c r="C4987" s="436"/>
      <c r="D4987" s="436"/>
      <c r="E4987" s="436"/>
      <c r="F4987" s="436"/>
      <c r="G4987" s="436"/>
      <c r="H4987" s="436" t="s">
        <v>1740</v>
      </c>
      <c r="I4987" s="447" t="s">
        <v>2384</v>
      </c>
      <c r="J4987" s="436" t="s">
        <v>1742</v>
      </c>
      <c r="K4987" s="448">
        <v>450.03</v>
      </c>
    </row>
    <row r="4988" customHeight="1" spans="1:11">
      <c r="A4988" s="437"/>
      <c r="B4988" s="437"/>
      <c r="C4988" s="437"/>
      <c r="D4988" s="437"/>
      <c r="E4988" s="437"/>
      <c r="F4988" s="437"/>
      <c r="G4988" s="437"/>
      <c r="H4988" s="437"/>
      <c r="I4988" s="437"/>
      <c r="J4988" s="437"/>
      <c r="K4988" s="437"/>
    </row>
    <row r="4989" customHeight="1" spans="1:11">
      <c r="A4989" s="423" t="s">
        <v>1514</v>
      </c>
      <c r="B4989" s="424" t="s">
        <v>1714</v>
      </c>
      <c r="C4989" s="423" t="s">
        <v>1715</v>
      </c>
      <c r="D4989" s="423" t="s">
        <v>1716</v>
      </c>
      <c r="E4989" s="423" t="s">
        <v>1717</v>
      </c>
      <c r="F4989" s="423"/>
      <c r="G4989" s="425" t="s">
        <v>1718</v>
      </c>
      <c r="H4989" s="424" t="s">
        <v>1719</v>
      </c>
      <c r="I4989" s="424" t="s">
        <v>1720</v>
      </c>
      <c r="J4989" s="424" t="s">
        <v>1721</v>
      </c>
      <c r="K4989" s="424" t="s">
        <v>1722</v>
      </c>
    </row>
    <row r="4990" customHeight="1" spans="1:11">
      <c r="A4990" s="426" t="s">
        <v>1723</v>
      </c>
      <c r="B4990" s="427" t="s">
        <v>1515</v>
      </c>
      <c r="C4990" s="426" t="s">
        <v>76</v>
      </c>
      <c r="D4990" s="426" t="s">
        <v>1516</v>
      </c>
      <c r="E4990" s="426">
        <v>15</v>
      </c>
      <c r="F4990" s="426"/>
      <c r="G4990" s="428" t="s">
        <v>105</v>
      </c>
      <c r="H4990" s="429">
        <v>1</v>
      </c>
      <c r="I4990" s="445"/>
      <c r="J4990" s="445">
        <v>151.47</v>
      </c>
      <c r="K4990" s="445">
        <v>151.47</v>
      </c>
    </row>
    <row r="4991" customHeight="1" spans="1:11">
      <c r="A4991" s="438" t="s">
        <v>1750</v>
      </c>
      <c r="B4991" s="439" t="s">
        <v>2660</v>
      </c>
      <c r="C4991" s="438" t="s">
        <v>76</v>
      </c>
      <c r="D4991" s="438" t="s">
        <v>2661</v>
      </c>
      <c r="E4991" s="438" t="s">
        <v>1764</v>
      </c>
      <c r="F4991" s="438"/>
      <c r="G4991" s="440" t="s">
        <v>82</v>
      </c>
      <c r="H4991" s="441">
        <v>0.15</v>
      </c>
      <c r="I4991" s="441">
        <v>3</v>
      </c>
      <c r="J4991" s="449">
        <v>26.52</v>
      </c>
      <c r="K4991" s="449">
        <v>4.09</v>
      </c>
    </row>
    <row r="4992" customHeight="1" spans="1:11">
      <c r="A4992" s="438" t="s">
        <v>1750</v>
      </c>
      <c r="B4992" s="439" t="s">
        <v>3366</v>
      </c>
      <c r="C4992" s="438" t="s">
        <v>76</v>
      </c>
      <c r="D4992" s="438" t="s">
        <v>3367</v>
      </c>
      <c r="E4992" s="438" t="s">
        <v>1631</v>
      </c>
      <c r="F4992" s="438"/>
      <c r="G4992" s="440" t="s">
        <v>105</v>
      </c>
      <c r="H4992" s="441">
        <v>1</v>
      </c>
      <c r="I4992" s="441">
        <v>0</v>
      </c>
      <c r="J4992" s="449">
        <v>144.42</v>
      </c>
      <c r="K4992" s="449">
        <v>144.42</v>
      </c>
    </row>
    <row r="4993" customHeight="1" spans="1:11">
      <c r="A4993" s="438" t="s">
        <v>1750</v>
      </c>
      <c r="B4993" s="439" t="s">
        <v>1767</v>
      </c>
      <c r="C4993" s="438" t="s">
        <v>76</v>
      </c>
      <c r="D4993" s="438" t="s">
        <v>1768</v>
      </c>
      <c r="E4993" s="438" t="s">
        <v>1764</v>
      </c>
      <c r="F4993" s="438"/>
      <c r="G4993" s="440" t="s">
        <v>82</v>
      </c>
      <c r="H4993" s="441">
        <v>0.15</v>
      </c>
      <c r="I4993" s="441">
        <v>3</v>
      </c>
      <c r="J4993" s="449">
        <v>19.16</v>
      </c>
      <c r="K4993" s="449">
        <v>2.96</v>
      </c>
    </row>
    <row r="4994" customHeight="1" spans="1:11">
      <c r="A4994" s="434"/>
      <c r="B4994" s="434"/>
      <c r="C4994" s="434"/>
      <c r="D4994" s="434"/>
      <c r="E4994" s="434"/>
      <c r="F4994" s="434" t="s">
        <v>1735</v>
      </c>
      <c r="G4994" s="435">
        <v>3.69</v>
      </c>
      <c r="H4994" s="434" t="s">
        <v>1736</v>
      </c>
      <c r="I4994" s="435">
        <v>3.36</v>
      </c>
      <c r="J4994" s="434" t="s">
        <v>1737</v>
      </c>
      <c r="K4994" s="435">
        <v>7.05</v>
      </c>
    </row>
    <row r="4995" customHeight="1" spans="1:11">
      <c r="A4995" s="434"/>
      <c r="B4995" s="434"/>
      <c r="C4995" s="434"/>
      <c r="D4995" s="434"/>
      <c r="E4995" s="434"/>
      <c r="F4995" s="434" t="s">
        <v>1738</v>
      </c>
      <c r="G4995" s="435">
        <v>37.35</v>
      </c>
      <c r="H4995" s="434"/>
      <c r="I4995" s="434" t="s">
        <v>1739</v>
      </c>
      <c r="J4995" s="434"/>
      <c r="K4995" s="435">
        <v>188.82</v>
      </c>
    </row>
    <row r="4996" customHeight="1" spans="1:11">
      <c r="A4996" s="436"/>
      <c r="B4996" s="436"/>
      <c r="C4996" s="436"/>
      <c r="D4996" s="436"/>
      <c r="E4996" s="436"/>
      <c r="F4996" s="436"/>
      <c r="G4996" s="436"/>
      <c r="H4996" s="436" t="s">
        <v>1740</v>
      </c>
      <c r="I4996" s="447" t="s">
        <v>1741</v>
      </c>
      <c r="J4996" s="436" t="s">
        <v>1742</v>
      </c>
      <c r="K4996" s="448">
        <v>188.82</v>
      </c>
    </row>
    <row r="4997" customHeight="1" spans="1:11">
      <c r="A4997" s="437"/>
      <c r="B4997" s="437"/>
      <c r="C4997" s="437"/>
      <c r="D4997" s="437"/>
      <c r="E4997" s="437"/>
      <c r="F4997" s="437"/>
      <c r="G4997" s="437"/>
      <c r="H4997" s="437"/>
      <c r="I4997" s="437"/>
      <c r="J4997" s="437"/>
      <c r="K4997" s="437"/>
    </row>
    <row r="4998" customHeight="1" spans="1:11">
      <c r="A4998" s="423" t="s">
        <v>1517</v>
      </c>
      <c r="B4998" s="424" t="s">
        <v>1714</v>
      </c>
      <c r="C4998" s="423" t="s">
        <v>1715</v>
      </c>
      <c r="D4998" s="423" t="s">
        <v>1716</v>
      </c>
      <c r="E4998" s="423" t="s">
        <v>1717</v>
      </c>
      <c r="F4998" s="423"/>
      <c r="G4998" s="425" t="s">
        <v>1718</v>
      </c>
      <c r="H4998" s="424" t="s">
        <v>1719</v>
      </c>
      <c r="I4998" s="424" t="s">
        <v>1720</v>
      </c>
      <c r="J4998" s="424" t="s">
        <v>1721</v>
      </c>
      <c r="K4998" s="424" t="s">
        <v>1722</v>
      </c>
    </row>
    <row r="4999" customHeight="1" spans="1:11">
      <c r="A4999" s="426" t="s">
        <v>1723</v>
      </c>
      <c r="B4999" s="427" t="s">
        <v>1518</v>
      </c>
      <c r="C4999" s="426" t="s">
        <v>71</v>
      </c>
      <c r="D4999" s="426" t="s">
        <v>1519</v>
      </c>
      <c r="E4999" s="426" t="s">
        <v>1692</v>
      </c>
      <c r="F4999" s="426"/>
      <c r="G4999" s="428" t="s">
        <v>105</v>
      </c>
      <c r="H4999" s="429">
        <v>1</v>
      </c>
      <c r="I4999" s="445"/>
      <c r="J4999" s="445">
        <v>398.35</v>
      </c>
      <c r="K4999" s="445">
        <v>398.35</v>
      </c>
    </row>
    <row r="5000" customHeight="1" spans="1:11">
      <c r="A5000" s="430" t="s">
        <v>1724</v>
      </c>
      <c r="B5000" s="431" t="s">
        <v>2387</v>
      </c>
      <c r="C5000" s="430" t="s">
        <v>71</v>
      </c>
      <c r="D5000" s="430" t="s">
        <v>2388</v>
      </c>
      <c r="E5000" s="430" t="s">
        <v>1708</v>
      </c>
      <c r="F5000" s="430"/>
      <c r="G5000" s="432" t="s">
        <v>82</v>
      </c>
      <c r="H5000" s="433">
        <v>1.222415</v>
      </c>
      <c r="I5000" s="433">
        <v>0</v>
      </c>
      <c r="J5000" s="446">
        <v>36.82</v>
      </c>
      <c r="K5000" s="446">
        <v>45</v>
      </c>
    </row>
    <row r="5001" customHeight="1" spans="1:11">
      <c r="A5001" s="430" t="s">
        <v>1724</v>
      </c>
      <c r="B5001" s="431" t="s">
        <v>2385</v>
      </c>
      <c r="C5001" s="430" t="s">
        <v>71</v>
      </c>
      <c r="D5001" s="430" t="s">
        <v>2386</v>
      </c>
      <c r="E5001" s="430" t="s">
        <v>1708</v>
      </c>
      <c r="F5001" s="430"/>
      <c r="G5001" s="432" t="s">
        <v>82</v>
      </c>
      <c r="H5001" s="433">
        <v>1.222415</v>
      </c>
      <c r="I5001" s="433">
        <v>0</v>
      </c>
      <c r="J5001" s="446">
        <v>30.6</v>
      </c>
      <c r="K5001" s="446">
        <v>37.4</v>
      </c>
    </row>
    <row r="5002" customHeight="1" spans="1:11">
      <c r="A5002" s="438" t="s">
        <v>1750</v>
      </c>
      <c r="B5002" s="439" t="s">
        <v>3368</v>
      </c>
      <c r="C5002" s="438" t="s">
        <v>71</v>
      </c>
      <c r="D5002" s="438" t="s">
        <v>3369</v>
      </c>
      <c r="E5002" s="438" t="s">
        <v>1631</v>
      </c>
      <c r="F5002" s="438"/>
      <c r="G5002" s="440" t="s">
        <v>105</v>
      </c>
      <c r="H5002" s="441">
        <v>3</v>
      </c>
      <c r="I5002" s="441">
        <v>0</v>
      </c>
      <c r="J5002" s="449">
        <v>5.74</v>
      </c>
      <c r="K5002" s="449">
        <v>17.22</v>
      </c>
    </row>
    <row r="5003" customHeight="1" spans="1:11">
      <c r="A5003" s="438" t="s">
        <v>1750</v>
      </c>
      <c r="B5003" s="439" t="s">
        <v>3370</v>
      </c>
      <c r="C5003" s="438" t="s">
        <v>71</v>
      </c>
      <c r="D5003" s="438" t="s">
        <v>3371</v>
      </c>
      <c r="E5003" s="438" t="s">
        <v>1631</v>
      </c>
      <c r="F5003" s="438"/>
      <c r="G5003" s="440" t="s">
        <v>105</v>
      </c>
      <c r="H5003" s="441">
        <v>1</v>
      </c>
      <c r="I5003" s="441">
        <v>0</v>
      </c>
      <c r="J5003" s="449">
        <v>298.73</v>
      </c>
      <c r="K5003" s="449">
        <v>298.73</v>
      </c>
    </row>
    <row r="5004" customHeight="1" spans="1:11">
      <c r="A5004" s="434"/>
      <c r="B5004" s="434"/>
      <c r="C5004" s="434"/>
      <c r="D5004" s="434"/>
      <c r="E5004" s="434"/>
      <c r="F5004" s="434" t="s">
        <v>1735</v>
      </c>
      <c r="G5004" s="435">
        <v>30.3</v>
      </c>
      <c r="H5004" s="434" t="s">
        <v>1736</v>
      </c>
      <c r="I5004" s="435">
        <v>27.54</v>
      </c>
      <c r="J5004" s="434" t="s">
        <v>1737</v>
      </c>
      <c r="K5004" s="435">
        <v>57.84</v>
      </c>
    </row>
    <row r="5005" customHeight="1" spans="1:11">
      <c r="A5005" s="434"/>
      <c r="B5005" s="434"/>
      <c r="C5005" s="434"/>
      <c r="D5005" s="434"/>
      <c r="E5005" s="434"/>
      <c r="F5005" s="434" t="s">
        <v>1738</v>
      </c>
      <c r="G5005" s="435">
        <v>98.23</v>
      </c>
      <c r="H5005" s="434"/>
      <c r="I5005" s="434" t="s">
        <v>1739</v>
      </c>
      <c r="J5005" s="434"/>
      <c r="K5005" s="435">
        <v>496.58</v>
      </c>
    </row>
    <row r="5006" customHeight="1" spans="1:11">
      <c r="A5006" s="436"/>
      <c r="B5006" s="436"/>
      <c r="C5006" s="436"/>
      <c r="D5006" s="436"/>
      <c r="E5006" s="436"/>
      <c r="F5006" s="436"/>
      <c r="G5006" s="436"/>
      <c r="H5006" s="436" t="s">
        <v>1740</v>
      </c>
      <c r="I5006" s="447" t="s">
        <v>2339</v>
      </c>
      <c r="J5006" s="436" t="s">
        <v>1742</v>
      </c>
      <c r="K5006" s="448">
        <v>1489.74</v>
      </c>
    </row>
    <row r="5007" customHeight="1" spans="1:11">
      <c r="A5007" s="437"/>
      <c r="B5007" s="437"/>
      <c r="C5007" s="437"/>
      <c r="D5007" s="437"/>
      <c r="E5007" s="437"/>
      <c r="F5007" s="437"/>
      <c r="G5007" s="437"/>
      <c r="H5007" s="437"/>
      <c r="I5007" s="437"/>
      <c r="J5007" s="437"/>
      <c r="K5007" s="437"/>
    </row>
    <row r="5008" customHeight="1" spans="1:11">
      <c r="A5008" s="423" t="s">
        <v>1520</v>
      </c>
      <c r="B5008" s="424" t="s">
        <v>1714</v>
      </c>
      <c r="C5008" s="423" t="s">
        <v>1715</v>
      </c>
      <c r="D5008" s="423" t="s">
        <v>1716</v>
      </c>
      <c r="E5008" s="423" t="s">
        <v>1717</v>
      </c>
      <c r="F5008" s="423"/>
      <c r="G5008" s="425" t="s">
        <v>1718</v>
      </c>
      <c r="H5008" s="424" t="s">
        <v>1719</v>
      </c>
      <c r="I5008" s="424" t="s">
        <v>1720</v>
      </c>
      <c r="J5008" s="424" t="s">
        <v>1721</v>
      </c>
      <c r="K5008" s="424" t="s">
        <v>1722</v>
      </c>
    </row>
    <row r="5009" customHeight="1" spans="1:11">
      <c r="A5009" s="426" t="s">
        <v>1723</v>
      </c>
      <c r="B5009" s="427" t="s">
        <v>1521</v>
      </c>
      <c r="C5009" s="426" t="s">
        <v>512</v>
      </c>
      <c r="D5009" s="426" t="s">
        <v>1522</v>
      </c>
      <c r="E5009" s="426" t="s">
        <v>1648</v>
      </c>
      <c r="F5009" s="426"/>
      <c r="G5009" s="428" t="s">
        <v>67</v>
      </c>
      <c r="H5009" s="429">
        <v>1</v>
      </c>
      <c r="I5009" s="445"/>
      <c r="J5009" s="445">
        <v>114.93</v>
      </c>
      <c r="K5009" s="445">
        <v>114.93</v>
      </c>
    </row>
    <row r="5010" customHeight="1" spans="1:11">
      <c r="A5010" s="438" t="s">
        <v>1750</v>
      </c>
      <c r="B5010" s="439" t="s">
        <v>2373</v>
      </c>
      <c r="C5010" s="438" t="s">
        <v>512</v>
      </c>
      <c r="D5010" s="438" t="s">
        <v>2374</v>
      </c>
      <c r="E5010" s="438" t="s">
        <v>1764</v>
      </c>
      <c r="F5010" s="438"/>
      <c r="G5010" s="440" t="s">
        <v>2367</v>
      </c>
      <c r="H5010" s="441">
        <v>0.4</v>
      </c>
      <c r="I5010" s="441">
        <v>0</v>
      </c>
      <c r="J5010" s="449">
        <v>23.89</v>
      </c>
      <c r="K5010" s="449">
        <v>9.55</v>
      </c>
    </row>
    <row r="5011" customHeight="1" spans="1:11">
      <c r="A5011" s="438" t="s">
        <v>1750</v>
      </c>
      <c r="B5011" s="439" t="s">
        <v>3372</v>
      </c>
      <c r="C5011" s="438" t="s">
        <v>512</v>
      </c>
      <c r="D5011" s="438" t="s">
        <v>3373</v>
      </c>
      <c r="E5011" s="438" t="s">
        <v>1631</v>
      </c>
      <c r="F5011" s="438"/>
      <c r="G5011" s="440" t="s">
        <v>67</v>
      </c>
      <c r="H5011" s="441">
        <v>1</v>
      </c>
      <c r="I5011" s="441">
        <v>0</v>
      </c>
      <c r="J5011" s="449">
        <v>92.51</v>
      </c>
      <c r="K5011" s="449">
        <v>92.51</v>
      </c>
    </row>
    <row r="5012" customHeight="1" spans="1:11">
      <c r="A5012" s="438" t="s">
        <v>1750</v>
      </c>
      <c r="B5012" s="439" t="s">
        <v>2673</v>
      </c>
      <c r="C5012" s="438" t="s">
        <v>512</v>
      </c>
      <c r="D5012" s="438" t="s">
        <v>2674</v>
      </c>
      <c r="E5012" s="438" t="s">
        <v>1764</v>
      </c>
      <c r="F5012" s="438"/>
      <c r="G5012" s="440" t="s">
        <v>2367</v>
      </c>
      <c r="H5012" s="441">
        <v>0.4</v>
      </c>
      <c r="I5012" s="441">
        <v>0</v>
      </c>
      <c r="J5012" s="449">
        <v>30.57</v>
      </c>
      <c r="K5012" s="449">
        <v>12.22</v>
      </c>
    </row>
    <row r="5013" customHeight="1" spans="1:11">
      <c r="A5013" s="438" t="s">
        <v>1750</v>
      </c>
      <c r="B5013" s="439" t="s">
        <v>2370</v>
      </c>
      <c r="C5013" s="438" t="s">
        <v>512</v>
      </c>
      <c r="D5013" s="438" t="s">
        <v>2371</v>
      </c>
      <c r="E5013" s="438" t="s">
        <v>2372</v>
      </c>
      <c r="F5013" s="438"/>
      <c r="G5013" s="440" t="s">
        <v>1617</v>
      </c>
      <c r="H5013" s="441">
        <v>21.77</v>
      </c>
      <c r="I5013" s="441">
        <v>3</v>
      </c>
      <c r="J5013" s="449">
        <v>1</v>
      </c>
      <c r="K5013" s="449">
        <v>0.65</v>
      </c>
    </row>
    <row r="5014" customHeight="1" spans="1:11">
      <c r="A5014" s="434"/>
      <c r="B5014" s="434"/>
      <c r="C5014" s="434"/>
      <c r="D5014" s="434"/>
      <c r="E5014" s="434"/>
      <c r="F5014" s="434" t="s">
        <v>1735</v>
      </c>
      <c r="G5014" s="435">
        <v>11.4</v>
      </c>
      <c r="H5014" s="434" t="s">
        <v>1736</v>
      </c>
      <c r="I5014" s="435">
        <v>10.37</v>
      </c>
      <c r="J5014" s="434" t="s">
        <v>1737</v>
      </c>
      <c r="K5014" s="435">
        <v>21.77</v>
      </c>
    </row>
    <row r="5015" customHeight="1" spans="1:11">
      <c r="A5015" s="434"/>
      <c r="B5015" s="434"/>
      <c r="C5015" s="434"/>
      <c r="D5015" s="434"/>
      <c r="E5015" s="434"/>
      <c r="F5015" s="434" t="s">
        <v>1738</v>
      </c>
      <c r="G5015" s="435">
        <v>28.34</v>
      </c>
      <c r="H5015" s="434"/>
      <c r="I5015" s="434" t="s">
        <v>1739</v>
      </c>
      <c r="J5015" s="434"/>
      <c r="K5015" s="435">
        <v>143.27</v>
      </c>
    </row>
    <row r="5016" customHeight="1" spans="1:11">
      <c r="A5016" s="436"/>
      <c r="B5016" s="436"/>
      <c r="C5016" s="436"/>
      <c r="D5016" s="436"/>
      <c r="E5016" s="436"/>
      <c r="F5016" s="436"/>
      <c r="G5016" s="436"/>
      <c r="H5016" s="436" t="s">
        <v>1740</v>
      </c>
      <c r="I5016" s="447" t="s">
        <v>1971</v>
      </c>
      <c r="J5016" s="436" t="s">
        <v>1742</v>
      </c>
      <c r="K5016" s="448">
        <v>286.54</v>
      </c>
    </row>
    <row r="5017" customHeight="1" spans="1:11">
      <c r="A5017" s="437"/>
      <c r="B5017" s="437"/>
      <c r="C5017" s="437"/>
      <c r="D5017" s="437"/>
      <c r="E5017" s="437"/>
      <c r="F5017" s="437"/>
      <c r="G5017" s="437"/>
      <c r="H5017" s="437"/>
      <c r="I5017" s="437"/>
      <c r="J5017" s="437"/>
      <c r="K5017" s="437"/>
    </row>
    <row r="5018" customHeight="1" spans="1:11">
      <c r="A5018" s="423" t="s">
        <v>1523</v>
      </c>
      <c r="B5018" s="424" t="s">
        <v>1714</v>
      </c>
      <c r="C5018" s="423" t="s">
        <v>1715</v>
      </c>
      <c r="D5018" s="423" t="s">
        <v>1716</v>
      </c>
      <c r="E5018" s="423" t="s">
        <v>1717</v>
      </c>
      <c r="F5018" s="423"/>
      <c r="G5018" s="425" t="s">
        <v>1718</v>
      </c>
      <c r="H5018" s="424" t="s">
        <v>1719</v>
      </c>
      <c r="I5018" s="424" t="s">
        <v>1720</v>
      </c>
      <c r="J5018" s="424" t="s">
        <v>1721</v>
      </c>
      <c r="K5018" s="424" t="s">
        <v>1722</v>
      </c>
    </row>
    <row r="5019" customHeight="1" spans="1:11">
      <c r="A5019" s="426" t="s">
        <v>1723</v>
      </c>
      <c r="B5019" s="427" t="s">
        <v>1524</v>
      </c>
      <c r="C5019" s="426" t="s">
        <v>71</v>
      </c>
      <c r="D5019" s="426" t="s">
        <v>1525</v>
      </c>
      <c r="E5019" s="426" t="s">
        <v>1692</v>
      </c>
      <c r="F5019" s="426"/>
      <c r="G5019" s="428" t="s">
        <v>105</v>
      </c>
      <c r="H5019" s="429">
        <v>1</v>
      </c>
      <c r="I5019" s="445"/>
      <c r="J5019" s="445">
        <v>77.25</v>
      </c>
      <c r="K5019" s="445">
        <v>77.25</v>
      </c>
    </row>
    <row r="5020" customHeight="1" spans="1:11">
      <c r="A5020" s="430" t="s">
        <v>1724</v>
      </c>
      <c r="B5020" s="431" t="s">
        <v>2385</v>
      </c>
      <c r="C5020" s="430" t="s">
        <v>71</v>
      </c>
      <c r="D5020" s="430" t="s">
        <v>2386</v>
      </c>
      <c r="E5020" s="430" t="s">
        <v>1708</v>
      </c>
      <c r="F5020" s="430"/>
      <c r="G5020" s="432" t="s">
        <v>82</v>
      </c>
      <c r="H5020" s="433">
        <v>0.260377</v>
      </c>
      <c r="I5020" s="433">
        <v>0</v>
      </c>
      <c r="J5020" s="446">
        <v>30.6</v>
      </c>
      <c r="K5020" s="446">
        <v>7.96</v>
      </c>
    </row>
    <row r="5021" customHeight="1" spans="1:11">
      <c r="A5021" s="430" t="s">
        <v>1724</v>
      </c>
      <c r="B5021" s="431" t="s">
        <v>2387</v>
      </c>
      <c r="C5021" s="430" t="s">
        <v>71</v>
      </c>
      <c r="D5021" s="430" t="s">
        <v>2388</v>
      </c>
      <c r="E5021" s="430" t="s">
        <v>1708</v>
      </c>
      <c r="F5021" s="430"/>
      <c r="G5021" s="432" t="s">
        <v>82</v>
      </c>
      <c r="H5021" s="433">
        <v>0.260377</v>
      </c>
      <c r="I5021" s="433">
        <v>0</v>
      </c>
      <c r="J5021" s="446">
        <v>36.82</v>
      </c>
      <c r="K5021" s="446">
        <v>9.58</v>
      </c>
    </row>
    <row r="5022" customHeight="1" spans="1:11">
      <c r="A5022" s="438" t="s">
        <v>1750</v>
      </c>
      <c r="B5022" s="439" t="s">
        <v>3374</v>
      </c>
      <c r="C5022" s="438" t="s">
        <v>71</v>
      </c>
      <c r="D5022" s="438" t="s">
        <v>3375</v>
      </c>
      <c r="E5022" s="438" t="s">
        <v>1631</v>
      </c>
      <c r="F5022" s="438"/>
      <c r="G5022" s="440" t="s">
        <v>105</v>
      </c>
      <c r="H5022" s="441">
        <v>3</v>
      </c>
      <c r="I5022" s="441">
        <v>0</v>
      </c>
      <c r="J5022" s="449">
        <v>1.65</v>
      </c>
      <c r="K5022" s="449">
        <v>4.95</v>
      </c>
    </row>
    <row r="5023" customHeight="1" spans="1:11">
      <c r="A5023" s="438" t="s">
        <v>1750</v>
      </c>
      <c r="B5023" s="439" t="s">
        <v>3376</v>
      </c>
      <c r="C5023" s="438" t="s">
        <v>71</v>
      </c>
      <c r="D5023" s="438" t="s">
        <v>3377</v>
      </c>
      <c r="E5023" s="438" t="s">
        <v>1631</v>
      </c>
      <c r="F5023" s="438"/>
      <c r="G5023" s="440" t="s">
        <v>105</v>
      </c>
      <c r="H5023" s="441">
        <v>1</v>
      </c>
      <c r="I5023" s="441">
        <v>0</v>
      </c>
      <c r="J5023" s="449">
        <v>54.76</v>
      </c>
      <c r="K5023" s="449">
        <v>54.76</v>
      </c>
    </row>
    <row r="5024" customHeight="1" spans="1:11">
      <c r="A5024" s="434"/>
      <c r="B5024" s="434"/>
      <c r="C5024" s="434"/>
      <c r="D5024" s="434"/>
      <c r="E5024" s="434"/>
      <c r="F5024" s="434" t="s">
        <v>1735</v>
      </c>
      <c r="G5024" s="435">
        <v>6.45</v>
      </c>
      <c r="H5024" s="434" t="s">
        <v>1736</v>
      </c>
      <c r="I5024" s="435">
        <v>5.87</v>
      </c>
      <c r="J5024" s="434" t="s">
        <v>1737</v>
      </c>
      <c r="K5024" s="435">
        <v>12.32</v>
      </c>
    </row>
    <row r="5025" customHeight="1" spans="1:11">
      <c r="A5025" s="434"/>
      <c r="B5025" s="434"/>
      <c r="C5025" s="434"/>
      <c r="D5025" s="434"/>
      <c r="E5025" s="434"/>
      <c r="F5025" s="434" t="s">
        <v>1738</v>
      </c>
      <c r="G5025" s="435">
        <v>19.04</v>
      </c>
      <c r="H5025" s="434"/>
      <c r="I5025" s="434" t="s">
        <v>1739</v>
      </c>
      <c r="J5025" s="434"/>
      <c r="K5025" s="435">
        <v>96.29</v>
      </c>
    </row>
    <row r="5026" customHeight="1" spans="1:11">
      <c r="A5026" s="436"/>
      <c r="B5026" s="436"/>
      <c r="C5026" s="436"/>
      <c r="D5026" s="436"/>
      <c r="E5026" s="436"/>
      <c r="F5026" s="436"/>
      <c r="G5026" s="436"/>
      <c r="H5026" s="436" t="s">
        <v>1740</v>
      </c>
      <c r="I5026" s="447" t="s">
        <v>1971</v>
      </c>
      <c r="J5026" s="436" t="s">
        <v>1742</v>
      </c>
      <c r="K5026" s="448">
        <v>192.58</v>
      </c>
    </row>
    <row r="5027" customHeight="1" spans="1:11">
      <c r="A5027" s="437"/>
      <c r="B5027" s="437"/>
      <c r="C5027" s="437"/>
      <c r="D5027" s="437"/>
      <c r="E5027" s="437"/>
      <c r="F5027" s="437"/>
      <c r="G5027" s="437"/>
      <c r="H5027" s="437"/>
      <c r="I5027" s="437"/>
      <c r="J5027" s="437"/>
      <c r="K5027" s="437"/>
    </row>
    <row r="5028" customHeight="1" spans="1:11">
      <c r="A5028" s="423" t="s">
        <v>1526</v>
      </c>
      <c r="B5028" s="424" t="s">
        <v>1714</v>
      </c>
      <c r="C5028" s="423" t="s">
        <v>1715</v>
      </c>
      <c r="D5028" s="423" t="s">
        <v>1716</v>
      </c>
      <c r="E5028" s="423" t="s">
        <v>1717</v>
      </c>
      <c r="F5028" s="423"/>
      <c r="G5028" s="425" t="s">
        <v>1718</v>
      </c>
      <c r="H5028" s="424" t="s">
        <v>1719</v>
      </c>
      <c r="I5028" s="424" t="s">
        <v>1720</v>
      </c>
      <c r="J5028" s="424" t="s">
        <v>1721</v>
      </c>
      <c r="K5028" s="424" t="s">
        <v>1722</v>
      </c>
    </row>
    <row r="5029" customHeight="1" spans="1:11">
      <c r="A5029" s="426" t="s">
        <v>1723</v>
      </c>
      <c r="B5029" s="427" t="s">
        <v>1527</v>
      </c>
      <c r="C5029" s="426" t="s">
        <v>71</v>
      </c>
      <c r="D5029" s="426" t="s">
        <v>1528</v>
      </c>
      <c r="E5029" s="426" t="s">
        <v>1692</v>
      </c>
      <c r="F5029" s="426"/>
      <c r="G5029" s="428" t="s">
        <v>105</v>
      </c>
      <c r="H5029" s="429">
        <v>1</v>
      </c>
      <c r="I5029" s="445"/>
      <c r="J5029" s="445">
        <v>584.45</v>
      </c>
      <c r="K5029" s="445">
        <v>584.45</v>
      </c>
    </row>
    <row r="5030" customHeight="1" spans="1:11">
      <c r="A5030" s="430" t="s">
        <v>1724</v>
      </c>
      <c r="B5030" s="431" t="s">
        <v>2387</v>
      </c>
      <c r="C5030" s="430" t="s">
        <v>71</v>
      </c>
      <c r="D5030" s="430" t="s">
        <v>2388</v>
      </c>
      <c r="E5030" s="430" t="s">
        <v>1708</v>
      </c>
      <c r="F5030" s="430"/>
      <c r="G5030" s="432" t="s">
        <v>82</v>
      </c>
      <c r="H5030" s="433">
        <v>1.222415</v>
      </c>
      <c r="I5030" s="433">
        <v>0</v>
      </c>
      <c r="J5030" s="446">
        <v>36.82</v>
      </c>
      <c r="K5030" s="446">
        <v>45</v>
      </c>
    </row>
    <row r="5031" customHeight="1" spans="1:11">
      <c r="A5031" s="430" t="s">
        <v>1724</v>
      </c>
      <c r="B5031" s="431" t="s">
        <v>2385</v>
      </c>
      <c r="C5031" s="430" t="s">
        <v>71</v>
      </c>
      <c r="D5031" s="430" t="s">
        <v>2386</v>
      </c>
      <c r="E5031" s="430" t="s">
        <v>1708</v>
      </c>
      <c r="F5031" s="430"/>
      <c r="G5031" s="432" t="s">
        <v>82</v>
      </c>
      <c r="H5031" s="433">
        <v>1.222415</v>
      </c>
      <c r="I5031" s="433">
        <v>0</v>
      </c>
      <c r="J5031" s="446">
        <v>30.6</v>
      </c>
      <c r="K5031" s="446">
        <v>37.4</v>
      </c>
    </row>
    <row r="5032" customHeight="1" spans="1:11">
      <c r="A5032" s="438" t="s">
        <v>1750</v>
      </c>
      <c r="B5032" s="439" t="s">
        <v>3378</v>
      </c>
      <c r="C5032" s="438" t="s">
        <v>71</v>
      </c>
      <c r="D5032" s="438" t="s">
        <v>3379</v>
      </c>
      <c r="E5032" s="438" t="s">
        <v>1631</v>
      </c>
      <c r="F5032" s="438"/>
      <c r="G5032" s="440" t="s">
        <v>105</v>
      </c>
      <c r="H5032" s="441">
        <v>3</v>
      </c>
      <c r="I5032" s="441">
        <v>0</v>
      </c>
      <c r="J5032" s="449">
        <v>8.81</v>
      </c>
      <c r="K5032" s="449">
        <v>26.43</v>
      </c>
    </row>
    <row r="5033" customHeight="1" spans="1:11">
      <c r="A5033" s="438" t="s">
        <v>1750</v>
      </c>
      <c r="B5033" s="439" t="s">
        <v>3380</v>
      </c>
      <c r="C5033" s="438" t="s">
        <v>71</v>
      </c>
      <c r="D5033" s="438" t="s">
        <v>3381</v>
      </c>
      <c r="E5033" s="438" t="s">
        <v>1631</v>
      </c>
      <c r="F5033" s="438"/>
      <c r="G5033" s="440" t="s">
        <v>105</v>
      </c>
      <c r="H5033" s="441">
        <v>1</v>
      </c>
      <c r="I5033" s="441">
        <v>0</v>
      </c>
      <c r="J5033" s="449">
        <v>475.62</v>
      </c>
      <c r="K5033" s="449">
        <v>475.62</v>
      </c>
    </row>
    <row r="5034" customHeight="1" spans="1:11">
      <c r="A5034" s="434"/>
      <c r="B5034" s="434"/>
      <c r="C5034" s="434"/>
      <c r="D5034" s="434"/>
      <c r="E5034" s="434"/>
      <c r="F5034" s="434" t="s">
        <v>1735</v>
      </c>
      <c r="G5034" s="435">
        <v>30.3</v>
      </c>
      <c r="H5034" s="434" t="s">
        <v>1736</v>
      </c>
      <c r="I5034" s="435">
        <v>27.54</v>
      </c>
      <c r="J5034" s="434" t="s">
        <v>1737</v>
      </c>
      <c r="K5034" s="435">
        <v>57.84</v>
      </c>
    </row>
    <row r="5035" customHeight="1" spans="1:11">
      <c r="A5035" s="434"/>
      <c r="B5035" s="434"/>
      <c r="C5035" s="434"/>
      <c r="D5035" s="434"/>
      <c r="E5035" s="434"/>
      <c r="F5035" s="434" t="s">
        <v>1738</v>
      </c>
      <c r="G5035" s="435">
        <v>144.12</v>
      </c>
      <c r="H5035" s="434"/>
      <c r="I5035" s="434" t="s">
        <v>1739</v>
      </c>
      <c r="J5035" s="434"/>
      <c r="K5035" s="435">
        <v>728.57</v>
      </c>
    </row>
    <row r="5036" customHeight="1" spans="1:11">
      <c r="A5036" s="436"/>
      <c r="B5036" s="436"/>
      <c r="C5036" s="436"/>
      <c r="D5036" s="436"/>
      <c r="E5036" s="436"/>
      <c r="F5036" s="436"/>
      <c r="G5036" s="436"/>
      <c r="H5036" s="436" t="s">
        <v>1740</v>
      </c>
      <c r="I5036" s="447" t="s">
        <v>1971</v>
      </c>
      <c r="J5036" s="436" t="s">
        <v>1742</v>
      </c>
      <c r="K5036" s="448">
        <v>1457.14</v>
      </c>
    </row>
    <row r="5037" customHeight="1" spans="1:11">
      <c r="A5037" s="437"/>
      <c r="B5037" s="437"/>
      <c r="C5037" s="437"/>
      <c r="D5037" s="437"/>
      <c r="E5037" s="437"/>
      <c r="F5037" s="437"/>
      <c r="G5037" s="437"/>
      <c r="H5037" s="437"/>
      <c r="I5037" s="437"/>
      <c r="J5037" s="437"/>
      <c r="K5037" s="437"/>
    </row>
    <row r="5038" customHeight="1" spans="1:11">
      <c r="A5038" s="423" t="s">
        <v>1529</v>
      </c>
      <c r="B5038" s="424" t="s">
        <v>1714</v>
      </c>
      <c r="C5038" s="423" t="s">
        <v>1715</v>
      </c>
      <c r="D5038" s="423" t="s">
        <v>1716</v>
      </c>
      <c r="E5038" s="423" t="s">
        <v>1717</v>
      </c>
      <c r="F5038" s="423"/>
      <c r="G5038" s="425" t="s">
        <v>1718</v>
      </c>
      <c r="H5038" s="424" t="s">
        <v>1719</v>
      </c>
      <c r="I5038" s="424" t="s">
        <v>1720</v>
      </c>
      <c r="J5038" s="424" t="s">
        <v>1721</v>
      </c>
      <c r="K5038" s="424" t="s">
        <v>1722</v>
      </c>
    </row>
    <row r="5039" customHeight="1" spans="1:11">
      <c r="A5039" s="426" t="s">
        <v>1723</v>
      </c>
      <c r="B5039" s="427" t="s">
        <v>1530</v>
      </c>
      <c r="C5039" s="426" t="s">
        <v>71</v>
      </c>
      <c r="D5039" s="426" t="s">
        <v>1531</v>
      </c>
      <c r="E5039" s="426" t="s">
        <v>1692</v>
      </c>
      <c r="F5039" s="426"/>
      <c r="G5039" s="428" t="s">
        <v>105</v>
      </c>
      <c r="H5039" s="429">
        <v>1</v>
      </c>
      <c r="I5039" s="445"/>
      <c r="J5039" s="445">
        <v>1213.65</v>
      </c>
      <c r="K5039" s="445">
        <v>1213.65</v>
      </c>
    </row>
    <row r="5040" customHeight="1" spans="1:11">
      <c r="A5040" s="430" t="s">
        <v>1724</v>
      </c>
      <c r="B5040" s="431" t="s">
        <v>2387</v>
      </c>
      <c r="C5040" s="430" t="s">
        <v>71</v>
      </c>
      <c r="D5040" s="430" t="s">
        <v>2388</v>
      </c>
      <c r="E5040" s="430" t="s">
        <v>1708</v>
      </c>
      <c r="F5040" s="430"/>
      <c r="G5040" s="432" t="s">
        <v>82</v>
      </c>
      <c r="H5040" s="433">
        <v>1.222415</v>
      </c>
      <c r="I5040" s="433">
        <v>0</v>
      </c>
      <c r="J5040" s="446">
        <v>36.82</v>
      </c>
      <c r="K5040" s="446">
        <v>45</v>
      </c>
    </row>
    <row r="5041" customHeight="1" spans="1:11">
      <c r="A5041" s="430" t="s">
        <v>1724</v>
      </c>
      <c r="B5041" s="431" t="s">
        <v>2385</v>
      </c>
      <c r="C5041" s="430" t="s">
        <v>71</v>
      </c>
      <c r="D5041" s="430" t="s">
        <v>2386</v>
      </c>
      <c r="E5041" s="430" t="s">
        <v>1708</v>
      </c>
      <c r="F5041" s="430"/>
      <c r="G5041" s="432" t="s">
        <v>82</v>
      </c>
      <c r="H5041" s="433">
        <v>1.222415</v>
      </c>
      <c r="I5041" s="433">
        <v>0</v>
      </c>
      <c r="J5041" s="446">
        <v>30.6</v>
      </c>
      <c r="K5041" s="446">
        <v>37.4</v>
      </c>
    </row>
    <row r="5042" customHeight="1" spans="1:11">
      <c r="A5042" s="438" t="s">
        <v>1750</v>
      </c>
      <c r="B5042" s="439" t="s">
        <v>3382</v>
      </c>
      <c r="C5042" s="438" t="s">
        <v>71</v>
      </c>
      <c r="D5042" s="438" t="s">
        <v>3383</v>
      </c>
      <c r="E5042" s="438" t="s">
        <v>1631</v>
      </c>
      <c r="F5042" s="438"/>
      <c r="G5042" s="440" t="s">
        <v>105</v>
      </c>
      <c r="H5042" s="441">
        <v>1</v>
      </c>
      <c r="I5042" s="441">
        <v>0</v>
      </c>
      <c r="J5042" s="449">
        <v>1094.08</v>
      </c>
      <c r="K5042" s="449">
        <v>1094.08</v>
      </c>
    </row>
    <row r="5043" customHeight="1" spans="1:11">
      <c r="A5043" s="438" t="s">
        <v>1750</v>
      </c>
      <c r="B5043" s="439" t="s">
        <v>3384</v>
      </c>
      <c r="C5043" s="438" t="s">
        <v>71</v>
      </c>
      <c r="D5043" s="438" t="s">
        <v>3385</v>
      </c>
      <c r="E5043" s="438" t="s">
        <v>1631</v>
      </c>
      <c r="F5043" s="438"/>
      <c r="G5043" s="440" t="s">
        <v>105</v>
      </c>
      <c r="H5043" s="441">
        <v>3</v>
      </c>
      <c r="I5043" s="441">
        <v>0</v>
      </c>
      <c r="J5043" s="449">
        <v>12.39</v>
      </c>
      <c r="K5043" s="449">
        <v>37.17</v>
      </c>
    </row>
    <row r="5044" customHeight="1" spans="1:11">
      <c r="A5044" s="434"/>
      <c r="B5044" s="434"/>
      <c r="C5044" s="434"/>
      <c r="D5044" s="434"/>
      <c r="E5044" s="434"/>
      <c r="F5044" s="434" t="s">
        <v>1735</v>
      </c>
      <c r="G5044" s="435">
        <v>30.3</v>
      </c>
      <c r="H5044" s="434" t="s">
        <v>1736</v>
      </c>
      <c r="I5044" s="435">
        <v>27.54</v>
      </c>
      <c r="J5044" s="434" t="s">
        <v>1737</v>
      </c>
      <c r="K5044" s="435">
        <v>57.84</v>
      </c>
    </row>
    <row r="5045" customHeight="1" spans="1:11">
      <c r="A5045" s="434"/>
      <c r="B5045" s="434"/>
      <c r="C5045" s="434"/>
      <c r="D5045" s="434"/>
      <c r="E5045" s="434"/>
      <c r="F5045" s="434" t="s">
        <v>1738</v>
      </c>
      <c r="G5045" s="435">
        <v>299.28</v>
      </c>
      <c r="H5045" s="434"/>
      <c r="I5045" s="434" t="s">
        <v>1739</v>
      </c>
      <c r="J5045" s="434"/>
      <c r="K5045" s="435">
        <v>1512.93</v>
      </c>
    </row>
    <row r="5046" customHeight="1" spans="1:11">
      <c r="A5046" s="436"/>
      <c r="B5046" s="436"/>
      <c r="C5046" s="436"/>
      <c r="D5046" s="436"/>
      <c r="E5046" s="436"/>
      <c r="F5046" s="436"/>
      <c r="G5046" s="436"/>
      <c r="H5046" s="436" t="s">
        <v>1740</v>
      </c>
      <c r="I5046" s="447" t="s">
        <v>1741</v>
      </c>
      <c r="J5046" s="436" t="s">
        <v>1742</v>
      </c>
      <c r="K5046" s="448">
        <v>1512.93</v>
      </c>
    </row>
    <row r="5047" customHeight="1" spans="1:11">
      <c r="A5047" s="437"/>
      <c r="B5047" s="437"/>
      <c r="C5047" s="437"/>
      <c r="D5047" s="437"/>
      <c r="E5047" s="437"/>
      <c r="F5047" s="437"/>
      <c r="G5047" s="437"/>
      <c r="H5047" s="437"/>
      <c r="I5047" s="437"/>
      <c r="J5047" s="437"/>
      <c r="K5047" s="437"/>
    </row>
    <row r="5048" customHeight="1" spans="1:11">
      <c r="A5048" s="423" t="s">
        <v>1532</v>
      </c>
      <c r="B5048" s="424" t="s">
        <v>1714</v>
      </c>
      <c r="C5048" s="423" t="s">
        <v>1715</v>
      </c>
      <c r="D5048" s="423" t="s">
        <v>1716</v>
      </c>
      <c r="E5048" s="423" t="s">
        <v>1717</v>
      </c>
      <c r="F5048" s="423"/>
      <c r="G5048" s="425" t="s">
        <v>1718</v>
      </c>
      <c r="H5048" s="424" t="s">
        <v>1719</v>
      </c>
      <c r="I5048" s="424" t="s">
        <v>1720</v>
      </c>
      <c r="J5048" s="424" t="s">
        <v>1721</v>
      </c>
      <c r="K5048" s="424" t="s">
        <v>1722</v>
      </c>
    </row>
    <row r="5049" customHeight="1" spans="1:11">
      <c r="A5049" s="426" t="s">
        <v>1723</v>
      </c>
      <c r="B5049" s="427" t="s">
        <v>1533</v>
      </c>
      <c r="C5049" s="426" t="s">
        <v>76</v>
      </c>
      <c r="D5049" s="426" t="s">
        <v>1534</v>
      </c>
      <c r="E5049" s="426">
        <v>15</v>
      </c>
      <c r="F5049" s="426"/>
      <c r="G5049" s="428" t="s">
        <v>105</v>
      </c>
      <c r="H5049" s="429">
        <v>1</v>
      </c>
      <c r="I5049" s="445"/>
      <c r="J5049" s="445">
        <v>53.7</v>
      </c>
      <c r="K5049" s="445">
        <v>53.7</v>
      </c>
    </row>
    <row r="5050" customHeight="1" spans="1:11">
      <c r="A5050" s="438" t="s">
        <v>1750</v>
      </c>
      <c r="B5050" s="439" t="s">
        <v>3386</v>
      </c>
      <c r="C5050" s="438" t="s">
        <v>76</v>
      </c>
      <c r="D5050" s="438" t="s">
        <v>3387</v>
      </c>
      <c r="E5050" s="438" t="s">
        <v>1631</v>
      </c>
      <c r="F5050" s="438"/>
      <c r="G5050" s="440" t="s">
        <v>105</v>
      </c>
      <c r="H5050" s="441">
        <v>1</v>
      </c>
      <c r="I5050" s="441">
        <v>0</v>
      </c>
      <c r="J5050" s="449">
        <v>47.83</v>
      </c>
      <c r="K5050" s="449">
        <v>47.83</v>
      </c>
    </row>
    <row r="5051" customHeight="1" spans="1:11">
      <c r="A5051" s="438" t="s">
        <v>1750</v>
      </c>
      <c r="B5051" s="439" t="s">
        <v>2660</v>
      </c>
      <c r="C5051" s="438" t="s">
        <v>76</v>
      </c>
      <c r="D5051" s="438" t="s">
        <v>2661</v>
      </c>
      <c r="E5051" s="438" t="s">
        <v>1764</v>
      </c>
      <c r="F5051" s="438"/>
      <c r="G5051" s="440" t="s">
        <v>82</v>
      </c>
      <c r="H5051" s="441">
        <v>0.125</v>
      </c>
      <c r="I5051" s="441">
        <v>3</v>
      </c>
      <c r="J5051" s="449">
        <v>26.52</v>
      </c>
      <c r="K5051" s="449">
        <v>3.41</v>
      </c>
    </row>
    <row r="5052" customHeight="1" spans="1:11">
      <c r="A5052" s="438" t="s">
        <v>1750</v>
      </c>
      <c r="B5052" s="439" t="s">
        <v>1767</v>
      </c>
      <c r="C5052" s="438" t="s">
        <v>76</v>
      </c>
      <c r="D5052" s="438" t="s">
        <v>1768</v>
      </c>
      <c r="E5052" s="438" t="s">
        <v>1764</v>
      </c>
      <c r="F5052" s="438"/>
      <c r="G5052" s="440" t="s">
        <v>82</v>
      </c>
      <c r="H5052" s="441">
        <v>0.125</v>
      </c>
      <c r="I5052" s="441">
        <v>3</v>
      </c>
      <c r="J5052" s="449">
        <v>19.16</v>
      </c>
      <c r="K5052" s="449">
        <v>2.46</v>
      </c>
    </row>
    <row r="5053" customHeight="1" spans="1:11">
      <c r="A5053" s="434"/>
      <c r="B5053" s="434"/>
      <c r="C5053" s="434"/>
      <c r="D5053" s="434"/>
      <c r="E5053" s="434"/>
      <c r="F5053" s="434" t="s">
        <v>1735</v>
      </c>
      <c r="G5053" s="435">
        <v>3.07</v>
      </c>
      <c r="H5053" s="434" t="s">
        <v>1736</v>
      </c>
      <c r="I5053" s="435">
        <v>2.8</v>
      </c>
      <c r="J5053" s="434" t="s">
        <v>1737</v>
      </c>
      <c r="K5053" s="435">
        <v>5.87</v>
      </c>
    </row>
    <row r="5054" customHeight="1" spans="1:11">
      <c r="A5054" s="434"/>
      <c r="B5054" s="434"/>
      <c r="C5054" s="434"/>
      <c r="D5054" s="434"/>
      <c r="E5054" s="434"/>
      <c r="F5054" s="434" t="s">
        <v>1738</v>
      </c>
      <c r="G5054" s="435">
        <v>13.24</v>
      </c>
      <c r="H5054" s="434"/>
      <c r="I5054" s="434" t="s">
        <v>1739</v>
      </c>
      <c r="J5054" s="434"/>
      <c r="K5054" s="435">
        <v>66.94</v>
      </c>
    </row>
    <row r="5055" customHeight="1" spans="1:11">
      <c r="A5055" s="436"/>
      <c r="B5055" s="436"/>
      <c r="C5055" s="436"/>
      <c r="D5055" s="436"/>
      <c r="E5055" s="436"/>
      <c r="F5055" s="436"/>
      <c r="G5055" s="436"/>
      <c r="H5055" s="436" t="s">
        <v>1740</v>
      </c>
      <c r="I5055" s="447" t="s">
        <v>2339</v>
      </c>
      <c r="J5055" s="436" t="s">
        <v>1742</v>
      </c>
      <c r="K5055" s="448">
        <v>200.82</v>
      </c>
    </row>
    <row r="5056" customHeight="1" spans="1:11">
      <c r="A5056" s="437"/>
      <c r="B5056" s="437"/>
      <c r="C5056" s="437"/>
      <c r="D5056" s="437"/>
      <c r="E5056" s="437"/>
      <c r="F5056" s="437"/>
      <c r="G5056" s="437"/>
      <c r="H5056" s="437"/>
      <c r="I5056" s="437"/>
      <c r="J5056" s="437"/>
      <c r="K5056" s="437"/>
    </row>
    <row r="5057" customHeight="1" spans="1:11">
      <c r="A5057" s="423" t="s">
        <v>1535</v>
      </c>
      <c r="B5057" s="424" t="s">
        <v>1714</v>
      </c>
      <c r="C5057" s="423" t="s">
        <v>1715</v>
      </c>
      <c r="D5057" s="423" t="s">
        <v>1716</v>
      </c>
      <c r="E5057" s="423" t="s">
        <v>1717</v>
      </c>
      <c r="F5057" s="423"/>
      <c r="G5057" s="425" t="s">
        <v>1718</v>
      </c>
      <c r="H5057" s="424" t="s">
        <v>1719</v>
      </c>
      <c r="I5057" s="424" t="s">
        <v>1720</v>
      </c>
      <c r="J5057" s="424" t="s">
        <v>1721</v>
      </c>
      <c r="K5057" s="424" t="s">
        <v>1722</v>
      </c>
    </row>
    <row r="5058" customHeight="1" spans="1:11">
      <c r="A5058" s="426" t="s">
        <v>1723</v>
      </c>
      <c r="B5058" s="427" t="s">
        <v>1536</v>
      </c>
      <c r="C5058" s="426" t="s">
        <v>71</v>
      </c>
      <c r="D5058" s="426" t="s">
        <v>1537</v>
      </c>
      <c r="E5058" s="426" t="s">
        <v>1692</v>
      </c>
      <c r="F5058" s="426"/>
      <c r="G5058" s="428" t="s">
        <v>105</v>
      </c>
      <c r="H5058" s="429">
        <v>1</v>
      </c>
      <c r="I5058" s="445"/>
      <c r="J5058" s="445">
        <v>449.14</v>
      </c>
      <c r="K5058" s="445">
        <v>449.14</v>
      </c>
    </row>
    <row r="5059" customHeight="1" spans="1:11">
      <c r="A5059" s="430" t="s">
        <v>1724</v>
      </c>
      <c r="B5059" s="431" t="s">
        <v>2387</v>
      </c>
      <c r="C5059" s="430" t="s">
        <v>71</v>
      </c>
      <c r="D5059" s="430" t="s">
        <v>2388</v>
      </c>
      <c r="E5059" s="430" t="s">
        <v>1708</v>
      </c>
      <c r="F5059" s="430"/>
      <c r="G5059" s="432" t="s">
        <v>82</v>
      </c>
      <c r="H5059" s="433">
        <v>1.4514</v>
      </c>
      <c r="I5059" s="433">
        <v>0</v>
      </c>
      <c r="J5059" s="446">
        <v>36.82</v>
      </c>
      <c r="K5059" s="446">
        <v>53.44</v>
      </c>
    </row>
    <row r="5060" customHeight="1" spans="1:11">
      <c r="A5060" s="430" t="s">
        <v>1724</v>
      </c>
      <c r="B5060" s="431" t="s">
        <v>2385</v>
      </c>
      <c r="C5060" s="430" t="s">
        <v>71</v>
      </c>
      <c r="D5060" s="430" t="s">
        <v>2386</v>
      </c>
      <c r="E5060" s="430" t="s">
        <v>1708</v>
      </c>
      <c r="F5060" s="430"/>
      <c r="G5060" s="432" t="s">
        <v>82</v>
      </c>
      <c r="H5060" s="433">
        <v>1.4514</v>
      </c>
      <c r="I5060" s="433">
        <v>0</v>
      </c>
      <c r="J5060" s="446">
        <v>30.6</v>
      </c>
      <c r="K5060" s="446">
        <v>44.41</v>
      </c>
    </row>
    <row r="5061" customHeight="1" spans="1:11">
      <c r="A5061" s="430" t="s">
        <v>1724</v>
      </c>
      <c r="B5061" s="431" t="s">
        <v>2856</v>
      </c>
      <c r="C5061" s="430" t="s">
        <v>71</v>
      </c>
      <c r="D5061" s="430" t="s">
        <v>2857</v>
      </c>
      <c r="E5061" s="430" t="s">
        <v>2095</v>
      </c>
      <c r="F5061" s="430"/>
      <c r="G5061" s="432" t="s">
        <v>129</v>
      </c>
      <c r="H5061" s="433">
        <v>0.0117</v>
      </c>
      <c r="I5061" s="433">
        <v>0</v>
      </c>
      <c r="J5061" s="446">
        <v>773.95</v>
      </c>
      <c r="K5061" s="446">
        <v>9.05</v>
      </c>
    </row>
    <row r="5062" customHeight="1" spans="1:11">
      <c r="A5062" s="438" t="s">
        <v>1750</v>
      </c>
      <c r="B5062" s="439" t="s">
        <v>3388</v>
      </c>
      <c r="C5062" s="438" t="s">
        <v>71</v>
      </c>
      <c r="D5062" s="438" t="s">
        <v>3389</v>
      </c>
      <c r="E5062" s="438" t="s">
        <v>1631</v>
      </c>
      <c r="F5062" s="438"/>
      <c r="G5062" s="440" t="s">
        <v>105</v>
      </c>
      <c r="H5062" s="441">
        <v>1</v>
      </c>
      <c r="I5062" s="441">
        <v>0</v>
      </c>
      <c r="J5062" s="449">
        <v>342.24</v>
      </c>
      <c r="K5062" s="449">
        <v>342.24</v>
      </c>
    </row>
    <row r="5063" customHeight="1" spans="1:11">
      <c r="A5063" s="434"/>
      <c r="B5063" s="434"/>
      <c r="C5063" s="434"/>
      <c r="D5063" s="434"/>
      <c r="E5063" s="434"/>
      <c r="F5063" s="434" t="s">
        <v>1735</v>
      </c>
      <c r="G5063" s="435">
        <v>37.3</v>
      </c>
      <c r="H5063" s="434" t="s">
        <v>1736</v>
      </c>
      <c r="I5063" s="435">
        <v>33.89</v>
      </c>
      <c r="J5063" s="434" t="s">
        <v>1737</v>
      </c>
      <c r="K5063" s="435">
        <v>71.19</v>
      </c>
    </row>
    <row r="5064" customHeight="1" spans="1:11">
      <c r="A5064" s="434"/>
      <c r="B5064" s="434"/>
      <c r="C5064" s="434"/>
      <c r="D5064" s="434"/>
      <c r="E5064" s="434"/>
      <c r="F5064" s="434" t="s">
        <v>1738</v>
      </c>
      <c r="G5064" s="435">
        <v>110.75</v>
      </c>
      <c r="H5064" s="434"/>
      <c r="I5064" s="434" t="s">
        <v>1739</v>
      </c>
      <c r="J5064" s="434"/>
      <c r="K5064" s="435">
        <v>559.89</v>
      </c>
    </row>
    <row r="5065" customHeight="1" spans="1:11">
      <c r="A5065" s="436"/>
      <c r="B5065" s="436"/>
      <c r="C5065" s="436"/>
      <c r="D5065" s="436"/>
      <c r="E5065" s="436"/>
      <c r="F5065" s="436"/>
      <c r="G5065" s="436"/>
      <c r="H5065" s="436" t="s">
        <v>1740</v>
      </c>
      <c r="I5065" s="447" t="s">
        <v>1971</v>
      </c>
      <c r="J5065" s="436" t="s">
        <v>1742</v>
      </c>
      <c r="K5065" s="448">
        <v>1119.78</v>
      </c>
    </row>
    <row r="5066" customHeight="1" spans="1:11">
      <c r="A5066" s="437"/>
      <c r="B5066" s="437"/>
      <c r="C5066" s="437"/>
      <c r="D5066" s="437"/>
      <c r="E5066" s="437"/>
      <c r="F5066" s="437"/>
      <c r="G5066" s="437"/>
      <c r="H5066" s="437"/>
      <c r="I5066" s="437"/>
      <c r="J5066" s="437"/>
      <c r="K5066" s="437"/>
    </row>
    <row r="5067" customHeight="1" spans="1:11">
      <c r="A5067" s="423" t="s">
        <v>1538</v>
      </c>
      <c r="B5067" s="424" t="s">
        <v>1714</v>
      </c>
      <c r="C5067" s="423" t="s">
        <v>1715</v>
      </c>
      <c r="D5067" s="423" t="s">
        <v>1716</v>
      </c>
      <c r="E5067" s="423" t="s">
        <v>1717</v>
      </c>
      <c r="F5067" s="423"/>
      <c r="G5067" s="425" t="s">
        <v>1718</v>
      </c>
      <c r="H5067" s="424" t="s">
        <v>1719</v>
      </c>
      <c r="I5067" s="424" t="s">
        <v>1720</v>
      </c>
      <c r="J5067" s="424" t="s">
        <v>1721</v>
      </c>
      <c r="K5067" s="424" t="s">
        <v>1722</v>
      </c>
    </row>
    <row r="5068" customHeight="1" spans="1:11">
      <c r="A5068" s="426" t="s">
        <v>1723</v>
      </c>
      <c r="B5068" s="427" t="s">
        <v>1539</v>
      </c>
      <c r="C5068" s="426" t="s">
        <v>71</v>
      </c>
      <c r="D5068" s="426" t="s">
        <v>1540</v>
      </c>
      <c r="E5068" s="426" t="s">
        <v>1692</v>
      </c>
      <c r="F5068" s="426"/>
      <c r="G5068" s="428" t="s">
        <v>105</v>
      </c>
      <c r="H5068" s="429">
        <v>1</v>
      </c>
      <c r="I5068" s="445"/>
      <c r="J5068" s="445">
        <v>1001.38</v>
      </c>
      <c r="K5068" s="445">
        <v>1001.38</v>
      </c>
    </row>
    <row r="5069" customHeight="1" spans="1:11">
      <c r="A5069" s="430" t="s">
        <v>1724</v>
      </c>
      <c r="B5069" s="431" t="s">
        <v>2856</v>
      </c>
      <c r="C5069" s="430" t="s">
        <v>71</v>
      </c>
      <c r="D5069" s="430" t="s">
        <v>2857</v>
      </c>
      <c r="E5069" s="430" t="s">
        <v>2095</v>
      </c>
      <c r="F5069" s="430"/>
      <c r="G5069" s="432" t="s">
        <v>129</v>
      </c>
      <c r="H5069" s="433">
        <v>0.0189</v>
      </c>
      <c r="I5069" s="433">
        <v>0</v>
      </c>
      <c r="J5069" s="446">
        <v>773.95</v>
      </c>
      <c r="K5069" s="446">
        <v>14.62</v>
      </c>
    </row>
    <row r="5070" customHeight="1" spans="1:11">
      <c r="A5070" s="430" t="s">
        <v>1724</v>
      </c>
      <c r="B5070" s="431" t="s">
        <v>2387</v>
      </c>
      <c r="C5070" s="430" t="s">
        <v>71</v>
      </c>
      <c r="D5070" s="430" t="s">
        <v>2388</v>
      </c>
      <c r="E5070" s="430" t="s">
        <v>1708</v>
      </c>
      <c r="F5070" s="430"/>
      <c r="G5070" s="432" t="s">
        <v>82</v>
      </c>
      <c r="H5070" s="433">
        <v>2.056</v>
      </c>
      <c r="I5070" s="433">
        <v>0</v>
      </c>
      <c r="J5070" s="446">
        <v>36.82</v>
      </c>
      <c r="K5070" s="446">
        <v>75.7</v>
      </c>
    </row>
    <row r="5071" customHeight="1" spans="1:11">
      <c r="A5071" s="430" t="s">
        <v>1724</v>
      </c>
      <c r="B5071" s="431" t="s">
        <v>2385</v>
      </c>
      <c r="C5071" s="430" t="s">
        <v>71</v>
      </c>
      <c r="D5071" s="430" t="s">
        <v>2386</v>
      </c>
      <c r="E5071" s="430" t="s">
        <v>1708</v>
      </c>
      <c r="F5071" s="430"/>
      <c r="G5071" s="432" t="s">
        <v>82</v>
      </c>
      <c r="H5071" s="433">
        <v>2.056</v>
      </c>
      <c r="I5071" s="433">
        <v>0</v>
      </c>
      <c r="J5071" s="446">
        <v>30.6</v>
      </c>
      <c r="K5071" s="446">
        <v>62.91</v>
      </c>
    </row>
    <row r="5072" customHeight="1" spans="1:11">
      <c r="A5072" s="438" t="s">
        <v>1750</v>
      </c>
      <c r="B5072" s="439" t="s">
        <v>3390</v>
      </c>
      <c r="C5072" s="438" t="s">
        <v>71</v>
      </c>
      <c r="D5072" s="438" t="s">
        <v>3391</v>
      </c>
      <c r="E5072" s="438" t="s">
        <v>1631</v>
      </c>
      <c r="F5072" s="438"/>
      <c r="G5072" s="440" t="s">
        <v>105</v>
      </c>
      <c r="H5072" s="441">
        <v>1</v>
      </c>
      <c r="I5072" s="441">
        <v>0</v>
      </c>
      <c r="J5072" s="449">
        <v>848.15</v>
      </c>
      <c r="K5072" s="449">
        <v>848.15</v>
      </c>
    </row>
    <row r="5073" customHeight="1" spans="1:11">
      <c r="A5073" s="434"/>
      <c r="B5073" s="434"/>
      <c r="C5073" s="434"/>
      <c r="D5073" s="434"/>
      <c r="E5073" s="434"/>
      <c r="F5073" s="434" t="s">
        <v>1735</v>
      </c>
      <c r="G5073" s="435">
        <v>53.11</v>
      </c>
      <c r="H5073" s="434" t="s">
        <v>1736</v>
      </c>
      <c r="I5073" s="435">
        <v>48.24</v>
      </c>
      <c r="J5073" s="434" t="s">
        <v>1737</v>
      </c>
      <c r="K5073" s="435">
        <v>101.35</v>
      </c>
    </row>
    <row r="5074" customHeight="1" spans="1:11">
      <c r="A5074" s="434"/>
      <c r="B5074" s="434"/>
      <c r="C5074" s="434"/>
      <c r="D5074" s="434"/>
      <c r="E5074" s="434"/>
      <c r="F5074" s="434" t="s">
        <v>1738</v>
      </c>
      <c r="G5074" s="435">
        <v>246.94</v>
      </c>
      <c r="H5074" s="434"/>
      <c r="I5074" s="434" t="s">
        <v>1739</v>
      </c>
      <c r="J5074" s="434"/>
      <c r="K5074" s="435">
        <v>1248.32</v>
      </c>
    </row>
    <row r="5075" customHeight="1" spans="1:11">
      <c r="A5075" s="436"/>
      <c r="B5075" s="436"/>
      <c r="C5075" s="436"/>
      <c r="D5075" s="436"/>
      <c r="E5075" s="436"/>
      <c r="F5075" s="436"/>
      <c r="G5075" s="436"/>
      <c r="H5075" s="436" t="s">
        <v>1740</v>
      </c>
      <c r="I5075" s="447" t="s">
        <v>1971</v>
      </c>
      <c r="J5075" s="436" t="s">
        <v>1742</v>
      </c>
      <c r="K5075" s="448">
        <v>2496.64</v>
      </c>
    </row>
    <row r="5076" customHeight="1" spans="1:11">
      <c r="A5076" s="437"/>
      <c r="B5076" s="437"/>
      <c r="C5076" s="437"/>
      <c r="D5076" s="437"/>
      <c r="E5076" s="437"/>
      <c r="F5076" s="437"/>
      <c r="G5076" s="437"/>
      <c r="H5076" s="437"/>
      <c r="I5076" s="437"/>
      <c r="J5076" s="437"/>
      <c r="K5076" s="437"/>
    </row>
    <row r="5077" customHeight="1" spans="1:11">
      <c r="A5077" s="423" t="s">
        <v>1541</v>
      </c>
      <c r="B5077" s="424" t="s">
        <v>1714</v>
      </c>
      <c r="C5077" s="423" t="s">
        <v>1715</v>
      </c>
      <c r="D5077" s="423" t="s">
        <v>1716</v>
      </c>
      <c r="E5077" s="423" t="s">
        <v>1717</v>
      </c>
      <c r="F5077" s="423"/>
      <c r="G5077" s="425" t="s">
        <v>1718</v>
      </c>
      <c r="H5077" s="424" t="s">
        <v>1719</v>
      </c>
      <c r="I5077" s="424" t="s">
        <v>1720</v>
      </c>
      <c r="J5077" s="424" t="s">
        <v>1721</v>
      </c>
      <c r="K5077" s="424" t="s">
        <v>1722</v>
      </c>
    </row>
    <row r="5078" customHeight="1" spans="1:11">
      <c r="A5078" s="426" t="s">
        <v>1723</v>
      </c>
      <c r="B5078" s="427" t="s">
        <v>1542</v>
      </c>
      <c r="C5078" s="426" t="s">
        <v>65</v>
      </c>
      <c r="D5078" s="426" t="s">
        <v>1543</v>
      </c>
      <c r="E5078" s="426" t="s">
        <v>1670</v>
      </c>
      <c r="F5078" s="426"/>
      <c r="G5078" s="428" t="s">
        <v>67</v>
      </c>
      <c r="H5078" s="429">
        <v>1</v>
      </c>
      <c r="I5078" s="445"/>
      <c r="J5078" s="445">
        <v>302.17</v>
      </c>
      <c r="K5078" s="445">
        <v>302.17</v>
      </c>
    </row>
    <row r="5079" customHeight="1" spans="1:11">
      <c r="A5079" s="430" t="s">
        <v>1724</v>
      </c>
      <c r="B5079" s="431" t="s">
        <v>2387</v>
      </c>
      <c r="C5079" s="430" t="s">
        <v>71</v>
      </c>
      <c r="D5079" s="430" t="s">
        <v>2388</v>
      </c>
      <c r="E5079" s="430" t="s">
        <v>1708</v>
      </c>
      <c r="F5079" s="430"/>
      <c r="G5079" s="432" t="s">
        <v>82</v>
      </c>
      <c r="H5079" s="433">
        <v>0.3</v>
      </c>
      <c r="I5079" s="433">
        <v>0</v>
      </c>
      <c r="J5079" s="446">
        <v>36.82</v>
      </c>
      <c r="K5079" s="446">
        <v>11.04</v>
      </c>
    </row>
    <row r="5080" customHeight="1" spans="1:11">
      <c r="A5080" s="438" t="s">
        <v>1750</v>
      </c>
      <c r="B5080" s="439" t="s">
        <v>3392</v>
      </c>
      <c r="C5080" s="438" t="s">
        <v>99</v>
      </c>
      <c r="D5080" s="438" t="s">
        <v>3393</v>
      </c>
      <c r="E5080" s="438" t="s">
        <v>1631</v>
      </c>
      <c r="F5080" s="438"/>
      <c r="G5080" s="440" t="s">
        <v>105</v>
      </c>
      <c r="H5080" s="441">
        <v>1</v>
      </c>
      <c r="I5080" s="441">
        <v>0</v>
      </c>
      <c r="J5080" s="449">
        <v>291.13</v>
      </c>
      <c r="K5080" s="449">
        <v>291.13</v>
      </c>
    </row>
    <row r="5081" customHeight="1" spans="1:11">
      <c r="A5081" s="434"/>
      <c r="B5081" s="434"/>
      <c r="C5081" s="434"/>
      <c r="D5081" s="434"/>
      <c r="E5081" s="434"/>
      <c r="F5081" s="434" t="s">
        <v>1735</v>
      </c>
      <c r="G5081" s="435">
        <v>4.2</v>
      </c>
      <c r="H5081" s="434" t="s">
        <v>1736</v>
      </c>
      <c r="I5081" s="435">
        <v>3.83</v>
      </c>
      <c r="J5081" s="434" t="s">
        <v>1737</v>
      </c>
      <c r="K5081" s="435">
        <v>8.03</v>
      </c>
    </row>
    <row r="5082" customHeight="1" spans="1:11">
      <c r="A5082" s="434"/>
      <c r="B5082" s="434"/>
      <c r="C5082" s="434"/>
      <c r="D5082" s="434"/>
      <c r="E5082" s="434"/>
      <c r="F5082" s="434" t="s">
        <v>1738</v>
      </c>
      <c r="G5082" s="435">
        <v>74.51</v>
      </c>
      <c r="H5082" s="434"/>
      <c r="I5082" s="434" t="s">
        <v>1739</v>
      </c>
      <c r="J5082" s="434"/>
      <c r="K5082" s="435">
        <v>376.68</v>
      </c>
    </row>
    <row r="5083" customHeight="1" spans="1:11">
      <c r="A5083" s="436"/>
      <c r="B5083" s="436"/>
      <c r="C5083" s="436"/>
      <c r="D5083" s="436"/>
      <c r="E5083" s="436"/>
      <c r="F5083" s="436"/>
      <c r="G5083" s="436"/>
      <c r="H5083" s="436" t="s">
        <v>1740</v>
      </c>
      <c r="I5083" s="447" t="s">
        <v>1741</v>
      </c>
      <c r="J5083" s="436" t="s">
        <v>1742</v>
      </c>
      <c r="K5083" s="448">
        <v>376.68</v>
      </c>
    </row>
    <row r="5084" customHeight="1" spans="1:11">
      <c r="A5084" s="437"/>
      <c r="B5084" s="437"/>
      <c r="C5084" s="437"/>
      <c r="D5084" s="437"/>
      <c r="E5084" s="437"/>
      <c r="F5084" s="437"/>
      <c r="G5084" s="437"/>
      <c r="H5084" s="437"/>
      <c r="I5084" s="437"/>
      <c r="J5084" s="437"/>
      <c r="K5084" s="437"/>
    </row>
    <row r="5085" customHeight="1" spans="1:11">
      <c r="A5085" s="422" t="s">
        <v>1544</v>
      </c>
      <c r="B5085" s="422"/>
      <c r="C5085" s="422"/>
      <c r="D5085" s="422" t="s">
        <v>46</v>
      </c>
      <c r="E5085" s="422"/>
      <c r="F5085" s="422"/>
      <c r="G5085" s="422"/>
      <c r="H5085" s="422"/>
      <c r="I5085" s="443"/>
      <c r="J5085" s="422"/>
      <c r="K5085" s="444">
        <v>21393.63</v>
      </c>
    </row>
    <row r="5086" customHeight="1" spans="1:11">
      <c r="A5086" s="422" t="s">
        <v>1545</v>
      </c>
      <c r="B5086" s="422"/>
      <c r="C5086" s="422"/>
      <c r="D5086" s="422" t="s">
        <v>1546</v>
      </c>
      <c r="E5086" s="422"/>
      <c r="F5086" s="422"/>
      <c r="G5086" s="422"/>
      <c r="H5086" s="422"/>
      <c r="I5086" s="443"/>
      <c r="J5086" s="422"/>
      <c r="K5086" s="444">
        <v>5459.75</v>
      </c>
    </row>
    <row r="5087" customHeight="1" spans="1:11">
      <c r="A5087" s="423" t="s">
        <v>1547</v>
      </c>
      <c r="B5087" s="424" t="s">
        <v>1714</v>
      </c>
      <c r="C5087" s="423" t="s">
        <v>1715</v>
      </c>
      <c r="D5087" s="423" t="s">
        <v>1716</v>
      </c>
      <c r="E5087" s="423" t="s">
        <v>1717</v>
      </c>
      <c r="F5087" s="423"/>
      <c r="G5087" s="425" t="s">
        <v>1718</v>
      </c>
      <c r="H5087" s="424" t="s">
        <v>1719</v>
      </c>
      <c r="I5087" s="424" t="s">
        <v>1720</v>
      </c>
      <c r="J5087" s="424" t="s">
        <v>1721</v>
      </c>
      <c r="K5087" s="424" t="s">
        <v>1722</v>
      </c>
    </row>
    <row r="5088" customHeight="1" spans="1:11">
      <c r="A5088" s="426" t="s">
        <v>1723</v>
      </c>
      <c r="B5088" s="427" t="s">
        <v>147</v>
      </c>
      <c r="C5088" s="426" t="s">
        <v>71</v>
      </c>
      <c r="D5088" s="426" t="s">
        <v>148</v>
      </c>
      <c r="E5088" s="426" t="s">
        <v>1634</v>
      </c>
      <c r="F5088" s="426"/>
      <c r="G5088" s="428" t="s">
        <v>129</v>
      </c>
      <c r="H5088" s="429">
        <v>1</v>
      </c>
      <c r="I5088" s="445"/>
      <c r="J5088" s="445">
        <v>126.82</v>
      </c>
      <c r="K5088" s="445">
        <v>126.82</v>
      </c>
    </row>
    <row r="5089" customHeight="1" spans="1:11">
      <c r="A5089" s="430" t="s">
        <v>1724</v>
      </c>
      <c r="B5089" s="431" t="s">
        <v>1745</v>
      </c>
      <c r="C5089" s="430" t="s">
        <v>71</v>
      </c>
      <c r="D5089" s="430" t="s">
        <v>1746</v>
      </c>
      <c r="E5089" s="430" t="s">
        <v>1708</v>
      </c>
      <c r="F5089" s="430"/>
      <c r="G5089" s="432" t="s">
        <v>82</v>
      </c>
      <c r="H5089" s="433">
        <v>3.126</v>
      </c>
      <c r="I5089" s="433">
        <v>0</v>
      </c>
      <c r="J5089" s="446">
        <v>29.15</v>
      </c>
      <c r="K5089" s="446">
        <v>91.12</v>
      </c>
    </row>
    <row r="5090" customHeight="1" spans="1:11">
      <c r="A5090" s="430" t="s">
        <v>1724</v>
      </c>
      <c r="B5090" s="431" t="s">
        <v>1936</v>
      </c>
      <c r="C5090" s="430" t="s">
        <v>71</v>
      </c>
      <c r="D5090" s="430" t="s">
        <v>1937</v>
      </c>
      <c r="E5090" s="430" t="s">
        <v>1708</v>
      </c>
      <c r="F5090" s="430"/>
      <c r="G5090" s="432" t="s">
        <v>82</v>
      </c>
      <c r="H5090" s="433">
        <v>0.966</v>
      </c>
      <c r="I5090" s="433">
        <v>0</v>
      </c>
      <c r="J5090" s="446">
        <v>36.96</v>
      </c>
      <c r="K5090" s="446">
        <v>35.7</v>
      </c>
    </row>
    <row r="5091" customHeight="1" spans="1:11">
      <c r="A5091" s="434"/>
      <c r="B5091" s="434"/>
      <c r="C5091" s="434"/>
      <c r="D5091" s="434"/>
      <c r="E5091" s="434"/>
      <c r="F5091" s="434" t="s">
        <v>1735</v>
      </c>
      <c r="G5091" s="435">
        <v>45.11</v>
      </c>
      <c r="H5091" s="434" t="s">
        <v>1736</v>
      </c>
      <c r="I5091" s="435">
        <v>40.99</v>
      </c>
      <c r="J5091" s="434" t="s">
        <v>1737</v>
      </c>
      <c r="K5091" s="435">
        <v>86.1</v>
      </c>
    </row>
    <row r="5092" customHeight="1" spans="1:11">
      <c r="A5092" s="434"/>
      <c r="B5092" s="434"/>
      <c r="C5092" s="434"/>
      <c r="D5092" s="434"/>
      <c r="E5092" s="434"/>
      <c r="F5092" s="434" t="s">
        <v>1738</v>
      </c>
      <c r="G5092" s="435">
        <v>31.27</v>
      </c>
      <c r="H5092" s="434"/>
      <c r="I5092" s="434" t="s">
        <v>1739</v>
      </c>
      <c r="J5092" s="434"/>
      <c r="K5092" s="435">
        <v>158.09</v>
      </c>
    </row>
    <row r="5093" customHeight="1" spans="1:11">
      <c r="A5093" s="436"/>
      <c r="B5093" s="436"/>
      <c r="C5093" s="436"/>
      <c r="D5093" s="436"/>
      <c r="E5093" s="436"/>
      <c r="F5093" s="436"/>
      <c r="G5093" s="436"/>
      <c r="H5093" s="436" t="s">
        <v>1740</v>
      </c>
      <c r="I5093" s="447" t="s">
        <v>3394</v>
      </c>
      <c r="J5093" s="436" t="s">
        <v>1742</v>
      </c>
      <c r="K5093" s="448">
        <v>278.23</v>
      </c>
    </row>
    <row r="5094" customHeight="1" spans="1:11">
      <c r="A5094" s="437"/>
      <c r="B5094" s="437"/>
      <c r="C5094" s="437"/>
      <c r="D5094" s="437"/>
      <c r="E5094" s="437"/>
      <c r="F5094" s="437"/>
      <c r="G5094" s="437"/>
      <c r="H5094" s="437"/>
      <c r="I5094" s="437"/>
      <c r="J5094" s="437"/>
      <c r="K5094" s="437"/>
    </row>
    <row r="5095" customHeight="1" spans="1:11">
      <c r="A5095" s="423" t="s">
        <v>1548</v>
      </c>
      <c r="B5095" s="424" t="s">
        <v>1714</v>
      </c>
      <c r="C5095" s="423" t="s">
        <v>1715</v>
      </c>
      <c r="D5095" s="423" t="s">
        <v>1716</v>
      </c>
      <c r="E5095" s="423" t="s">
        <v>1717</v>
      </c>
      <c r="F5095" s="423"/>
      <c r="G5095" s="425" t="s">
        <v>1718</v>
      </c>
      <c r="H5095" s="424" t="s">
        <v>1719</v>
      </c>
      <c r="I5095" s="424" t="s">
        <v>1720</v>
      </c>
      <c r="J5095" s="424" t="s">
        <v>1721</v>
      </c>
      <c r="K5095" s="424" t="s">
        <v>1722</v>
      </c>
    </row>
    <row r="5096" customHeight="1" spans="1:11">
      <c r="A5096" s="426" t="s">
        <v>1723</v>
      </c>
      <c r="B5096" s="427" t="s">
        <v>1455</v>
      </c>
      <c r="C5096" s="426" t="s">
        <v>71</v>
      </c>
      <c r="D5096" s="426" t="s">
        <v>1456</v>
      </c>
      <c r="E5096" s="426" t="s">
        <v>1634</v>
      </c>
      <c r="F5096" s="426"/>
      <c r="G5096" s="428" t="s">
        <v>73</v>
      </c>
      <c r="H5096" s="429">
        <v>1</v>
      </c>
      <c r="I5096" s="445"/>
      <c r="J5096" s="445">
        <v>223.64</v>
      </c>
      <c r="K5096" s="445">
        <v>223.64</v>
      </c>
    </row>
    <row r="5097" customHeight="1" spans="1:11">
      <c r="A5097" s="430" t="s">
        <v>1724</v>
      </c>
      <c r="B5097" s="431" t="s">
        <v>1805</v>
      </c>
      <c r="C5097" s="430" t="s">
        <v>71</v>
      </c>
      <c r="D5097" s="430" t="s">
        <v>1806</v>
      </c>
      <c r="E5097" s="430" t="s">
        <v>1795</v>
      </c>
      <c r="F5097" s="430"/>
      <c r="G5097" s="432" t="s">
        <v>1796</v>
      </c>
      <c r="H5097" s="433">
        <v>0.06</v>
      </c>
      <c r="I5097" s="433">
        <v>0</v>
      </c>
      <c r="J5097" s="446">
        <v>41.6</v>
      </c>
      <c r="K5097" s="446">
        <v>2.49</v>
      </c>
    </row>
    <row r="5098" customHeight="1" spans="1:11">
      <c r="A5098" s="430" t="s">
        <v>1724</v>
      </c>
      <c r="B5098" s="431" t="s">
        <v>1800</v>
      </c>
      <c r="C5098" s="430" t="s">
        <v>71</v>
      </c>
      <c r="D5098" s="430" t="s">
        <v>1801</v>
      </c>
      <c r="E5098" s="430" t="s">
        <v>1708</v>
      </c>
      <c r="F5098" s="430"/>
      <c r="G5098" s="432" t="s">
        <v>82</v>
      </c>
      <c r="H5098" s="433">
        <v>1.387</v>
      </c>
      <c r="I5098" s="433">
        <v>0</v>
      </c>
      <c r="J5098" s="446">
        <v>29.91</v>
      </c>
      <c r="K5098" s="446">
        <v>41.48</v>
      </c>
    </row>
    <row r="5099" customHeight="1" spans="1:11">
      <c r="A5099" s="430" t="s">
        <v>1724</v>
      </c>
      <c r="B5099" s="431" t="s">
        <v>1802</v>
      </c>
      <c r="C5099" s="430" t="s">
        <v>71</v>
      </c>
      <c r="D5099" s="430" t="s">
        <v>1803</v>
      </c>
      <c r="E5099" s="430" t="s">
        <v>1795</v>
      </c>
      <c r="F5099" s="430"/>
      <c r="G5099" s="432" t="s">
        <v>1804</v>
      </c>
      <c r="H5099" s="433">
        <v>0.239</v>
      </c>
      <c r="I5099" s="433">
        <v>0</v>
      </c>
      <c r="J5099" s="446">
        <v>39.98</v>
      </c>
      <c r="K5099" s="446">
        <v>9.55</v>
      </c>
    </row>
    <row r="5100" customHeight="1" spans="1:11">
      <c r="A5100" s="430" t="s">
        <v>1724</v>
      </c>
      <c r="B5100" s="431" t="s">
        <v>1743</v>
      </c>
      <c r="C5100" s="430" t="s">
        <v>71</v>
      </c>
      <c r="D5100" s="430" t="s">
        <v>1744</v>
      </c>
      <c r="E5100" s="430" t="s">
        <v>1708</v>
      </c>
      <c r="F5100" s="430"/>
      <c r="G5100" s="432" t="s">
        <v>82</v>
      </c>
      <c r="H5100" s="433">
        <v>3.395</v>
      </c>
      <c r="I5100" s="433">
        <v>0</v>
      </c>
      <c r="J5100" s="446">
        <v>37.51</v>
      </c>
      <c r="K5100" s="446">
        <v>127.34</v>
      </c>
    </row>
    <row r="5101" customHeight="1" spans="1:11">
      <c r="A5101" s="438" t="s">
        <v>1750</v>
      </c>
      <c r="B5101" s="439" t="s">
        <v>1948</v>
      </c>
      <c r="C5101" s="438" t="s">
        <v>71</v>
      </c>
      <c r="D5101" s="438" t="s">
        <v>1949</v>
      </c>
      <c r="E5101" s="438" t="s">
        <v>1631</v>
      </c>
      <c r="F5101" s="438"/>
      <c r="G5101" s="440" t="s">
        <v>158</v>
      </c>
      <c r="H5101" s="441">
        <v>0.119</v>
      </c>
      <c r="I5101" s="441">
        <v>0</v>
      </c>
      <c r="J5101" s="449">
        <v>22.69</v>
      </c>
      <c r="K5101" s="449">
        <v>2.7</v>
      </c>
    </row>
    <row r="5102" customHeight="1" spans="1:11">
      <c r="A5102" s="438" t="s">
        <v>1750</v>
      </c>
      <c r="B5102" s="439" t="s">
        <v>1941</v>
      </c>
      <c r="C5102" s="438" t="s">
        <v>71</v>
      </c>
      <c r="D5102" s="438" t="s">
        <v>1942</v>
      </c>
      <c r="E5102" s="438" t="s">
        <v>1631</v>
      </c>
      <c r="F5102" s="438"/>
      <c r="G5102" s="440" t="s">
        <v>78</v>
      </c>
      <c r="H5102" s="441">
        <v>5.401</v>
      </c>
      <c r="I5102" s="441">
        <v>0</v>
      </c>
      <c r="J5102" s="449">
        <v>3.07</v>
      </c>
      <c r="K5102" s="449">
        <v>16.58</v>
      </c>
    </row>
    <row r="5103" customHeight="1" spans="1:11">
      <c r="A5103" s="438" t="s">
        <v>1750</v>
      </c>
      <c r="B5103" s="439" t="s">
        <v>3314</v>
      </c>
      <c r="C5103" s="438" t="s">
        <v>71</v>
      </c>
      <c r="D5103" s="438" t="s">
        <v>3315</v>
      </c>
      <c r="E5103" s="438" t="s">
        <v>1631</v>
      </c>
      <c r="F5103" s="438"/>
      <c r="G5103" s="440" t="s">
        <v>158</v>
      </c>
      <c r="H5103" s="441">
        <v>0.022</v>
      </c>
      <c r="I5103" s="441">
        <v>0</v>
      </c>
      <c r="J5103" s="449">
        <v>20.35</v>
      </c>
      <c r="K5103" s="449">
        <v>0.44</v>
      </c>
    </row>
    <row r="5104" customHeight="1" spans="1:11">
      <c r="A5104" s="438" t="s">
        <v>1750</v>
      </c>
      <c r="B5104" s="439" t="s">
        <v>3316</v>
      </c>
      <c r="C5104" s="438" t="s">
        <v>71</v>
      </c>
      <c r="D5104" s="438" t="s">
        <v>3317</v>
      </c>
      <c r="E5104" s="438" t="s">
        <v>1631</v>
      </c>
      <c r="F5104" s="438"/>
      <c r="G5104" s="440" t="s">
        <v>73</v>
      </c>
      <c r="H5104" s="441">
        <v>0.336</v>
      </c>
      <c r="I5104" s="441">
        <v>0</v>
      </c>
      <c r="J5104" s="449">
        <v>45.9</v>
      </c>
      <c r="K5104" s="449">
        <v>15.42</v>
      </c>
    </row>
    <row r="5105" customHeight="1" spans="1:11">
      <c r="A5105" s="438" t="s">
        <v>1750</v>
      </c>
      <c r="B5105" s="439" t="s">
        <v>1950</v>
      </c>
      <c r="C5105" s="438" t="s">
        <v>71</v>
      </c>
      <c r="D5105" s="438" t="s">
        <v>1951</v>
      </c>
      <c r="E5105" s="438" t="s">
        <v>1631</v>
      </c>
      <c r="F5105" s="438"/>
      <c r="G5105" s="440" t="s">
        <v>158</v>
      </c>
      <c r="H5105" s="441">
        <v>0.005</v>
      </c>
      <c r="I5105" s="441">
        <v>0</v>
      </c>
      <c r="J5105" s="449">
        <v>20.59</v>
      </c>
      <c r="K5105" s="449">
        <v>0.1</v>
      </c>
    </row>
    <row r="5106" customHeight="1" spans="1:11">
      <c r="A5106" s="438" t="s">
        <v>1750</v>
      </c>
      <c r="B5106" s="439" t="s">
        <v>1946</v>
      </c>
      <c r="C5106" s="438" t="s">
        <v>71</v>
      </c>
      <c r="D5106" s="438" t="s">
        <v>1947</v>
      </c>
      <c r="E5106" s="438" t="s">
        <v>1631</v>
      </c>
      <c r="F5106" s="438"/>
      <c r="G5106" s="440" t="s">
        <v>158</v>
      </c>
      <c r="H5106" s="441">
        <v>0.055</v>
      </c>
      <c r="I5106" s="441">
        <v>0</v>
      </c>
      <c r="J5106" s="449">
        <v>18.73</v>
      </c>
      <c r="K5106" s="449">
        <v>1.03</v>
      </c>
    </row>
    <row r="5107" customHeight="1" spans="1:11">
      <c r="A5107" s="438" t="s">
        <v>1750</v>
      </c>
      <c r="B5107" s="439" t="s">
        <v>1807</v>
      </c>
      <c r="C5107" s="438" t="s">
        <v>71</v>
      </c>
      <c r="D5107" s="438" t="s">
        <v>1808</v>
      </c>
      <c r="E5107" s="438" t="s">
        <v>1631</v>
      </c>
      <c r="F5107" s="438"/>
      <c r="G5107" s="440" t="s">
        <v>78</v>
      </c>
      <c r="H5107" s="441">
        <v>0.733</v>
      </c>
      <c r="I5107" s="441">
        <v>0</v>
      </c>
      <c r="J5107" s="449">
        <v>8.79</v>
      </c>
      <c r="K5107" s="449">
        <v>6.44</v>
      </c>
    </row>
    <row r="5108" customHeight="1" spans="1:11">
      <c r="A5108" s="438" t="s">
        <v>1750</v>
      </c>
      <c r="B5108" s="439" t="s">
        <v>1943</v>
      </c>
      <c r="C5108" s="438" t="s">
        <v>71</v>
      </c>
      <c r="D5108" s="438" t="s">
        <v>1944</v>
      </c>
      <c r="E5108" s="438" t="s">
        <v>1631</v>
      </c>
      <c r="F5108" s="438"/>
      <c r="G5108" s="440" t="s">
        <v>1945</v>
      </c>
      <c r="H5108" s="441">
        <v>0.00955</v>
      </c>
      <c r="I5108" s="441">
        <v>0</v>
      </c>
      <c r="J5108" s="449">
        <v>7.97</v>
      </c>
      <c r="K5108" s="449">
        <v>0.07</v>
      </c>
    </row>
    <row r="5109" customHeight="1" spans="1:11">
      <c r="A5109" s="434"/>
      <c r="B5109" s="434"/>
      <c r="C5109" s="434"/>
      <c r="D5109" s="434"/>
      <c r="E5109" s="434"/>
      <c r="F5109" s="434" t="s">
        <v>1735</v>
      </c>
      <c r="G5109" s="435">
        <v>68.77</v>
      </c>
      <c r="H5109" s="434" t="s">
        <v>1736</v>
      </c>
      <c r="I5109" s="435">
        <v>62.47</v>
      </c>
      <c r="J5109" s="434" t="s">
        <v>1737</v>
      </c>
      <c r="K5109" s="435">
        <v>131.24</v>
      </c>
    </row>
    <row r="5110" customHeight="1" spans="1:11">
      <c r="A5110" s="434"/>
      <c r="B5110" s="434"/>
      <c r="C5110" s="434"/>
      <c r="D5110" s="434"/>
      <c r="E5110" s="434"/>
      <c r="F5110" s="434" t="s">
        <v>1738</v>
      </c>
      <c r="G5110" s="435">
        <v>55.14</v>
      </c>
      <c r="H5110" s="434"/>
      <c r="I5110" s="434" t="s">
        <v>1739</v>
      </c>
      <c r="J5110" s="434"/>
      <c r="K5110" s="435">
        <v>278.78</v>
      </c>
    </row>
    <row r="5111" customHeight="1" spans="1:11">
      <c r="A5111" s="436"/>
      <c r="B5111" s="436"/>
      <c r="C5111" s="436"/>
      <c r="D5111" s="436"/>
      <c r="E5111" s="436"/>
      <c r="F5111" s="436"/>
      <c r="G5111" s="436"/>
      <c r="H5111" s="436" t="s">
        <v>1740</v>
      </c>
      <c r="I5111" s="447" t="s">
        <v>3395</v>
      </c>
      <c r="J5111" s="436" t="s">
        <v>1742</v>
      </c>
      <c r="K5111" s="448">
        <v>1890.12</v>
      </c>
    </row>
    <row r="5112" customHeight="1" spans="1:11">
      <c r="A5112" s="437"/>
      <c r="B5112" s="437"/>
      <c r="C5112" s="437"/>
      <c r="D5112" s="437"/>
      <c r="E5112" s="437"/>
      <c r="F5112" s="437"/>
      <c r="G5112" s="437"/>
      <c r="H5112" s="437"/>
      <c r="I5112" s="437"/>
      <c r="J5112" s="437"/>
      <c r="K5112" s="437"/>
    </row>
    <row r="5113" customHeight="1" spans="1:11">
      <c r="A5113" s="423" t="s">
        <v>1549</v>
      </c>
      <c r="B5113" s="424" t="s">
        <v>1714</v>
      </c>
      <c r="C5113" s="423" t="s">
        <v>1715</v>
      </c>
      <c r="D5113" s="423" t="s">
        <v>1716</v>
      </c>
      <c r="E5113" s="423" t="s">
        <v>1717</v>
      </c>
      <c r="F5113" s="423"/>
      <c r="G5113" s="425" t="s">
        <v>1718</v>
      </c>
      <c r="H5113" s="424" t="s">
        <v>1719</v>
      </c>
      <c r="I5113" s="424" t="s">
        <v>1720</v>
      </c>
      <c r="J5113" s="424" t="s">
        <v>1721</v>
      </c>
      <c r="K5113" s="424" t="s">
        <v>1722</v>
      </c>
    </row>
    <row r="5114" customHeight="1" spans="1:11">
      <c r="A5114" s="426" t="s">
        <v>1723</v>
      </c>
      <c r="B5114" s="427" t="s">
        <v>169</v>
      </c>
      <c r="C5114" s="426" t="s">
        <v>71</v>
      </c>
      <c r="D5114" s="426" t="s">
        <v>170</v>
      </c>
      <c r="E5114" s="426" t="s">
        <v>1634</v>
      </c>
      <c r="F5114" s="426"/>
      <c r="G5114" s="428" t="s">
        <v>158</v>
      </c>
      <c r="H5114" s="429">
        <v>1</v>
      </c>
      <c r="I5114" s="445"/>
      <c r="J5114" s="445">
        <v>14.25</v>
      </c>
      <c r="K5114" s="445">
        <v>14.25</v>
      </c>
    </row>
    <row r="5115" customHeight="1" spans="1:11">
      <c r="A5115" s="430" t="s">
        <v>1724</v>
      </c>
      <c r="B5115" s="431" t="s">
        <v>1958</v>
      </c>
      <c r="C5115" s="430" t="s">
        <v>71</v>
      </c>
      <c r="D5115" s="430" t="s">
        <v>1959</v>
      </c>
      <c r="E5115" s="430" t="s">
        <v>1708</v>
      </c>
      <c r="F5115" s="430"/>
      <c r="G5115" s="432" t="s">
        <v>82</v>
      </c>
      <c r="H5115" s="433">
        <v>0.081</v>
      </c>
      <c r="I5115" s="433">
        <v>0</v>
      </c>
      <c r="J5115" s="446">
        <v>35.95</v>
      </c>
      <c r="K5115" s="446">
        <v>2.91</v>
      </c>
    </row>
    <row r="5116" customHeight="1" spans="1:11">
      <c r="A5116" s="430" t="s">
        <v>1724</v>
      </c>
      <c r="B5116" s="431" t="s">
        <v>1965</v>
      </c>
      <c r="C5116" s="430" t="s">
        <v>71</v>
      </c>
      <c r="D5116" s="430" t="s">
        <v>1966</v>
      </c>
      <c r="E5116" s="430" t="s">
        <v>1632</v>
      </c>
      <c r="F5116" s="430"/>
      <c r="G5116" s="432" t="s">
        <v>158</v>
      </c>
      <c r="H5116" s="433">
        <v>1</v>
      </c>
      <c r="I5116" s="433">
        <v>0</v>
      </c>
      <c r="J5116" s="446">
        <v>9.78</v>
      </c>
      <c r="K5116" s="446">
        <v>9.78</v>
      </c>
    </row>
    <row r="5117" customHeight="1" spans="1:11">
      <c r="A5117" s="430" t="s">
        <v>1724</v>
      </c>
      <c r="B5117" s="431" t="s">
        <v>1956</v>
      </c>
      <c r="C5117" s="430" t="s">
        <v>71</v>
      </c>
      <c r="D5117" s="430" t="s">
        <v>1957</v>
      </c>
      <c r="E5117" s="430" t="s">
        <v>1708</v>
      </c>
      <c r="F5117" s="430"/>
      <c r="G5117" s="432" t="s">
        <v>82</v>
      </c>
      <c r="H5117" s="433">
        <v>0.031</v>
      </c>
      <c r="I5117" s="433">
        <v>0</v>
      </c>
      <c r="J5117" s="446">
        <v>30.06</v>
      </c>
      <c r="K5117" s="446">
        <v>0.93</v>
      </c>
    </row>
    <row r="5118" customHeight="1" spans="1:11">
      <c r="A5118" s="438" t="s">
        <v>1750</v>
      </c>
      <c r="B5118" s="439" t="s">
        <v>1962</v>
      </c>
      <c r="C5118" s="438" t="s">
        <v>71</v>
      </c>
      <c r="D5118" s="438" t="s">
        <v>1963</v>
      </c>
      <c r="E5118" s="438" t="s">
        <v>1631</v>
      </c>
      <c r="F5118" s="438"/>
      <c r="G5118" s="440" t="s">
        <v>105</v>
      </c>
      <c r="H5118" s="441">
        <v>0.399</v>
      </c>
      <c r="I5118" s="441">
        <v>0</v>
      </c>
      <c r="J5118" s="449">
        <v>0.22</v>
      </c>
      <c r="K5118" s="449">
        <v>0.08</v>
      </c>
    </row>
    <row r="5119" customHeight="1" spans="1:11">
      <c r="A5119" s="438" t="s">
        <v>1750</v>
      </c>
      <c r="B5119" s="439" t="s">
        <v>1960</v>
      </c>
      <c r="C5119" s="438" t="s">
        <v>71</v>
      </c>
      <c r="D5119" s="438" t="s">
        <v>1961</v>
      </c>
      <c r="E5119" s="438" t="s">
        <v>1631</v>
      </c>
      <c r="F5119" s="438"/>
      <c r="G5119" s="440" t="s">
        <v>158</v>
      </c>
      <c r="H5119" s="441">
        <v>0.025</v>
      </c>
      <c r="I5119" s="441">
        <v>0</v>
      </c>
      <c r="J5119" s="449">
        <v>22</v>
      </c>
      <c r="K5119" s="449">
        <v>0.55</v>
      </c>
    </row>
    <row r="5120" customHeight="1" spans="1:11">
      <c r="A5120" s="434"/>
      <c r="B5120" s="434"/>
      <c r="C5120" s="434"/>
      <c r="D5120" s="434"/>
      <c r="E5120" s="434"/>
      <c r="F5120" s="434" t="s">
        <v>1735</v>
      </c>
      <c r="G5120" s="435">
        <v>1.55</v>
      </c>
      <c r="H5120" s="434" t="s">
        <v>1736</v>
      </c>
      <c r="I5120" s="435">
        <v>1.41</v>
      </c>
      <c r="J5120" s="434" t="s">
        <v>1737</v>
      </c>
      <c r="K5120" s="435">
        <v>2.96</v>
      </c>
    </row>
    <row r="5121" customHeight="1" spans="1:11">
      <c r="A5121" s="434"/>
      <c r="B5121" s="434"/>
      <c r="C5121" s="434"/>
      <c r="D5121" s="434"/>
      <c r="E5121" s="434"/>
      <c r="F5121" s="434" t="s">
        <v>1738</v>
      </c>
      <c r="G5121" s="435">
        <v>3.51</v>
      </c>
      <c r="H5121" s="434"/>
      <c r="I5121" s="434" t="s">
        <v>1739</v>
      </c>
      <c r="J5121" s="434"/>
      <c r="K5121" s="435">
        <v>17.76</v>
      </c>
    </row>
    <row r="5122" customHeight="1" spans="1:11">
      <c r="A5122" s="436"/>
      <c r="B5122" s="436"/>
      <c r="C5122" s="436"/>
      <c r="D5122" s="436"/>
      <c r="E5122" s="436"/>
      <c r="F5122" s="436"/>
      <c r="G5122" s="436"/>
      <c r="H5122" s="436" t="s">
        <v>1740</v>
      </c>
      <c r="I5122" s="447" t="s">
        <v>3396</v>
      </c>
      <c r="J5122" s="436" t="s">
        <v>1742</v>
      </c>
      <c r="K5122" s="448">
        <v>1367.52</v>
      </c>
    </row>
    <row r="5123" customHeight="1" spans="1:11">
      <c r="A5123" s="437"/>
      <c r="B5123" s="437"/>
      <c r="C5123" s="437"/>
      <c r="D5123" s="437"/>
      <c r="E5123" s="437"/>
      <c r="F5123" s="437"/>
      <c r="G5123" s="437"/>
      <c r="H5123" s="437"/>
      <c r="I5123" s="437"/>
      <c r="J5123" s="437"/>
      <c r="K5123" s="437"/>
    </row>
    <row r="5124" customHeight="1" spans="1:11">
      <c r="A5124" s="423" t="s">
        <v>1550</v>
      </c>
      <c r="B5124" s="424" t="s">
        <v>1714</v>
      </c>
      <c r="C5124" s="423" t="s">
        <v>1715</v>
      </c>
      <c r="D5124" s="423" t="s">
        <v>1716</v>
      </c>
      <c r="E5124" s="423" t="s">
        <v>1717</v>
      </c>
      <c r="F5124" s="423"/>
      <c r="G5124" s="425" t="s">
        <v>1718</v>
      </c>
      <c r="H5124" s="424" t="s">
        <v>1719</v>
      </c>
      <c r="I5124" s="424" t="s">
        <v>1720</v>
      </c>
      <c r="J5124" s="424" t="s">
        <v>1721</v>
      </c>
      <c r="K5124" s="424" t="s">
        <v>1722</v>
      </c>
    </row>
    <row r="5125" customHeight="1" spans="1:11">
      <c r="A5125" s="426" t="s">
        <v>1723</v>
      </c>
      <c r="B5125" s="427" t="s">
        <v>172</v>
      </c>
      <c r="C5125" s="426" t="s">
        <v>71</v>
      </c>
      <c r="D5125" s="426" t="s">
        <v>173</v>
      </c>
      <c r="E5125" s="426" t="s">
        <v>1634</v>
      </c>
      <c r="F5125" s="426"/>
      <c r="G5125" s="428" t="s">
        <v>158</v>
      </c>
      <c r="H5125" s="429">
        <v>1</v>
      </c>
      <c r="I5125" s="445"/>
      <c r="J5125" s="445">
        <v>12.01</v>
      </c>
      <c r="K5125" s="445">
        <v>12.01</v>
      </c>
    </row>
    <row r="5126" customHeight="1" spans="1:11">
      <c r="A5126" s="430" t="s">
        <v>1724</v>
      </c>
      <c r="B5126" s="431" t="s">
        <v>1973</v>
      </c>
      <c r="C5126" s="430" t="s">
        <v>71</v>
      </c>
      <c r="D5126" s="430" t="s">
        <v>1974</v>
      </c>
      <c r="E5126" s="430" t="s">
        <v>1632</v>
      </c>
      <c r="F5126" s="430"/>
      <c r="G5126" s="432" t="s">
        <v>158</v>
      </c>
      <c r="H5126" s="433">
        <v>1</v>
      </c>
      <c r="I5126" s="433">
        <v>0</v>
      </c>
      <c r="J5126" s="446">
        <v>8.35</v>
      </c>
      <c r="K5126" s="446">
        <v>8.35</v>
      </c>
    </row>
    <row r="5127" customHeight="1" spans="1:11">
      <c r="A5127" s="430" t="s">
        <v>1724</v>
      </c>
      <c r="B5127" s="431" t="s">
        <v>1958</v>
      </c>
      <c r="C5127" s="430" t="s">
        <v>71</v>
      </c>
      <c r="D5127" s="430" t="s">
        <v>1959</v>
      </c>
      <c r="E5127" s="430" t="s">
        <v>1708</v>
      </c>
      <c r="F5127" s="430"/>
      <c r="G5127" s="432" t="s">
        <v>82</v>
      </c>
      <c r="H5127" s="433">
        <v>0.064</v>
      </c>
      <c r="I5127" s="433">
        <v>0</v>
      </c>
      <c r="J5127" s="446">
        <v>35.95</v>
      </c>
      <c r="K5127" s="446">
        <v>2.3</v>
      </c>
    </row>
    <row r="5128" customHeight="1" spans="1:11">
      <c r="A5128" s="430" t="s">
        <v>1724</v>
      </c>
      <c r="B5128" s="431" t="s">
        <v>1956</v>
      </c>
      <c r="C5128" s="430" t="s">
        <v>71</v>
      </c>
      <c r="D5128" s="430" t="s">
        <v>1957</v>
      </c>
      <c r="E5128" s="430" t="s">
        <v>1708</v>
      </c>
      <c r="F5128" s="430"/>
      <c r="G5128" s="432" t="s">
        <v>82</v>
      </c>
      <c r="H5128" s="433">
        <v>0.025</v>
      </c>
      <c r="I5128" s="433">
        <v>0</v>
      </c>
      <c r="J5128" s="446">
        <v>30.06</v>
      </c>
      <c r="K5128" s="446">
        <v>0.75</v>
      </c>
    </row>
    <row r="5129" customHeight="1" spans="1:11">
      <c r="A5129" s="438" t="s">
        <v>1750</v>
      </c>
      <c r="B5129" s="439" t="s">
        <v>1960</v>
      </c>
      <c r="C5129" s="438" t="s">
        <v>71</v>
      </c>
      <c r="D5129" s="438" t="s">
        <v>1961</v>
      </c>
      <c r="E5129" s="438" t="s">
        <v>1631</v>
      </c>
      <c r="F5129" s="438"/>
      <c r="G5129" s="440" t="s">
        <v>158</v>
      </c>
      <c r="H5129" s="441">
        <v>0.025</v>
      </c>
      <c r="I5129" s="441">
        <v>0</v>
      </c>
      <c r="J5129" s="449">
        <v>22</v>
      </c>
      <c r="K5129" s="449">
        <v>0.55</v>
      </c>
    </row>
    <row r="5130" customHeight="1" spans="1:11">
      <c r="A5130" s="438" t="s">
        <v>1750</v>
      </c>
      <c r="B5130" s="439" t="s">
        <v>1962</v>
      </c>
      <c r="C5130" s="438" t="s">
        <v>71</v>
      </c>
      <c r="D5130" s="438" t="s">
        <v>1963</v>
      </c>
      <c r="E5130" s="438" t="s">
        <v>1631</v>
      </c>
      <c r="F5130" s="438"/>
      <c r="G5130" s="440" t="s">
        <v>105</v>
      </c>
      <c r="H5130" s="441">
        <v>0.317</v>
      </c>
      <c r="I5130" s="441">
        <v>0</v>
      </c>
      <c r="J5130" s="449">
        <v>0.22</v>
      </c>
      <c r="K5130" s="449">
        <v>0.06</v>
      </c>
    </row>
    <row r="5131" customHeight="1" spans="1:11">
      <c r="A5131" s="434"/>
      <c r="B5131" s="434"/>
      <c r="C5131" s="434"/>
      <c r="D5131" s="434"/>
      <c r="E5131" s="434"/>
      <c r="F5131" s="434" t="s">
        <v>1735</v>
      </c>
      <c r="G5131" s="435">
        <v>1.19</v>
      </c>
      <c r="H5131" s="434" t="s">
        <v>1736</v>
      </c>
      <c r="I5131" s="435">
        <v>1.09</v>
      </c>
      <c r="J5131" s="434" t="s">
        <v>1737</v>
      </c>
      <c r="K5131" s="435">
        <v>2.28</v>
      </c>
    </row>
    <row r="5132" customHeight="1" spans="1:11">
      <c r="A5132" s="434"/>
      <c r="B5132" s="434"/>
      <c r="C5132" s="434"/>
      <c r="D5132" s="434"/>
      <c r="E5132" s="434"/>
      <c r="F5132" s="434" t="s">
        <v>1738</v>
      </c>
      <c r="G5132" s="435">
        <v>2.96</v>
      </c>
      <c r="H5132" s="434"/>
      <c r="I5132" s="434" t="s">
        <v>1739</v>
      </c>
      <c r="J5132" s="434"/>
      <c r="K5132" s="435">
        <v>14.97</v>
      </c>
    </row>
    <row r="5133" customHeight="1" spans="1:11">
      <c r="A5133" s="436"/>
      <c r="B5133" s="436"/>
      <c r="C5133" s="436"/>
      <c r="D5133" s="436"/>
      <c r="E5133" s="436"/>
      <c r="F5133" s="436"/>
      <c r="G5133" s="436"/>
      <c r="H5133" s="436" t="s">
        <v>1740</v>
      </c>
      <c r="I5133" s="447" t="s">
        <v>1964</v>
      </c>
      <c r="J5133" s="436" t="s">
        <v>1742</v>
      </c>
      <c r="K5133" s="448">
        <v>149.7</v>
      </c>
    </row>
    <row r="5134" customHeight="1" spans="1:11">
      <c r="A5134" s="437"/>
      <c r="B5134" s="437"/>
      <c r="C5134" s="437"/>
      <c r="D5134" s="437"/>
      <c r="E5134" s="437"/>
      <c r="F5134" s="437"/>
      <c r="G5134" s="437"/>
      <c r="H5134" s="437"/>
      <c r="I5134" s="437"/>
      <c r="J5134" s="437"/>
      <c r="K5134" s="437"/>
    </row>
    <row r="5135" customHeight="1" spans="1:11">
      <c r="A5135" s="423" t="s">
        <v>1551</v>
      </c>
      <c r="B5135" s="424" t="s">
        <v>1714</v>
      </c>
      <c r="C5135" s="423" t="s">
        <v>1715</v>
      </c>
      <c r="D5135" s="423" t="s">
        <v>1716</v>
      </c>
      <c r="E5135" s="423" t="s">
        <v>1717</v>
      </c>
      <c r="F5135" s="423"/>
      <c r="G5135" s="425" t="s">
        <v>1718</v>
      </c>
      <c r="H5135" s="424" t="s">
        <v>1719</v>
      </c>
      <c r="I5135" s="424" t="s">
        <v>1720</v>
      </c>
      <c r="J5135" s="424" t="s">
        <v>1721</v>
      </c>
      <c r="K5135" s="424" t="s">
        <v>1722</v>
      </c>
    </row>
    <row r="5136" customHeight="1" spans="1:11">
      <c r="A5136" s="426" t="s">
        <v>1723</v>
      </c>
      <c r="B5136" s="427" t="s">
        <v>1460</v>
      </c>
      <c r="C5136" s="426" t="s">
        <v>76</v>
      </c>
      <c r="D5136" s="426" t="s">
        <v>1461</v>
      </c>
      <c r="E5136" s="426">
        <v>11</v>
      </c>
      <c r="F5136" s="426"/>
      <c r="G5136" s="428" t="s">
        <v>129</v>
      </c>
      <c r="H5136" s="429">
        <v>1</v>
      </c>
      <c r="I5136" s="445"/>
      <c r="J5136" s="445">
        <v>808.65</v>
      </c>
      <c r="K5136" s="445">
        <v>808.65</v>
      </c>
    </row>
    <row r="5137" customHeight="1" spans="1:11">
      <c r="A5137" s="430" t="s">
        <v>1724</v>
      </c>
      <c r="B5137" s="431" t="s">
        <v>2143</v>
      </c>
      <c r="C5137" s="430" t="s">
        <v>76</v>
      </c>
      <c r="D5137" s="430" t="s">
        <v>2144</v>
      </c>
      <c r="E5137" s="430">
        <v>7</v>
      </c>
      <c r="F5137" s="430"/>
      <c r="G5137" s="432" t="s">
        <v>129</v>
      </c>
      <c r="H5137" s="433">
        <v>0.0125</v>
      </c>
      <c r="I5137" s="433">
        <v>0</v>
      </c>
      <c r="J5137" s="446">
        <v>468.89</v>
      </c>
      <c r="K5137" s="446">
        <v>5.86</v>
      </c>
    </row>
    <row r="5138" customHeight="1" spans="1:11">
      <c r="A5138" s="430" t="s">
        <v>1724</v>
      </c>
      <c r="B5138" s="431" t="s">
        <v>3321</v>
      </c>
      <c r="C5138" s="430" t="s">
        <v>76</v>
      </c>
      <c r="D5138" s="430" t="s">
        <v>3322</v>
      </c>
      <c r="E5138" s="430">
        <v>19</v>
      </c>
      <c r="F5138" s="430"/>
      <c r="G5138" s="432" t="s">
        <v>82</v>
      </c>
      <c r="H5138" s="433">
        <v>0.23</v>
      </c>
      <c r="I5138" s="433">
        <v>0</v>
      </c>
      <c r="J5138" s="446">
        <v>1.77</v>
      </c>
      <c r="K5138" s="446">
        <v>0.4</v>
      </c>
    </row>
    <row r="5139" customHeight="1" spans="1:11">
      <c r="A5139" s="430" t="s">
        <v>1724</v>
      </c>
      <c r="B5139" s="431" t="s">
        <v>3323</v>
      </c>
      <c r="C5139" s="430" t="s">
        <v>76</v>
      </c>
      <c r="D5139" s="430" t="s">
        <v>3322</v>
      </c>
      <c r="E5139" s="430">
        <v>19</v>
      </c>
      <c r="F5139" s="430"/>
      <c r="G5139" s="432" t="s">
        <v>82</v>
      </c>
      <c r="H5139" s="433">
        <v>0.39</v>
      </c>
      <c r="I5139" s="433">
        <v>0</v>
      </c>
      <c r="J5139" s="446">
        <v>0.48</v>
      </c>
      <c r="K5139" s="446">
        <v>0.18</v>
      </c>
    </row>
    <row r="5140" customHeight="1" spans="1:11">
      <c r="A5140" s="438" t="s">
        <v>1750</v>
      </c>
      <c r="B5140" s="439" t="s">
        <v>3324</v>
      </c>
      <c r="C5140" s="438" t="s">
        <v>76</v>
      </c>
      <c r="D5140" s="438" t="s">
        <v>3325</v>
      </c>
      <c r="E5140" s="438" t="s">
        <v>1631</v>
      </c>
      <c r="F5140" s="438"/>
      <c r="G5140" s="440" t="s">
        <v>129</v>
      </c>
      <c r="H5140" s="441">
        <v>1</v>
      </c>
      <c r="I5140" s="441">
        <v>0</v>
      </c>
      <c r="J5140" s="449">
        <v>60</v>
      </c>
      <c r="K5140" s="449">
        <v>60</v>
      </c>
    </row>
    <row r="5141" customHeight="1" spans="1:11">
      <c r="A5141" s="438" t="s">
        <v>1750</v>
      </c>
      <c r="B5141" s="439" t="s">
        <v>3326</v>
      </c>
      <c r="C5141" s="438" t="s">
        <v>76</v>
      </c>
      <c r="D5141" s="438" t="s">
        <v>3327</v>
      </c>
      <c r="E5141" s="438" t="s">
        <v>1631</v>
      </c>
      <c r="F5141" s="438"/>
      <c r="G5141" s="440" t="s">
        <v>129</v>
      </c>
      <c r="H5141" s="441">
        <v>1.05</v>
      </c>
      <c r="I5141" s="441">
        <v>0</v>
      </c>
      <c r="J5141" s="449">
        <v>630</v>
      </c>
      <c r="K5141" s="449">
        <v>661.5</v>
      </c>
    </row>
    <row r="5142" customHeight="1" spans="1:11">
      <c r="A5142" s="438" t="s">
        <v>1750</v>
      </c>
      <c r="B5142" s="439" t="s">
        <v>1762</v>
      </c>
      <c r="C5142" s="438" t="s">
        <v>76</v>
      </c>
      <c r="D5142" s="438" t="s">
        <v>1763</v>
      </c>
      <c r="E5142" s="438" t="s">
        <v>1764</v>
      </c>
      <c r="F5142" s="438"/>
      <c r="G5142" s="440" t="s">
        <v>82</v>
      </c>
      <c r="H5142" s="441">
        <v>0.6</v>
      </c>
      <c r="I5142" s="441">
        <v>3</v>
      </c>
      <c r="J5142" s="449">
        <v>26.52</v>
      </c>
      <c r="K5142" s="449">
        <v>16.38</v>
      </c>
    </row>
    <row r="5143" customHeight="1" spans="1:11">
      <c r="A5143" s="438" t="s">
        <v>1750</v>
      </c>
      <c r="B5143" s="439" t="s">
        <v>2149</v>
      </c>
      <c r="C5143" s="438" t="s">
        <v>76</v>
      </c>
      <c r="D5143" s="438" t="s">
        <v>2150</v>
      </c>
      <c r="E5143" s="438" t="s">
        <v>1764</v>
      </c>
      <c r="F5143" s="438"/>
      <c r="G5143" s="440" t="s">
        <v>82</v>
      </c>
      <c r="H5143" s="441">
        <v>0.6</v>
      </c>
      <c r="I5143" s="441">
        <v>3</v>
      </c>
      <c r="J5143" s="449">
        <v>26.52</v>
      </c>
      <c r="K5143" s="449">
        <v>16.38</v>
      </c>
    </row>
    <row r="5144" customHeight="1" spans="1:11">
      <c r="A5144" s="438" t="s">
        <v>1750</v>
      </c>
      <c r="B5144" s="439" t="s">
        <v>1767</v>
      </c>
      <c r="C5144" s="438" t="s">
        <v>76</v>
      </c>
      <c r="D5144" s="438" t="s">
        <v>1768</v>
      </c>
      <c r="E5144" s="438" t="s">
        <v>1764</v>
      </c>
      <c r="F5144" s="438"/>
      <c r="G5144" s="440" t="s">
        <v>82</v>
      </c>
      <c r="H5144" s="441">
        <v>1.6</v>
      </c>
      <c r="I5144" s="441">
        <v>3</v>
      </c>
      <c r="J5144" s="449">
        <v>19.16</v>
      </c>
      <c r="K5144" s="449">
        <v>31.57</v>
      </c>
    </row>
    <row r="5145" customHeight="1" spans="1:11">
      <c r="A5145" s="438" t="s">
        <v>1750</v>
      </c>
      <c r="B5145" s="439" t="s">
        <v>3260</v>
      </c>
      <c r="C5145" s="438" t="s">
        <v>76</v>
      </c>
      <c r="D5145" s="438" t="s">
        <v>3261</v>
      </c>
      <c r="E5145" s="438" t="s">
        <v>1764</v>
      </c>
      <c r="F5145" s="438"/>
      <c r="G5145" s="440" t="s">
        <v>82</v>
      </c>
      <c r="H5145" s="441">
        <v>0.6</v>
      </c>
      <c r="I5145" s="441">
        <v>3</v>
      </c>
      <c r="J5145" s="449">
        <v>26.52</v>
      </c>
      <c r="K5145" s="449">
        <v>16.38</v>
      </c>
    </row>
    <row r="5146" customHeight="1" spans="1:11">
      <c r="A5146" s="434"/>
      <c r="B5146" s="434"/>
      <c r="C5146" s="434"/>
      <c r="D5146" s="434"/>
      <c r="E5146" s="434"/>
      <c r="F5146" s="434" t="s">
        <v>1735</v>
      </c>
      <c r="G5146" s="435">
        <v>42.69</v>
      </c>
      <c r="H5146" s="434" t="s">
        <v>1736</v>
      </c>
      <c r="I5146" s="435">
        <v>38.78</v>
      </c>
      <c r="J5146" s="434" t="s">
        <v>1737</v>
      </c>
      <c r="K5146" s="435">
        <v>81.47</v>
      </c>
    </row>
    <row r="5147" customHeight="1" spans="1:11">
      <c r="A5147" s="434"/>
      <c r="B5147" s="434"/>
      <c r="C5147" s="434"/>
      <c r="D5147" s="434"/>
      <c r="E5147" s="434"/>
      <c r="F5147" s="434" t="s">
        <v>1738</v>
      </c>
      <c r="G5147" s="435">
        <v>199.41</v>
      </c>
      <c r="H5147" s="434"/>
      <c r="I5147" s="434" t="s">
        <v>1739</v>
      </c>
      <c r="J5147" s="434"/>
      <c r="K5147" s="435">
        <v>1008.06</v>
      </c>
    </row>
    <row r="5148" customHeight="1" spans="1:11">
      <c r="A5148" s="436"/>
      <c r="B5148" s="436"/>
      <c r="C5148" s="436"/>
      <c r="D5148" s="436"/>
      <c r="E5148" s="436"/>
      <c r="F5148" s="436"/>
      <c r="G5148" s="436"/>
      <c r="H5148" s="436" t="s">
        <v>1740</v>
      </c>
      <c r="I5148" s="447" t="s">
        <v>3394</v>
      </c>
      <c r="J5148" s="436" t="s">
        <v>1742</v>
      </c>
      <c r="K5148" s="448">
        <v>1774.18</v>
      </c>
    </row>
    <row r="5149" customHeight="1" spans="1:11">
      <c r="A5149" s="437"/>
      <c r="B5149" s="437"/>
      <c r="C5149" s="437"/>
      <c r="D5149" s="437"/>
      <c r="E5149" s="437"/>
      <c r="F5149" s="437"/>
      <c r="G5149" s="437"/>
      <c r="H5149" s="437"/>
      <c r="I5149" s="437"/>
      <c r="J5149" s="437"/>
      <c r="K5149" s="437"/>
    </row>
    <row r="5150" customHeight="1" spans="1:11">
      <c r="A5150" s="422" t="s">
        <v>1552</v>
      </c>
      <c r="B5150" s="422"/>
      <c r="C5150" s="422"/>
      <c r="D5150" s="422" t="s">
        <v>247</v>
      </c>
      <c r="E5150" s="422"/>
      <c r="F5150" s="422"/>
      <c r="G5150" s="422"/>
      <c r="H5150" s="422"/>
      <c r="I5150" s="443"/>
      <c r="J5150" s="422"/>
      <c r="K5150" s="444">
        <v>4519.82</v>
      </c>
    </row>
    <row r="5151" customHeight="1" spans="1:11">
      <c r="A5151" s="423" t="s">
        <v>1553</v>
      </c>
      <c r="B5151" s="424" t="s">
        <v>1714</v>
      </c>
      <c r="C5151" s="423" t="s">
        <v>1715</v>
      </c>
      <c r="D5151" s="423" t="s">
        <v>1716</v>
      </c>
      <c r="E5151" s="423" t="s">
        <v>1717</v>
      </c>
      <c r="F5151" s="423"/>
      <c r="G5151" s="425" t="s">
        <v>1718</v>
      </c>
      <c r="H5151" s="424" t="s">
        <v>1719</v>
      </c>
      <c r="I5151" s="424" t="s">
        <v>1720</v>
      </c>
      <c r="J5151" s="424" t="s">
        <v>1721</v>
      </c>
      <c r="K5151" s="424" t="s">
        <v>1722</v>
      </c>
    </row>
    <row r="5152" customHeight="1" spans="1:11">
      <c r="A5152" s="426" t="s">
        <v>1723</v>
      </c>
      <c r="B5152" s="427" t="s">
        <v>249</v>
      </c>
      <c r="C5152" s="426" t="s">
        <v>71</v>
      </c>
      <c r="D5152" s="426" t="s">
        <v>250</v>
      </c>
      <c r="E5152" s="426" t="s">
        <v>1626</v>
      </c>
      <c r="F5152" s="426"/>
      <c r="G5152" s="428" t="s">
        <v>73</v>
      </c>
      <c r="H5152" s="429">
        <v>1</v>
      </c>
      <c r="I5152" s="445"/>
      <c r="J5152" s="445">
        <v>73.76</v>
      </c>
      <c r="K5152" s="445">
        <v>73.76</v>
      </c>
    </row>
    <row r="5153" customHeight="1" spans="1:11">
      <c r="A5153" s="430" t="s">
        <v>1724</v>
      </c>
      <c r="B5153" s="431" t="s">
        <v>1800</v>
      </c>
      <c r="C5153" s="430" t="s">
        <v>71</v>
      </c>
      <c r="D5153" s="430" t="s">
        <v>1801</v>
      </c>
      <c r="E5153" s="430" t="s">
        <v>1708</v>
      </c>
      <c r="F5153" s="430"/>
      <c r="G5153" s="432" t="s">
        <v>82</v>
      </c>
      <c r="H5153" s="433">
        <v>0.126</v>
      </c>
      <c r="I5153" s="433">
        <v>0</v>
      </c>
      <c r="J5153" s="446">
        <v>29.91</v>
      </c>
      <c r="K5153" s="446">
        <v>3.76</v>
      </c>
    </row>
    <row r="5154" customHeight="1" spans="1:11">
      <c r="A5154" s="430" t="s">
        <v>1724</v>
      </c>
      <c r="B5154" s="431" t="s">
        <v>1743</v>
      </c>
      <c r="C5154" s="430" t="s">
        <v>71</v>
      </c>
      <c r="D5154" s="430" t="s">
        <v>1744</v>
      </c>
      <c r="E5154" s="430" t="s">
        <v>1708</v>
      </c>
      <c r="F5154" s="430"/>
      <c r="G5154" s="432" t="s">
        <v>82</v>
      </c>
      <c r="H5154" s="433">
        <v>0.687</v>
      </c>
      <c r="I5154" s="433">
        <v>0</v>
      </c>
      <c r="J5154" s="446">
        <v>37.51</v>
      </c>
      <c r="K5154" s="446">
        <v>25.76</v>
      </c>
    </row>
    <row r="5155" customHeight="1" spans="1:11">
      <c r="A5155" s="430" t="s">
        <v>1724</v>
      </c>
      <c r="B5155" s="431" t="s">
        <v>2053</v>
      </c>
      <c r="C5155" s="430" t="s">
        <v>71</v>
      </c>
      <c r="D5155" s="430" t="s">
        <v>2054</v>
      </c>
      <c r="E5155" s="430" t="s">
        <v>1626</v>
      </c>
      <c r="F5155" s="430"/>
      <c r="G5155" s="432" t="s">
        <v>73</v>
      </c>
      <c r="H5155" s="433">
        <v>0.577</v>
      </c>
      <c r="I5155" s="433">
        <v>0</v>
      </c>
      <c r="J5155" s="446">
        <v>49.58</v>
      </c>
      <c r="K5155" s="446">
        <v>28.6</v>
      </c>
    </row>
    <row r="5156" customHeight="1" spans="1:11">
      <c r="A5156" s="438" t="s">
        <v>1750</v>
      </c>
      <c r="B5156" s="439" t="s">
        <v>1943</v>
      </c>
      <c r="C5156" s="438" t="s">
        <v>71</v>
      </c>
      <c r="D5156" s="438" t="s">
        <v>1944</v>
      </c>
      <c r="E5156" s="438" t="s">
        <v>1631</v>
      </c>
      <c r="F5156" s="438"/>
      <c r="G5156" s="440" t="s">
        <v>1945</v>
      </c>
      <c r="H5156" s="441">
        <v>0.01</v>
      </c>
      <c r="I5156" s="441">
        <v>0</v>
      </c>
      <c r="J5156" s="449">
        <v>7.97</v>
      </c>
      <c r="K5156" s="449">
        <v>0.07</v>
      </c>
    </row>
    <row r="5157" customHeight="1" spans="1:11">
      <c r="A5157" s="438" t="s">
        <v>1750</v>
      </c>
      <c r="B5157" s="439" t="s">
        <v>2055</v>
      </c>
      <c r="C5157" s="438" t="s">
        <v>71</v>
      </c>
      <c r="D5157" s="438" t="s">
        <v>2056</v>
      </c>
      <c r="E5157" s="438" t="s">
        <v>1892</v>
      </c>
      <c r="F5157" s="438"/>
      <c r="G5157" s="440" t="s">
        <v>93</v>
      </c>
      <c r="H5157" s="441">
        <v>0.397</v>
      </c>
      <c r="I5157" s="441">
        <v>0</v>
      </c>
      <c r="J5157" s="449">
        <v>26.62</v>
      </c>
      <c r="K5157" s="449">
        <v>10.56</v>
      </c>
    </row>
    <row r="5158" customHeight="1" spans="1:11">
      <c r="A5158" s="438" t="s">
        <v>1750</v>
      </c>
      <c r="B5158" s="439" t="s">
        <v>2057</v>
      </c>
      <c r="C5158" s="438" t="s">
        <v>71</v>
      </c>
      <c r="D5158" s="438" t="s">
        <v>2058</v>
      </c>
      <c r="E5158" s="438" t="s">
        <v>1631</v>
      </c>
      <c r="F5158" s="438"/>
      <c r="G5158" s="440" t="s">
        <v>78</v>
      </c>
      <c r="H5158" s="441">
        <v>0.038</v>
      </c>
      <c r="I5158" s="441">
        <v>0</v>
      </c>
      <c r="J5158" s="449">
        <v>132.03</v>
      </c>
      <c r="K5158" s="449">
        <v>5.01</v>
      </c>
    </row>
    <row r="5159" customHeight="1" spans="1:11">
      <c r="A5159" s="434"/>
      <c r="B5159" s="434"/>
      <c r="C5159" s="434"/>
      <c r="D5159" s="434"/>
      <c r="E5159" s="434"/>
      <c r="F5159" s="434" t="s">
        <v>1735</v>
      </c>
      <c r="G5159" s="435">
        <v>11.61</v>
      </c>
      <c r="H5159" s="434" t="s">
        <v>1736</v>
      </c>
      <c r="I5159" s="435">
        <v>10.56</v>
      </c>
      <c r="J5159" s="434" t="s">
        <v>1737</v>
      </c>
      <c r="K5159" s="435">
        <v>22.17</v>
      </c>
    </row>
    <row r="5160" customHeight="1" spans="1:11">
      <c r="A5160" s="434"/>
      <c r="B5160" s="434"/>
      <c r="C5160" s="434"/>
      <c r="D5160" s="434"/>
      <c r="E5160" s="434"/>
      <c r="F5160" s="434" t="s">
        <v>1738</v>
      </c>
      <c r="G5160" s="435">
        <v>18.18</v>
      </c>
      <c r="H5160" s="434"/>
      <c r="I5160" s="434" t="s">
        <v>1739</v>
      </c>
      <c r="J5160" s="434"/>
      <c r="K5160" s="435">
        <v>91.94</v>
      </c>
    </row>
    <row r="5161" customHeight="1" spans="1:11">
      <c r="A5161" s="436"/>
      <c r="B5161" s="436"/>
      <c r="C5161" s="436"/>
      <c r="D5161" s="436"/>
      <c r="E5161" s="436"/>
      <c r="F5161" s="436"/>
      <c r="G5161" s="436"/>
      <c r="H5161" s="436" t="s">
        <v>1740</v>
      </c>
      <c r="I5161" s="447" t="s">
        <v>3397</v>
      </c>
      <c r="J5161" s="436" t="s">
        <v>1742</v>
      </c>
      <c r="K5161" s="448">
        <v>663.8</v>
      </c>
    </row>
    <row r="5162" customHeight="1" spans="1:11">
      <c r="A5162" s="437"/>
      <c r="B5162" s="437"/>
      <c r="C5162" s="437"/>
      <c r="D5162" s="437"/>
      <c r="E5162" s="437"/>
      <c r="F5162" s="437"/>
      <c r="G5162" s="437"/>
      <c r="H5162" s="437"/>
      <c r="I5162" s="437"/>
      <c r="J5162" s="437"/>
      <c r="K5162" s="437"/>
    </row>
    <row r="5163" customHeight="1" spans="1:11">
      <c r="A5163" s="423" t="s">
        <v>1554</v>
      </c>
      <c r="B5163" s="424" t="s">
        <v>1714</v>
      </c>
      <c r="C5163" s="423" t="s">
        <v>1715</v>
      </c>
      <c r="D5163" s="423" t="s">
        <v>1716</v>
      </c>
      <c r="E5163" s="423" t="s">
        <v>1717</v>
      </c>
      <c r="F5163" s="423"/>
      <c r="G5163" s="425" t="s">
        <v>1718</v>
      </c>
      <c r="H5163" s="424" t="s">
        <v>1719</v>
      </c>
      <c r="I5163" s="424" t="s">
        <v>1720</v>
      </c>
      <c r="J5163" s="424" t="s">
        <v>1721</v>
      </c>
      <c r="K5163" s="424" t="s">
        <v>1722</v>
      </c>
    </row>
    <row r="5164" customHeight="1" spans="1:11">
      <c r="A5164" s="426" t="s">
        <v>1723</v>
      </c>
      <c r="B5164" s="427" t="s">
        <v>1460</v>
      </c>
      <c r="C5164" s="426" t="s">
        <v>76</v>
      </c>
      <c r="D5164" s="426" t="s">
        <v>1461</v>
      </c>
      <c r="E5164" s="426">
        <v>11</v>
      </c>
      <c r="F5164" s="426"/>
      <c r="G5164" s="428" t="s">
        <v>129</v>
      </c>
      <c r="H5164" s="429">
        <v>1</v>
      </c>
      <c r="I5164" s="445"/>
      <c r="J5164" s="445">
        <v>808.65</v>
      </c>
      <c r="K5164" s="445">
        <v>808.65</v>
      </c>
    </row>
    <row r="5165" customHeight="1" spans="1:11">
      <c r="A5165" s="430" t="s">
        <v>1724</v>
      </c>
      <c r="B5165" s="431" t="s">
        <v>2143</v>
      </c>
      <c r="C5165" s="430" t="s">
        <v>76</v>
      </c>
      <c r="D5165" s="430" t="s">
        <v>2144</v>
      </c>
      <c r="E5165" s="430">
        <v>7</v>
      </c>
      <c r="F5165" s="430"/>
      <c r="G5165" s="432" t="s">
        <v>129</v>
      </c>
      <c r="H5165" s="433">
        <v>0.0125</v>
      </c>
      <c r="I5165" s="433">
        <v>0</v>
      </c>
      <c r="J5165" s="446">
        <v>468.89</v>
      </c>
      <c r="K5165" s="446">
        <v>5.86</v>
      </c>
    </row>
    <row r="5166" customHeight="1" spans="1:11">
      <c r="A5166" s="430" t="s">
        <v>1724</v>
      </c>
      <c r="B5166" s="431" t="s">
        <v>3321</v>
      </c>
      <c r="C5166" s="430" t="s">
        <v>76</v>
      </c>
      <c r="D5166" s="430" t="s">
        <v>3322</v>
      </c>
      <c r="E5166" s="430">
        <v>19</v>
      </c>
      <c r="F5166" s="430"/>
      <c r="G5166" s="432" t="s">
        <v>82</v>
      </c>
      <c r="H5166" s="433">
        <v>0.23</v>
      </c>
      <c r="I5166" s="433">
        <v>0</v>
      </c>
      <c r="J5166" s="446">
        <v>1.77</v>
      </c>
      <c r="K5166" s="446">
        <v>0.4</v>
      </c>
    </row>
    <row r="5167" customHeight="1" spans="1:11">
      <c r="A5167" s="430" t="s">
        <v>1724</v>
      </c>
      <c r="B5167" s="431" t="s">
        <v>3323</v>
      </c>
      <c r="C5167" s="430" t="s">
        <v>76</v>
      </c>
      <c r="D5167" s="430" t="s">
        <v>3322</v>
      </c>
      <c r="E5167" s="430">
        <v>19</v>
      </c>
      <c r="F5167" s="430"/>
      <c r="G5167" s="432" t="s">
        <v>82</v>
      </c>
      <c r="H5167" s="433">
        <v>0.39</v>
      </c>
      <c r="I5167" s="433">
        <v>0</v>
      </c>
      <c r="J5167" s="446">
        <v>0.48</v>
      </c>
      <c r="K5167" s="446">
        <v>0.18</v>
      </c>
    </row>
    <row r="5168" customHeight="1" spans="1:11">
      <c r="A5168" s="438" t="s">
        <v>1750</v>
      </c>
      <c r="B5168" s="439" t="s">
        <v>3324</v>
      </c>
      <c r="C5168" s="438" t="s">
        <v>76</v>
      </c>
      <c r="D5168" s="438" t="s">
        <v>3325</v>
      </c>
      <c r="E5168" s="438" t="s">
        <v>1631</v>
      </c>
      <c r="F5168" s="438"/>
      <c r="G5168" s="440" t="s">
        <v>129</v>
      </c>
      <c r="H5168" s="441">
        <v>1</v>
      </c>
      <c r="I5168" s="441">
        <v>0</v>
      </c>
      <c r="J5168" s="449">
        <v>60</v>
      </c>
      <c r="K5168" s="449">
        <v>60</v>
      </c>
    </row>
    <row r="5169" customHeight="1" spans="1:11">
      <c r="A5169" s="438" t="s">
        <v>1750</v>
      </c>
      <c r="B5169" s="439" t="s">
        <v>3326</v>
      </c>
      <c r="C5169" s="438" t="s">
        <v>76</v>
      </c>
      <c r="D5169" s="438" t="s">
        <v>3327</v>
      </c>
      <c r="E5169" s="438" t="s">
        <v>1631</v>
      </c>
      <c r="F5169" s="438"/>
      <c r="G5169" s="440" t="s">
        <v>129</v>
      </c>
      <c r="H5169" s="441">
        <v>1.05</v>
      </c>
      <c r="I5169" s="441">
        <v>0</v>
      </c>
      <c r="J5169" s="449">
        <v>630</v>
      </c>
      <c r="K5169" s="449">
        <v>661.5</v>
      </c>
    </row>
    <row r="5170" customHeight="1" spans="1:11">
      <c r="A5170" s="438" t="s">
        <v>1750</v>
      </c>
      <c r="B5170" s="439" t="s">
        <v>1762</v>
      </c>
      <c r="C5170" s="438" t="s">
        <v>76</v>
      </c>
      <c r="D5170" s="438" t="s">
        <v>1763</v>
      </c>
      <c r="E5170" s="438" t="s">
        <v>1764</v>
      </c>
      <c r="F5170" s="438"/>
      <c r="G5170" s="440" t="s">
        <v>82</v>
      </c>
      <c r="H5170" s="441">
        <v>0.6</v>
      </c>
      <c r="I5170" s="441">
        <v>3</v>
      </c>
      <c r="J5170" s="449">
        <v>26.52</v>
      </c>
      <c r="K5170" s="449">
        <v>16.38</v>
      </c>
    </row>
    <row r="5171" customHeight="1" spans="1:11">
      <c r="A5171" s="438" t="s">
        <v>1750</v>
      </c>
      <c r="B5171" s="439" t="s">
        <v>2149</v>
      </c>
      <c r="C5171" s="438" t="s">
        <v>76</v>
      </c>
      <c r="D5171" s="438" t="s">
        <v>2150</v>
      </c>
      <c r="E5171" s="438" t="s">
        <v>1764</v>
      </c>
      <c r="F5171" s="438"/>
      <c r="G5171" s="440" t="s">
        <v>82</v>
      </c>
      <c r="H5171" s="441">
        <v>0.6</v>
      </c>
      <c r="I5171" s="441">
        <v>3</v>
      </c>
      <c r="J5171" s="449">
        <v>26.52</v>
      </c>
      <c r="K5171" s="449">
        <v>16.38</v>
      </c>
    </row>
    <row r="5172" customHeight="1" spans="1:11">
      <c r="A5172" s="438" t="s">
        <v>1750</v>
      </c>
      <c r="B5172" s="439" t="s">
        <v>1767</v>
      </c>
      <c r="C5172" s="438" t="s">
        <v>76</v>
      </c>
      <c r="D5172" s="438" t="s">
        <v>1768</v>
      </c>
      <c r="E5172" s="438" t="s">
        <v>1764</v>
      </c>
      <c r="F5172" s="438"/>
      <c r="G5172" s="440" t="s">
        <v>82</v>
      </c>
      <c r="H5172" s="441">
        <v>1.6</v>
      </c>
      <c r="I5172" s="441">
        <v>3</v>
      </c>
      <c r="J5172" s="449">
        <v>19.16</v>
      </c>
      <c r="K5172" s="449">
        <v>31.57</v>
      </c>
    </row>
    <row r="5173" customHeight="1" spans="1:11">
      <c r="A5173" s="438" t="s">
        <v>1750</v>
      </c>
      <c r="B5173" s="439" t="s">
        <v>3260</v>
      </c>
      <c r="C5173" s="438" t="s">
        <v>76</v>
      </c>
      <c r="D5173" s="438" t="s">
        <v>3261</v>
      </c>
      <c r="E5173" s="438" t="s">
        <v>1764</v>
      </c>
      <c r="F5173" s="438"/>
      <c r="G5173" s="440" t="s">
        <v>82</v>
      </c>
      <c r="H5173" s="441">
        <v>0.6</v>
      </c>
      <c r="I5173" s="441">
        <v>3</v>
      </c>
      <c r="J5173" s="449">
        <v>26.52</v>
      </c>
      <c r="K5173" s="449">
        <v>16.38</v>
      </c>
    </row>
    <row r="5174" customHeight="1" spans="1:11">
      <c r="A5174" s="434"/>
      <c r="B5174" s="434"/>
      <c r="C5174" s="434"/>
      <c r="D5174" s="434"/>
      <c r="E5174" s="434"/>
      <c r="F5174" s="434" t="s">
        <v>1735</v>
      </c>
      <c r="G5174" s="435">
        <v>42.69</v>
      </c>
      <c r="H5174" s="434" t="s">
        <v>1736</v>
      </c>
      <c r="I5174" s="435">
        <v>38.78</v>
      </c>
      <c r="J5174" s="434" t="s">
        <v>1737</v>
      </c>
      <c r="K5174" s="435">
        <v>81.47</v>
      </c>
    </row>
    <row r="5175" customHeight="1" spans="1:11">
      <c r="A5175" s="434"/>
      <c r="B5175" s="434"/>
      <c r="C5175" s="434"/>
      <c r="D5175" s="434"/>
      <c r="E5175" s="434"/>
      <c r="F5175" s="434" t="s">
        <v>1738</v>
      </c>
      <c r="G5175" s="435">
        <v>199.41</v>
      </c>
      <c r="H5175" s="434"/>
      <c r="I5175" s="434" t="s">
        <v>1739</v>
      </c>
      <c r="J5175" s="434"/>
      <c r="K5175" s="435">
        <v>1008.06</v>
      </c>
    </row>
    <row r="5176" customHeight="1" spans="1:11">
      <c r="A5176" s="436"/>
      <c r="B5176" s="436"/>
      <c r="C5176" s="436"/>
      <c r="D5176" s="436"/>
      <c r="E5176" s="436"/>
      <c r="F5176" s="436"/>
      <c r="G5176" s="436"/>
      <c r="H5176" s="436" t="s">
        <v>1740</v>
      </c>
      <c r="I5176" s="447" t="s">
        <v>3398</v>
      </c>
      <c r="J5176" s="436" t="s">
        <v>1742</v>
      </c>
      <c r="K5176" s="448">
        <v>877.01</v>
      </c>
    </row>
    <row r="5177" customHeight="1" spans="1:11">
      <c r="A5177" s="437"/>
      <c r="B5177" s="437"/>
      <c r="C5177" s="437"/>
      <c r="D5177" s="437"/>
      <c r="E5177" s="437"/>
      <c r="F5177" s="437"/>
      <c r="G5177" s="437"/>
      <c r="H5177" s="437"/>
      <c r="I5177" s="437"/>
      <c r="J5177" s="437"/>
      <c r="K5177" s="437"/>
    </row>
    <row r="5178" customHeight="1" spans="1:11">
      <c r="A5178" s="423" t="s">
        <v>1555</v>
      </c>
      <c r="B5178" s="424" t="s">
        <v>1714</v>
      </c>
      <c r="C5178" s="423" t="s">
        <v>1715</v>
      </c>
      <c r="D5178" s="423" t="s">
        <v>1716</v>
      </c>
      <c r="E5178" s="423" t="s">
        <v>1717</v>
      </c>
      <c r="F5178" s="423"/>
      <c r="G5178" s="425" t="s">
        <v>1718</v>
      </c>
      <c r="H5178" s="424" t="s">
        <v>1719</v>
      </c>
      <c r="I5178" s="424" t="s">
        <v>1720</v>
      </c>
      <c r="J5178" s="424" t="s">
        <v>1721</v>
      </c>
      <c r="K5178" s="424" t="s">
        <v>1722</v>
      </c>
    </row>
    <row r="5179" customHeight="1" spans="1:11">
      <c r="A5179" s="426" t="s">
        <v>1723</v>
      </c>
      <c r="B5179" s="427" t="s">
        <v>252</v>
      </c>
      <c r="C5179" s="426" t="s">
        <v>71</v>
      </c>
      <c r="D5179" s="426" t="s">
        <v>253</v>
      </c>
      <c r="E5179" s="426" t="s">
        <v>1632</v>
      </c>
      <c r="F5179" s="426"/>
      <c r="G5179" s="428" t="s">
        <v>158</v>
      </c>
      <c r="H5179" s="429">
        <v>1</v>
      </c>
      <c r="I5179" s="445"/>
      <c r="J5179" s="445">
        <v>15.37</v>
      </c>
      <c r="K5179" s="445">
        <v>15.37</v>
      </c>
    </row>
    <row r="5180" customHeight="1" spans="1:11">
      <c r="A5180" s="430" t="s">
        <v>1724</v>
      </c>
      <c r="B5180" s="431" t="s">
        <v>1954</v>
      </c>
      <c r="C5180" s="430" t="s">
        <v>71</v>
      </c>
      <c r="D5180" s="430" t="s">
        <v>1955</v>
      </c>
      <c r="E5180" s="430" t="s">
        <v>1632</v>
      </c>
      <c r="F5180" s="430"/>
      <c r="G5180" s="432" t="s">
        <v>158</v>
      </c>
      <c r="H5180" s="433">
        <v>1</v>
      </c>
      <c r="I5180" s="433">
        <v>0</v>
      </c>
      <c r="J5180" s="446">
        <v>10.96</v>
      </c>
      <c r="K5180" s="446">
        <v>10.96</v>
      </c>
    </row>
    <row r="5181" customHeight="1" spans="1:11">
      <c r="A5181" s="430" t="s">
        <v>1724</v>
      </c>
      <c r="B5181" s="431" t="s">
        <v>1956</v>
      </c>
      <c r="C5181" s="430" t="s">
        <v>71</v>
      </c>
      <c r="D5181" s="430" t="s">
        <v>1957</v>
      </c>
      <c r="E5181" s="430" t="s">
        <v>1708</v>
      </c>
      <c r="F5181" s="430"/>
      <c r="G5181" s="432" t="s">
        <v>82</v>
      </c>
      <c r="H5181" s="433">
        <v>0.0136</v>
      </c>
      <c r="I5181" s="433">
        <v>0</v>
      </c>
      <c r="J5181" s="446">
        <v>30.06</v>
      </c>
      <c r="K5181" s="446">
        <v>0.4</v>
      </c>
    </row>
    <row r="5182" customHeight="1" spans="1:11">
      <c r="A5182" s="430" t="s">
        <v>1724</v>
      </c>
      <c r="B5182" s="431" t="s">
        <v>1958</v>
      </c>
      <c r="C5182" s="430" t="s">
        <v>71</v>
      </c>
      <c r="D5182" s="430" t="s">
        <v>1959</v>
      </c>
      <c r="E5182" s="430" t="s">
        <v>1708</v>
      </c>
      <c r="F5182" s="430"/>
      <c r="G5182" s="432" t="s">
        <v>82</v>
      </c>
      <c r="H5182" s="433">
        <v>0.0836</v>
      </c>
      <c r="I5182" s="433">
        <v>0</v>
      </c>
      <c r="J5182" s="446">
        <v>35.95</v>
      </c>
      <c r="K5182" s="446">
        <v>3</v>
      </c>
    </row>
    <row r="5183" customHeight="1" spans="1:11">
      <c r="A5183" s="438" t="s">
        <v>1750</v>
      </c>
      <c r="B5183" s="439" t="s">
        <v>1960</v>
      </c>
      <c r="C5183" s="438" t="s">
        <v>71</v>
      </c>
      <c r="D5183" s="438" t="s">
        <v>1961</v>
      </c>
      <c r="E5183" s="438" t="s">
        <v>1631</v>
      </c>
      <c r="F5183" s="438"/>
      <c r="G5183" s="440" t="s">
        <v>158</v>
      </c>
      <c r="H5183" s="441">
        <v>0.025</v>
      </c>
      <c r="I5183" s="441">
        <v>0</v>
      </c>
      <c r="J5183" s="449">
        <v>22</v>
      </c>
      <c r="K5183" s="449">
        <v>0.55</v>
      </c>
    </row>
    <row r="5184" customHeight="1" spans="1:11">
      <c r="A5184" s="438" t="s">
        <v>1750</v>
      </c>
      <c r="B5184" s="439" t="s">
        <v>1962</v>
      </c>
      <c r="C5184" s="438" t="s">
        <v>71</v>
      </c>
      <c r="D5184" s="438" t="s">
        <v>1963</v>
      </c>
      <c r="E5184" s="438" t="s">
        <v>1631</v>
      </c>
      <c r="F5184" s="438"/>
      <c r="G5184" s="440" t="s">
        <v>105</v>
      </c>
      <c r="H5184" s="441">
        <v>2.118</v>
      </c>
      <c r="I5184" s="441">
        <v>0</v>
      </c>
      <c r="J5184" s="449">
        <v>0.22</v>
      </c>
      <c r="K5184" s="449">
        <v>0.46</v>
      </c>
    </row>
    <row r="5185" customHeight="1" spans="1:11">
      <c r="A5185" s="434"/>
      <c r="B5185" s="434"/>
      <c r="C5185" s="434"/>
      <c r="D5185" s="434"/>
      <c r="E5185" s="434"/>
      <c r="F5185" s="434" t="s">
        <v>1735</v>
      </c>
      <c r="G5185" s="435">
        <v>2.15</v>
      </c>
      <c r="H5185" s="434" t="s">
        <v>1736</v>
      </c>
      <c r="I5185" s="435">
        <v>1.97</v>
      </c>
      <c r="J5185" s="434" t="s">
        <v>1737</v>
      </c>
      <c r="K5185" s="435">
        <v>4.12</v>
      </c>
    </row>
    <row r="5186" customHeight="1" spans="1:11">
      <c r="A5186" s="434"/>
      <c r="B5186" s="434"/>
      <c r="C5186" s="434"/>
      <c r="D5186" s="434"/>
      <c r="E5186" s="434"/>
      <c r="F5186" s="434" t="s">
        <v>1738</v>
      </c>
      <c r="G5186" s="435">
        <v>3.79</v>
      </c>
      <c r="H5186" s="434"/>
      <c r="I5186" s="434" t="s">
        <v>1739</v>
      </c>
      <c r="J5186" s="434"/>
      <c r="K5186" s="435">
        <v>19.16</v>
      </c>
    </row>
    <row r="5187" customHeight="1" spans="1:11">
      <c r="A5187" s="436"/>
      <c r="B5187" s="436"/>
      <c r="C5187" s="436"/>
      <c r="D5187" s="436"/>
      <c r="E5187" s="436"/>
      <c r="F5187" s="436"/>
      <c r="G5187" s="436"/>
      <c r="H5187" s="436" t="s">
        <v>1740</v>
      </c>
      <c r="I5187" s="447" t="s">
        <v>3399</v>
      </c>
      <c r="J5187" s="436" t="s">
        <v>1742</v>
      </c>
      <c r="K5187" s="448">
        <v>651.44</v>
      </c>
    </row>
    <row r="5188" customHeight="1" spans="1:11">
      <c r="A5188" s="437"/>
      <c r="B5188" s="437"/>
      <c r="C5188" s="437"/>
      <c r="D5188" s="437"/>
      <c r="E5188" s="437"/>
      <c r="F5188" s="437"/>
      <c r="G5188" s="437"/>
      <c r="H5188" s="437"/>
      <c r="I5188" s="437"/>
      <c r="J5188" s="437"/>
      <c r="K5188" s="437"/>
    </row>
    <row r="5189" customHeight="1" spans="1:11">
      <c r="A5189" s="423" t="s">
        <v>1556</v>
      </c>
      <c r="B5189" s="424" t="s">
        <v>1714</v>
      </c>
      <c r="C5189" s="423" t="s">
        <v>1715</v>
      </c>
      <c r="D5189" s="423" t="s">
        <v>1716</v>
      </c>
      <c r="E5189" s="423" t="s">
        <v>1717</v>
      </c>
      <c r="F5189" s="423"/>
      <c r="G5189" s="425" t="s">
        <v>1718</v>
      </c>
      <c r="H5189" s="424" t="s">
        <v>1719</v>
      </c>
      <c r="I5189" s="424" t="s">
        <v>1720</v>
      </c>
      <c r="J5189" s="424" t="s">
        <v>1721</v>
      </c>
      <c r="K5189" s="424" t="s">
        <v>1722</v>
      </c>
    </row>
    <row r="5190" customHeight="1" spans="1:11">
      <c r="A5190" s="426" t="s">
        <v>1723</v>
      </c>
      <c r="B5190" s="427" t="s">
        <v>255</v>
      </c>
      <c r="C5190" s="426" t="s">
        <v>71</v>
      </c>
      <c r="D5190" s="426" t="s">
        <v>256</v>
      </c>
      <c r="E5190" s="426" t="s">
        <v>1632</v>
      </c>
      <c r="F5190" s="426"/>
      <c r="G5190" s="428" t="s">
        <v>158</v>
      </c>
      <c r="H5190" s="429">
        <v>1</v>
      </c>
      <c r="I5190" s="445"/>
      <c r="J5190" s="445">
        <v>14.11</v>
      </c>
      <c r="K5190" s="445">
        <v>14.11</v>
      </c>
    </row>
    <row r="5191" customHeight="1" spans="1:11">
      <c r="A5191" s="430" t="s">
        <v>1724</v>
      </c>
      <c r="B5191" s="431" t="s">
        <v>2027</v>
      </c>
      <c r="C5191" s="430" t="s">
        <v>71</v>
      </c>
      <c r="D5191" s="430" t="s">
        <v>2028</v>
      </c>
      <c r="E5191" s="430" t="s">
        <v>1632</v>
      </c>
      <c r="F5191" s="430"/>
      <c r="G5191" s="432" t="s">
        <v>158</v>
      </c>
      <c r="H5191" s="433">
        <v>1</v>
      </c>
      <c r="I5191" s="433">
        <v>0</v>
      </c>
      <c r="J5191" s="446">
        <v>10.84</v>
      </c>
      <c r="K5191" s="446">
        <v>10.84</v>
      </c>
    </row>
    <row r="5192" customHeight="1" spans="1:11">
      <c r="A5192" s="430" t="s">
        <v>1724</v>
      </c>
      <c r="B5192" s="431" t="s">
        <v>1958</v>
      </c>
      <c r="C5192" s="430" t="s">
        <v>71</v>
      </c>
      <c r="D5192" s="430" t="s">
        <v>1959</v>
      </c>
      <c r="E5192" s="430" t="s">
        <v>1708</v>
      </c>
      <c r="F5192" s="430"/>
      <c r="G5192" s="432" t="s">
        <v>82</v>
      </c>
      <c r="H5192" s="433">
        <v>0.0597</v>
      </c>
      <c r="I5192" s="433">
        <v>0</v>
      </c>
      <c r="J5192" s="446">
        <v>35.95</v>
      </c>
      <c r="K5192" s="446">
        <v>2.14</v>
      </c>
    </row>
    <row r="5193" customHeight="1" spans="1:11">
      <c r="A5193" s="430" t="s">
        <v>1724</v>
      </c>
      <c r="B5193" s="431" t="s">
        <v>1956</v>
      </c>
      <c r="C5193" s="430" t="s">
        <v>71</v>
      </c>
      <c r="D5193" s="430" t="s">
        <v>1957</v>
      </c>
      <c r="E5193" s="430" t="s">
        <v>1708</v>
      </c>
      <c r="F5193" s="430"/>
      <c r="G5193" s="432" t="s">
        <v>82</v>
      </c>
      <c r="H5193" s="433">
        <v>0.0098</v>
      </c>
      <c r="I5193" s="433">
        <v>0</v>
      </c>
      <c r="J5193" s="446">
        <v>30.06</v>
      </c>
      <c r="K5193" s="446">
        <v>0.29</v>
      </c>
    </row>
    <row r="5194" customHeight="1" spans="1:11">
      <c r="A5194" s="438" t="s">
        <v>1750</v>
      </c>
      <c r="B5194" s="439" t="s">
        <v>1962</v>
      </c>
      <c r="C5194" s="438" t="s">
        <v>71</v>
      </c>
      <c r="D5194" s="438" t="s">
        <v>1963</v>
      </c>
      <c r="E5194" s="438" t="s">
        <v>1631</v>
      </c>
      <c r="F5194" s="438"/>
      <c r="G5194" s="440" t="s">
        <v>105</v>
      </c>
      <c r="H5194" s="441">
        <v>1.333</v>
      </c>
      <c r="I5194" s="441">
        <v>0</v>
      </c>
      <c r="J5194" s="449">
        <v>0.22</v>
      </c>
      <c r="K5194" s="449">
        <v>0.29</v>
      </c>
    </row>
    <row r="5195" customHeight="1" spans="1:11">
      <c r="A5195" s="438" t="s">
        <v>1750</v>
      </c>
      <c r="B5195" s="439" t="s">
        <v>1960</v>
      </c>
      <c r="C5195" s="438" t="s">
        <v>71</v>
      </c>
      <c r="D5195" s="438" t="s">
        <v>1961</v>
      </c>
      <c r="E5195" s="438" t="s">
        <v>1631</v>
      </c>
      <c r="F5195" s="438"/>
      <c r="G5195" s="440" t="s">
        <v>158</v>
      </c>
      <c r="H5195" s="441">
        <v>0.025</v>
      </c>
      <c r="I5195" s="441">
        <v>0</v>
      </c>
      <c r="J5195" s="449">
        <v>22</v>
      </c>
      <c r="K5195" s="449">
        <v>0.55</v>
      </c>
    </row>
    <row r="5196" customHeight="1" spans="1:11">
      <c r="A5196" s="434"/>
      <c r="B5196" s="434"/>
      <c r="C5196" s="434"/>
      <c r="D5196" s="434"/>
      <c r="E5196" s="434"/>
      <c r="F5196" s="434" t="s">
        <v>1735</v>
      </c>
      <c r="G5196" s="435">
        <v>1.37</v>
      </c>
      <c r="H5196" s="434" t="s">
        <v>1736</v>
      </c>
      <c r="I5196" s="435">
        <v>1.26</v>
      </c>
      <c r="J5196" s="434" t="s">
        <v>1737</v>
      </c>
      <c r="K5196" s="435">
        <v>2.63</v>
      </c>
    </row>
    <row r="5197" customHeight="1" spans="1:11">
      <c r="A5197" s="434"/>
      <c r="B5197" s="434"/>
      <c r="C5197" s="434"/>
      <c r="D5197" s="434"/>
      <c r="E5197" s="434"/>
      <c r="F5197" s="434" t="s">
        <v>1738</v>
      </c>
      <c r="G5197" s="435">
        <v>3.47</v>
      </c>
      <c r="H5197" s="434"/>
      <c r="I5197" s="434" t="s">
        <v>1739</v>
      </c>
      <c r="J5197" s="434"/>
      <c r="K5197" s="435">
        <v>17.58</v>
      </c>
    </row>
    <row r="5198" customHeight="1" spans="1:11">
      <c r="A5198" s="436"/>
      <c r="B5198" s="436"/>
      <c r="C5198" s="436"/>
      <c r="D5198" s="436"/>
      <c r="E5198" s="436"/>
      <c r="F5198" s="436"/>
      <c r="G5198" s="436"/>
      <c r="H5198" s="436" t="s">
        <v>1740</v>
      </c>
      <c r="I5198" s="447" t="s">
        <v>3058</v>
      </c>
      <c r="J5198" s="436" t="s">
        <v>1742</v>
      </c>
      <c r="K5198" s="448">
        <v>316.44</v>
      </c>
    </row>
    <row r="5199" customHeight="1" spans="1:11">
      <c r="A5199" s="437"/>
      <c r="B5199" s="437"/>
      <c r="C5199" s="437"/>
      <c r="D5199" s="437"/>
      <c r="E5199" s="437"/>
      <c r="F5199" s="437"/>
      <c r="G5199" s="437"/>
      <c r="H5199" s="437"/>
      <c r="I5199" s="437"/>
      <c r="J5199" s="437"/>
      <c r="K5199" s="437"/>
    </row>
    <row r="5200" customHeight="1" spans="1:11">
      <c r="A5200" s="423" t="s">
        <v>1557</v>
      </c>
      <c r="B5200" s="424" t="s">
        <v>1714</v>
      </c>
      <c r="C5200" s="423" t="s">
        <v>1715</v>
      </c>
      <c r="D5200" s="423" t="s">
        <v>1716</v>
      </c>
      <c r="E5200" s="423" t="s">
        <v>1717</v>
      </c>
      <c r="F5200" s="423"/>
      <c r="G5200" s="425" t="s">
        <v>1718</v>
      </c>
      <c r="H5200" s="424" t="s">
        <v>1719</v>
      </c>
      <c r="I5200" s="424" t="s">
        <v>1720</v>
      </c>
      <c r="J5200" s="424" t="s">
        <v>1721</v>
      </c>
      <c r="K5200" s="424" t="s">
        <v>1722</v>
      </c>
    </row>
    <row r="5201" customHeight="1" spans="1:11">
      <c r="A5201" s="426" t="s">
        <v>1723</v>
      </c>
      <c r="B5201" s="427" t="s">
        <v>1558</v>
      </c>
      <c r="C5201" s="426" t="s">
        <v>71</v>
      </c>
      <c r="D5201" s="426" t="s">
        <v>1559</v>
      </c>
      <c r="E5201" s="426" t="s">
        <v>1654</v>
      </c>
      <c r="F5201" s="426"/>
      <c r="G5201" s="428" t="s">
        <v>73</v>
      </c>
      <c r="H5201" s="429">
        <v>1</v>
      </c>
      <c r="I5201" s="445"/>
      <c r="J5201" s="445">
        <v>188.69</v>
      </c>
      <c r="K5201" s="445">
        <v>188.69</v>
      </c>
    </row>
    <row r="5202" customHeight="1" spans="1:11">
      <c r="A5202" s="430" t="s">
        <v>1724</v>
      </c>
      <c r="B5202" s="431" t="s">
        <v>1745</v>
      </c>
      <c r="C5202" s="430" t="s">
        <v>71</v>
      </c>
      <c r="D5202" s="430" t="s">
        <v>1746</v>
      </c>
      <c r="E5202" s="430" t="s">
        <v>1708</v>
      </c>
      <c r="F5202" s="430"/>
      <c r="G5202" s="432" t="s">
        <v>82</v>
      </c>
      <c r="H5202" s="433">
        <v>0.237</v>
      </c>
      <c r="I5202" s="433">
        <v>0</v>
      </c>
      <c r="J5202" s="446">
        <v>29.15</v>
      </c>
      <c r="K5202" s="446">
        <v>6.9</v>
      </c>
    </row>
    <row r="5203" customHeight="1" spans="1:11">
      <c r="A5203" s="430" t="s">
        <v>1724</v>
      </c>
      <c r="B5203" s="431" t="s">
        <v>2068</v>
      </c>
      <c r="C5203" s="430" t="s">
        <v>71</v>
      </c>
      <c r="D5203" s="430" t="s">
        <v>2069</v>
      </c>
      <c r="E5203" s="430" t="s">
        <v>1621</v>
      </c>
      <c r="F5203" s="430"/>
      <c r="G5203" s="432" t="s">
        <v>129</v>
      </c>
      <c r="H5203" s="433">
        <v>0.061</v>
      </c>
      <c r="I5203" s="433">
        <v>0</v>
      </c>
      <c r="J5203" s="446">
        <v>685.43</v>
      </c>
      <c r="K5203" s="446">
        <v>41.81</v>
      </c>
    </row>
    <row r="5204" customHeight="1" spans="1:11">
      <c r="A5204" s="430" t="s">
        <v>1724</v>
      </c>
      <c r="B5204" s="431" t="s">
        <v>252</v>
      </c>
      <c r="C5204" s="430" t="s">
        <v>71</v>
      </c>
      <c r="D5204" s="430" t="s">
        <v>253</v>
      </c>
      <c r="E5204" s="430" t="s">
        <v>1632</v>
      </c>
      <c r="F5204" s="430"/>
      <c r="G5204" s="432" t="s">
        <v>158</v>
      </c>
      <c r="H5204" s="433">
        <v>1.185</v>
      </c>
      <c r="I5204" s="433">
        <v>0</v>
      </c>
      <c r="J5204" s="446">
        <v>15.37</v>
      </c>
      <c r="K5204" s="446">
        <v>18.21</v>
      </c>
    </row>
    <row r="5205" customHeight="1" spans="1:11">
      <c r="A5205" s="430" t="s">
        <v>1724</v>
      </c>
      <c r="B5205" s="431" t="s">
        <v>1743</v>
      </c>
      <c r="C5205" s="430" t="s">
        <v>71</v>
      </c>
      <c r="D5205" s="430" t="s">
        <v>1744</v>
      </c>
      <c r="E5205" s="430" t="s">
        <v>1708</v>
      </c>
      <c r="F5205" s="430"/>
      <c r="G5205" s="432" t="s">
        <v>82</v>
      </c>
      <c r="H5205" s="433">
        <v>0.335</v>
      </c>
      <c r="I5205" s="433">
        <v>0</v>
      </c>
      <c r="J5205" s="446">
        <v>37.51</v>
      </c>
      <c r="K5205" s="446">
        <v>12.56</v>
      </c>
    </row>
    <row r="5206" customHeight="1" spans="1:11">
      <c r="A5206" s="430" t="s">
        <v>1724</v>
      </c>
      <c r="B5206" s="431" t="s">
        <v>2070</v>
      </c>
      <c r="C5206" s="430" t="s">
        <v>71</v>
      </c>
      <c r="D5206" s="430" t="s">
        <v>2071</v>
      </c>
      <c r="E5206" s="430" t="s">
        <v>1626</v>
      </c>
      <c r="F5206" s="430"/>
      <c r="G5206" s="432" t="s">
        <v>78</v>
      </c>
      <c r="H5206" s="433">
        <v>0.71</v>
      </c>
      <c r="I5206" s="433">
        <v>0</v>
      </c>
      <c r="J5206" s="446">
        <v>17.44</v>
      </c>
      <c r="K5206" s="446">
        <v>12.38</v>
      </c>
    </row>
    <row r="5207" customHeight="1" spans="1:11">
      <c r="A5207" s="438" t="s">
        <v>1750</v>
      </c>
      <c r="B5207" s="439" t="s">
        <v>2041</v>
      </c>
      <c r="C5207" s="438" t="s">
        <v>71</v>
      </c>
      <c r="D5207" s="438" t="s">
        <v>2042</v>
      </c>
      <c r="E5207" s="438" t="s">
        <v>1631</v>
      </c>
      <c r="F5207" s="438"/>
      <c r="G5207" s="440" t="s">
        <v>78</v>
      </c>
      <c r="H5207" s="441">
        <v>1.6</v>
      </c>
      <c r="I5207" s="441">
        <v>0</v>
      </c>
      <c r="J5207" s="449">
        <v>21.41</v>
      </c>
      <c r="K5207" s="449">
        <v>34.25</v>
      </c>
    </row>
    <row r="5208" customHeight="1" spans="1:11">
      <c r="A5208" s="438" t="s">
        <v>1750</v>
      </c>
      <c r="B5208" s="439" t="s">
        <v>3400</v>
      </c>
      <c r="C5208" s="438" t="s">
        <v>71</v>
      </c>
      <c r="D5208" s="438" t="s">
        <v>3401</v>
      </c>
      <c r="E5208" s="438" t="s">
        <v>1631</v>
      </c>
      <c r="F5208" s="438"/>
      <c r="G5208" s="440" t="s">
        <v>73</v>
      </c>
      <c r="H5208" s="441">
        <v>1</v>
      </c>
      <c r="I5208" s="441">
        <v>0</v>
      </c>
      <c r="J5208" s="449">
        <v>61.81</v>
      </c>
      <c r="K5208" s="449">
        <v>61.81</v>
      </c>
    </row>
    <row r="5209" customHeight="1" spans="1:11">
      <c r="A5209" s="438" t="s">
        <v>1750</v>
      </c>
      <c r="B5209" s="439" t="s">
        <v>1948</v>
      </c>
      <c r="C5209" s="438" t="s">
        <v>71</v>
      </c>
      <c r="D5209" s="438" t="s">
        <v>1949</v>
      </c>
      <c r="E5209" s="438" t="s">
        <v>1631</v>
      </c>
      <c r="F5209" s="438"/>
      <c r="G5209" s="440" t="s">
        <v>158</v>
      </c>
      <c r="H5209" s="441">
        <v>0.034</v>
      </c>
      <c r="I5209" s="441">
        <v>0</v>
      </c>
      <c r="J5209" s="449">
        <v>22.69</v>
      </c>
      <c r="K5209" s="449">
        <v>0.77</v>
      </c>
    </row>
    <row r="5210" customHeight="1" spans="1:11">
      <c r="A5210" s="434"/>
      <c r="B5210" s="434"/>
      <c r="C5210" s="434"/>
      <c r="D5210" s="434"/>
      <c r="E5210" s="434"/>
      <c r="F5210" s="434" t="s">
        <v>1735</v>
      </c>
      <c r="G5210" s="435">
        <v>13.17</v>
      </c>
      <c r="H5210" s="434" t="s">
        <v>1736</v>
      </c>
      <c r="I5210" s="435">
        <v>11.98</v>
      </c>
      <c r="J5210" s="434" t="s">
        <v>1737</v>
      </c>
      <c r="K5210" s="435">
        <v>25.15</v>
      </c>
    </row>
    <row r="5211" customHeight="1" spans="1:11">
      <c r="A5211" s="434"/>
      <c r="B5211" s="434"/>
      <c r="C5211" s="434"/>
      <c r="D5211" s="434"/>
      <c r="E5211" s="434"/>
      <c r="F5211" s="434" t="s">
        <v>1738</v>
      </c>
      <c r="G5211" s="435">
        <v>46.53</v>
      </c>
      <c r="H5211" s="434"/>
      <c r="I5211" s="434" t="s">
        <v>1739</v>
      </c>
      <c r="J5211" s="434"/>
      <c r="K5211" s="435">
        <v>235.22</v>
      </c>
    </row>
    <row r="5212" customHeight="1" spans="1:11">
      <c r="A5212" s="436"/>
      <c r="B5212" s="436"/>
      <c r="C5212" s="436"/>
      <c r="D5212" s="436"/>
      <c r="E5212" s="436"/>
      <c r="F5212" s="436"/>
      <c r="G5212" s="436"/>
      <c r="H5212" s="436" t="s">
        <v>1740</v>
      </c>
      <c r="I5212" s="447" t="s">
        <v>3402</v>
      </c>
      <c r="J5212" s="436" t="s">
        <v>1742</v>
      </c>
      <c r="K5212" s="448">
        <v>2011.13</v>
      </c>
    </row>
    <row r="5213" customHeight="1" spans="1:11">
      <c r="A5213" s="437"/>
      <c r="B5213" s="437"/>
      <c r="C5213" s="437"/>
      <c r="D5213" s="437"/>
      <c r="E5213" s="437"/>
      <c r="F5213" s="437"/>
      <c r="G5213" s="437"/>
      <c r="H5213" s="437"/>
      <c r="I5213" s="437"/>
      <c r="J5213" s="437"/>
      <c r="K5213" s="437"/>
    </row>
    <row r="5214" customHeight="1" spans="1:11">
      <c r="A5214" s="422" t="s">
        <v>1560</v>
      </c>
      <c r="B5214" s="422"/>
      <c r="C5214" s="422"/>
      <c r="D5214" s="422" t="s">
        <v>1466</v>
      </c>
      <c r="E5214" s="422"/>
      <c r="F5214" s="422"/>
      <c r="G5214" s="422"/>
      <c r="H5214" s="422"/>
      <c r="I5214" s="443"/>
      <c r="J5214" s="422"/>
      <c r="K5214" s="444">
        <v>9692.94</v>
      </c>
    </row>
    <row r="5215" customHeight="1" spans="1:11">
      <c r="A5215" s="423" t="s">
        <v>1561</v>
      </c>
      <c r="B5215" s="424" t="s">
        <v>1714</v>
      </c>
      <c r="C5215" s="423" t="s">
        <v>1715</v>
      </c>
      <c r="D5215" s="423" t="s">
        <v>1716</v>
      </c>
      <c r="E5215" s="423" t="s">
        <v>1717</v>
      </c>
      <c r="F5215" s="423"/>
      <c r="G5215" s="425" t="s">
        <v>1718</v>
      </c>
      <c r="H5215" s="424" t="s">
        <v>1719</v>
      </c>
      <c r="I5215" s="424" t="s">
        <v>1720</v>
      </c>
      <c r="J5215" s="424" t="s">
        <v>1721</v>
      </c>
      <c r="K5215" s="424" t="s">
        <v>1722</v>
      </c>
    </row>
    <row r="5216" customHeight="1" spans="1:11">
      <c r="A5216" s="426" t="s">
        <v>1723</v>
      </c>
      <c r="B5216" s="427" t="s">
        <v>209</v>
      </c>
      <c r="C5216" s="426" t="s">
        <v>71</v>
      </c>
      <c r="D5216" s="426" t="s">
        <v>210</v>
      </c>
      <c r="E5216" s="426" t="s">
        <v>1626</v>
      </c>
      <c r="F5216" s="426"/>
      <c r="G5216" s="428" t="s">
        <v>73</v>
      </c>
      <c r="H5216" s="429">
        <v>1</v>
      </c>
      <c r="I5216" s="445"/>
      <c r="J5216" s="445">
        <v>129.51</v>
      </c>
      <c r="K5216" s="445">
        <v>129.51</v>
      </c>
    </row>
    <row r="5217" customHeight="1" spans="1:11">
      <c r="A5217" s="430" t="s">
        <v>1724</v>
      </c>
      <c r="B5217" s="431" t="s">
        <v>1743</v>
      </c>
      <c r="C5217" s="430" t="s">
        <v>71</v>
      </c>
      <c r="D5217" s="430" t="s">
        <v>1744</v>
      </c>
      <c r="E5217" s="430" t="s">
        <v>1708</v>
      </c>
      <c r="F5217" s="430"/>
      <c r="G5217" s="432" t="s">
        <v>82</v>
      </c>
      <c r="H5217" s="433">
        <v>2.052</v>
      </c>
      <c r="I5217" s="433">
        <v>0</v>
      </c>
      <c r="J5217" s="446">
        <v>37.51</v>
      </c>
      <c r="K5217" s="446">
        <v>76.97</v>
      </c>
    </row>
    <row r="5218" customHeight="1" spans="1:11">
      <c r="A5218" s="430" t="s">
        <v>1724</v>
      </c>
      <c r="B5218" s="431" t="s">
        <v>1800</v>
      </c>
      <c r="C5218" s="430" t="s">
        <v>71</v>
      </c>
      <c r="D5218" s="430" t="s">
        <v>1801</v>
      </c>
      <c r="E5218" s="430" t="s">
        <v>1708</v>
      </c>
      <c r="F5218" s="430"/>
      <c r="G5218" s="432" t="s">
        <v>82</v>
      </c>
      <c r="H5218" s="433">
        <v>0.376</v>
      </c>
      <c r="I5218" s="433">
        <v>0</v>
      </c>
      <c r="J5218" s="446">
        <v>29.91</v>
      </c>
      <c r="K5218" s="446">
        <v>11.24</v>
      </c>
    </row>
    <row r="5219" customHeight="1" spans="1:11">
      <c r="A5219" s="430" t="s">
        <v>1724</v>
      </c>
      <c r="B5219" s="431" t="s">
        <v>2023</v>
      </c>
      <c r="C5219" s="430" t="s">
        <v>71</v>
      </c>
      <c r="D5219" s="430" t="s">
        <v>2024</v>
      </c>
      <c r="E5219" s="430" t="s">
        <v>1626</v>
      </c>
      <c r="F5219" s="430"/>
      <c r="G5219" s="432" t="s">
        <v>73</v>
      </c>
      <c r="H5219" s="433">
        <v>0.275</v>
      </c>
      <c r="I5219" s="433">
        <v>0</v>
      </c>
      <c r="J5219" s="446">
        <v>147.52</v>
      </c>
      <c r="K5219" s="446">
        <v>40.56</v>
      </c>
    </row>
    <row r="5220" customHeight="1" spans="1:11">
      <c r="A5220" s="438" t="s">
        <v>1750</v>
      </c>
      <c r="B5220" s="439" t="s">
        <v>1943</v>
      </c>
      <c r="C5220" s="438" t="s">
        <v>71</v>
      </c>
      <c r="D5220" s="438" t="s">
        <v>1944</v>
      </c>
      <c r="E5220" s="438" t="s">
        <v>1631</v>
      </c>
      <c r="F5220" s="438"/>
      <c r="G5220" s="440" t="s">
        <v>1945</v>
      </c>
      <c r="H5220" s="441">
        <v>0.017</v>
      </c>
      <c r="I5220" s="441">
        <v>0</v>
      </c>
      <c r="J5220" s="449">
        <v>7.97</v>
      </c>
      <c r="K5220" s="449">
        <v>0.13</v>
      </c>
    </row>
    <row r="5221" customHeight="1" spans="1:11">
      <c r="A5221" s="438" t="s">
        <v>1750</v>
      </c>
      <c r="B5221" s="439" t="s">
        <v>1948</v>
      </c>
      <c r="C5221" s="438" t="s">
        <v>71</v>
      </c>
      <c r="D5221" s="438" t="s">
        <v>1949</v>
      </c>
      <c r="E5221" s="438" t="s">
        <v>1631</v>
      </c>
      <c r="F5221" s="438"/>
      <c r="G5221" s="440" t="s">
        <v>158</v>
      </c>
      <c r="H5221" s="441">
        <v>0.027</v>
      </c>
      <c r="I5221" s="441">
        <v>0</v>
      </c>
      <c r="J5221" s="449">
        <v>22.69</v>
      </c>
      <c r="K5221" s="449">
        <v>0.61</v>
      </c>
    </row>
    <row r="5222" customHeight="1" spans="1:11">
      <c r="A5222" s="434"/>
      <c r="B5222" s="434"/>
      <c r="C5222" s="434"/>
      <c r="D5222" s="434"/>
      <c r="E5222" s="434"/>
      <c r="F5222" s="434" t="s">
        <v>1735</v>
      </c>
      <c r="G5222" s="435">
        <v>37.71</v>
      </c>
      <c r="H5222" s="434" t="s">
        <v>1736</v>
      </c>
      <c r="I5222" s="435">
        <v>34.26</v>
      </c>
      <c r="J5222" s="434" t="s">
        <v>1737</v>
      </c>
      <c r="K5222" s="435">
        <v>71.97</v>
      </c>
    </row>
    <row r="5223" customHeight="1" spans="1:11">
      <c r="A5223" s="434"/>
      <c r="B5223" s="434"/>
      <c r="C5223" s="434"/>
      <c r="D5223" s="434"/>
      <c r="E5223" s="434"/>
      <c r="F5223" s="434" t="s">
        <v>1738</v>
      </c>
      <c r="G5223" s="435">
        <v>31.93</v>
      </c>
      <c r="H5223" s="434"/>
      <c r="I5223" s="434" t="s">
        <v>1739</v>
      </c>
      <c r="J5223" s="434"/>
      <c r="K5223" s="435">
        <v>161.44</v>
      </c>
    </row>
    <row r="5224" customHeight="1" spans="1:11">
      <c r="A5224" s="436"/>
      <c r="B5224" s="436"/>
      <c r="C5224" s="436"/>
      <c r="D5224" s="436"/>
      <c r="E5224" s="436"/>
      <c r="F5224" s="436"/>
      <c r="G5224" s="436"/>
      <c r="H5224" s="436" t="s">
        <v>1740</v>
      </c>
      <c r="I5224" s="447" t="s">
        <v>3403</v>
      </c>
      <c r="J5224" s="436" t="s">
        <v>1742</v>
      </c>
      <c r="K5224" s="448">
        <v>2168.13</v>
      </c>
    </row>
    <row r="5225" customHeight="1" spans="1:11">
      <c r="A5225" s="437"/>
      <c r="B5225" s="437"/>
      <c r="C5225" s="437"/>
      <c r="D5225" s="437"/>
      <c r="E5225" s="437"/>
      <c r="F5225" s="437"/>
      <c r="G5225" s="437"/>
      <c r="H5225" s="437"/>
      <c r="I5225" s="437"/>
      <c r="J5225" s="437"/>
      <c r="K5225" s="437"/>
    </row>
    <row r="5226" customHeight="1" spans="1:11">
      <c r="A5226" s="423" t="s">
        <v>1562</v>
      </c>
      <c r="B5226" s="424" t="s">
        <v>1714</v>
      </c>
      <c r="C5226" s="423" t="s">
        <v>1715</v>
      </c>
      <c r="D5226" s="423" t="s">
        <v>1716</v>
      </c>
      <c r="E5226" s="423" t="s">
        <v>1717</v>
      </c>
      <c r="F5226" s="423"/>
      <c r="G5226" s="425" t="s">
        <v>1718</v>
      </c>
      <c r="H5226" s="424" t="s">
        <v>1719</v>
      </c>
      <c r="I5226" s="424" t="s">
        <v>1720</v>
      </c>
      <c r="J5226" s="424" t="s">
        <v>1721</v>
      </c>
      <c r="K5226" s="424" t="s">
        <v>1722</v>
      </c>
    </row>
    <row r="5227" customHeight="1" spans="1:11">
      <c r="A5227" s="426" t="s">
        <v>1723</v>
      </c>
      <c r="B5227" s="427" t="s">
        <v>235</v>
      </c>
      <c r="C5227" s="426" t="s">
        <v>71</v>
      </c>
      <c r="D5227" s="426" t="s">
        <v>236</v>
      </c>
      <c r="E5227" s="426" t="s">
        <v>1626</v>
      </c>
      <c r="F5227" s="426"/>
      <c r="G5227" s="428" t="s">
        <v>73</v>
      </c>
      <c r="H5227" s="429">
        <v>1</v>
      </c>
      <c r="I5227" s="445"/>
      <c r="J5227" s="445">
        <v>175.44</v>
      </c>
      <c r="K5227" s="445">
        <v>175.44</v>
      </c>
    </row>
    <row r="5228" customHeight="1" spans="1:11">
      <c r="A5228" s="430" t="s">
        <v>1724</v>
      </c>
      <c r="B5228" s="431" t="s">
        <v>2037</v>
      </c>
      <c r="C5228" s="430" t="s">
        <v>71</v>
      </c>
      <c r="D5228" s="430" t="s">
        <v>2038</v>
      </c>
      <c r="E5228" s="430" t="s">
        <v>1626</v>
      </c>
      <c r="F5228" s="430"/>
      <c r="G5228" s="432" t="s">
        <v>78</v>
      </c>
      <c r="H5228" s="433">
        <v>1.729</v>
      </c>
      <c r="I5228" s="433">
        <v>0</v>
      </c>
      <c r="J5228" s="446">
        <v>39.85</v>
      </c>
      <c r="K5228" s="446">
        <v>68.9</v>
      </c>
    </row>
    <row r="5229" customHeight="1" spans="1:11">
      <c r="A5229" s="430" t="s">
        <v>1724</v>
      </c>
      <c r="B5229" s="431" t="s">
        <v>2039</v>
      </c>
      <c r="C5229" s="430" t="s">
        <v>71</v>
      </c>
      <c r="D5229" s="430" t="s">
        <v>2040</v>
      </c>
      <c r="E5229" s="430" t="s">
        <v>1626</v>
      </c>
      <c r="F5229" s="430"/>
      <c r="G5229" s="432" t="s">
        <v>73</v>
      </c>
      <c r="H5229" s="433">
        <v>0.414</v>
      </c>
      <c r="I5229" s="433">
        <v>0</v>
      </c>
      <c r="J5229" s="446">
        <v>130.07</v>
      </c>
      <c r="K5229" s="446">
        <v>53.84</v>
      </c>
    </row>
    <row r="5230" customHeight="1" spans="1:11">
      <c r="A5230" s="430" t="s">
        <v>1724</v>
      </c>
      <c r="B5230" s="431" t="s">
        <v>1800</v>
      </c>
      <c r="C5230" s="430" t="s">
        <v>71</v>
      </c>
      <c r="D5230" s="430" t="s">
        <v>1801</v>
      </c>
      <c r="E5230" s="430" t="s">
        <v>1708</v>
      </c>
      <c r="F5230" s="430"/>
      <c r="G5230" s="432" t="s">
        <v>82</v>
      </c>
      <c r="H5230" s="433">
        <v>0.19</v>
      </c>
      <c r="I5230" s="433">
        <v>0</v>
      </c>
      <c r="J5230" s="446">
        <v>29.91</v>
      </c>
      <c r="K5230" s="446">
        <v>5.68</v>
      </c>
    </row>
    <row r="5231" customHeight="1" spans="1:11">
      <c r="A5231" s="430" t="s">
        <v>1724</v>
      </c>
      <c r="B5231" s="431" t="s">
        <v>1743</v>
      </c>
      <c r="C5231" s="430" t="s">
        <v>71</v>
      </c>
      <c r="D5231" s="430" t="s">
        <v>1744</v>
      </c>
      <c r="E5231" s="430" t="s">
        <v>1708</v>
      </c>
      <c r="F5231" s="430"/>
      <c r="G5231" s="432" t="s">
        <v>82</v>
      </c>
      <c r="H5231" s="433">
        <v>1.035</v>
      </c>
      <c r="I5231" s="433">
        <v>0</v>
      </c>
      <c r="J5231" s="446">
        <v>37.51</v>
      </c>
      <c r="K5231" s="446">
        <v>38.82</v>
      </c>
    </row>
    <row r="5232" customHeight="1" spans="1:11">
      <c r="A5232" s="438" t="s">
        <v>1750</v>
      </c>
      <c r="B5232" s="439" t="s">
        <v>1943</v>
      </c>
      <c r="C5232" s="438" t="s">
        <v>71</v>
      </c>
      <c r="D5232" s="438" t="s">
        <v>1944</v>
      </c>
      <c r="E5232" s="438" t="s">
        <v>1631</v>
      </c>
      <c r="F5232" s="438"/>
      <c r="G5232" s="440" t="s">
        <v>1945</v>
      </c>
      <c r="H5232" s="441">
        <v>0.01</v>
      </c>
      <c r="I5232" s="441">
        <v>0</v>
      </c>
      <c r="J5232" s="449">
        <v>7.97</v>
      </c>
      <c r="K5232" s="449">
        <v>0.07</v>
      </c>
    </row>
    <row r="5233" customHeight="1" spans="1:11">
      <c r="A5233" s="438" t="s">
        <v>1750</v>
      </c>
      <c r="B5233" s="439" t="s">
        <v>1948</v>
      </c>
      <c r="C5233" s="438" t="s">
        <v>71</v>
      </c>
      <c r="D5233" s="438" t="s">
        <v>1949</v>
      </c>
      <c r="E5233" s="438" t="s">
        <v>1631</v>
      </c>
      <c r="F5233" s="438"/>
      <c r="G5233" s="440" t="s">
        <v>158</v>
      </c>
      <c r="H5233" s="441">
        <v>0.049</v>
      </c>
      <c r="I5233" s="441">
        <v>0</v>
      </c>
      <c r="J5233" s="449">
        <v>22.69</v>
      </c>
      <c r="K5233" s="449">
        <v>1.11</v>
      </c>
    </row>
    <row r="5234" customHeight="1" spans="1:11">
      <c r="A5234" s="438" t="s">
        <v>1750</v>
      </c>
      <c r="B5234" s="439" t="s">
        <v>2041</v>
      </c>
      <c r="C5234" s="438" t="s">
        <v>71</v>
      </c>
      <c r="D5234" s="438" t="s">
        <v>2042</v>
      </c>
      <c r="E5234" s="438" t="s">
        <v>1631</v>
      </c>
      <c r="F5234" s="438"/>
      <c r="G5234" s="440" t="s">
        <v>78</v>
      </c>
      <c r="H5234" s="441">
        <v>0.328</v>
      </c>
      <c r="I5234" s="441">
        <v>0</v>
      </c>
      <c r="J5234" s="449">
        <v>21.41</v>
      </c>
      <c r="K5234" s="449">
        <v>7.02</v>
      </c>
    </row>
    <row r="5235" customHeight="1" spans="1:11">
      <c r="A5235" s="434"/>
      <c r="B5235" s="434"/>
      <c r="C5235" s="434"/>
      <c r="D5235" s="434"/>
      <c r="E5235" s="434"/>
      <c r="F5235" s="434" t="s">
        <v>1735</v>
      </c>
      <c r="G5235" s="435">
        <v>31.05</v>
      </c>
      <c r="H5235" s="434" t="s">
        <v>1736</v>
      </c>
      <c r="I5235" s="435">
        <v>28.21</v>
      </c>
      <c r="J5235" s="434" t="s">
        <v>1737</v>
      </c>
      <c r="K5235" s="435">
        <v>59.26</v>
      </c>
    </row>
    <row r="5236" customHeight="1" spans="1:11">
      <c r="A5236" s="434"/>
      <c r="B5236" s="434"/>
      <c r="C5236" s="434"/>
      <c r="D5236" s="434"/>
      <c r="E5236" s="434"/>
      <c r="F5236" s="434" t="s">
        <v>1738</v>
      </c>
      <c r="G5236" s="435">
        <v>43.26</v>
      </c>
      <c r="H5236" s="434"/>
      <c r="I5236" s="434" t="s">
        <v>1739</v>
      </c>
      <c r="J5236" s="434"/>
      <c r="K5236" s="435">
        <v>218.7</v>
      </c>
    </row>
    <row r="5237" customHeight="1" spans="1:11">
      <c r="A5237" s="436"/>
      <c r="B5237" s="436"/>
      <c r="C5237" s="436"/>
      <c r="D5237" s="436"/>
      <c r="E5237" s="436"/>
      <c r="F5237" s="436"/>
      <c r="G5237" s="436"/>
      <c r="H5237" s="436" t="s">
        <v>1740</v>
      </c>
      <c r="I5237" s="447" t="s">
        <v>3404</v>
      </c>
      <c r="J5237" s="436" t="s">
        <v>1742</v>
      </c>
      <c r="K5237" s="448">
        <v>2683.44</v>
      </c>
    </row>
    <row r="5238" customHeight="1" spans="1:11">
      <c r="A5238" s="437"/>
      <c r="B5238" s="437"/>
      <c r="C5238" s="437"/>
      <c r="D5238" s="437"/>
      <c r="E5238" s="437"/>
      <c r="F5238" s="437"/>
      <c r="G5238" s="437"/>
      <c r="H5238" s="437"/>
      <c r="I5238" s="437"/>
      <c r="J5238" s="437"/>
      <c r="K5238" s="437"/>
    </row>
    <row r="5239" customHeight="1" spans="1:11">
      <c r="A5239" s="423" t="s">
        <v>1563</v>
      </c>
      <c r="B5239" s="424" t="s">
        <v>1714</v>
      </c>
      <c r="C5239" s="423" t="s">
        <v>1715</v>
      </c>
      <c r="D5239" s="423" t="s">
        <v>1716</v>
      </c>
      <c r="E5239" s="423" t="s">
        <v>1717</v>
      </c>
      <c r="F5239" s="423"/>
      <c r="G5239" s="425" t="s">
        <v>1718</v>
      </c>
      <c r="H5239" s="424" t="s">
        <v>1719</v>
      </c>
      <c r="I5239" s="424" t="s">
        <v>1720</v>
      </c>
      <c r="J5239" s="424" t="s">
        <v>1721</v>
      </c>
      <c r="K5239" s="424" t="s">
        <v>1722</v>
      </c>
    </row>
    <row r="5240" customHeight="1" spans="1:11">
      <c r="A5240" s="426" t="s">
        <v>1723</v>
      </c>
      <c r="B5240" s="427" t="s">
        <v>1460</v>
      </c>
      <c r="C5240" s="426" t="s">
        <v>76</v>
      </c>
      <c r="D5240" s="426" t="s">
        <v>1461</v>
      </c>
      <c r="E5240" s="426">
        <v>11</v>
      </c>
      <c r="F5240" s="426"/>
      <c r="G5240" s="428" t="s">
        <v>129</v>
      </c>
      <c r="H5240" s="429">
        <v>1</v>
      </c>
      <c r="I5240" s="445"/>
      <c r="J5240" s="445">
        <v>808.65</v>
      </c>
      <c r="K5240" s="445">
        <v>808.65</v>
      </c>
    </row>
    <row r="5241" customHeight="1" spans="1:11">
      <c r="A5241" s="430" t="s">
        <v>1724</v>
      </c>
      <c r="B5241" s="431" t="s">
        <v>2143</v>
      </c>
      <c r="C5241" s="430" t="s">
        <v>76</v>
      </c>
      <c r="D5241" s="430" t="s">
        <v>2144</v>
      </c>
      <c r="E5241" s="430">
        <v>7</v>
      </c>
      <c r="F5241" s="430"/>
      <c r="G5241" s="432" t="s">
        <v>129</v>
      </c>
      <c r="H5241" s="433">
        <v>0.0125</v>
      </c>
      <c r="I5241" s="433">
        <v>0</v>
      </c>
      <c r="J5241" s="446">
        <v>468.89</v>
      </c>
      <c r="K5241" s="446">
        <v>5.86</v>
      </c>
    </row>
    <row r="5242" customHeight="1" spans="1:11">
      <c r="A5242" s="430" t="s">
        <v>1724</v>
      </c>
      <c r="B5242" s="431" t="s">
        <v>3321</v>
      </c>
      <c r="C5242" s="430" t="s">
        <v>76</v>
      </c>
      <c r="D5242" s="430" t="s">
        <v>3322</v>
      </c>
      <c r="E5242" s="430">
        <v>19</v>
      </c>
      <c r="F5242" s="430"/>
      <c r="G5242" s="432" t="s">
        <v>82</v>
      </c>
      <c r="H5242" s="433">
        <v>0.23</v>
      </c>
      <c r="I5242" s="433">
        <v>0</v>
      </c>
      <c r="J5242" s="446">
        <v>1.77</v>
      </c>
      <c r="K5242" s="446">
        <v>0.4</v>
      </c>
    </row>
    <row r="5243" customHeight="1" spans="1:11">
      <c r="A5243" s="430" t="s">
        <v>1724</v>
      </c>
      <c r="B5243" s="431" t="s">
        <v>3323</v>
      </c>
      <c r="C5243" s="430" t="s">
        <v>76</v>
      </c>
      <c r="D5243" s="430" t="s">
        <v>3322</v>
      </c>
      <c r="E5243" s="430">
        <v>19</v>
      </c>
      <c r="F5243" s="430"/>
      <c r="G5243" s="432" t="s">
        <v>82</v>
      </c>
      <c r="H5243" s="433">
        <v>0.39</v>
      </c>
      <c r="I5243" s="433">
        <v>0</v>
      </c>
      <c r="J5243" s="446">
        <v>0.48</v>
      </c>
      <c r="K5243" s="446">
        <v>0.18</v>
      </c>
    </row>
    <row r="5244" customHeight="1" spans="1:11">
      <c r="A5244" s="438" t="s">
        <v>1750</v>
      </c>
      <c r="B5244" s="439" t="s">
        <v>3324</v>
      </c>
      <c r="C5244" s="438" t="s">
        <v>76</v>
      </c>
      <c r="D5244" s="438" t="s">
        <v>3325</v>
      </c>
      <c r="E5244" s="438" t="s">
        <v>1631</v>
      </c>
      <c r="F5244" s="438"/>
      <c r="G5244" s="440" t="s">
        <v>129</v>
      </c>
      <c r="H5244" s="441">
        <v>1</v>
      </c>
      <c r="I5244" s="441">
        <v>0</v>
      </c>
      <c r="J5244" s="449">
        <v>60</v>
      </c>
      <c r="K5244" s="449">
        <v>60</v>
      </c>
    </row>
    <row r="5245" customHeight="1" spans="1:11">
      <c r="A5245" s="438" t="s">
        <v>1750</v>
      </c>
      <c r="B5245" s="439" t="s">
        <v>3326</v>
      </c>
      <c r="C5245" s="438" t="s">
        <v>76</v>
      </c>
      <c r="D5245" s="438" t="s">
        <v>3327</v>
      </c>
      <c r="E5245" s="438" t="s">
        <v>1631</v>
      </c>
      <c r="F5245" s="438"/>
      <c r="G5245" s="440" t="s">
        <v>129</v>
      </c>
      <c r="H5245" s="441">
        <v>1.05</v>
      </c>
      <c r="I5245" s="441">
        <v>0</v>
      </c>
      <c r="J5245" s="449">
        <v>630</v>
      </c>
      <c r="K5245" s="449">
        <v>661.5</v>
      </c>
    </row>
    <row r="5246" customHeight="1" spans="1:11">
      <c r="A5246" s="438" t="s">
        <v>1750</v>
      </c>
      <c r="B5246" s="439" t="s">
        <v>1762</v>
      </c>
      <c r="C5246" s="438" t="s">
        <v>76</v>
      </c>
      <c r="D5246" s="438" t="s">
        <v>1763</v>
      </c>
      <c r="E5246" s="438" t="s">
        <v>1764</v>
      </c>
      <c r="F5246" s="438"/>
      <c r="G5246" s="440" t="s">
        <v>82</v>
      </c>
      <c r="H5246" s="441">
        <v>0.6</v>
      </c>
      <c r="I5246" s="441">
        <v>3</v>
      </c>
      <c r="J5246" s="449">
        <v>26.52</v>
      </c>
      <c r="K5246" s="449">
        <v>16.38</v>
      </c>
    </row>
    <row r="5247" customHeight="1" spans="1:11">
      <c r="A5247" s="438" t="s">
        <v>1750</v>
      </c>
      <c r="B5247" s="439" t="s">
        <v>2149</v>
      </c>
      <c r="C5247" s="438" t="s">
        <v>76</v>
      </c>
      <c r="D5247" s="438" t="s">
        <v>2150</v>
      </c>
      <c r="E5247" s="438" t="s">
        <v>1764</v>
      </c>
      <c r="F5247" s="438"/>
      <c r="G5247" s="440" t="s">
        <v>82</v>
      </c>
      <c r="H5247" s="441">
        <v>0.6</v>
      </c>
      <c r="I5247" s="441">
        <v>3</v>
      </c>
      <c r="J5247" s="449">
        <v>26.52</v>
      </c>
      <c r="K5247" s="449">
        <v>16.38</v>
      </c>
    </row>
    <row r="5248" customHeight="1" spans="1:11">
      <c r="A5248" s="438" t="s">
        <v>1750</v>
      </c>
      <c r="B5248" s="439" t="s">
        <v>1767</v>
      </c>
      <c r="C5248" s="438" t="s">
        <v>76</v>
      </c>
      <c r="D5248" s="438" t="s">
        <v>1768</v>
      </c>
      <c r="E5248" s="438" t="s">
        <v>1764</v>
      </c>
      <c r="F5248" s="438"/>
      <c r="G5248" s="440" t="s">
        <v>82</v>
      </c>
      <c r="H5248" s="441">
        <v>1.6</v>
      </c>
      <c r="I5248" s="441">
        <v>3</v>
      </c>
      <c r="J5248" s="449">
        <v>19.16</v>
      </c>
      <c r="K5248" s="449">
        <v>31.57</v>
      </c>
    </row>
    <row r="5249" customHeight="1" spans="1:11">
      <c r="A5249" s="438" t="s">
        <v>1750</v>
      </c>
      <c r="B5249" s="439" t="s">
        <v>3260</v>
      </c>
      <c r="C5249" s="438" t="s">
        <v>76</v>
      </c>
      <c r="D5249" s="438" t="s">
        <v>3261</v>
      </c>
      <c r="E5249" s="438" t="s">
        <v>1764</v>
      </c>
      <c r="F5249" s="438"/>
      <c r="G5249" s="440" t="s">
        <v>82</v>
      </c>
      <c r="H5249" s="441">
        <v>0.6</v>
      </c>
      <c r="I5249" s="441">
        <v>3</v>
      </c>
      <c r="J5249" s="449">
        <v>26.52</v>
      </c>
      <c r="K5249" s="449">
        <v>16.38</v>
      </c>
    </row>
    <row r="5250" customHeight="1" spans="1:11">
      <c r="A5250" s="434"/>
      <c r="B5250" s="434"/>
      <c r="C5250" s="434"/>
      <c r="D5250" s="434"/>
      <c r="E5250" s="434"/>
      <c r="F5250" s="434" t="s">
        <v>1735</v>
      </c>
      <c r="G5250" s="435">
        <v>42.69</v>
      </c>
      <c r="H5250" s="434" t="s">
        <v>1736</v>
      </c>
      <c r="I5250" s="435">
        <v>38.78</v>
      </c>
      <c r="J5250" s="434" t="s">
        <v>1737</v>
      </c>
      <c r="K5250" s="435">
        <v>81.47</v>
      </c>
    </row>
    <row r="5251" customHeight="1" spans="1:11">
      <c r="A5251" s="434"/>
      <c r="B5251" s="434"/>
      <c r="C5251" s="434"/>
      <c r="D5251" s="434"/>
      <c r="E5251" s="434"/>
      <c r="F5251" s="434" t="s">
        <v>1738</v>
      </c>
      <c r="G5251" s="435">
        <v>199.41</v>
      </c>
      <c r="H5251" s="434"/>
      <c r="I5251" s="434" t="s">
        <v>1739</v>
      </c>
      <c r="J5251" s="434"/>
      <c r="K5251" s="435">
        <v>1008.06</v>
      </c>
    </row>
    <row r="5252" customHeight="1" spans="1:11">
      <c r="A5252" s="436"/>
      <c r="B5252" s="436"/>
      <c r="C5252" s="436"/>
      <c r="D5252" s="436"/>
      <c r="E5252" s="436"/>
      <c r="F5252" s="436"/>
      <c r="G5252" s="436"/>
      <c r="H5252" s="436" t="s">
        <v>1740</v>
      </c>
      <c r="I5252" s="447" t="s">
        <v>3405</v>
      </c>
      <c r="J5252" s="436" t="s">
        <v>1742</v>
      </c>
      <c r="K5252" s="448">
        <v>1925.39</v>
      </c>
    </row>
    <row r="5253" customHeight="1" spans="1:11">
      <c r="A5253" s="437"/>
      <c r="B5253" s="437"/>
      <c r="C5253" s="437"/>
      <c r="D5253" s="437"/>
      <c r="E5253" s="437"/>
      <c r="F5253" s="437"/>
      <c r="G5253" s="437"/>
      <c r="H5253" s="437"/>
      <c r="I5253" s="437"/>
      <c r="J5253" s="437"/>
      <c r="K5253" s="437"/>
    </row>
    <row r="5254" customHeight="1" spans="1:11">
      <c r="A5254" s="423" t="s">
        <v>1564</v>
      </c>
      <c r="B5254" s="424" t="s">
        <v>1714</v>
      </c>
      <c r="C5254" s="423" t="s">
        <v>1715</v>
      </c>
      <c r="D5254" s="423" t="s">
        <v>1716</v>
      </c>
      <c r="E5254" s="423" t="s">
        <v>1717</v>
      </c>
      <c r="F5254" s="423"/>
      <c r="G5254" s="425" t="s">
        <v>1718</v>
      </c>
      <c r="H5254" s="424" t="s">
        <v>1719</v>
      </c>
      <c r="I5254" s="424" t="s">
        <v>1720</v>
      </c>
      <c r="J5254" s="424" t="s">
        <v>1721</v>
      </c>
      <c r="K5254" s="424" t="s">
        <v>1722</v>
      </c>
    </row>
    <row r="5255" customHeight="1" spans="1:11">
      <c r="A5255" s="426" t="s">
        <v>1723</v>
      </c>
      <c r="B5255" s="427" t="s">
        <v>212</v>
      </c>
      <c r="C5255" s="426" t="s">
        <v>71</v>
      </c>
      <c r="D5255" s="426" t="s">
        <v>213</v>
      </c>
      <c r="E5255" s="426" t="s">
        <v>1632</v>
      </c>
      <c r="F5255" s="426"/>
      <c r="G5255" s="428" t="s">
        <v>158</v>
      </c>
      <c r="H5255" s="429">
        <v>1</v>
      </c>
      <c r="I5255" s="445"/>
      <c r="J5255" s="445">
        <v>16.13</v>
      </c>
      <c r="K5255" s="445">
        <v>16.13</v>
      </c>
    </row>
    <row r="5256" customHeight="1" spans="1:11">
      <c r="A5256" s="430" t="s">
        <v>1724</v>
      </c>
      <c r="B5256" s="431" t="s">
        <v>1956</v>
      </c>
      <c r="C5256" s="430" t="s">
        <v>71</v>
      </c>
      <c r="D5256" s="430" t="s">
        <v>1957</v>
      </c>
      <c r="E5256" s="430" t="s">
        <v>1708</v>
      </c>
      <c r="F5256" s="430"/>
      <c r="G5256" s="432" t="s">
        <v>82</v>
      </c>
      <c r="H5256" s="433">
        <v>0.0175</v>
      </c>
      <c r="I5256" s="433">
        <v>0</v>
      </c>
      <c r="J5256" s="446">
        <v>30.06</v>
      </c>
      <c r="K5256" s="446">
        <v>0.52</v>
      </c>
    </row>
    <row r="5257" customHeight="1" spans="1:11">
      <c r="A5257" s="430" t="s">
        <v>1724</v>
      </c>
      <c r="B5257" s="431" t="s">
        <v>1958</v>
      </c>
      <c r="C5257" s="430" t="s">
        <v>71</v>
      </c>
      <c r="D5257" s="430" t="s">
        <v>1959</v>
      </c>
      <c r="E5257" s="430" t="s">
        <v>1708</v>
      </c>
      <c r="F5257" s="430"/>
      <c r="G5257" s="432" t="s">
        <v>82</v>
      </c>
      <c r="H5257" s="433">
        <v>0.1069</v>
      </c>
      <c r="I5257" s="433">
        <v>0</v>
      </c>
      <c r="J5257" s="446">
        <v>35.95</v>
      </c>
      <c r="K5257" s="446">
        <v>3.84</v>
      </c>
    </row>
    <row r="5258" customHeight="1" spans="1:11">
      <c r="A5258" s="430" t="s">
        <v>1724</v>
      </c>
      <c r="B5258" s="431" t="s">
        <v>1954</v>
      </c>
      <c r="C5258" s="430" t="s">
        <v>71</v>
      </c>
      <c r="D5258" s="430" t="s">
        <v>1955</v>
      </c>
      <c r="E5258" s="430" t="s">
        <v>1632</v>
      </c>
      <c r="F5258" s="430"/>
      <c r="G5258" s="432" t="s">
        <v>158</v>
      </c>
      <c r="H5258" s="433">
        <v>1</v>
      </c>
      <c r="I5258" s="433">
        <v>0</v>
      </c>
      <c r="J5258" s="446">
        <v>10.96</v>
      </c>
      <c r="K5258" s="446">
        <v>10.96</v>
      </c>
    </row>
    <row r="5259" customHeight="1" spans="1:11">
      <c r="A5259" s="438" t="s">
        <v>1750</v>
      </c>
      <c r="B5259" s="439" t="s">
        <v>1962</v>
      </c>
      <c r="C5259" s="438" t="s">
        <v>71</v>
      </c>
      <c r="D5259" s="438" t="s">
        <v>1963</v>
      </c>
      <c r="E5259" s="438" t="s">
        <v>1631</v>
      </c>
      <c r="F5259" s="438"/>
      <c r="G5259" s="440" t="s">
        <v>105</v>
      </c>
      <c r="H5259" s="441">
        <v>1.19</v>
      </c>
      <c r="I5259" s="441">
        <v>0</v>
      </c>
      <c r="J5259" s="449">
        <v>0.22</v>
      </c>
      <c r="K5259" s="449">
        <v>0.26</v>
      </c>
    </row>
    <row r="5260" customHeight="1" spans="1:11">
      <c r="A5260" s="438" t="s">
        <v>1750</v>
      </c>
      <c r="B5260" s="439" t="s">
        <v>1960</v>
      </c>
      <c r="C5260" s="438" t="s">
        <v>71</v>
      </c>
      <c r="D5260" s="438" t="s">
        <v>1961</v>
      </c>
      <c r="E5260" s="438" t="s">
        <v>1631</v>
      </c>
      <c r="F5260" s="438"/>
      <c r="G5260" s="440" t="s">
        <v>158</v>
      </c>
      <c r="H5260" s="441">
        <v>0.025</v>
      </c>
      <c r="I5260" s="441">
        <v>0</v>
      </c>
      <c r="J5260" s="449">
        <v>22</v>
      </c>
      <c r="K5260" s="449">
        <v>0.55</v>
      </c>
    </row>
    <row r="5261" customHeight="1" spans="1:11">
      <c r="A5261" s="434"/>
      <c r="B5261" s="434"/>
      <c r="C5261" s="434"/>
      <c r="D5261" s="434"/>
      <c r="E5261" s="434"/>
      <c r="F5261" s="434" t="s">
        <v>1735</v>
      </c>
      <c r="G5261" s="435">
        <v>2.52</v>
      </c>
      <c r="H5261" s="434" t="s">
        <v>1736</v>
      </c>
      <c r="I5261" s="435">
        <v>2.29</v>
      </c>
      <c r="J5261" s="434" t="s">
        <v>1737</v>
      </c>
      <c r="K5261" s="435">
        <v>4.81</v>
      </c>
    </row>
    <row r="5262" customHeight="1" spans="1:11">
      <c r="A5262" s="434"/>
      <c r="B5262" s="434"/>
      <c r="C5262" s="434"/>
      <c r="D5262" s="434"/>
      <c r="E5262" s="434"/>
      <c r="F5262" s="434" t="s">
        <v>1738</v>
      </c>
      <c r="G5262" s="435">
        <v>3.97</v>
      </c>
      <c r="H5262" s="434"/>
      <c r="I5262" s="434" t="s">
        <v>1739</v>
      </c>
      <c r="J5262" s="434"/>
      <c r="K5262" s="435">
        <v>20.1</v>
      </c>
    </row>
    <row r="5263" customHeight="1" spans="1:11">
      <c r="A5263" s="436"/>
      <c r="B5263" s="436"/>
      <c r="C5263" s="436"/>
      <c r="D5263" s="436"/>
      <c r="E5263" s="436"/>
      <c r="F5263" s="436"/>
      <c r="G5263" s="436"/>
      <c r="H5263" s="436" t="s">
        <v>1740</v>
      </c>
      <c r="I5263" s="447" t="s">
        <v>3282</v>
      </c>
      <c r="J5263" s="436" t="s">
        <v>1742</v>
      </c>
      <c r="K5263" s="448">
        <v>964.8</v>
      </c>
    </row>
    <row r="5264" customHeight="1" spans="1:11">
      <c r="A5264" s="437"/>
      <c r="B5264" s="437"/>
      <c r="C5264" s="437"/>
      <c r="D5264" s="437"/>
      <c r="E5264" s="437"/>
      <c r="F5264" s="437"/>
      <c r="G5264" s="437"/>
      <c r="H5264" s="437"/>
      <c r="I5264" s="437"/>
      <c r="J5264" s="437"/>
      <c r="K5264" s="437"/>
    </row>
    <row r="5265" customHeight="1" spans="1:11">
      <c r="A5265" s="423" t="s">
        <v>1565</v>
      </c>
      <c r="B5265" s="424" t="s">
        <v>1714</v>
      </c>
      <c r="C5265" s="423" t="s">
        <v>1715</v>
      </c>
      <c r="D5265" s="423" t="s">
        <v>1716</v>
      </c>
      <c r="E5265" s="423" t="s">
        <v>1717</v>
      </c>
      <c r="F5265" s="423"/>
      <c r="G5265" s="425" t="s">
        <v>1718</v>
      </c>
      <c r="H5265" s="424" t="s">
        <v>1719</v>
      </c>
      <c r="I5265" s="424" t="s">
        <v>1720</v>
      </c>
      <c r="J5265" s="424" t="s">
        <v>1721</v>
      </c>
      <c r="K5265" s="424" t="s">
        <v>1722</v>
      </c>
    </row>
    <row r="5266" customHeight="1" spans="1:11">
      <c r="A5266" s="426" t="s">
        <v>1723</v>
      </c>
      <c r="B5266" s="427" t="s">
        <v>221</v>
      </c>
      <c r="C5266" s="426" t="s">
        <v>71</v>
      </c>
      <c r="D5266" s="426" t="s">
        <v>222</v>
      </c>
      <c r="E5266" s="426" t="s">
        <v>1632</v>
      </c>
      <c r="F5266" s="426"/>
      <c r="G5266" s="428" t="s">
        <v>158</v>
      </c>
      <c r="H5266" s="429">
        <v>1</v>
      </c>
      <c r="I5266" s="445"/>
      <c r="J5266" s="445">
        <v>12.03</v>
      </c>
      <c r="K5266" s="445">
        <v>12.03</v>
      </c>
    </row>
    <row r="5267" customHeight="1" spans="1:11">
      <c r="A5267" s="430" t="s">
        <v>1724</v>
      </c>
      <c r="B5267" s="431" t="s">
        <v>1958</v>
      </c>
      <c r="C5267" s="430" t="s">
        <v>71</v>
      </c>
      <c r="D5267" s="430" t="s">
        <v>1959</v>
      </c>
      <c r="E5267" s="430" t="s">
        <v>1708</v>
      </c>
      <c r="F5267" s="430"/>
      <c r="G5267" s="432" t="s">
        <v>82</v>
      </c>
      <c r="H5267" s="433">
        <v>0.0392</v>
      </c>
      <c r="I5267" s="433">
        <v>0</v>
      </c>
      <c r="J5267" s="446">
        <v>35.95</v>
      </c>
      <c r="K5267" s="446">
        <v>1.4</v>
      </c>
    </row>
    <row r="5268" customHeight="1" spans="1:11">
      <c r="A5268" s="430" t="s">
        <v>1724</v>
      </c>
      <c r="B5268" s="431" t="s">
        <v>1956</v>
      </c>
      <c r="C5268" s="430" t="s">
        <v>71</v>
      </c>
      <c r="D5268" s="430" t="s">
        <v>1957</v>
      </c>
      <c r="E5268" s="430" t="s">
        <v>1708</v>
      </c>
      <c r="F5268" s="430"/>
      <c r="G5268" s="432" t="s">
        <v>82</v>
      </c>
      <c r="H5268" s="433">
        <v>0.0064</v>
      </c>
      <c r="I5268" s="433">
        <v>0</v>
      </c>
      <c r="J5268" s="446">
        <v>30.06</v>
      </c>
      <c r="K5268" s="446">
        <v>0.19</v>
      </c>
    </row>
    <row r="5269" customHeight="1" spans="1:11">
      <c r="A5269" s="430" t="s">
        <v>1724</v>
      </c>
      <c r="B5269" s="431" t="s">
        <v>1965</v>
      </c>
      <c r="C5269" s="430" t="s">
        <v>71</v>
      </c>
      <c r="D5269" s="430" t="s">
        <v>1966</v>
      </c>
      <c r="E5269" s="430" t="s">
        <v>1632</v>
      </c>
      <c r="F5269" s="430"/>
      <c r="G5269" s="432" t="s">
        <v>158</v>
      </c>
      <c r="H5269" s="433">
        <v>1</v>
      </c>
      <c r="I5269" s="433">
        <v>0</v>
      </c>
      <c r="J5269" s="446">
        <v>9.78</v>
      </c>
      <c r="K5269" s="446">
        <v>9.78</v>
      </c>
    </row>
    <row r="5270" customHeight="1" spans="1:11">
      <c r="A5270" s="438" t="s">
        <v>1750</v>
      </c>
      <c r="B5270" s="439" t="s">
        <v>1960</v>
      </c>
      <c r="C5270" s="438" t="s">
        <v>71</v>
      </c>
      <c r="D5270" s="438" t="s">
        <v>1961</v>
      </c>
      <c r="E5270" s="438" t="s">
        <v>1631</v>
      </c>
      <c r="F5270" s="438"/>
      <c r="G5270" s="440" t="s">
        <v>158</v>
      </c>
      <c r="H5270" s="441">
        <v>0.025</v>
      </c>
      <c r="I5270" s="441">
        <v>0</v>
      </c>
      <c r="J5270" s="449">
        <v>22</v>
      </c>
      <c r="K5270" s="449">
        <v>0.55</v>
      </c>
    </row>
    <row r="5271" customHeight="1" spans="1:11">
      <c r="A5271" s="438" t="s">
        <v>1750</v>
      </c>
      <c r="B5271" s="439" t="s">
        <v>1962</v>
      </c>
      <c r="C5271" s="438" t="s">
        <v>71</v>
      </c>
      <c r="D5271" s="438" t="s">
        <v>1963</v>
      </c>
      <c r="E5271" s="438" t="s">
        <v>1631</v>
      </c>
      <c r="F5271" s="438"/>
      <c r="G5271" s="440" t="s">
        <v>105</v>
      </c>
      <c r="H5271" s="441">
        <v>0.543</v>
      </c>
      <c r="I5271" s="441">
        <v>0</v>
      </c>
      <c r="J5271" s="449">
        <v>0.22</v>
      </c>
      <c r="K5271" s="449">
        <v>0.11</v>
      </c>
    </row>
    <row r="5272" customHeight="1" spans="1:11">
      <c r="A5272" s="434"/>
      <c r="B5272" s="434"/>
      <c r="C5272" s="434"/>
      <c r="D5272" s="434"/>
      <c r="E5272" s="434"/>
      <c r="F5272" s="434" t="s">
        <v>1735</v>
      </c>
      <c r="G5272" s="435">
        <v>0.71</v>
      </c>
      <c r="H5272" s="434" t="s">
        <v>1736</v>
      </c>
      <c r="I5272" s="435">
        <v>0.66</v>
      </c>
      <c r="J5272" s="434" t="s">
        <v>1737</v>
      </c>
      <c r="K5272" s="435">
        <v>1.37</v>
      </c>
    </row>
    <row r="5273" customHeight="1" spans="1:11">
      <c r="A5273" s="434"/>
      <c r="B5273" s="434"/>
      <c r="C5273" s="434"/>
      <c r="D5273" s="434"/>
      <c r="E5273" s="434"/>
      <c r="F5273" s="434" t="s">
        <v>1738</v>
      </c>
      <c r="G5273" s="435">
        <v>2.96</v>
      </c>
      <c r="H5273" s="434"/>
      <c r="I5273" s="434" t="s">
        <v>1739</v>
      </c>
      <c r="J5273" s="434"/>
      <c r="K5273" s="435">
        <v>14.99</v>
      </c>
    </row>
    <row r="5274" customHeight="1" spans="1:11">
      <c r="A5274" s="436"/>
      <c r="B5274" s="436"/>
      <c r="C5274" s="436"/>
      <c r="D5274" s="436"/>
      <c r="E5274" s="436"/>
      <c r="F5274" s="436"/>
      <c r="G5274" s="436"/>
      <c r="H5274" s="436" t="s">
        <v>1740</v>
      </c>
      <c r="I5274" s="447" t="s">
        <v>3406</v>
      </c>
      <c r="J5274" s="436" t="s">
        <v>1742</v>
      </c>
      <c r="K5274" s="448">
        <v>1813.79</v>
      </c>
    </row>
    <row r="5275" customHeight="1" spans="1:11">
      <c r="A5275" s="437"/>
      <c r="B5275" s="437"/>
      <c r="C5275" s="437"/>
      <c r="D5275" s="437"/>
      <c r="E5275" s="437"/>
      <c r="F5275" s="437"/>
      <c r="G5275" s="437"/>
      <c r="H5275" s="437"/>
      <c r="I5275" s="437"/>
      <c r="J5275" s="437"/>
      <c r="K5275" s="437"/>
    </row>
    <row r="5276" customHeight="1" spans="1:11">
      <c r="A5276" s="423" t="s">
        <v>1566</v>
      </c>
      <c r="B5276" s="424" t="s">
        <v>1714</v>
      </c>
      <c r="C5276" s="423" t="s">
        <v>1715</v>
      </c>
      <c r="D5276" s="423" t="s">
        <v>1716</v>
      </c>
      <c r="E5276" s="423" t="s">
        <v>1717</v>
      </c>
      <c r="F5276" s="423"/>
      <c r="G5276" s="425" t="s">
        <v>1718</v>
      </c>
      <c r="H5276" s="424" t="s">
        <v>1719</v>
      </c>
      <c r="I5276" s="424" t="s">
        <v>1720</v>
      </c>
      <c r="J5276" s="424" t="s">
        <v>1721</v>
      </c>
      <c r="K5276" s="424" t="s">
        <v>1722</v>
      </c>
    </row>
    <row r="5277" customHeight="1" spans="1:11">
      <c r="A5277" s="426" t="s">
        <v>1723</v>
      </c>
      <c r="B5277" s="427" t="s">
        <v>224</v>
      </c>
      <c r="C5277" s="426" t="s">
        <v>71</v>
      </c>
      <c r="D5277" s="426" t="s">
        <v>225</v>
      </c>
      <c r="E5277" s="426" t="s">
        <v>1632</v>
      </c>
      <c r="F5277" s="426"/>
      <c r="G5277" s="428" t="s">
        <v>158</v>
      </c>
      <c r="H5277" s="429">
        <v>1</v>
      </c>
      <c r="I5277" s="445"/>
      <c r="J5277" s="445">
        <v>10.02</v>
      </c>
      <c r="K5277" s="445">
        <v>10.02</v>
      </c>
    </row>
    <row r="5278" customHeight="1" spans="1:11">
      <c r="A5278" s="430" t="s">
        <v>1724</v>
      </c>
      <c r="B5278" s="431" t="s">
        <v>1956</v>
      </c>
      <c r="C5278" s="430" t="s">
        <v>71</v>
      </c>
      <c r="D5278" s="430" t="s">
        <v>1957</v>
      </c>
      <c r="E5278" s="430" t="s">
        <v>1708</v>
      </c>
      <c r="F5278" s="430"/>
      <c r="G5278" s="432" t="s">
        <v>82</v>
      </c>
      <c r="H5278" s="433">
        <v>0.0042</v>
      </c>
      <c r="I5278" s="433">
        <v>0</v>
      </c>
      <c r="J5278" s="446">
        <v>30.06</v>
      </c>
      <c r="K5278" s="446">
        <v>0.12</v>
      </c>
    </row>
    <row r="5279" customHeight="1" spans="1:11">
      <c r="A5279" s="430" t="s">
        <v>1724</v>
      </c>
      <c r="B5279" s="431" t="s">
        <v>1973</v>
      </c>
      <c r="C5279" s="430" t="s">
        <v>71</v>
      </c>
      <c r="D5279" s="430" t="s">
        <v>1974</v>
      </c>
      <c r="E5279" s="430" t="s">
        <v>1632</v>
      </c>
      <c r="F5279" s="430"/>
      <c r="G5279" s="432" t="s">
        <v>158</v>
      </c>
      <c r="H5279" s="433">
        <v>1</v>
      </c>
      <c r="I5279" s="433">
        <v>0</v>
      </c>
      <c r="J5279" s="446">
        <v>8.35</v>
      </c>
      <c r="K5279" s="446">
        <v>8.35</v>
      </c>
    </row>
    <row r="5280" customHeight="1" spans="1:11">
      <c r="A5280" s="430" t="s">
        <v>1724</v>
      </c>
      <c r="B5280" s="431" t="s">
        <v>1958</v>
      </c>
      <c r="C5280" s="430" t="s">
        <v>71</v>
      </c>
      <c r="D5280" s="430" t="s">
        <v>1959</v>
      </c>
      <c r="E5280" s="430" t="s">
        <v>1708</v>
      </c>
      <c r="F5280" s="430"/>
      <c r="G5280" s="432" t="s">
        <v>82</v>
      </c>
      <c r="H5280" s="433">
        <v>0.0257</v>
      </c>
      <c r="I5280" s="433">
        <v>0</v>
      </c>
      <c r="J5280" s="446">
        <v>35.95</v>
      </c>
      <c r="K5280" s="446">
        <v>0.92</v>
      </c>
    </row>
    <row r="5281" customHeight="1" spans="1:11">
      <c r="A5281" s="438" t="s">
        <v>1750</v>
      </c>
      <c r="B5281" s="439" t="s">
        <v>1962</v>
      </c>
      <c r="C5281" s="438" t="s">
        <v>71</v>
      </c>
      <c r="D5281" s="438" t="s">
        <v>1963</v>
      </c>
      <c r="E5281" s="438" t="s">
        <v>1631</v>
      </c>
      <c r="F5281" s="438"/>
      <c r="G5281" s="440" t="s">
        <v>105</v>
      </c>
      <c r="H5281" s="441">
        <v>0.367</v>
      </c>
      <c r="I5281" s="441">
        <v>0</v>
      </c>
      <c r="J5281" s="449">
        <v>0.22</v>
      </c>
      <c r="K5281" s="449">
        <v>0.08</v>
      </c>
    </row>
    <row r="5282" customHeight="1" spans="1:11">
      <c r="A5282" s="438" t="s">
        <v>1750</v>
      </c>
      <c r="B5282" s="439" t="s">
        <v>1960</v>
      </c>
      <c r="C5282" s="438" t="s">
        <v>71</v>
      </c>
      <c r="D5282" s="438" t="s">
        <v>1961</v>
      </c>
      <c r="E5282" s="438" t="s">
        <v>1631</v>
      </c>
      <c r="F5282" s="438"/>
      <c r="G5282" s="440" t="s">
        <v>158</v>
      </c>
      <c r="H5282" s="441">
        <v>0.025</v>
      </c>
      <c r="I5282" s="441">
        <v>0</v>
      </c>
      <c r="J5282" s="449">
        <v>22</v>
      </c>
      <c r="K5282" s="449">
        <v>0.55</v>
      </c>
    </row>
    <row r="5283" customHeight="1" spans="1:11">
      <c r="A5283" s="434"/>
      <c r="B5283" s="434"/>
      <c r="C5283" s="434"/>
      <c r="D5283" s="434"/>
      <c r="E5283" s="434"/>
      <c r="F5283" s="434" t="s">
        <v>1735</v>
      </c>
      <c r="G5283" s="435">
        <v>0.45</v>
      </c>
      <c r="H5283" s="434" t="s">
        <v>1736</v>
      </c>
      <c r="I5283" s="435">
        <v>0.42</v>
      </c>
      <c r="J5283" s="434" t="s">
        <v>1737</v>
      </c>
      <c r="K5283" s="435">
        <v>0.87</v>
      </c>
    </row>
    <row r="5284" customHeight="1" spans="1:11">
      <c r="A5284" s="434"/>
      <c r="B5284" s="434"/>
      <c r="C5284" s="434"/>
      <c r="D5284" s="434"/>
      <c r="E5284" s="434"/>
      <c r="F5284" s="434" t="s">
        <v>1738</v>
      </c>
      <c r="G5284" s="435">
        <v>2.47</v>
      </c>
      <c r="H5284" s="434"/>
      <c r="I5284" s="434" t="s">
        <v>1739</v>
      </c>
      <c r="J5284" s="434"/>
      <c r="K5284" s="435">
        <v>12.49</v>
      </c>
    </row>
    <row r="5285" customHeight="1" spans="1:11">
      <c r="A5285" s="436"/>
      <c r="B5285" s="436"/>
      <c r="C5285" s="436"/>
      <c r="D5285" s="436"/>
      <c r="E5285" s="436"/>
      <c r="F5285" s="436"/>
      <c r="G5285" s="436"/>
      <c r="H5285" s="436" t="s">
        <v>1740</v>
      </c>
      <c r="I5285" s="447" t="s">
        <v>2310</v>
      </c>
      <c r="J5285" s="436" t="s">
        <v>1742</v>
      </c>
      <c r="K5285" s="448">
        <v>137.39</v>
      </c>
    </row>
    <row r="5286" customHeight="1" spans="1:11">
      <c r="A5286" s="437"/>
      <c r="B5286" s="437"/>
      <c r="C5286" s="437"/>
      <c r="D5286" s="437"/>
      <c r="E5286" s="437"/>
      <c r="F5286" s="437"/>
      <c r="G5286" s="437"/>
      <c r="H5286" s="437"/>
      <c r="I5286" s="437"/>
      <c r="J5286" s="437"/>
      <c r="K5286" s="437"/>
    </row>
    <row r="5287" customHeight="1" spans="1:11">
      <c r="A5287" s="422" t="s">
        <v>1567</v>
      </c>
      <c r="B5287" s="422"/>
      <c r="C5287" s="422"/>
      <c r="D5287" s="422" t="s">
        <v>279</v>
      </c>
      <c r="E5287" s="422"/>
      <c r="F5287" s="422"/>
      <c r="G5287" s="422"/>
      <c r="H5287" s="422"/>
      <c r="I5287" s="443"/>
      <c r="J5287" s="422"/>
      <c r="K5287" s="444">
        <v>1721.12</v>
      </c>
    </row>
    <row r="5288" customHeight="1" spans="1:11">
      <c r="A5288" s="423" t="s">
        <v>1568</v>
      </c>
      <c r="B5288" s="424" t="s">
        <v>1714</v>
      </c>
      <c r="C5288" s="423" t="s">
        <v>1715</v>
      </c>
      <c r="D5288" s="423" t="s">
        <v>1716</v>
      </c>
      <c r="E5288" s="423" t="s">
        <v>1717</v>
      </c>
      <c r="F5288" s="423"/>
      <c r="G5288" s="425" t="s">
        <v>1718</v>
      </c>
      <c r="H5288" s="424" t="s">
        <v>1719</v>
      </c>
      <c r="I5288" s="424" t="s">
        <v>1720</v>
      </c>
      <c r="J5288" s="424" t="s">
        <v>1721</v>
      </c>
      <c r="K5288" s="424" t="s">
        <v>1722</v>
      </c>
    </row>
    <row r="5289" customHeight="1" spans="1:11">
      <c r="A5289" s="426" t="s">
        <v>1723</v>
      </c>
      <c r="B5289" s="427" t="s">
        <v>281</v>
      </c>
      <c r="C5289" s="426" t="s">
        <v>71</v>
      </c>
      <c r="D5289" s="426" t="s">
        <v>282</v>
      </c>
      <c r="E5289" s="426" t="s">
        <v>1672</v>
      </c>
      <c r="F5289" s="426"/>
      <c r="G5289" s="428" t="s">
        <v>73</v>
      </c>
      <c r="H5289" s="429">
        <v>1</v>
      </c>
      <c r="I5289" s="445"/>
      <c r="J5289" s="445">
        <v>511.61</v>
      </c>
      <c r="K5289" s="445">
        <v>511.61</v>
      </c>
    </row>
    <row r="5290" customHeight="1" spans="1:11">
      <c r="A5290" s="430" t="s">
        <v>1724</v>
      </c>
      <c r="B5290" s="431" t="s">
        <v>1800</v>
      </c>
      <c r="C5290" s="430" t="s">
        <v>71</v>
      </c>
      <c r="D5290" s="430" t="s">
        <v>1801</v>
      </c>
      <c r="E5290" s="430" t="s">
        <v>1708</v>
      </c>
      <c r="F5290" s="430"/>
      <c r="G5290" s="432" t="s">
        <v>82</v>
      </c>
      <c r="H5290" s="433">
        <v>0.801</v>
      </c>
      <c r="I5290" s="433">
        <v>0</v>
      </c>
      <c r="J5290" s="446">
        <v>29.91</v>
      </c>
      <c r="K5290" s="446">
        <v>23.95</v>
      </c>
    </row>
    <row r="5291" customHeight="1" spans="1:11">
      <c r="A5291" s="430" t="s">
        <v>1724</v>
      </c>
      <c r="B5291" s="431" t="s">
        <v>2079</v>
      </c>
      <c r="C5291" s="430" t="s">
        <v>71</v>
      </c>
      <c r="D5291" s="430" t="s">
        <v>2080</v>
      </c>
      <c r="E5291" s="430" t="s">
        <v>1672</v>
      </c>
      <c r="F5291" s="430"/>
      <c r="G5291" s="432" t="s">
        <v>73</v>
      </c>
      <c r="H5291" s="433">
        <v>0.88</v>
      </c>
      <c r="I5291" s="433">
        <v>0</v>
      </c>
      <c r="J5291" s="446">
        <v>279.13</v>
      </c>
      <c r="K5291" s="446">
        <v>245.63</v>
      </c>
    </row>
    <row r="5292" customHeight="1" spans="1:11">
      <c r="A5292" s="430" t="s">
        <v>1724</v>
      </c>
      <c r="B5292" s="431" t="s">
        <v>2070</v>
      </c>
      <c r="C5292" s="430" t="s">
        <v>71</v>
      </c>
      <c r="D5292" s="430" t="s">
        <v>2071</v>
      </c>
      <c r="E5292" s="430" t="s">
        <v>1626</v>
      </c>
      <c r="F5292" s="430"/>
      <c r="G5292" s="432" t="s">
        <v>78</v>
      </c>
      <c r="H5292" s="433">
        <v>3.076</v>
      </c>
      <c r="I5292" s="433">
        <v>0</v>
      </c>
      <c r="J5292" s="446">
        <v>17.44</v>
      </c>
      <c r="K5292" s="446">
        <v>53.64</v>
      </c>
    </row>
    <row r="5293" customHeight="1" spans="1:11">
      <c r="A5293" s="430" t="s">
        <v>1724</v>
      </c>
      <c r="B5293" s="431" t="s">
        <v>1743</v>
      </c>
      <c r="C5293" s="430" t="s">
        <v>71</v>
      </c>
      <c r="D5293" s="430" t="s">
        <v>1744</v>
      </c>
      <c r="E5293" s="430" t="s">
        <v>1708</v>
      </c>
      <c r="F5293" s="430"/>
      <c r="G5293" s="432" t="s">
        <v>82</v>
      </c>
      <c r="H5293" s="433">
        <v>4.806</v>
      </c>
      <c r="I5293" s="433">
        <v>0</v>
      </c>
      <c r="J5293" s="446">
        <v>37.51</v>
      </c>
      <c r="K5293" s="446">
        <v>180.27</v>
      </c>
    </row>
    <row r="5294" customHeight="1" spans="1:11">
      <c r="A5294" s="438" t="s">
        <v>1750</v>
      </c>
      <c r="B5294" s="439" t="s">
        <v>2041</v>
      </c>
      <c r="C5294" s="438" t="s">
        <v>71</v>
      </c>
      <c r="D5294" s="438" t="s">
        <v>2042</v>
      </c>
      <c r="E5294" s="438" t="s">
        <v>1631</v>
      </c>
      <c r="F5294" s="438"/>
      <c r="G5294" s="440" t="s">
        <v>78</v>
      </c>
      <c r="H5294" s="441">
        <v>0.272</v>
      </c>
      <c r="I5294" s="441">
        <v>0</v>
      </c>
      <c r="J5294" s="449">
        <v>21.41</v>
      </c>
      <c r="K5294" s="449">
        <v>5.82</v>
      </c>
    </row>
    <row r="5295" customHeight="1" spans="1:11">
      <c r="A5295" s="438" t="s">
        <v>1750</v>
      </c>
      <c r="B5295" s="439" t="s">
        <v>1943</v>
      </c>
      <c r="C5295" s="438" t="s">
        <v>71</v>
      </c>
      <c r="D5295" s="438" t="s">
        <v>1944</v>
      </c>
      <c r="E5295" s="438" t="s">
        <v>1631</v>
      </c>
      <c r="F5295" s="438"/>
      <c r="G5295" s="440" t="s">
        <v>1945</v>
      </c>
      <c r="H5295" s="441">
        <v>0.017</v>
      </c>
      <c r="I5295" s="441">
        <v>0</v>
      </c>
      <c r="J5295" s="449">
        <v>7.97</v>
      </c>
      <c r="K5295" s="449">
        <v>0.13</v>
      </c>
    </row>
    <row r="5296" customHeight="1" spans="1:11">
      <c r="A5296" s="438" t="s">
        <v>1750</v>
      </c>
      <c r="B5296" s="439" t="s">
        <v>1948</v>
      </c>
      <c r="C5296" s="438" t="s">
        <v>71</v>
      </c>
      <c r="D5296" s="438" t="s">
        <v>1949</v>
      </c>
      <c r="E5296" s="438" t="s">
        <v>1631</v>
      </c>
      <c r="F5296" s="438"/>
      <c r="G5296" s="440" t="s">
        <v>158</v>
      </c>
      <c r="H5296" s="441">
        <v>0.096</v>
      </c>
      <c r="I5296" s="441">
        <v>0</v>
      </c>
      <c r="J5296" s="449">
        <v>22.69</v>
      </c>
      <c r="K5296" s="449">
        <v>2.17</v>
      </c>
    </row>
    <row r="5297" customHeight="1" spans="1:11">
      <c r="A5297" s="434"/>
      <c r="B5297" s="434"/>
      <c r="C5297" s="434"/>
      <c r="D5297" s="434"/>
      <c r="E5297" s="434"/>
      <c r="F5297" s="434" t="s">
        <v>1735</v>
      </c>
      <c r="G5297" s="435">
        <v>100.87</v>
      </c>
      <c r="H5297" s="434" t="s">
        <v>1736</v>
      </c>
      <c r="I5297" s="435">
        <v>91.63</v>
      </c>
      <c r="J5297" s="434" t="s">
        <v>1737</v>
      </c>
      <c r="K5297" s="435">
        <v>192.5</v>
      </c>
    </row>
    <row r="5298" customHeight="1" spans="1:11">
      <c r="A5298" s="434"/>
      <c r="B5298" s="434"/>
      <c r="C5298" s="434"/>
      <c r="D5298" s="434"/>
      <c r="E5298" s="434"/>
      <c r="F5298" s="434" t="s">
        <v>1738</v>
      </c>
      <c r="G5298" s="435">
        <v>126.16</v>
      </c>
      <c r="H5298" s="434"/>
      <c r="I5298" s="434" t="s">
        <v>1739</v>
      </c>
      <c r="J5298" s="434"/>
      <c r="K5298" s="435">
        <v>637.77</v>
      </c>
    </row>
    <row r="5299" customHeight="1" spans="1:11">
      <c r="A5299" s="436"/>
      <c r="B5299" s="436"/>
      <c r="C5299" s="436"/>
      <c r="D5299" s="436"/>
      <c r="E5299" s="436"/>
      <c r="F5299" s="436"/>
      <c r="G5299" s="436"/>
      <c r="H5299" s="436" t="s">
        <v>1740</v>
      </c>
      <c r="I5299" s="447" t="s">
        <v>2081</v>
      </c>
      <c r="J5299" s="436" t="s">
        <v>1742</v>
      </c>
      <c r="K5299" s="448">
        <v>988.54</v>
      </c>
    </row>
    <row r="5300" customHeight="1" spans="1:11">
      <c r="A5300" s="437"/>
      <c r="B5300" s="437"/>
      <c r="C5300" s="437"/>
      <c r="D5300" s="437"/>
      <c r="E5300" s="437"/>
      <c r="F5300" s="437"/>
      <c r="G5300" s="437"/>
      <c r="H5300" s="437"/>
      <c r="I5300" s="437"/>
      <c r="J5300" s="437"/>
      <c r="K5300" s="437"/>
    </row>
    <row r="5301" customHeight="1" spans="1:11">
      <c r="A5301" s="423" t="s">
        <v>1569</v>
      </c>
      <c r="B5301" s="424" t="s">
        <v>1714</v>
      </c>
      <c r="C5301" s="423" t="s">
        <v>1715</v>
      </c>
      <c r="D5301" s="423" t="s">
        <v>1716</v>
      </c>
      <c r="E5301" s="423" t="s">
        <v>1717</v>
      </c>
      <c r="F5301" s="423"/>
      <c r="G5301" s="425" t="s">
        <v>1718</v>
      </c>
      <c r="H5301" s="424" t="s">
        <v>1719</v>
      </c>
      <c r="I5301" s="424" t="s">
        <v>1720</v>
      </c>
      <c r="J5301" s="424" t="s">
        <v>1721</v>
      </c>
      <c r="K5301" s="424" t="s">
        <v>1722</v>
      </c>
    </row>
    <row r="5302" customHeight="1" spans="1:11">
      <c r="A5302" s="426" t="s">
        <v>1723</v>
      </c>
      <c r="B5302" s="427" t="s">
        <v>1460</v>
      </c>
      <c r="C5302" s="426" t="s">
        <v>76</v>
      </c>
      <c r="D5302" s="426" t="s">
        <v>1461</v>
      </c>
      <c r="E5302" s="426">
        <v>11</v>
      </c>
      <c r="F5302" s="426"/>
      <c r="G5302" s="428" t="s">
        <v>129</v>
      </c>
      <c r="H5302" s="429">
        <v>1</v>
      </c>
      <c r="I5302" s="445"/>
      <c r="J5302" s="445">
        <v>808.65</v>
      </c>
      <c r="K5302" s="445">
        <v>808.65</v>
      </c>
    </row>
    <row r="5303" customHeight="1" spans="1:11">
      <c r="A5303" s="430" t="s">
        <v>1724</v>
      </c>
      <c r="B5303" s="431" t="s">
        <v>2143</v>
      </c>
      <c r="C5303" s="430" t="s">
        <v>76</v>
      </c>
      <c r="D5303" s="430" t="s">
        <v>2144</v>
      </c>
      <c r="E5303" s="430">
        <v>7</v>
      </c>
      <c r="F5303" s="430"/>
      <c r="G5303" s="432" t="s">
        <v>129</v>
      </c>
      <c r="H5303" s="433">
        <v>0.0125</v>
      </c>
      <c r="I5303" s="433">
        <v>0</v>
      </c>
      <c r="J5303" s="446">
        <v>468.89</v>
      </c>
      <c r="K5303" s="446">
        <v>5.86</v>
      </c>
    </row>
    <row r="5304" customHeight="1" spans="1:11">
      <c r="A5304" s="430" t="s">
        <v>1724</v>
      </c>
      <c r="B5304" s="431" t="s">
        <v>3321</v>
      </c>
      <c r="C5304" s="430" t="s">
        <v>76</v>
      </c>
      <c r="D5304" s="430" t="s">
        <v>3322</v>
      </c>
      <c r="E5304" s="430">
        <v>19</v>
      </c>
      <c r="F5304" s="430"/>
      <c r="G5304" s="432" t="s">
        <v>82</v>
      </c>
      <c r="H5304" s="433">
        <v>0.23</v>
      </c>
      <c r="I5304" s="433">
        <v>0</v>
      </c>
      <c r="J5304" s="446">
        <v>1.77</v>
      </c>
      <c r="K5304" s="446">
        <v>0.4</v>
      </c>
    </row>
    <row r="5305" customHeight="1" spans="1:11">
      <c r="A5305" s="430" t="s">
        <v>1724</v>
      </c>
      <c r="B5305" s="431" t="s">
        <v>3323</v>
      </c>
      <c r="C5305" s="430" t="s">
        <v>76</v>
      </c>
      <c r="D5305" s="430" t="s">
        <v>3322</v>
      </c>
      <c r="E5305" s="430">
        <v>19</v>
      </c>
      <c r="F5305" s="430"/>
      <c r="G5305" s="432" t="s">
        <v>82</v>
      </c>
      <c r="H5305" s="433">
        <v>0.39</v>
      </c>
      <c r="I5305" s="433">
        <v>0</v>
      </c>
      <c r="J5305" s="446">
        <v>0.48</v>
      </c>
      <c r="K5305" s="446">
        <v>0.18</v>
      </c>
    </row>
    <row r="5306" customHeight="1" spans="1:11">
      <c r="A5306" s="438" t="s">
        <v>1750</v>
      </c>
      <c r="B5306" s="439" t="s">
        <v>3324</v>
      </c>
      <c r="C5306" s="438" t="s">
        <v>76</v>
      </c>
      <c r="D5306" s="438" t="s">
        <v>3325</v>
      </c>
      <c r="E5306" s="438" t="s">
        <v>1631</v>
      </c>
      <c r="F5306" s="438"/>
      <c r="G5306" s="440" t="s">
        <v>129</v>
      </c>
      <c r="H5306" s="441">
        <v>1</v>
      </c>
      <c r="I5306" s="441">
        <v>0</v>
      </c>
      <c r="J5306" s="449">
        <v>60</v>
      </c>
      <c r="K5306" s="449">
        <v>60</v>
      </c>
    </row>
    <row r="5307" customHeight="1" spans="1:11">
      <c r="A5307" s="438" t="s">
        <v>1750</v>
      </c>
      <c r="B5307" s="439" t="s">
        <v>3326</v>
      </c>
      <c r="C5307" s="438" t="s">
        <v>76</v>
      </c>
      <c r="D5307" s="438" t="s">
        <v>3327</v>
      </c>
      <c r="E5307" s="438" t="s">
        <v>1631</v>
      </c>
      <c r="F5307" s="438"/>
      <c r="G5307" s="440" t="s">
        <v>129</v>
      </c>
      <c r="H5307" s="441">
        <v>1.05</v>
      </c>
      <c r="I5307" s="441">
        <v>0</v>
      </c>
      <c r="J5307" s="449">
        <v>630</v>
      </c>
      <c r="K5307" s="449">
        <v>661.5</v>
      </c>
    </row>
    <row r="5308" customHeight="1" spans="1:11">
      <c r="A5308" s="438" t="s">
        <v>1750</v>
      </c>
      <c r="B5308" s="439" t="s">
        <v>1762</v>
      </c>
      <c r="C5308" s="438" t="s">
        <v>76</v>
      </c>
      <c r="D5308" s="438" t="s">
        <v>1763</v>
      </c>
      <c r="E5308" s="438" t="s">
        <v>1764</v>
      </c>
      <c r="F5308" s="438"/>
      <c r="G5308" s="440" t="s">
        <v>82</v>
      </c>
      <c r="H5308" s="441">
        <v>0.6</v>
      </c>
      <c r="I5308" s="441">
        <v>3</v>
      </c>
      <c r="J5308" s="449">
        <v>26.52</v>
      </c>
      <c r="K5308" s="449">
        <v>16.38</v>
      </c>
    </row>
    <row r="5309" customHeight="1" spans="1:11">
      <c r="A5309" s="438" t="s">
        <v>1750</v>
      </c>
      <c r="B5309" s="439" t="s">
        <v>2149</v>
      </c>
      <c r="C5309" s="438" t="s">
        <v>76</v>
      </c>
      <c r="D5309" s="438" t="s">
        <v>2150</v>
      </c>
      <c r="E5309" s="438" t="s">
        <v>1764</v>
      </c>
      <c r="F5309" s="438"/>
      <c r="G5309" s="440" t="s">
        <v>82</v>
      </c>
      <c r="H5309" s="441">
        <v>0.6</v>
      </c>
      <c r="I5309" s="441">
        <v>3</v>
      </c>
      <c r="J5309" s="449">
        <v>26.52</v>
      </c>
      <c r="K5309" s="449">
        <v>16.38</v>
      </c>
    </row>
    <row r="5310" customHeight="1" spans="1:11">
      <c r="A5310" s="438" t="s">
        <v>1750</v>
      </c>
      <c r="B5310" s="439" t="s">
        <v>1767</v>
      </c>
      <c r="C5310" s="438" t="s">
        <v>76</v>
      </c>
      <c r="D5310" s="438" t="s">
        <v>1768</v>
      </c>
      <c r="E5310" s="438" t="s">
        <v>1764</v>
      </c>
      <c r="F5310" s="438"/>
      <c r="G5310" s="440" t="s">
        <v>82</v>
      </c>
      <c r="H5310" s="441">
        <v>1.6</v>
      </c>
      <c r="I5310" s="441">
        <v>3</v>
      </c>
      <c r="J5310" s="449">
        <v>19.16</v>
      </c>
      <c r="K5310" s="449">
        <v>31.57</v>
      </c>
    </row>
    <row r="5311" customHeight="1" spans="1:11">
      <c r="A5311" s="438" t="s">
        <v>1750</v>
      </c>
      <c r="B5311" s="439" t="s">
        <v>3260</v>
      </c>
      <c r="C5311" s="438" t="s">
        <v>76</v>
      </c>
      <c r="D5311" s="438" t="s">
        <v>3261</v>
      </c>
      <c r="E5311" s="438" t="s">
        <v>1764</v>
      </c>
      <c r="F5311" s="438"/>
      <c r="G5311" s="440" t="s">
        <v>82</v>
      </c>
      <c r="H5311" s="441">
        <v>0.6</v>
      </c>
      <c r="I5311" s="441">
        <v>3</v>
      </c>
      <c r="J5311" s="449">
        <v>26.52</v>
      </c>
      <c r="K5311" s="449">
        <v>16.38</v>
      </c>
    </row>
    <row r="5312" customHeight="1" spans="1:11">
      <c r="A5312" s="434"/>
      <c r="B5312" s="434"/>
      <c r="C5312" s="434"/>
      <c r="D5312" s="434"/>
      <c r="E5312" s="434"/>
      <c r="F5312" s="434" t="s">
        <v>1735</v>
      </c>
      <c r="G5312" s="435">
        <v>42.69</v>
      </c>
      <c r="H5312" s="434" t="s">
        <v>1736</v>
      </c>
      <c r="I5312" s="435">
        <v>38.78</v>
      </c>
      <c r="J5312" s="434" t="s">
        <v>1737</v>
      </c>
      <c r="K5312" s="435">
        <v>81.47</v>
      </c>
    </row>
    <row r="5313" customHeight="1" spans="1:11">
      <c r="A5313" s="434"/>
      <c r="B5313" s="434"/>
      <c r="C5313" s="434"/>
      <c r="D5313" s="434"/>
      <c r="E5313" s="434"/>
      <c r="F5313" s="434" t="s">
        <v>1738</v>
      </c>
      <c r="G5313" s="435">
        <v>199.41</v>
      </c>
      <c r="H5313" s="434"/>
      <c r="I5313" s="434" t="s">
        <v>1739</v>
      </c>
      <c r="J5313" s="434"/>
      <c r="K5313" s="435">
        <v>1008.06</v>
      </c>
    </row>
    <row r="5314" customHeight="1" spans="1:11">
      <c r="A5314" s="436"/>
      <c r="B5314" s="436"/>
      <c r="C5314" s="436"/>
      <c r="D5314" s="436"/>
      <c r="E5314" s="436"/>
      <c r="F5314" s="436"/>
      <c r="G5314" s="436"/>
      <c r="H5314" s="436" t="s">
        <v>1740</v>
      </c>
      <c r="I5314" s="447" t="s">
        <v>2084</v>
      </c>
      <c r="J5314" s="436" t="s">
        <v>1742</v>
      </c>
      <c r="K5314" s="448">
        <v>252.01</v>
      </c>
    </row>
    <row r="5315" customHeight="1" spans="1:11">
      <c r="A5315" s="437"/>
      <c r="B5315" s="437"/>
      <c r="C5315" s="437"/>
      <c r="D5315" s="437"/>
      <c r="E5315" s="437"/>
      <c r="F5315" s="437"/>
      <c r="G5315" s="437"/>
      <c r="H5315" s="437"/>
      <c r="I5315" s="437"/>
      <c r="J5315" s="437"/>
      <c r="K5315" s="437"/>
    </row>
    <row r="5316" customHeight="1" spans="1:11">
      <c r="A5316" s="423" t="s">
        <v>1570</v>
      </c>
      <c r="B5316" s="424" t="s">
        <v>1714</v>
      </c>
      <c r="C5316" s="423" t="s">
        <v>1715</v>
      </c>
      <c r="D5316" s="423" t="s">
        <v>1716</v>
      </c>
      <c r="E5316" s="423" t="s">
        <v>1717</v>
      </c>
      <c r="F5316" s="423"/>
      <c r="G5316" s="425" t="s">
        <v>1718</v>
      </c>
      <c r="H5316" s="424" t="s">
        <v>1719</v>
      </c>
      <c r="I5316" s="424" t="s">
        <v>1720</v>
      </c>
      <c r="J5316" s="424" t="s">
        <v>1721</v>
      </c>
      <c r="K5316" s="424" t="s">
        <v>1722</v>
      </c>
    </row>
    <row r="5317" customHeight="1" spans="1:11">
      <c r="A5317" s="426" t="s">
        <v>1723</v>
      </c>
      <c r="B5317" s="427" t="s">
        <v>290</v>
      </c>
      <c r="C5317" s="426" t="s">
        <v>71</v>
      </c>
      <c r="D5317" s="426" t="s">
        <v>291</v>
      </c>
      <c r="E5317" s="426" t="s">
        <v>1672</v>
      </c>
      <c r="F5317" s="426"/>
      <c r="G5317" s="428" t="s">
        <v>158</v>
      </c>
      <c r="H5317" s="429">
        <v>1</v>
      </c>
      <c r="I5317" s="445"/>
      <c r="J5317" s="445">
        <v>18.46</v>
      </c>
      <c r="K5317" s="445">
        <v>18.46</v>
      </c>
    </row>
    <row r="5318" customHeight="1" spans="1:11">
      <c r="A5318" s="430" t="s">
        <v>1724</v>
      </c>
      <c r="B5318" s="431" t="s">
        <v>1969</v>
      </c>
      <c r="C5318" s="430" t="s">
        <v>71</v>
      </c>
      <c r="D5318" s="430" t="s">
        <v>1970</v>
      </c>
      <c r="E5318" s="430" t="s">
        <v>1632</v>
      </c>
      <c r="F5318" s="430"/>
      <c r="G5318" s="432" t="s">
        <v>158</v>
      </c>
      <c r="H5318" s="433">
        <v>1</v>
      </c>
      <c r="I5318" s="433">
        <v>0</v>
      </c>
      <c r="J5318" s="446">
        <v>10.65</v>
      </c>
      <c r="K5318" s="446">
        <v>10.65</v>
      </c>
    </row>
    <row r="5319" customHeight="1" spans="1:11">
      <c r="A5319" s="430" t="s">
        <v>1724</v>
      </c>
      <c r="B5319" s="431" t="s">
        <v>1956</v>
      </c>
      <c r="C5319" s="430" t="s">
        <v>71</v>
      </c>
      <c r="D5319" s="430" t="s">
        <v>1957</v>
      </c>
      <c r="E5319" s="430" t="s">
        <v>1708</v>
      </c>
      <c r="F5319" s="430"/>
      <c r="G5319" s="432" t="s">
        <v>82</v>
      </c>
      <c r="H5319" s="433">
        <v>0.028</v>
      </c>
      <c r="I5319" s="433">
        <v>0</v>
      </c>
      <c r="J5319" s="446">
        <v>30.06</v>
      </c>
      <c r="K5319" s="446">
        <v>0.84</v>
      </c>
    </row>
    <row r="5320" customHeight="1" spans="1:11">
      <c r="A5320" s="430" t="s">
        <v>1724</v>
      </c>
      <c r="B5320" s="431" t="s">
        <v>1958</v>
      </c>
      <c r="C5320" s="430" t="s">
        <v>71</v>
      </c>
      <c r="D5320" s="430" t="s">
        <v>1959</v>
      </c>
      <c r="E5320" s="430" t="s">
        <v>1708</v>
      </c>
      <c r="F5320" s="430"/>
      <c r="G5320" s="432" t="s">
        <v>82</v>
      </c>
      <c r="H5320" s="433">
        <v>0.175</v>
      </c>
      <c r="I5320" s="433">
        <v>0</v>
      </c>
      <c r="J5320" s="446">
        <v>35.95</v>
      </c>
      <c r="K5320" s="446">
        <v>6.29</v>
      </c>
    </row>
    <row r="5321" customHeight="1" spans="1:11">
      <c r="A5321" s="438" t="s">
        <v>1750</v>
      </c>
      <c r="B5321" s="439" t="s">
        <v>1962</v>
      </c>
      <c r="C5321" s="438" t="s">
        <v>71</v>
      </c>
      <c r="D5321" s="438" t="s">
        <v>1963</v>
      </c>
      <c r="E5321" s="438" t="s">
        <v>1631</v>
      </c>
      <c r="F5321" s="438"/>
      <c r="G5321" s="440" t="s">
        <v>105</v>
      </c>
      <c r="H5321" s="441">
        <v>0.613</v>
      </c>
      <c r="I5321" s="441">
        <v>0</v>
      </c>
      <c r="J5321" s="449">
        <v>0.22</v>
      </c>
      <c r="K5321" s="449">
        <v>0.13</v>
      </c>
    </row>
    <row r="5322" customHeight="1" spans="1:11">
      <c r="A5322" s="438" t="s">
        <v>1750</v>
      </c>
      <c r="B5322" s="439" t="s">
        <v>1960</v>
      </c>
      <c r="C5322" s="438" t="s">
        <v>71</v>
      </c>
      <c r="D5322" s="438" t="s">
        <v>1961</v>
      </c>
      <c r="E5322" s="438" t="s">
        <v>1631</v>
      </c>
      <c r="F5322" s="438"/>
      <c r="G5322" s="440" t="s">
        <v>158</v>
      </c>
      <c r="H5322" s="441">
        <v>0.025</v>
      </c>
      <c r="I5322" s="441">
        <v>0</v>
      </c>
      <c r="J5322" s="449">
        <v>22</v>
      </c>
      <c r="K5322" s="449">
        <v>0.55</v>
      </c>
    </row>
    <row r="5323" customHeight="1" spans="1:11">
      <c r="A5323" s="434"/>
      <c r="B5323" s="434"/>
      <c r="C5323" s="434"/>
      <c r="D5323" s="434"/>
      <c r="E5323" s="434"/>
      <c r="F5323" s="434" t="s">
        <v>1735</v>
      </c>
      <c r="G5323" s="435">
        <v>2.91</v>
      </c>
      <c r="H5323" s="434" t="s">
        <v>1736</v>
      </c>
      <c r="I5323" s="435">
        <v>2.65</v>
      </c>
      <c r="J5323" s="434" t="s">
        <v>1737</v>
      </c>
      <c r="K5323" s="435">
        <v>5.56</v>
      </c>
    </row>
    <row r="5324" customHeight="1" spans="1:11">
      <c r="A5324" s="434"/>
      <c r="B5324" s="434"/>
      <c r="C5324" s="434"/>
      <c r="D5324" s="434"/>
      <c r="E5324" s="434"/>
      <c r="F5324" s="434" t="s">
        <v>1738</v>
      </c>
      <c r="G5324" s="435">
        <v>4.55</v>
      </c>
      <c r="H5324" s="434"/>
      <c r="I5324" s="434" t="s">
        <v>1739</v>
      </c>
      <c r="J5324" s="434"/>
      <c r="K5324" s="435">
        <v>23.01</v>
      </c>
    </row>
    <row r="5325" customHeight="1" spans="1:11">
      <c r="A5325" s="436"/>
      <c r="B5325" s="436"/>
      <c r="C5325" s="436"/>
      <c r="D5325" s="436"/>
      <c r="E5325" s="436"/>
      <c r="F5325" s="436"/>
      <c r="G5325" s="436"/>
      <c r="H5325" s="436" t="s">
        <v>1740</v>
      </c>
      <c r="I5325" s="447" t="s">
        <v>2384</v>
      </c>
      <c r="J5325" s="436" t="s">
        <v>1742</v>
      </c>
      <c r="K5325" s="448">
        <v>161.07</v>
      </c>
    </row>
    <row r="5326" customHeight="1" spans="1:11">
      <c r="A5326" s="437"/>
      <c r="B5326" s="437"/>
      <c r="C5326" s="437"/>
      <c r="D5326" s="437"/>
      <c r="E5326" s="437"/>
      <c r="F5326" s="437"/>
      <c r="G5326" s="437"/>
      <c r="H5326" s="437"/>
      <c r="I5326" s="437"/>
      <c r="J5326" s="437"/>
      <c r="K5326" s="437"/>
    </row>
    <row r="5327" customHeight="1" spans="1:11">
      <c r="A5327" s="423" t="s">
        <v>1571</v>
      </c>
      <c r="B5327" s="424" t="s">
        <v>1714</v>
      </c>
      <c r="C5327" s="423" t="s">
        <v>1715</v>
      </c>
      <c r="D5327" s="423" t="s">
        <v>1716</v>
      </c>
      <c r="E5327" s="423" t="s">
        <v>1717</v>
      </c>
      <c r="F5327" s="423"/>
      <c r="G5327" s="425" t="s">
        <v>1718</v>
      </c>
      <c r="H5327" s="424" t="s">
        <v>1719</v>
      </c>
      <c r="I5327" s="424" t="s">
        <v>1720</v>
      </c>
      <c r="J5327" s="424" t="s">
        <v>1721</v>
      </c>
      <c r="K5327" s="424" t="s">
        <v>1722</v>
      </c>
    </row>
    <row r="5328" customHeight="1" spans="1:11">
      <c r="A5328" s="426" t="s">
        <v>1723</v>
      </c>
      <c r="B5328" s="427" t="s">
        <v>293</v>
      </c>
      <c r="C5328" s="426" t="s">
        <v>71</v>
      </c>
      <c r="D5328" s="426" t="s">
        <v>294</v>
      </c>
      <c r="E5328" s="426" t="s">
        <v>1672</v>
      </c>
      <c r="F5328" s="426"/>
      <c r="G5328" s="428" t="s">
        <v>158</v>
      </c>
      <c r="H5328" s="429">
        <v>1</v>
      </c>
      <c r="I5328" s="445"/>
      <c r="J5328" s="445">
        <v>14.24</v>
      </c>
      <c r="K5328" s="445">
        <v>14.24</v>
      </c>
    </row>
    <row r="5329" customHeight="1" spans="1:11">
      <c r="A5329" s="430" t="s">
        <v>1724</v>
      </c>
      <c r="B5329" s="431" t="s">
        <v>1965</v>
      </c>
      <c r="C5329" s="430" t="s">
        <v>71</v>
      </c>
      <c r="D5329" s="430" t="s">
        <v>1966</v>
      </c>
      <c r="E5329" s="430" t="s">
        <v>1632</v>
      </c>
      <c r="F5329" s="430"/>
      <c r="G5329" s="432" t="s">
        <v>158</v>
      </c>
      <c r="H5329" s="433">
        <v>1</v>
      </c>
      <c r="I5329" s="433">
        <v>0</v>
      </c>
      <c r="J5329" s="446">
        <v>9.78</v>
      </c>
      <c r="K5329" s="446">
        <v>9.78</v>
      </c>
    </row>
    <row r="5330" customHeight="1" spans="1:11">
      <c r="A5330" s="430" t="s">
        <v>1724</v>
      </c>
      <c r="B5330" s="431" t="s">
        <v>1958</v>
      </c>
      <c r="C5330" s="430" t="s">
        <v>71</v>
      </c>
      <c r="D5330" s="430" t="s">
        <v>1959</v>
      </c>
      <c r="E5330" s="430" t="s">
        <v>1708</v>
      </c>
      <c r="F5330" s="430"/>
      <c r="G5330" s="432" t="s">
        <v>82</v>
      </c>
      <c r="H5330" s="433">
        <v>0.094</v>
      </c>
      <c r="I5330" s="433">
        <v>0</v>
      </c>
      <c r="J5330" s="446">
        <v>35.95</v>
      </c>
      <c r="K5330" s="446">
        <v>3.37</v>
      </c>
    </row>
    <row r="5331" customHeight="1" spans="1:11">
      <c r="A5331" s="430" t="s">
        <v>1724</v>
      </c>
      <c r="B5331" s="431" t="s">
        <v>1956</v>
      </c>
      <c r="C5331" s="430" t="s">
        <v>71</v>
      </c>
      <c r="D5331" s="430" t="s">
        <v>1957</v>
      </c>
      <c r="E5331" s="430" t="s">
        <v>1708</v>
      </c>
      <c r="F5331" s="430"/>
      <c r="G5331" s="432" t="s">
        <v>82</v>
      </c>
      <c r="H5331" s="433">
        <v>0.015</v>
      </c>
      <c r="I5331" s="433">
        <v>0</v>
      </c>
      <c r="J5331" s="446">
        <v>30.06</v>
      </c>
      <c r="K5331" s="446">
        <v>0.45</v>
      </c>
    </row>
    <row r="5332" customHeight="1" spans="1:11">
      <c r="A5332" s="438" t="s">
        <v>1750</v>
      </c>
      <c r="B5332" s="439" t="s">
        <v>1962</v>
      </c>
      <c r="C5332" s="438" t="s">
        <v>71</v>
      </c>
      <c r="D5332" s="438" t="s">
        <v>1963</v>
      </c>
      <c r="E5332" s="438" t="s">
        <v>1631</v>
      </c>
      <c r="F5332" s="438"/>
      <c r="G5332" s="440" t="s">
        <v>105</v>
      </c>
      <c r="H5332" s="441">
        <v>0.431</v>
      </c>
      <c r="I5332" s="441">
        <v>0</v>
      </c>
      <c r="J5332" s="449">
        <v>0.22</v>
      </c>
      <c r="K5332" s="449">
        <v>0.09</v>
      </c>
    </row>
    <row r="5333" customHeight="1" spans="1:11">
      <c r="A5333" s="438" t="s">
        <v>1750</v>
      </c>
      <c r="B5333" s="439" t="s">
        <v>1960</v>
      </c>
      <c r="C5333" s="438" t="s">
        <v>71</v>
      </c>
      <c r="D5333" s="438" t="s">
        <v>1961</v>
      </c>
      <c r="E5333" s="438" t="s">
        <v>1631</v>
      </c>
      <c r="F5333" s="438"/>
      <c r="G5333" s="440" t="s">
        <v>158</v>
      </c>
      <c r="H5333" s="441">
        <v>0.025</v>
      </c>
      <c r="I5333" s="441">
        <v>0</v>
      </c>
      <c r="J5333" s="449">
        <v>22</v>
      </c>
      <c r="K5333" s="449">
        <v>0.55</v>
      </c>
    </row>
    <row r="5334" customHeight="1" spans="1:11">
      <c r="A5334" s="434"/>
      <c r="B5334" s="434"/>
      <c r="C5334" s="434"/>
      <c r="D5334" s="434"/>
      <c r="E5334" s="434"/>
      <c r="F5334" s="434" t="s">
        <v>1735</v>
      </c>
      <c r="G5334" s="435">
        <v>1.55</v>
      </c>
      <c r="H5334" s="434" t="s">
        <v>1736</v>
      </c>
      <c r="I5334" s="435">
        <v>1.42</v>
      </c>
      <c r="J5334" s="434" t="s">
        <v>1737</v>
      </c>
      <c r="K5334" s="435">
        <v>2.97</v>
      </c>
    </row>
    <row r="5335" customHeight="1" spans="1:11">
      <c r="A5335" s="434"/>
      <c r="B5335" s="434"/>
      <c r="C5335" s="434"/>
      <c r="D5335" s="434"/>
      <c r="E5335" s="434"/>
      <c r="F5335" s="434" t="s">
        <v>1738</v>
      </c>
      <c r="G5335" s="435">
        <v>3.51</v>
      </c>
      <c r="H5335" s="434"/>
      <c r="I5335" s="434" t="s">
        <v>1739</v>
      </c>
      <c r="J5335" s="434"/>
      <c r="K5335" s="435">
        <v>17.75</v>
      </c>
    </row>
    <row r="5336" customHeight="1" spans="1:11">
      <c r="A5336" s="436"/>
      <c r="B5336" s="436"/>
      <c r="C5336" s="436"/>
      <c r="D5336" s="436"/>
      <c r="E5336" s="436"/>
      <c r="F5336" s="436"/>
      <c r="G5336" s="436"/>
      <c r="H5336" s="436" t="s">
        <v>1740</v>
      </c>
      <c r="I5336" s="447" t="s">
        <v>3058</v>
      </c>
      <c r="J5336" s="436" t="s">
        <v>1742</v>
      </c>
      <c r="K5336" s="448">
        <v>319.5</v>
      </c>
    </row>
    <row r="5337" customHeight="1" spans="1:11">
      <c r="A5337" s="437"/>
      <c r="B5337" s="437"/>
      <c r="C5337" s="437"/>
      <c r="D5337" s="437"/>
      <c r="E5337" s="437"/>
      <c r="F5337" s="437"/>
      <c r="G5337" s="437"/>
      <c r="H5337" s="437"/>
      <c r="I5337" s="437"/>
      <c r="J5337" s="437"/>
      <c r="K5337" s="437"/>
    </row>
    <row r="5338" customHeight="1" spans="1:11">
      <c r="A5338" s="422" t="s">
        <v>1572</v>
      </c>
      <c r="B5338" s="422"/>
      <c r="C5338" s="422"/>
      <c r="D5338" s="422" t="s">
        <v>47</v>
      </c>
      <c r="E5338" s="422"/>
      <c r="F5338" s="422"/>
      <c r="G5338" s="422"/>
      <c r="H5338" s="422"/>
      <c r="I5338" s="443"/>
      <c r="J5338" s="422"/>
      <c r="K5338" s="444">
        <v>112892.63</v>
      </c>
    </row>
    <row r="5339" customHeight="1" spans="1:11">
      <c r="A5339" s="423" t="s">
        <v>1573</v>
      </c>
      <c r="B5339" s="424" t="s">
        <v>1714</v>
      </c>
      <c r="C5339" s="423" t="s">
        <v>1715</v>
      </c>
      <c r="D5339" s="423" t="s">
        <v>1716</v>
      </c>
      <c r="E5339" s="423" t="s">
        <v>1717</v>
      </c>
      <c r="F5339" s="423"/>
      <c r="G5339" s="425" t="s">
        <v>1718</v>
      </c>
      <c r="H5339" s="424" t="s">
        <v>1719</v>
      </c>
      <c r="I5339" s="424" t="s">
        <v>1720</v>
      </c>
      <c r="J5339" s="424" t="s">
        <v>1721</v>
      </c>
      <c r="K5339" s="424" t="s">
        <v>1722</v>
      </c>
    </row>
    <row r="5340" customHeight="1" spans="1:11">
      <c r="A5340" s="426" t="s">
        <v>1723</v>
      </c>
      <c r="B5340" s="427" t="s">
        <v>147</v>
      </c>
      <c r="C5340" s="426" t="s">
        <v>71</v>
      </c>
      <c r="D5340" s="426" t="s">
        <v>148</v>
      </c>
      <c r="E5340" s="426" t="s">
        <v>1634</v>
      </c>
      <c r="F5340" s="426"/>
      <c r="G5340" s="428" t="s">
        <v>129</v>
      </c>
      <c r="H5340" s="429">
        <v>1</v>
      </c>
      <c r="I5340" s="445"/>
      <c r="J5340" s="445">
        <v>126.82</v>
      </c>
      <c r="K5340" s="445">
        <v>126.82</v>
      </c>
    </row>
    <row r="5341" customHeight="1" spans="1:11">
      <c r="A5341" s="430" t="s">
        <v>1724</v>
      </c>
      <c r="B5341" s="431" t="s">
        <v>1745</v>
      </c>
      <c r="C5341" s="430" t="s">
        <v>71</v>
      </c>
      <c r="D5341" s="430" t="s">
        <v>1746</v>
      </c>
      <c r="E5341" s="430" t="s">
        <v>1708</v>
      </c>
      <c r="F5341" s="430"/>
      <c r="G5341" s="432" t="s">
        <v>82</v>
      </c>
      <c r="H5341" s="433">
        <v>3.126</v>
      </c>
      <c r="I5341" s="433">
        <v>0</v>
      </c>
      <c r="J5341" s="446">
        <v>29.15</v>
      </c>
      <c r="K5341" s="446">
        <v>91.12</v>
      </c>
    </row>
    <row r="5342" customHeight="1" spans="1:11">
      <c r="A5342" s="430" t="s">
        <v>1724</v>
      </c>
      <c r="B5342" s="431" t="s">
        <v>1936</v>
      </c>
      <c r="C5342" s="430" t="s">
        <v>71</v>
      </c>
      <c r="D5342" s="430" t="s">
        <v>1937</v>
      </c>
      <c r="E5342" s="430" t="s">
        <v>1708</v>
      </c>
      <c r="F5342" s="430"/>
      <c r="G5342" s="432" t="s">
        <v>82</v>
      </c>
      <c r="H5342" s="433">
        <v>0.966</v>
      </c>
      <c r="I5342" s="433">
        <v>0</v>
      </c>
      <c r="J5342" s="446">
        <v>36.96</v>
      </c>
      <c r="K5342" s="446">
        <v>35.7</v>
      </c>
    </row>
    <row r="5343" customHeight="1" spans="1:11">
      <c r="A5343" s="434"/>
      <c r="B5343" s="434"/>
      <c r="C5343" s="434"/>
      <c r="D5343" s="434"/>
      <c r="E5343" s="434"/>
      <c r="F5343" s="434" t="s">
        <v>1735</v>
      </c>
      <c r="G5343" s="435">
        <v>45.11</v>
      </c>
      <c r="H5343" s="434" t="s">
        <v>1736</v>
      </c>
      <c r="I5343" s="435">
        <v>40.99</v>
      </c>
      <c r="J5343" s="434" t="s">
        <v>1737</v>
      </c>
      <c r="K5343" s="435">
        <v>86.1</v>
      </c>
    </row>
    <row r="5344" customHeight="1" spans="1:11">
      <c r="A5344" s="434"/>
      <c r="B5344" s="434"/>
      <c r="C5344" s="434"/>
      <c r="D5344" s="434"/>
      <c r="E5344" s="434"/>
      <c r="F5344" s="434" t="s">
        <v>1738</v>
      </c>
      <c r="G5344" s="435">
        <v>31.27</v>
      </c>
      <c r="H5344" s="434"/>
      <c r="I5344" s="434" t="s">
        <v>1739</v>
      </c>
      <c r="J5344" s="434"/>
      <c r="K5344" s="435">
        <v>158.09</v>
      </c>
    </row>
    <row r="5345" customHeight="1" spans="1:11">
      <c r="A5345" s="436"/>
      <c r="B5345" s="436"/>
      <c r="C5345" s="436"/>
      <c r="D5345" s="436"/>
      <c r="E5345" s="436"/>
      <c r="F5345" s="436"/>
      <c r="G5345" s="436"/>
      <c r="H5345" s="436" t="s">
        <v>1740</v>
      </c>
      <c r="I5345" s="447" t="s">
        <v>3407</v>
      </c>
      <c r="J5345" s="436" t="s">
        <v>1742</v>
      </c>
      <c r="K5345" s="448">
        <v>774.64</v>
      </c>
    </row>
    <row r="5346" customHeight="1" spans="1:11">
      <c r="A5346" s="437"/>
      <c r="B5346" s="437"/>
      <c r="C5346" s="437"/>
      <c r="D5346" s="437"/>
      <c r="E5346" s="437"/>
      <c r="F5346" s="437"/>
      <c r="G5346" s="437"/>
      <c r="H5346" s="437"/>
      <c r="I5346" s="437"/>
      <c r="J5346" s="437"/>
      <c r="K5346" s="437"/>
    </row>
    <row r="5347" customHeight="1" spans="1:11">
      <c r="A5347" s="423" t="s">
        <v>1574</v>
      </c>
      <c r="B5347" s="424" t="s">
        <v>1714</v>
      </c>
      <c r="C5347" s="423" t="s">
        <v>1715</v>
      </c>
      <c r="D5347" s="423" t="s">
        <v>1716</v>
      </c>
      <c r="E5347" s="423" t="s">
        <v>1717</v>
      </c>
      <c r="F5347" s="423"/>
      <c r="G5347" s="425" t="s">
        <v>1718</v>
      </c>
      <c r="H5347" s="424" t="s">
        <v>1719</v>
      </c>
      <c r="I5347" s="424" t="s">
        <v>1720</v>
      </c>
      <c r="J5347" s="424" t="s">
        <v>1721</v>
      </c>
      <c r="K5347" s="424" t="s">
        <v>1722</v>
      </c>
    </row>
    <row r="5348" customHeight="1" spans="1:11">
      <c r="A5348" s="426" t="s">
        <v>1723</v>
      </c>
      <c r="B5348" s="427" t="s">
        <v>1455</v>
      </c>
      <c r="C5348" s="426" t="s">
        <v>71</v>
      </c>
      <c r="D5348" s="426" t="s">
        <v>1456</v>
      </c>
      <c r="E5348" s="426" t="s">
        <v>1634</v>
      </c>
      <c r="F5348" s="426"/>
      <c r="G5348" s="428" t="s">
        <v>73</v>
      </c>
      <c r="H5348" s="429">
        <v>1</v>
      </c>
      <c r="I5348" s="445"/>
      <c r="J5348" s="445">
        <v>223.64</v>
      </c>
      <c r="K5348" s="445">
        <v>223.64</v>
      </c>
    </row>
    <row r="5349" customHeight="1" spans="1:11">
      <c r="A5349" s="430" t="s">
        <v>1724</v>
      </c>
      <c r="B5349" s="431" t="s">
        <v>1805</v>
      </c>
      <c r="C5349" s="430" t="s">
        <v>71</v>
      </c>
      <c r="D5349" s="430" t="s">
        <v>1806</v>
      </c>
      <c r="E5349" s="430" t="s">
        <v>1795</v>
      </c>
      <c r="F5349" s="430"/>
      <c r="G5349" s="432" t="s">
        <v>1796</v>
      </c>
      <c r="H5349" s="433">
        <v>0.06</v>
      </c>
      <c r="I5349" s="433">
        <v>0</v>
      </c>
      <c r="J5349" s="446">
        <v>41.6</v>
      </c>
      <c r="K5349" s="446">
        <v>2.49</v>
      </c>
    </row>
    <row r="5350" customHeight="1" spans="1:11">
      <c r="A5350" s="430" t="s">
        <v>1724</v>
      </c>
      <c r="B5350" s="431" t="s">
        <v>1800</v>
      </c>
      <c r="C5350" s="430" t="s">
        <v>71</v>
      </c>
      <c r="D5350" s="430" t="s">
        <v>1801</v>
      </c>
      <c r="E5350" s="430" t="s">
        <v>1708</v>
      </c>
      <c r="F5350" s="430"/>
      <c r="G5350" s="432" t="s">
        <v>82</v>
      </c>
      <c r="H5350" s="433">
        <v>1.387</v>
      </c>
      <c r="I5350" s="433">
        <v>0</v>
      </c>
      <c r="J5350" s="446">
        <v>29.91</v>
      </c>
      <c r="K5350" s="446">
        <v>41.48</v>
      </c>
    </row>
    <row r="5351" customHeight="1" spans="1:11">
      <c r="A5351" s="430" t="s">
        <v>1724</v>
      </c>
      <c r="B5351" s="431" t="s">
        <v>1802</v>
      </c>
      <c r="C5351" s="430" t="s">
        <v>71</v>
      </c>
      <c r="D5351" s="430" t="s">
        <v>1803</v>
      </c>
      <c r="E5351" s="430" t="s">
        <v>1795</v>
      </c>
      <c r="F5351" s="430"/>
      <c r="G5351" s="432" t="s">
        <v>1804</v>
      </c>
      <c r="H5351" s="433">
        <v>0.239</v>
      </c>
      <c r="I5351" s="433">
        <v>0</v>
      </c>
      <c r="J5351" s="446">
        <v>39.98</v>
      </c>
      <c r="K5351" s="446">
        <v>9.55</v>
      </c>
    </row>
    <row r="5352" customHeight="1" spans="1:11">
      <c r="A5352" s="430" t="s">
        <v>1724</v>
      </c>
      <c r="B5352" s="431" t="s">
        <v>1743</v>
      </c>
      <c r="C5352" s="430" t="s">
        <v>71</v>
      </c>
      <c r="D5352" s="430" t="s">
        <v>1744</v>
      </c>
      <c r="E5352" s="430" t="s">
        <v>1708</v>
      </c>
      <c r="F5352" s="430"/>
      <c r="G5352" s="432" t="s">
        <v>82</v>
      </c>
      <c r="H5352" s="433">
        <v>3.395</v>
      </c>
      <c r="I5352" s="433">
        <v>0</v>
      </c>
      <c r="J5352" s="446">
        <v>37.51</v>
      </c>
      <c r="K5352" s="446">
        <v>127.34</v>
      </c>
    </row>
    <row r="5353" customHeight="1" spans="1:11">
      <c r="A5353" s="438" t="s">
        <v>1750</v>
      </c>
      <c r="B5353" s="439" t="s">
        <v>1948</v>
      </c>
      <c r="C5353" s="438" t="s">
        <v>71</v>
      </c>
      <c r="D5353" s="438" t="s">
        <v>1949</v>
      </c>
      <c r="E5353" s="438" t="s">
        <v>1631</v>
      </c>
      <c r="F5353" s="438"/>
      <c r="G5353" s="440" t="s">
        <v>158</v>
      </c>
      <c r="H5353" s="441">
        <v>0.119</v>
      </c>
      <c r="I5353" s="441">
        <v>0</v>
      </c>
      <c r="J5353" s="449">
        <v>22.69</v>
      </c>
      <c r="K5353" s="449">
        <v>2.7</v>
      </c>
    </row>
    <row r="5354" customHeight="1" spans="1:11">
      <c r="A5354" s="438" t="s">
        <v>1750</v>
      </c>
      <c r="B5354" s="439" t="s">
        <v>1941</v>
      </c>
      <c r="C5354" s="438" t="s">
        <v>71</v>
      </c>
      <c r="D5354" s="438" t="s">
        <v>1942</v>
      </c>
      <c r="E5354" s="438" t="s">
        <v>1631</v>
      </c>
      <c r="F5354" s="438"/>
      <c r="G5354" s="440" t="s">
        <v>78</v>
      </c>
      <c r="H5354" s="441">
        <v>5.401</v>
      </c>
      <c r="I5354" s="441">
        <v>0</v>
      </c>
      <c r="J5354" s="449">
        <v>3.07</v>
      </c>
      <c r="K5354" s="449">
        <v>16.58</v>
      </c>
    </row>
    <row r="5355" customHeight="1" spans="1:11">
      <c r="A5355" s="438" t="s">
        <v>1750</v>
      </c>
      <c r="B5355" s="439" t="s">
        <v>3314</v>
      </c>
      <c r="C5355" s="438" t="s">
        <v>71</v>
      </c>
      <c r="D5355" s="438" t="s">
        <v>3315</v>
      </c>
      <c r="E5355" s="438" t="s">
        <v>1631</v>
      </c>
      <c r="F5355" s="438"/>
      <c r="G5355" s="440" t="s">
        <v>158</v>
      </c>
      <c r="H5355" s="441">
        <v>0.022</v>
      </c>
      <c r="I5355" s="441">
        <v>0</v>
      </c>
      <c r="J5355" s="449">
        <v>20.35</v>
      </c>
      <c r="K5355" s="449">
        <v>0.44</v>
      </c>
    </row>
    <row r="5356" customHeight="1" spans="1:11">
      <c r="A5356" s="438" t="s">
        <v>1750</v>
      </c>
      <c r="B5356" s="439" t="s">
        <v>3316</v>
      </c>
      <c r="C5356" s="438" t="s">
        <v>71</v>
      </c>
      <c r="D5356" s="438" t="s">
        <v>3317</v>
      </c>
      <c r="E5356" s="438" t="s">
        <v>1631</v>
      </c>
      <c r="F5356" s="438"/>
      <c r="G5356" s="440" t="s">
        <v>73</v>
      </c>
      <c r="H5356" s="441">
        <v>0.336</v>
      </c>
      <c r="I5356" s="441">
        <v>0</v>
      </c>
      <c r="J5356" s="449">
        <v>45.9</v>
      </c>
      <c r="K5356" s="449">
        <v>15.42</v>
      </c>
    </row>
    <row r="5357" customHeight="1" spans="1:11">
      <c r="A5357" s="438" t="s">
        <v>1750</v>
      </c>
      <c r="B5357" s="439" t="s">
        <v>1950</v>
      </c>
      <c r="C5357" s="438" t="s">
        <v>71</v>
      </c>
      <c r="D5357" s="438" t="s">
        <v>1951</v>
      </c>
      <c r="E5357" s="438" t="s">
        <v>1631</v>
      </c>
      <c r="F5357" s="438"/>
      <c r="G5357" s="440" t="s">
        <v>158</v>
      </c>
      <c r="H5357" s="441">
        <v>0.005</v>
      </c>
      <c r="I5357" s="441">
        <v>0</v>
      </c>
      <c r="J5357" s="449">
        <v>20.59</v>
      </c>
      <c r="K5357" s="449">
        <v>0.1</v>
      </c>
    </row>
    <row r="5358" customHeight="1" spans="1:11">
      <c r="A5358" s="438" t="s">
        <v>1750</v>
      </c>
      <c r="B5358" s="439" t="s">
        <v>1946</v>
      </c>
      <c r="C5358" s="438" t="s">
        <v>71</v>
      </c>
      <c r="D5358" s="438" t="s">
        <v>1947</v>
      </c>
      <c r="E5358" s="438" t="s">
        <v>1631</v>
      </c>
      <c r="F5358" s="438"/>
      <c r="G5358" s="440" t="s">
        <v>158</v>
      </c>
      <c r="H5358" s="441">
        <v>0.055</v>
      </c>
      <c r="I5358" s="441">
        <v>0</v>
      </c>
      <c r="J5358" s="449">
        <v>18.73</v>
      </c>
      <c r="K5358" s="449">
        <v>1.03</v>
      </c>
    </row>
    <row r="5359" customHeight="1" spans="1:11">
      <c r="A5359" s="438" t="s">
        <v>1750</v>
      </c>
      <c r="B5359" s="439" t="s">
        <v>1807</v>
      </c>
      <c r="C5359" s="438" t="s">
        <v>71</v>
      </c>
      <c r="D5359" s="438" t="s">
        <v>1808</v>
      </c>
      <c r="E5359" s="438" t="s">
        <v>1631</v>
      </c>
      <c r="F5359" s="438"/>
      <c r="G5359" s="440" t="s">
        <v>78</v>
      </c>
      <c r="H5359" s="441">
        <v>0.733</v>
      </c>
      <c r="I5359" s="441">
        <v>0</v>
      </c>
      <c r="J5359" s="449">
        <v>8.79</v>
      </c>
      <c r="K5359" s="449">
        <v>6.44</v>
      </c>
    </row>
    <row r="5360" customHeight="1" spans="1:11">
      <c r="A5360" s="438" t="s">
        <v>1750</v>
      </c>
      <c r="B5360" s="439" t="s">
        <v>1943</v>
      </c>
      <c r="C5360" s="438" t="s">
        <v>71</v>
      </c>
      <c r="D5360" s="438" t="s">
        <v>1944</v>
      </c>
      <c r="E5360" s="438" t="s">
        <v>1631</v>
      </c>
      <c r="F5360" s="438"/>
      <c r="G5360" s="440" t="s">
        <v>1945</v>
      </c>
      <c r="H5360" s="441">
        <v>0.00955</v>
      </c>
      <c r="I5360" s="441">
        <v>0</v>
      </c>
      <c r="J5360" s="449">
        <v>7.97</v>
      </c>
      <c r="K5360" s="449">
        <v>0.07</v>
      </c>
    </row>
    <row r="5361" customHeight="1" spans="1:11">
      <c r="A5361" s="434"/>
      <c r="B5361" s="434"/>
      <c r="C5361" s="434"/>
      <c r="D5361" s="434"/>
      <c r="E5361" s="434"/>
      <c r="F5361" s="434" t="s">
        <v>1735</v>
      </c>
      <c r="G5361" s="435">
        <v>68.77</v>
      </c>
      <c r="H5361" s="434" t="s">
        <v>1736</v>
      </c>
      <c r="I5361" s="435">
        <v>62.47</v>
      </c>
      <c r="J5361" s="434" t="s">
        <v>1737</v>
      </c>
      <c r="K5361" s="435">
        <v>131.24</v>
      </c>
    </row>
    <row r="5362" customHeight="1" spans="1:11">
      <c r="A5362" s="434"/>
      <c r="B5362" s="434"/>
      <c r="C5362" s="434"/>
      <c r="D5362" s="434"/>
      <c r="E5362" s="434"/>
      <c r="F5362" s="434" t="s">
        <v>1738</v>
      </c>
      <c r="G5362" s="435">
        <v>55.14</v>
      </c>
      <c r="H5362" s="434"/>
      <c r="I5362" s="434" t="s">
        <v>1739</v>
      </c>
      <c r="J5362" s="434"/>
      <c r="K5362" s="435">
        <v>278.78</v>
      </c>
    </row>
    <row r="5363" customHeight="1" spans="1:11">
      <c r="A5363" s="436"/>
      <c r="B5363" s="436"/>
      <c r="C5363" s="436"/>
      <c r="D5363" s="436"/>
      <c r="E5363" s="436"/>
      <c r="F5363" s="436"/>
      <c r="G5363" s="436"/>
      <c r="H5363" s="436" t="s">
        <v>1740</v>
      </c>
      <c r="I5363" s="447" t="s">
        <v>3408</v>
      </c>
      <c r="J5363" s="436" t="s">
        <v>1742</v>
      </c>
      <c r="K5363" s="448">
        <v>1700.55</v>
      </c>
    </row>
    <row r="5364" customHeight="1" spans="1:11">
      <c r="A5364" s="437"/>
      <c r="B5364" s="437"/>
      <c r="C5364" s="437"/>
      <c r="D5364" s="437"/>
      <c r="E5364" s="437"/>
      <c r="F5364" s="437"/>
      <c r="G5364" s="437"/>
      <c r="H5364" s="437"/>
      <c r="I5364" s="437"/>
      <c r="J5364" s="437"/>
      <c r="K5364" s="437"/>
    </row>
    <row r="5365" customHeight="1" spans="1:11">
      <c r="A5365" s="423" t="s">
        <v>1575</v>
      </c>
      <c r="B5365" s="424" t="s">
        <v>1714</v>
      </c>
      <c r="C5365" s="423" t="s">
        <v>1715</v>
      </c>
      <c r="D5365" s="423" t="s">
        <v>1716</v>
      </c>
      <c r="E5365" s="423" t="s">
        <v>1717</v>
      </c>
      <c r="F5365" s="423"/>
      <c r="G5365" s="425" t="s">
        <v>1718</v>
      </c>
      <c r="H5365" s="424" t="s">
        <v>1719</v>
      </c>
      <c r="I5365" s="424" t="s">
        <v>1720</v>
      </c>
      <c r="J5365" s="424" t="s">
        <v>1721</v>
      </c>
      <c r="K5365" s="424" t="s">
        <v>1722</v>
      </c>
    </row>
    <row r="5366" customHeight="1" spans="1:11">
      <c r="A5366" s="426" t="s">
        <v>1723</v>
      </c>
      <c r="B5366" s="427" t="s">
        <v>169</v>
      </c>
      <c r="C5366" s="426" t="s">
        <v>71</v>
      </c>
      <c r="D5366" s="426" t="s">
        <v>170</v>
      </c>
      <c r="E5366" s="426" t="s">
        <v>1634</v>
      </c>
      <c r="F5366" s="426"/>
      <c r="G5366" s="428" t="s">
        <v>158</v>
      </c>
      <c r="H5366" s="429">
        <v>1</v>
      </c>
      <c r="I5366" s="445"/>
      <c r="J5366" s="445">
        <v>14.25</v>
      </c>
      <c r="K5366" s="445">
        <v>14.25</v>
      </c>
    </row>
    <row r="5367" customHeight="1" spans="1:11">
      <c r="A5367" s="430" t="s">
        <v>1724</v>
      </c>
      <c r="B5367" s="431" t="s">
        <v>1958</v>
      </c>
      <c r="C5367" s="430" t="s">
        <v>71</v>
      </c>
      <c r="D5367" s="430" t="s">
        <v>1959</v>
      </c>
      <c r="E5367" s="430" t="s">
        <v>1708</v>
      </c>
      <c r="F5367" s="430"/>
      <c r="G5367" s="432" t="s">
        <v>82</v>
      </c>
      <c r="H5367" s="433">
        <v>0.081</v>
      </c>
      <c r="I5367" s="433">
        <v>0</v>
      </c>
      <c r="J5367" s="446">
        <v>35.95</v>
      </c>
      <c r="K5367" s="446">
        <v>2.91</v>
      </c>
    </row>
    <row r="5368" customHeight="1" spans="1:11">
      <c r="A5368" s="430" t="s">
        <v>1724</v>
      </c>
      <c r="B5368" s="431" t="s">
        <v>1965</v>
      </c>
      <c r="C5368" s="430" t="s">
        <v>71</v>
      </c>
      <c r="D5368" s="430" t="s">
        <v>1966</v>
      </c>
      <c r="E5368" s="430" t="s">
        <v>1632</v>
      </c>
      <c r="F5368" s="430"/>
      <c r="G5368" s="432" t="s">
        <v>158</v>
      </c>
      <c r="H5368" s="433">
        <v>1</v>
      </c>
      <c r="I5368" s="433">
        <v>0</v>
      </c>
      <c r="J5368" s="446">
        <v>9.78</v>
      </c>
      <c r="K5368" s="446">
        <v>9.78</v>
      </c>
    </row>
    <row r="5369" customHeight="1" spans="1:11">
      <c r="A5369" s="430" t="s">
        <v>1724</v>
      </c>
      <c r="B5369" s="431" t="s">
        <v>1956</v>
      </c>
      <c r="C5369" s="430" t="s">
        <v>71</v>
      </c>
      <c r="D5369" s="430" t="s">
        <v>1957</v>
      </c>
      <c r="E5369" s="430" t="s">
        <v>1708</v>
      </c>
      <c r="F5369" s="430"/>
      <c r="G5369" s="432" t="s">
        <v>82</v>
      </c>
      <c r="H5369" s="433">
        <v>0.031</v>
      </c>
      <c r="I5369" s="433">
        <v>0</v>
      </c>
      <c r="J5369" s="446">
        <v>30.06</v>
      </c>
      <c r="K5369" s="446">
        <v>0.93</v>
      </c>
    </row>
    <row r="5370" customHeight="1" spans="1:11">
      <c r="A5370" s="438" t="s">
        <v>1750</v>
      </c>
      <c r="B5370" s="439" t="s">
        <v>1962</v>
      </c>
      <c r="C5370" s="438" t="s">
        <v>71</v>
      </c>
      <c r="D5370" s="438" t="s">
        <v>1963</v>
      </c>
      <c r="E5370" s="438" t="s">
        <v>1631</v>
      </c>
      <c r="F5370" s="438"/>
      <c r="G5370" s="440" t="s">
        <v>105</v>
      </c>
      <c r="H5370" s="441">
        <v>0.399</v>
      </c>
      <c r="I5370" s="441">
        <v>0</v>
      </c>
      <c r="J5370" s="449">
        <v>0.22</v>
      </c>
      <c r="K5370" s="449">
        <v>0.08</v>
      </c>
    </row>
    <row r="5371" customHeight="1" spans="1:11">
      <c r="A5371" s="438" t="s">
        <v>1750</v>
      </c>
      <c r="B5371" s="439" t="s">
        <v>1960</v>
      </c>
      <c r="C5371" s="438" t="s">
        <v>71</v>
      </c>
      <c r="D5371" s="438" t="s">
        <v>1961</v>
      </c>
      <c r="E5371" s="438" t="s">
        <v>1631</v>
      </c>
      <c r="F5371" s="438"/>
      <c r="G5371" s="440" t="s">
        <v>158</v>
      </c>
      <c r="H5371" s="441">
        <v>0.025</v>
      </c>
      <c r="I5371" s="441">
        <v>0</v>
      </c>
      <c r="J5371" s="449">
        <v>22</v>
      </c>
      <c r="K5371" s="449">
        <v>0.55</v>
      </c>
    </row>
    <row r="5372" customHeight="1" spans="1:11">
      <c r="A5372" s="434"/>
      <c r="B5372" s="434"/>
      <c r="C5372" s="434"/>
      <c r="D5372" s="434"/>
      <c r="E5372" s="434"/>
      <c r="F5372" s="434" t="s">
        <v>1735</v>
      </c>
      <c r="G5372" s="435">
        <v>1.55</v>
      </c>
      <c r="H5372" s="434" t="s">
        <v>1736</v>
      </c>
      <c r="I5372" s="435">
        <v>1.41</v>
      </c>
      <c r="J5372" s="434" t="s">
        <v>1737</v>
      </c>
      <c r="K5372" s="435">
        <v>2.96</v>
      </c>
    </row>
    <row r="5373" customHeight="1" spans="1:11">
      <c r="A5373" s="434"/>
      <c r="B5373" s="434"/>
      <c r="C5373" s="434"/>
      <c r="D5373" s="434"/>
      <c r="E5373" s="434"/>
      <c r="F5373" s="434" t="s">
        <v>1738</v>
      </c>
      <c r="G5373" s="435">
        <v>3.51</v>
      </c>
      <c r="H5373" s="434"/>
      <c r="I5373" s="434" t="s">
        <v>1739</v>
      </c>
      <c r="J5373" s="434"/>
      <c r="K5373" s="435">
        <v>17.76</v>
      </c>
    </row>
    <row r="5374" customHeight="1" spans="1:11">
      <c r="A5374" s="436"/>
      <c r="B5374" s="436"/>
      <c r="C5374" s="436"/>
      <c r="D5374" s="436"/>
      <c r="E5374" s="436"/>
      <c r="F5374" s="436"/>
      <c r="G5374" s="436"/>
      <c r="H5374" s="436" t="s">
        <v>1740</v>
      </c>
      <c r="I5374" s="447" t="s">
        <v>3409</v>
      </c>
      <c r="J5374" s="436" t="s">
        <v>1742</v>
      </c>
      <c r="K5374" s="448">
        <v>3381.5</v>
      </c>
    </row>
    <row r="5375" customHeight="1" spans="1:11">
      <c r="A5375" s="437"/>
      <c r="B5375" s="437"/>
      <c r="C5375" s="437"/>
      <c r="D5375" s="437"/>
      <c r="E5375" s="437"/>
      <c r="F5375" s="437"/>
      <c r="G5375" s="437"/>
      <c r="H5375" s="437"/>
      <c r="I5375" s="437"/>
      <c r="J5375" s="437"/>
      <c r="K5375" s="437"/>
    </row>
    <row r="5376" customHeight="1" spans="1:11">
      <c r="A5376" s="423" t="s">
        <v>1576</v>
      </c>
      <c r="B5376" s="424" t="s">
        <v>1714</v>
      </c>
      <c r="C5376" s="423" t="s">
        <v>1715</v>
      </c>
      <c r="D5376" s="423" t="s">
        <v>1716</v>
      </c>
      <c r="E5376" s="423" t="s">
        <v>1717</v>
      </c>
      <c r="F5376" s="423"/>
      <c r="G5376" s="425" t="s">
        <v>1718</v>
      </c>
      <c r="H5376" s="424" t="s">
        <v>1719</v>
      </c>
      <c r="I5376" s="424" t="s">
        <v>1720</v>
      </c>
      <c r="J5376" s="424" t="s">
        <v>1721</v>
      </c>
      <c r="K5376" s="424" t="s">
        <v>1722</v>
      </c>
    </row>
    <row r="5377" customHeight="1" spans="1:11">
      <c r="A5377" s="426" t="s">
        <v>1723</v>
      </c>
      <c r="B5377" s="427" t="s">
        <v>249</v>
      </c>
      <c r="C5377" s="426" t="s">
        <v>71</v>
      </c>
      <c r="D5377" s="426" t="s">
        <v>250</v>
      </c>
      <c r="E5377" s="426" t="s">
        <v>1626</v>
      </c>
      <c r="F5377" s="426"/>
      <c r="G5377" s="428" t="s">
        <v>73</v>
      </c>
      <c r="H5377" s="429">
        <v>1</v>
      </c>
      <c r="I5377" s="445"/>
      <c r="J5377" s="445">
        <v>73.76</v>
      </c>
      <c r="K5377" s="445">
        <v>73.76</v>
      </c>
    </row>
    <row r="5378" customHeight="1" spans="1:11">
      <c r="A5378" s="430" t="s">
        <v>1724</v>
      </c>
      <c r="B5378" s="431" t="s">
        <v>1800</v>
      </c>
      <c r="C5378" s="430" t="s">
        <v>71</v>
      </c>
      <c r="D5378" s="430" t="s">
        <v>1801</v>
      </c>
      <c r="E5378" s="430" t="s">
        <v>1708</v>
      </c>
      <c r="F5378" s="430"/>
      <c r="G5378" s="432" t="s">
        <v>82</v>
      </c>
      <c r="H5378" s="433">
        <v>0.126</v>
      </c>
      <c r="I5378" s="433">
        <v>0</v>
      </c>
      <c r="J5378" s="446">
        <v>29.91</v>
      </c>
      <c r="K5378" s="446">
        <v>3.76</v>
      </c>
    </row>
    <row r="5379" customHeight="1" spans="1:11">
      <c r="A5379" s="430" t="s">
        <v>1724</v>
      </c>
      <c r="B5379" s="431" t="s">
        <v>1743</v>
      </c>
      <c r="C5379" s="430" t="s">
        <v>71</v>
      </c>
      <c r="D5379" s="430" t="s">
        <v>1744</v>
      </c>
      <c r="E5379" s="430" t="s">
        <v>1708</v>
      </c>
      <c r="F5379" s="430"/>
      <c r="G5379" s="432" t="s">
        <v>82</v>
      </c>
      <c r="H5379" s="433">
        <v>0.687</v>
      </c>
      <c r="I5379" s="433">
        <v>0</v>
      </c>
      <c r="J5379" s="446">
        <v>37.51</v>
      </c>
      <c r="K5379" s="446">
        <v>25.76</v>
      </c>
    </row>
    <row r="5380" customHeight="1" spans="1:11">
      <c r="A5380" s="430" t="s">
        <v>1724</v>
      </c>
      <c r="B5380" s="431" t="s">
        <v>2053</v>
      </c>
      <c r="C5380" s="430" t="s">
        <v>71</v>
      </c>
      <c r="D5380" s="430" t="s">
        <v>2054</v>
      </c>
      <c r="E5380" s="430" t="s">
        <v>1626</v>
      </c>
      <c r="F5380" s="430"/>
      <c r="G5380" s="432" t="s">
        <v>73</v>
      </c>
      <c r="H5380" s="433">
        <v>0.577</v>
      </c>
      <c r="I5380" s="433">
        <v>0</v>
      </c>
      <c r="J5380" s="446">
        <v>49.58</v>
      </c>
      <c r="K5380" s="446">
        <v>28.6</v>
      </c>
    </row>
    <row r="5381" customHeight="1" spans="1:11">
      <c r="A5381" s="438" t="s">
        <v>1750</v>
      </c>
      <c r="B5381" s="439" t="s">
        <v>1943</v>
      </c>
      <c r="C5381" s="438" t="s">
        <v>71</v>
      </c>
      <c r="D5381" s="438" t="s">
        <v>1944</v>
      </c>
      <c r="E5381" s="438" t="s">
        <v>1631</v>
      </c>
      <c r="F5381" s="438"/>
      <c r="G5381" s="440" t="s">
        <v>1945</v>
      </c>
      <c r="H5381" s="441">
        <v>0.01</v>
      </c>
      <c r="I5381" s="441">
        <v>0</v>
      </c>
      <c r="J5381" s="449">
        <v>7.97</v>
      </c>
      <c r="K5381" s="449">
        <v>0.07</v>
      </c>
    </row>
    <row r="5382" customHeight="1" spans="1:11">
      <c r="A5382" s="438" t="s">
        <v>1750</v>
      </c>
      <c r="B5382" s="439" t="s">
        <v>2055</v>
      </c>
      <c r="C5382" s="438" t="s">
        <v>71</v>
      </c>
      <c r="D5382" s="438" t="s">
        <v>2056</v>
      </c>
      <c r="E5382" s="438" t="s">
        <v>1892</v>
      </c>
      <c r="F5382" s="438"/>
      <c r="G5382" s="440" t="s">
        <v>93</v>
      </c>
      <c r="H5382" s="441">
        <v>0.397</v>
      </c>
      <c r="I5382" s="441">
        <v>0</v>
      </c>
      <c r="J5382" s="449">
        <v>26.62</v>
      </c>
      <c r="K5382" s="449">
        <v>10.56</v>
      </c>
    </row>
    <row r="5383" customHeight="1" spans="1:11">
      <c r="A5383" s="438" t="s">
        <v>1750</v>
      </c>
      <c r="B5383" s="439" t="s">
        <v>2057</v>
      </c>
      <c r="C5383" s="438" t="s">
        <v>71</v>
      </c>
      <c r="D5383" s="438" t="s">
        <v>2058</v>
      </c>
      <c r="E5383" s="438" t="s">
        <v>1631</v>
      </c>
      <c r="F5383" s="438"/>
      <c r="G5383" s="440" t="s">
        <v>78</v>
      </c>
      <c r="H5383" s="441">
        <v>0.038</v>
      </c>
      <c r="I5383" s="441">
        <v>0</v>
      </c>
      <c r="J5383" s="449">
        <v>132.03</v>
      </c>
      <c r="K5383" s="449">
        <v>5.01</v>
      </c>
    </row>
    <row r="5384" customHeight="1" spans="1:11">
      <c r="A5384" s="434"/>
      <c r="B5384" s="434"/>
      <c r="C5384" s="434"/>
      <c r="D5384" s="434"/>
      <c r="E5384" s="434"/>
      <c r="F5384" s="434" t="s">
        <v>1735</v>
      </c>
      <c r="G5384" s="435">
        <v>11.61</v>
      </c>
      <c r="H5384" s="434" t="s">
        <v>1736</v>
      </c>
      <c r="I5384" s="435">
        <v>10.56</v>
      </c>
      <c r="J5384" s="434" t="s">
        <v>1737</v>
      </c>
      <c r="K5384" s="435">
        <v>22.17</v>
      </c>
    </row>
    <row r="5385" customHeight="1" spans="1:11">
      <c r="A5385" s="434"/>
      <c r="B5385" s="434"/>
      <c r="C5385" s="434"/>
      <c r="D5385" s="434"/>
      <c r="E5385" s="434"/>
      <c r="F5385" s="434" t="s">
        <v>1738</v>
      </c>
      <c r="G5385" s="435">
        <v>18.18</v>
      </c>
      <c r="H5385" s="434"/>
      <c r="I5385" s="434" t="s">
        <v>1739</v>
      </c>
      <c r="J5385" s="434"/>
      <c r="K5385" s="435">
        <v>91.94</v>
      </c>
    </row>
    <row r="5386" customHeight="1" spans="1:11">
      <c r="A5386" s="436"/>
      <c r="B5386" s="436"/>
      <c r="C5386" s="436"/>
      <c r="D5386" s="436"/>
      <c r="E5386" s="436"/>
      <c r="F5386" s="436"/>
      <c r="G5386" s="436"/>
      <c r="H5386" s="436" t="s">
        <v>1740</v>
      </c>
      <c r="I5386" s="447" t="s">
        <v>3410</v>
      </c>
      <c r="J5386" s="436" t="s">
        <v>1742</v>
      </c>
      <c r="K5386" s="448">
        <v>311.67</v>
      </c>
    </row>
    <row r="5387" customHeight="1" spans="1:11">
      <c r="A5387" s="437"/>
      <c r="B5387" s="437"/>
      <c r="C5387" s="437"/>
      <c r="D5387" s="437"/>
      <c r="E5387" s="437"/>
      <c r="F5387" s="437"/>
      <c r="G5387" s="437"/>
      <c r="H5387" s="437"/>
      <c r="I5387" s="437"/>
      <c r="J5387" s="437"/>
      <c r="K5387" s="437"/>
    </row>
    <row r="5388" customHeight="1" spans="1:11">
      <c r="A5388" s="423" t="s">
        <v>1577</v>
      </c>
      <c r="B5388" s="424" t="s">
        <v>1714</v>
      </c>
      <c r="C5388" s="423" t="s">
        <v>1715</v>
      </c>
      <c r="D5388" s="423" t="s">
        <v>1716</v>
      </c>
      <c r="E5388" s="423" t="s">
        <v>1717</v>
      </c>
      <c r="F5388" s="423"/>
      <c r="G5388" s="425" t="s">
        <v>1718</v>
      </c>
      <c r="H5388" s="424" t="s">
        <v>1719</v>
      </c>
      <c r="I5388" s="424" t="s">
        <v>1720</v>
      </c>
      <c r="J5388" s="424" t="s">
        <v>1721</v>
      </c>
      <c r="K5388" s="424" t="s">
        <v>1722</v>
      </c>
    </row>
    <row r="5389" customHeight="1" spans="1:11">
      <c r="A5389" s="426" t="s">
        <v>1723</v>
      </c>
      <c r="B5389" s="427" t="s">
        <v>255</v>
      </c>
      <c r="C5389" s="426" t="s">
        <v>71</v>
      </c>
      <c r="D5389" s="426" t="s">
        <v>256</v>
      </c>
      <c r="E5389" s="426" t="s">
        <v>1632</v>
      </c>
      <c r="F5389" s="426"/>
      <c r="G5389" s="428" t="s">
        <v>158</v>
      </c>
      <c r="H5389" s="429">
        <v>1</v>
      </c>
      <c r="I5389" s="445"/>
      <c r="J5389" s="445">
        <v>14.11</v>
      </c>
      <c r="K5389" s="445">
        <v>14.11</v>
      </c>
    </row>
    <row r="5390" customHeight="1" spans="1:11">
      <c r="A5390" s="430" t="s">
        <v>1724</v>
      </c>
      <c r="B5390" s="431" t="s">
        <v>2027</v>
      </c>
      <c r="C5390" s="430" t="s">
        <v>71</v>
      </c>
      <c r="D5390" s="430" t="s">
        <v>2028</v>
      </c>
      <c r="E5390" s="430" t="s">
        <v>1632</v>
      </c>
      <c r="F5390" s="430"/>
      <c r="G5390" s="432" t="s">
        <v>158</v>
      </c>
      <c r="H5390" s="433">
        <v>1</v>
      </c>
      <c r="I5390" s="433">
        <v>0</v>
      </c>
      <c r="J5390" s="446">
        <v>10.84</v>
      </c>
      <c r="K5390" s="446">
        <v>10.84</v>
      </c>
    </row>
    <row r="5391" customHeight="1" spans="1:11">
      <c r="A5391" s="430" t="s">
        <v>1724</v>
      </c>
      <c r="B5391" s="431" t="s">
        <v>1958</v>
      </c>
      <c r="C5391" s="430" t="s">
        <v>71</v>
      </c>
      <c r="D5391" s="430" t="s">
        <v>1959</v>
      </c>
      <c r="E5391" s="430" t="s">
        <v>1708</v>
      </c>
      <c r="F5391" s="430"/>
      <c r="G5391" s="432" t="s">
        <v>82</v>
      </c>
      <c r="H5391" s="433">
        <v>0.0597</v>
      </c>
      <c r="I5391" s="433">
        <v>0</v>
      </c>
      <c r="J5391" s="446">
        <v>35.95</v>
      </c>
      <c r="K5391" s="446">
        <v>2.14</v>
      </c>
    </row>
    <row r="5392" customHeight="1" spans="1:11">
      <c r="A5392" s="430" t="s">
        <v>1724</v>
      </c>
      <c r="B5392" s="431" t="s">
        <v>1956</v>
      </c>
      <c r="C5392" s="430" t="s">
        <v>71</v>
      </c>
      <c r="D5392" s="430" t="s">
        <v>1957</v>
      </c>
      <c r="E5392" s="430" t="s">
        <v>1708</v>
      </c>
      <c r="F5392" s="430"/>
      <c r="G5392" s="432" t="s">
        <v>82</v>
      </c>
      <c r="H5392" s="433">
        <v>0.0098</v>
      </c>
      <c r="I5392" s="433">
        <v>0</v>
      </c>
      <c r="J5392" s="446">
        <v>30.06</v>
      </c>
      <c r="K5392" s="446">
        <v>0.29</v>
      </c>
    </row>
    <row r="5393" customHeight="1" spans="1:11">
      <c r="A5393" s="438" t="s">
        <v>1750</v>
      </c>
      <c r="B5393" s="439" t="s">
        <v>1962</v>
      </c>
      <c r="C5393" s="438" t="s">
        <v>71</v>
      </c>
      <c r="D5393" s="438" t="s">
        <v>1963</v>
      </c>
      <c r="E5393" s="438" t="s">
        <v>1631</v>
      </c>
      <c r="F5393" s="438"/>
      <c r="G5393" s="440" t="s">
        <v>105</v>
      </c>
      <c r="H5393" s="441">
        <v>1.333</v>
      </c>
      <c r="I5393" s="441">
        <v>0</v>
      </c>
      <c r="J5393" s="449">
        <v>0.22</v>
      </c>
      <c r="K5393" s="449">
        <v>0.29</v>
      </c>
    </row>
    <row r="5394" customHeight="1" spans="1:11">
      <c r="A5394" s="438" t="s">
        <v>1750</v>
      </c>
      <c r="B5394" s="439" t="s">
        <v>1960</v>
      </c>
      <c r="C5394" s="438" t="s">
        <v>71</v>
      </c>
      <c r="D5394" s="438" t="s">
        <v>1961</v>
      </c>
      <c r="E5394" s="438" t="s">
        <v>1631</v>
      </c>
      <c r="F5394" s="438"/>
      <c r="G5394" s="440" t="s">
        <v>158</v>
      </c>
      <c r="H5394" s="441">
        <v>0.025</v>
      </c>
      <c r="I5394" s="441">
        <v>0</v>
      </c>
      <c r="J5394" s="449">
        <v>22</v>
      </c>
      <c r="K5394" s="449">
        <v>0.55</v>
      </c>
    </row>
    <row r="5395" customHeight="1" spans="1:11">
      <c r="A5395" s="434"/>
      <c r="B5395" s="434"/>
      <c r="C5395" s="434"/>
      <c r="D5395" s="434"/>
      <c r="E5395" s="434"/>
      <c r="F5395" s="434" t="s">
        <v>1735</v>
      </c>
      <c r="G5395" s="435">
        <v>1.37</v>
      </c>
      <c r="H5395" s="434" t="s">
        <v>1736</v>
      </c>
      <c r="I5395" s="435">
        <v>1.26</v>
      </c>
      <c r="J5395" s="434" t="s">
        <v>1737</v>
      </c>
      <c r="K5395" s="435">
        <v>2.63</v>
      </c>
    </row>
    <row r="5396" customHeight="1" spans="1:11">
      <c r="A5396" s="434"/>
      <c r="B5396" s="434"/>
      <c r="C5396" s="434"/>
      <c r="D5396" s="434"/>
      <c r="E5396" s="434"/>
      <c r="F5396" s="434" t="s">
        <v>1738</v>
      </c>
      <c r="G5396" s="435">
        <v>3.47</v>
      </c>
      <c r="H5396" s="434"/>
      <c r="I5396" s="434" t="s">
        <v>1739</v>
      </c>
      <c r="J5396" s="434"/>
      <c r="K5396" s="435">
        <v>17.58</v>
      </c>
    </row>
    <row r="5397" customHeight="1" spans="1:11">
      <c r="A5397" s="436"/>
      <c r="B5397" s="436"/>
      <c r="C5397" s="436"/>
      <c r="D5397" s="436"/>
      <c r="E5397" s="436"/>
      <c r="F5397" s="436"/>
      <c r="G5397" s="436"/>
      <c r="H5397" s="436" t="s">
        <v>1740</v>
      </c>
      <c r="I5397" s="447" t="s">
        <v>3411</v>
      </c>
      <c r="J5397" s="436" t="s">
        <v>1742</v>
      </c>
      <c r="K5397" s="448">
        <v>2216.83</v>
      </c>
    </row>
    <row r="5398" customHeight="1" spans="1:11">
      <c r="A5398" s="437"/>
      <c r="B5398" s="437"/>
      <c r="C5398" s="437"/>
      <c r="D5398" s="437"/>
      <c r="E5398" s="437"/>
      <c r="F5398" s="437"/>
      <c r="G5398" s="437"/>
      <c r="H5398" s="437"/>
      <c r="I5398" s="437"/>
      <c r="J5398" s="437"/>
      <c r="K5398" s="437"/>
    </row>
    <row r="5399" customHeight="1" spans="1:11">
      <c r="A5399" s="423" t="s">
        <v>1578</v>
      </c>
      <c r="B5399" s="424" t="s">
        <v>1714</v>
      </c>
      <c r="C5399" s="423" t="s">
        <v>1715</v>
      </c>
      <c r="D5399" s="423" t="s">
        <v>1716</v>
      </c>
      <c r="E5399" s="423" t="s">
        <v>1717</v>
      </c>
      <c r="F5399" s="423"/>
      <c r="G5399" s="425" t="s">
        <v>1718</v>
      </c>
      <c r="H5399" s="424" t="s">
        <v>1719</v>
      </c>
      <c r="I5399" s="424" t="s">
        <v>1720</v>
      </c>
      <c r="J5399" s="424" t="s">
        <v>1721</v>
      </c>
      <c r="K5399" s="424" t="s">
        <v>1722</v>
      </c>
    </row>
    <row r="5400" customHeight="1" spans="1:11">
      <c r="A5400" s="426" t="s">
        <v>1723</v>
      </c>
      <c r="B5400" s="427" t="s">
        <v>209</v>
      </c>
      <c r="C5400" s="426" t="s">
        <v>71</v>
      </c>
      <c r="D5400" s="426" t="s">
        <v>210</v>
      </c>
      <c r="E5400" s="426" t="s">
        <v>1626</v>
      </c>
      <c r="F5400" s="426"/>
      <c r="G5400" s="428" t="s">
        <v>73</v>
      </c>
      <c r="H5400" s="429">
        <v>1</v>
      </c>
      <c r="I5400" s="445"/>
      <c r="J5400" s="445">
        <v>129.51</v>
      </c>
      <c r="K5400" s="445">
        <v>129.51</v>
      </c>
    </row>
    <row r="5401" customHeight="1" spans="1:11">
      <c r="A5401" s="430" t="s">
        <v>1724</v>
      </c>
      <c r="B5401" s="431" t="s">
        <v>1743</v>
      </c>
      <c r="C5401" s="430" t="s">
        <v>71</v>
      </c>
      <c r="D5401" s="430" t="s">
        <v>1744</v>
      </c>
      <c r="E5401" s="430" t="s">
        <v>1708</v>
      </c>
      <c r="F5401" s="430"/>
      <c r="G5401" s="432" t="s">
        <v>82</v>
      </c>
      <c r="H5401" s="433">
        <v>2.052</v>
      </c>
      <c r="I5401" s="433">
        <v>0</v>
      </c>
      <c r="J5401" s="446">
        <v>37.51</v>
      </c>
      <c r="K5401" s="446">
        <v>76.97</v>
      </c>
    </row>
    <row r="5402" customHeight="1" spans="1:11">
      <c r="A5402" s="430" t="s">
        <v>1724</v>
      </c>
      <c r="B5402" s="431" t="s">
        <v>1800</v>
      </c>
      <c r="C5402" s="430" t="s">
        <v>71</v>
      </c>
      <c r="D5402" s="430" t="s">
        <v>1801</v>
      </c>
      <c r="E5402" s="430" t="s">
        <v>1708</v>
      </c>
      <c r="F5402" s="430"/>
      <c r="G5402" s="432" t="s">
        <v>82</v>
      </c>
      <c r="H5402" s="433">
        <v>0.376</v>
      </c>
      <c r="I5402" s="433">
        <v>0</v>
      </c>
      <c r="J5402" s="446">
        <v>29.91</v>
      </c>
      <c r="K5402" s="446">
        <v>11.24</v>
      </c>
    </row>
    <row r="5403" customHeight="1" spans="1:11">
      <c r="A5403" s="430" t="s">
        <v>1724</v>
      </c>
      <c r="B5403" s="431" t="s">
        <v>2023</v>
      </c>
      <c r="C5403" s="430" t="s">
        <v>71</v>
      </c>
      <c r="D5403" s="430" t="s">
        <v>2024</v>
      </c>
      <c r="E5403" s="430" t="s">
        <v>1626</v>
      </c>
      <c r="F5403" s="430"/>
      <c r="G5403" s="432" t="s">
        <v>73</v>
      </c>
      <c r="H5403" s="433">
        <v>0.275</v>
      </c>
      <c r="I5403" s="433">
        <v>0</v>
      </c>
      <c r="J5403" s="446">
        <v>147.52</v>
      </c>
      <c r="K5403" s="446">
        <v>40.56</v>
      </c>
    </row>
    <row r="5404" customHeight="1" spans="1:11">
      <c r="A5404" s="438" t="s">
        <v>1750</v>
      </c>
      <c r="B5404" s="439" t="s">
        <v>1943</v>
      </c>
      <c r="C5404" s="438" t="s">
        <v>71</v>
      </c>
      <c r="D5404" s="438" t="s">
        <v>1944</v>
      </c>
      <c r="E5404" s="438" t="s">
        <v>1631</v>
      </c>
      <c r="F5404" s="438"/>
      <c r="G5404" s="440" t="s">
        <v>1945</v>
      </c>
      <c r="H5404" s="441">
        <v>0.017</v>
      </c>
      <c r="I5404" s="441">
        <v>0</v>
      </c>
      <c r="J5404" s="449">
        <v>7.97</v>
      </c>
      <c r="K5404" s="449">
        <v>0.13</v>
      </c>
    </row>
    <row r="5405" customHeight="1" spans="1:11">
      <c r="A5405" s="438" t="s">
        <v>1750</v>
      </c>
      <c r="B5405" s="439" t="s">
        <v>1948</v>
      </c>
      <c r="C5405" s="438" t="s">
        <v>71</v>
      </c>
      <c r="D5405" s="438" t="s">
        <v>1949</v>
      </c>
      <c r="E5405" s="438" t="s">
        <v>1631</v>
      </c>
      <c r="F5405" s="438"/>
      <c r="G5405" s="440" t="s">
        <v>158</v>
      </c>
      <c r="H5405" s="441">
        <v>0.027</v>
      </c>
      <c r="I5405" s="441">
        <v>0</v>
      </c>
      <c r="J5405" s="449">
        <v>22.69</v>
      </c>
      <c r="K5405" s="449">
        <v>0.61</v>
      </c>
    </row>
    <row r="5406" customHeight="1" spans="1:11">
      <c r="A5406" s="434"/>
      <c r="B5406" s="434"/>
      <c r="C5406" s="434"/>
      <c r="D5406" s="434"/>
      <c r="E5406" s="434"/>
      <c r="F5406" s="434" t="s">
        <v>1735</v>
      </c>
      <c r="G5406" s="435">
        <v>37.71</v>
      </c>
      <c r="H5406" s="434" t="s">
        <v>1736</v>
      </c>
      <c r="I5406" s="435">
        <v>34.26</v>
      </c>
      <c r="J5406" s="434" t="s">
        <v>1737</v>
      </c>
      <c r="K5406" s="435">
        <v>71.97</v>
      </c>
    </row>
    <row r="5407" customHeight="1" spans="1:11">
      <c r="A5407" s="434"/>
      <c r="B5407" s="434"/>
      <c r="C5407" s="434"/>
      <c r="D5407" s="434"/>
      <c r="E5407" s="434"/>
      <c r="F5407" s="434" t="s">
        <v>1738</v>
      </c>
      <c r="G5407" s="435">
        <v>31.93</v>
      </c>
      <c r="H5407" s="434"/>
      <c r="I5407" s="434" t="s">
        <v>1739</v>
      </c>
      <c r="J5407" s="434"/>
      <c r="K5407" s="435">
        <v>161.44</v>
      </c>
    </row>
    <row r="5408" customHeight="1" spans="1:11">
      <c r="A5408" s="436"/>
      <c r="B5408" s="436"/>
      <c r="C5408" s="436"/>
      <c r="D5408" s="436"/>
      <c r="E5408" s="436"/>
      <c r="F5408" s="436"/>
      <c r="G5408" s="436"/>
      <c r="H5408" s="436" t="s">
        <v>1740</v>
      </c>
      <c r="I5408" s="447" t="s">
        <v>3412</v>
      </c>
      <c r="J5408" s="436" t="s">
        <v>1742</v>
      </c>
      <c r="K5408" s="448">
        <v>6280.01</v>
      </c>
    </row>
    <row r="5409" customHeight="1" spans="1:11">
      <c r="A5409" s="437"/>
      <c r="B5409" s="437"/>
      <c r="C5409" s="437"/>
      <c r="D5409" s="437"/>
      <c r="E5409" s="437"/>
      <c r="F5409" s="437"/>
      <c r="G5409" s="437"/>
      <c r="H5409" s="437"/>
      <c r="I5409" s="437"/>
      <c r="J5409" s="437"/>
      <c r="K5409" s="437"/>
    </row>
    <row r="5410" customHeight="1" spans="1:11">
      <c r="A5410" s="423" t="s">
        <v>1579</v>
      </c>
      <c r="B5410" s="424" t="s">
        <v>1714</v>
      </c>
      <c r="C5410" s="423" t="s">
        <v>1715</v>
      </c>
      <c r="D5410" s="423" t="s">
        <v>1716</v>
      </c>
      <c r="E5410" s="423" t="s">
        <v>1717</v>
      </c>
      <c r="F5410" s="423"/>
      <c r="G5410" s="425" t="s">
        <v>1718</v>
      </c>
      <c r="H5410" s="424" t="s">
        <v>1719</v>
      </c>
      <c r="I5410" s="424" t="s">
        <v>1720</v>
      </c>
      <c r="J5410" s="424" t="s">
        <v>1721</v>
      </c>
      <c r="K5410" s="424" t="s">
        <v>1722</v>
      </c>
    </row>
    <row r="5411" customHeight="1" spans="1:11">
      <c r="A5411" s="426" t="s">
        <v>1723</v>
      </c>
      <c r="B5411" s="427" t="s">
        <v>235</v>
      </c>
      <c r="C5411" s="426" t="s">
        <v>71</v>
      </c>
      <c r="D5411" s="426" t="s">
        <v>236</v>
      </c>
      <c r="E5411" s="426" t="s">
        <v>1626</v>
      </c>
      <c r="F5411" s="426"/>
      <c r="G5411" s="428" t="s">
        <v>73</v>
      </c>
      <c r="H5411" s="429">
        <v>1</v>
      </c>
      <c r="I5411" s="445"/>
      <c r="J5411" s="445">
        <v>175.44</v>
      </c>
      <c r="K5411" s="445">
        <v>175.44</v>
      </c>
    </row>
    <row r="5412" customHeight="1" spans="1:11">
      <c r="A5412" s="430" t="s">
        <v>1724</v>
      </c>
      <c r="B5412" s="431" t="s">
        <v>2037</v>
      </c>
      <c r="C5412" s="430" t="s">
        <v>71</v>
      </c>
      <c r="D5412" s="430" t="s">
        <v>2038</v>
      </c>
      <c r="E5412" s="430" t="s">
        <v>1626</v>
      </c>
      <c r="F5412" s="430"/>
      <c r="G5412" s="432" t="s">
        <v>78</v>
      </c>
      <c r="H5412" s="433">
        <v>1.729</v>
      </c>
      <c r="I5412" s="433">
        <v>0</v>
      </c>
      <c r="J5412" s="446">
        <v>39.85</v>
      </c>
      <c r="K5412" s="446">
        <v>68.9</v>
      </c>
    </row>
    <row r="5413" customHeight="1" spans="1:11">
      <c r="A5413" s="430" t="s">
        <v>1724</v>
      </c>
      <c r="B5413" s="431" t="s">
        <v>2039</v>
      </c>
      <c r="C5413" s="430" t="s">
        <v>71</v>
      </c>
      <c r="D5413" s="430" t="s">
        <v>2040</v>
      </c>
      <c r="E5413" s="430" t="s">
        <v>1626</v>
      </c>
      <c r="F5413" s="430"/>
      <c r="G5413" s="432" t="s">
        <v>73</v>
      </c>
      <c r="H5413" s="433">
        <v>0.414</v>
      </c>
      <c r="I5413" s="433">
        <v>0</v>
      </c>
      <c r="J5413" s="446">
        <v>130.07</v>
      </c>
      <c r="K5413" s="446">
        <v>53.84</v>
      </c>
    </row>
    <row r="5414" customHeight="1" spans="1:11">
      <c r="A5414" s="430" t="s">
        <v>1724</v>
      </c>
      <c r="B5414" s="431" t="s">
        <v>1800</v>
      </c>
      <c r="C5414" s="430" t="s">
        <v>71</v>
      </c>
      <c r="D5414" s="430" t="s">
        <v>1801</v>
      </c>
      <c r="E5414" s="430" t="s">
        <v>1708</v>
      </c>
      <c r="F5414" s="430"/>
      <c r="G5414" s="432" t="s">
        <v>82</v>
      </c>
      <c r="H5414" s="433">
        <v>0.19</v>
      </c>
      <c r="I5414" s="433">
        <v>0</v>
      </c>
      <c r="J5414" s="446">
        <v>29.91</v>
      </c>
      <c r="K5414" s="446">
        <v>5.68</v>
      </c>
    </row>
    <row r="5415" customHeight="1" spans="1:11">
      <c r="A5415" s="430" t="s">
        <v>1724</v>
      </c>
      <c r="B5415" s="431" t="s">
        <v>1743</v>
      </c>
      <c r="C5415" s="430" t="s">
        <v>71</v>
      </c>
      <c r="D5415" s="430" t="s">
        <v>1744</v>
      </c>
      <c r="E5415" s="430" t="s">
        <v>1708</v>
      </c>
      <c r="F5415" s="430"/>
      <c r="G5415" s="432" t="s">
        <v>82</v>
      </c>
      <c r="H5415" s="433">
        <v>1.035</v>
      </c>
      <c r="I5415" s="433">
        <v>0</v>
      </c>
      <c r="J5415" s="446">
        <v>37.51</v>
      </c>
      <c r="K5415" s="446">
        <v>38.82</v>
      </c>
    </row>
    <row r="5416" customHeight="1" spans="1:11">
      <c r="A5416" s="438" t="s">
        <v>1750</v>
      </c>
      <c r="B5416" s="439" t="s">
        <v>1943</v>
      </c>
      <c r="C5416" s="438" t="s">
        <v>71</v>
      </c>
      <c r="D5416" s="438" t="s">
        <v>1944</v>
      </c>
      <c r="E5416" s="438" t="s">
        <v>1631</v>
      </c>
      <c r="F5416" s="438"/>
      <c r="G5416" s="440" t="s">
        <v>1945</v>
      </c>
      <c r="H5416" s="441">
        <v>0.01</v>
      </c>
      <c r="I5416" s="441">
        <v>0</v>
      </c>
      <c r="J5416" s="449">
        <v>7.97</v>
      </c>
      <c r="K5416" s="449">
        <v>0.07</v>
      </c>
    </row>
    <row r="5417" customHeight="1" spans="1:11">
      <c r="A5417" s="438" t="s">
        <v>1750</v>
      </c>
      <c r="B5417" s="439" t="s">
        <v>1948</v>
      </c>
      <c r="C5417" s="438" t="s">
        <v>71</v>
      </c>
      <c r="D5417" s="438" t="s">
        <v>1949</v>
      </c>
      <c r="E5417" s="438" t="s">
        <v>1631</v>
      </c>
      <c r="F5417" s="438"/>
      <c r="G5417" s="440" t="s">
        <v>158</v>
      </c>
      <c r="H5417" s="441">
        <v>0.049</v>
      </c>
      <c r="I5417" s="441">
        <v>0</v>
      </c>
      <c r="J5417" s="449">
        <v>22.69</v>
      </c>
      <c r="K5417" s="449">
        <v>1.11</v>
      </c>
    </row>
    <row r="5418" customHeight="1" spans="1:11">
      <c r="A5418" s="438" t="s">
        <v>1750</v>
      </c>
      <c r="B5418" s="439" t="s">
        <v>2041</v>
      </c>
      <c r="C5418" s="438" t="s">
        <v>71</v>
      </c>
      <c r="D5418" s="438" t="s">
        <v>2042</v>
      </c>
      <c r="E5418" s="438" t="s">
        <v>1631</v>
      </c>
      <c r="F5418" s="438"/>
      <c r="G5418" s="440" t="s">
        <v>78</v>
      </c>
      <c r="H5418" s="441">
        <v>0.328</v>
      </c>
      <c r="I5418" s="441">
        <v>0</v>
      </c>
      <c r="J5418" s="449">
        <v>21.41</v>
      </c>
      <c r="K5418" s="449">
        <v>7.02</v>
      </c>
    </row>
    <row r="5419" customHeight="1" spans="1:11">
      <c r="A5419" s="434"/>
      <c r="B5419" s="434"/>
      <c r="C5419" s="434"/>
      <c r="D5419" s="434"/>
      <c r="E5419" s="434"/>
      <c r="F5419" s="434" t="s">
        <v>1735</v>
      </c>
      <c r="G5419" s="435">
        <v>31.05</v>
      </c>
      <c r="H5419" s="434" t="s">
        <v>1736</v>
      </c>
      <c r="I5419" s="435">
        <v>28.21</v>
      </c>
      <c r="J5419" s="434" t="s">
        <v>1737</v>
      </c>
      <c r="K5419" s="435">
        <v>59.26</v>
      </c>
    </row>
    <row r="5420" customHeight="1" spans="1:11">
      <c r="A5420" s="434"/>
      <c r="B5420" s="434"/>
      <c r="C5420" s="434"/>
      <c r="D5420" s="434"/>
      <c r="E5420" s="434"/>
      <c r="F5420" s="434" t="s">
        <v>1738</v>
      </c>
      <c r="G5420" s="435">
        <v>43.26</v>
      </c>
      <c r="H5420" s="434"/>
      <c r="I5420" s="434" t="s">
        <v>1739</v>
      </c>
      <c r="J5420" s="434"/>
      <c r="K5420" s="435">
        <v>218.7</v>
      </c>
    </row>
    <row r="5421" customHeight="1" spans="1:11">
      <c r="A5421" s="436"/>
      <c r="B5421" s="436"/>
      <c r="C5421" s="436"/>
      <c r="D5421" s="436"/>
      <c r="E5421" s="436"/>
      <c r="F5421" s="436"/>
      <c r="G5421" s="436"/>
      <c r="H5421" s="436" t="s">
        <v>1740</v>
      </c>
      <c r="I5421" s="447" t="s">
        <v>3413</v>
      </c>
      <c r="J5421" s="436" t="s">
        <v>1742</v>
      </c>
      <c r="K5421" s="448">
        <v>36326.07</v>
      </c>
    </row>
    <row r="5422" customHeight="1" spans="1:11">
      <c r="A5422" s="437"/>
      <c r="B5422" s="437"/>
      <c r="C5422" s="437"/>
      <c r="D5422" s="437"/>
      <c r="E5422" s="437"/>
      <c r="F5422" s="437"/>
      <c r="G5422" s="437"/>
      <c r="H5422" s="437"/>
      <c r="I5422" s="437"/>
      <c r="J5422" s="437"/>
      <c r="K5422" s="437"/>
    </row>
    <row r="5423" customHeight="1" spans="1:11">
      <c r="A5423" s="423" t="s">
        <v>1580</v>
      </c>
      <c r="B5423" s="424" t="s">
        <v>1714</v>
      </c>
      <c r="C5423" s="423" t="s">
        <v>1715</v>
      </c>
      <c r="D5423" s="423" t="s">
        <v>1716</v>
      </c>
      <c r="E5423" s="423" t="s">
        <v>1717</v>
      </c>
      <c r="F5423" s="423"/>
      <c r="G5423" s="425" t="s">
        <v>1718</v>
      </c>
      <c r="H5423" s="424" t="s">
        <v>1719</v>
      </c>
      <c r="I5423" s="424" t="s">
        <v>1720</v>
      </c>
      <c r="J5423" s="424" t="s">
        <v>1721</v>
      </c>
      <c r="K5423" s="424" t="s">
        <v>1722</v>
      </c>
    </row>
    <row r="5424" customHeight="1" spans="1:11">
      <c r="A5424" s="426" t="s">
        <v>1723</v>
      </c>
      <c r="B5424" s="427" t="s">
        <v>255</v>
      </c>
      <c r="C5424" s="426" t="s">
        <v>71</v>
      </c>
      <c r="D5424" s="426" t="s">
        <v>256</v>
      </c>
      <c r="E5424" s="426" t="s">
        <v>1632</v>
      </c>
      <c r="F5424" s="426"/>
      <c r="G5424" s="428" t="s">
        <v>158</v>
      </c>
      <c r="H5424" s="429">
        <v>1</v>
      </c>
      <c r="I5424" s="445"/>
      <c r="J5424" s="445">
        <v>14.11</v>
      </c>
      <c r="K5424" s="445">
        <v>14.11</v>
      </c>
    </row>
    <row r="5425" customHeight="1" spans="1:11">
      <c r="A5425" s="430" t="s">
        <v>1724</v>
      </c>
      <c r="B5425" s="431" t="s">
        <v>2027</v>
      </c>
      <c r="C5425" s="430" t="s">
        <v>71</v>
      </c>
      <c r="D5425" s="430" t="s">
        <v>2028</v>
      </c>
      <c r="E5425" s="430" t="s">
        <v>1632</v>
      </c>
      <c r="F5425" s="430"/>
      <c r="G5425" s="432" t="s">
        <v>158</v>
      </c>
      <c r="H5425" s="433">
        <v>1</v>
      </c>
      <c r="I5425" s="433">
        <v>0</v>
      </c>
      <c r="J5425" s="446">
        <v>10.84</v>
      </c>
      <c r="K5425" s="446">
        <v>10.84</v>
      </c>
    </row>
    <row r="5426" customHeight="1" spans="1:11">
      <c r="A5426" s="430" t="s">
        <v>1724</v>
      </c>
      <c r="B5426" s="431" t="s">
        <v>1958</v>
      </c>
      <c r="C5426" s="430" t="s">
        <v>71</v>
      </c>
      <c r="D5426" s="430" t="s">
        <v>1959</v>
      </c>
      <c r="E5426" s="430" t="s">
        <v>1708</v>
      </c>
      <c r="F5426" s="430"/>
      <c r="G5426" s="432" t="s">
        <v>82</v>
      </c>
      <c r="H5426" s="433">
        <v>0.0597</v>
      </c>
      <c r="I5426" s="433">
        <v>0</v>
      </c>
      <c r="J5426" s="446">
        <v>35.95</v>
      </c>
      <c r="K5426" s="446">
        <v>2.14</v>
      </c>
    </row>
    <row r="5427" customHeight="1" spans="1:11">
      <c r="A5427" s="430" t="s">
        <v>1724</v>
      </c>
      <c r="B5427" s="431" t="s">
        <v>1956</v>
      </c>
      <c r="C5427" s="430" t="s">
        <v>71</v>
      </c>
      <c r="D5427" s="430" t="s">
        <v>1957</v>
      </c>
      <c r="E5427" s="430" t="s">
        <v>1708</v>
      </c>
      <c r="F5427" s="430"/>
      <c r="G5427" s="432" t="s">
        <v>82</v>
      </c>
      <c r="H5427" s="433">
        <v>0.0098</v>
      </c>
      <c r="I5427" s="433">
        <v>0</v>
      </c>
      <c r="J5427" s="446">
        <v>30.06</v>
      </c>
      <c r="K5427" s="446">
        <v>0.29</v>
      </c>
    </row>
    <row r="5428" customHeight="1" spans="1:11">
      <c r="A5428" s="438" t="s">
        <v>1750</v>
      </c>
      <c r="B5428" s="439" t="s">
        <v>1962</v>
      </c>
      <c r="C5428" s="438" t="s">
        <v>71</v>
      </c>
      <c r="D5428" s="438" t="s">
        <v>1963</v>
      </c>
      <c r="E5428" s="438" t="s">
        <v>1631</v>
      </c>
      <c r="F5428" s="438"/>
      <c r="G5428" s="440" t="s">
        <v>105</v>
      </c>
      <c r="H5428" s="441">
        <v>1.333</v>
      </c>
      <c r="I5428" s="441">
        <v>0</v>
      </c>
      <c r="J5428" s="449">
        <v>0.22</v>
      </c>
      <c r="K5428" s="449">
        <v>0.29</v>
      </c>
    </row>
    <row r="5429" customHeight="1" spans="1:11">
      <c r="A5429" s="438" t="s">
        <v>1750</v>
      </c>
      <c r="B5429" s="439" t="s">
        <v>1960</v>
      </c>
      <c r="C5429" s="438" t="s">
        <v>71</v>
      </c>
      <c r="D5429" s="438" t="s">
        <v>1961</v>
      </c>
      <c r="E5429" s="438" t="s">
        <v>1631</v>
      </c>
      <c r="F5429" s="438"/>
      <c r="G5429" s="440" t="s">
        <v>158</v>
      </c>
      <c r="H5429" s="441">
        <v>0.025</v>
      </c>
      <c r="I5429" s="441">
        <v>0</v>
      </c>
      <c r="J5429" s="449">
        <v>22</v>
      </c>
      <c r="K5429" s="449">
        <v>0.55</v>
      </c>
    </row>
    <row r="5430" customHeight="1" spans="1:11">
      <c r="A5430" s="434"/>
      <c r="B5430" s="434"/>
      <c r="C5430" s="434"/>
      <c r="D5430" s="434"/>
      <c r="E5430" s="434"/>
      <c r="F5430" s="434" t="s">
        <v>1735</v>
      </c>
      <c r="G5430" s="435">
        <v>1.37</v>
      </c>
      <c r="H5430" s="434" t="s">
        <v>1736</v>
      </c>
      <c r="I5430" s="435">
        <v>1.26</v>
      </c>
      <c r="J5430" s="434" t="s">
        <v>1737</v>
      </c>
      <c r="K5430" s="435">
        <v>2.63</v>
      </c>
    </row>
    <row r="5431" customHeight="1" spans="1:11">
      <c r="A5431" s="434"/>
      <c r="B5431" s="434"/>
      <c r="C5431" s="434"/>
      <c r="D5431" s="434"/>
      <c r="E5431" s="434"/>
      <c r="F5431" s="434" t="s">
        <v>1738</v>
      </c>
      <c r="G5431" s="435">
        <v>3.47</v>
      </c>
      <c r="H5431" s="434"/>
      <c r="I5431" s="434" t="s">
        <v>1739</v>
      </c>
      <c r="J5431" s="434"/>
      <c r="K5431" s="435">
        <v>17.58</v>
      </c>
    </row>
    <row r="5432" customHeight="1" spans="1:11">
      <c r="A5432" s="436"/>
      <c r="B5432" s="436"/>
      <c r="C5432" s="436"/>
      <c r="D5432" s="436"/>
      <c r="E5432" s="436"/>
      <c r="F5432" s="436"/>
      <c r="G5432" s="436"/>
      <c r="H5432" s="436" t="s">
        <v>1740</v>
      </c>
      <c r="I5432" s="447" t="s">
        <v>3414</v>
      </c>
      <c r="J5432" s="436" t="s">
        <v>1742</v>
      </c>
      <c r="K5432" s="448">
        <v>2496.36</v>
      </c>
    </row>
    <row r="5433" customHeight="1" spans="1:11">
      <c r="A5433" s="437"/>
      <c r="B5433" s="437"/>
      <c r="C5433" s="437"/>
      <c r="D5433" s="437"/>
      <c r="E5433" s="437"/>
      <c r="F5433" s="437"/>
      <c r="G5433" s="437"/>
      <c r="H5433" s="437"/>
      <c r="I5433" s="437"/>
      <c r="J5433" s="437"/>
      <c r="K5433" s="437"/>
    </row>
    <row r="5434" customHeight="1" spans="1:11">
      <c r="A5434" s="423" t="s">
        <v>1581</v>
      </c>
      <c r="B5434" s="424" t="s">
        <v>1714</v>
      </c>
      <c r="C5434" s="423" t="s">
        <v>1715</v>
      </c>
      <c r="D5434" s="423" t="s">
        <v>1716</v>
      </c>
      <c r="E5434" s="423" t="s">
        <v>1717</v>
      </c>
      <c r="F5434" s="423"/>
      <c r="G5434" s="425" t="s">
        <v>1718</v>
      </c>
      <c r="H5434" s="424" t="s">
        <v>1719</v>
      </c>
      <c r="I5434" s="424" t="s">
        <v>1720</v>
      </c>
      <c r="J5434" s="424" t="s">
        <v>1721</v>
      </c>
      <c r="K5434" s="424" t="s">
        <v>1722</v>
      </c>
    </row>
    <row r="5435" customHeight="1" spans="1:11">
      <c r="A5435" s="426" t="s">
        <v>1723</v>
      </c>
      <c r="B5435" s="427" t="s">
        <v>224</v>
      </c>
      <c r="C5435" s="426" t="s">
        <v>71</v>
      </c>
      <c r="D5435" s="426" t="s">
        <v>225</v>
      </c>
      <c r="E5435" s="426" t="s">
        <v>1632</v>
      </c>
      <c r="F5435" s="426"/>
      <c r="G5435" s="428" t="s">
        <v>158</v>
      </c>
      <c r="H5435" s="429">
        <v>1</v>
      </c>
      <c r="I5435" s="445"/>
      <c r="J5435" s="445">
        <v>10.02</v>
      </c>
      <c r="K5435" s="445">
        <v>10.02</v>
      </c>
    </row>
    <row r="5436" customHeight="1" spans="1:11">
      <c r="A5436" s="430" t="s">
        <v>1724</v>
      </c>
      <c r="B5436" s="431" t="s">
        <v>1956</v>
      </c>
      <c r="C5436" s="430" t="s">
        <v>71</v>
      </c>
      <c r="D5436" s="430" t="s">
        <v>1957</v>
      </c>
      <c r="E5436" s="430" t="s">
        <v>1708</v>
      </c>
      <c r="F5436" s="430"/>
      <c r="G5436" s="432" t="s">
        <v>82</v>
      </c>
      <c r="H5436" s="433">
        <v>0.0042</v>
      </c>
      <c r="I5436" s="433">
        <v>0</v>
      </c>
      <c r="J5436" s="446">
        <v>30.06</v>
      </c>
      <c r="K5436" s="446">
        <v>0.12</v>
      </c>
    </row>
    <row r="5437" customHeight="1" spans="1:11">
      <c r="A5437" s="430" t="s">
        <v>1724</v>
      </c>
      <c r="B5437" s="431" t="s">
        <v>1973</v>
      </c>
      <c r="C5437" s="430" t="s">
        <v>71</v>
      </c>
      <c r="D5437" s="430" t="s">
        <v>1974</v>
      </c>
      <c r="E5437" s="430" t="s">
        <v>1632</v>
      </c>
      <c r="F5437" s="430"/>
      <c r="G5437" s="432" t="s">
        <v>158</v>
      </c>
      <c r="H5437" s="433">
        <v>1</v>
      </c>
      <c r="I5437" s="433">
        <v>0</v>
      </c>
      <c r="J5437" s="446">
        <v>8.35</v>
      </c>
      <c r="K5437" s="446">
        <v>8.35</v>
      </c>
    </row>
    <row r="5438" customHeight="1" spans="1:11">
      <c r="A5438" s="430" t="s">
        <v>1724</v>
      </c>
      <c r="B5438" s="431" t="s">
        <v>1958</v>
      </c>
      <c r="C5438" s="430" t="s">
        <v>71</v>
      </c>
      <c r="D5438" s="430" t="s">
        <v>1959</v>
      </c>
      <c r="E5438" s="430" t="s">
        <v>1708</v>
      </c>
      <c r="F5438" s="430"/>
      <c r="G5438" s="432" t="s">
        <v>82</v>
      </c>
      <c r="H5438" s="433">
        <v>0.0257</v>
      </c>
      <c r="I5438" s="433">
        <v>0</v>
      </c>
      <c r="J5438" s="446">
        <v>35.95</v>
      </c>
      <c r="K5438" s="446">
        <v>0.92</v>
      </c>
    </row>
    <row r="5439" customHeight="1" spans="1:11">
      <c r="A5439" s="438" t="s">
        <v>1750</v>
      </c>
      <c r="B5439" s="439" t="s">
        <v>1962</v>
      </c>
      <c r="C5439" s="438" t="s">
        <v>71</v>
      </c>
      <c r="D5439" s="438" t="s">
        <v>1963</v>
      </c>
      <c r="E5439" s="438" t="s">
        <v>1631</v>
      </c>
      <c r="F5439" s="438"/>
      <c r="G5439" s="440" t="s">
        <v>105</v>
      </c>
      <c r="H5439" s="441">
        <v>0.367</v>
      </c>
      <c r="I5439" s="441">
        <v>0</v>
      </c>
      <c r="J5439" s="449">
        <v>0.22</v>
      </c>
      <c r="K5439" s="449">
        <v>0.08</v>
      </c>
    </row>
    <row r="5440" customHeight="1" spans="1:11">
      <c r="A5440" s="438" t="s">
        <v>1750</v>
      </c>
      <c r="B5440" s="439" t="s">
        <v>1960</v>
      </c>
      <c r="C5440" s="438" t="s">
        <v>71</v>
      </c>
      <c r="D5440" s="438" t="s">
        <v>1961</v>
      </c>
      <c r="E5440" s="438" t="s">
        <v>1631</v>
      </c>
      <c r="F5440" s="438"/>
      <c r="G5440" s="440" t="s">
        <v>158</v>
      </c>
      <c r="H5440" s="441">
        <v>0.025</v>
      </c>
      <c r="I5440" s="441">
        <v>0</v>
      </c>
      <c r="J5440" s="449">
        <v>22</v>
      </c>
      <c r="K5440" s="449">
        <v>0.55</v>
      </c>
    </row>
    <row r="5441" customHeight="1" spans="1:11">
      <c r="A5441" s="434"/>
      <c r="B5441" s="434"/>
      <c r="C5441" s="434"/>
      <c r="D5441" s="434"/>
      <c r="E5441" s="434"/>
      <c r="F5441" s="434" t="s">
        <v>1735</v>
      </c>
      <c r="G5441" s="435">
        <v>0.45</v>
      </c>
      <c r="H5441" s="434" t="s">
        <v>1736</v>
      </c>
      <c r="I5441" s="435">
        <v>0.42</v>
      </c>
      <c r="J5441" s="434" t="s">
        <v>1737</v>
      </c>
      <c r="K5441" s="435">
        <v>0.87</v>
      </c>
    </row>
    <row r="5442" customHeight="1" spans="1:11">
      <c r="A5442" s="434"/>
      <c r="B5442" s="434"/>
      <c r="C5442" s="434"/>
      <c r="D5442" s="434"/>
      <c r="E5442" s="434"/>
      <c r="F5442" s="434" t="s">
        <v>1738</v>
      </c>
      <c r="G5442" s="435">
        <v>2.47</v>
      </c>
      <c r="H5442" s="434"/>
      <c r="I5442" s="434" t="s">
        <v>1739</v>
      </c>
      <c r="J5442" s="434"/>
      <c r="K5442" s="435">
        <v>12.49</v>
      </c>
    </row>
    <row r="5443" customHeight="1" spans="1:11">
      <c r="A5443" s="436"/>
      <c r="B5443" s="436"/>
      <c r="C5443" s="436"/>
      <c r="D5443" s="436"/>
      <c r="E5443" s="436"/>
      <c r="F5443" s="436"/>
      <c r="G5443" s="436"/>
      <c r="H5443" s="436" t="s">
        <v>1740</v>
      </c>
      <c r="I5443" s="447" t="s">
        <v>3415</v>
      </c>
      <c r="J5443" s="436" t="s">
        <v>1742</v>
      </c>
      <c r="K5443" s="448">
        <v>6222.51</v>
      </c>
    </row>
    <row r="5444" customHeight="1" spans="1:11">
      <c r="A5444" s="437"/>
      <c r="B5444" s="437"/>
      <c r="C5444" s="437"/>
      <c r="D5444" s="437"/>
      <c r="E5444" s="437"/>
      <c r="F5444" s="437"/>
      <c r="G5444" s="437"/>
      <c r="H5444" s="437"/>
      <c r="I5444" s="437"/>
      <c r="J5444" s="437"/>
      <c r="K5444" s="437"/>
    </row>
    <row r="5445" customHeight="1" spans="1:11">
      <c r="A5445" s="423" t="s">
        <v>1582</v>
      </c>
      <c r="B5445" s="424" t="s">
        <v>1714</v>
      </c>
      <c r="C5445" s="423" t="s">
        <v>1715</v>
      </c>
      <c r="D5445" s="423" t="s">
        <v>1716</v>
      </c>
      <c r="E5445" s="423" t="s">
        <v>1717</v>
      </c>
      <c r="F5445" s="423"/>
      <c r="G5445" s="425" t="s">
        <v>1718</v>
      </c>
      <c r="H5445" s="424" t="s">
        <v>1719</v>
      </c>
      <c r="I5445" s="424" t="s">
        <v>1720</v>
      </c>
      <c r="J5445" s="424" t="s">
        <v>1721</v>
      </c>
      <c r="K5445" s="424" t="s">
        <v>1722</v>
      </c>
    </row>
    <row r="5446" customHeight="1" spans="1:11">
      <c r="A5446" s="426" t="s">
        <v>1723</v>
      </c>
      <c r="B5446" s="427" t="s">
        <v>227</v>
      </c>
      <c r="C5446" s="426" t="s">
        <v>71</v>
      </c>
      <c r="D5446" s="426" t="s">
        <v>228</v>
      </c>
      <c r="E5446" s="426" t="s">
        <v>1632</v>
      </c>
      <c r="F5446" s="426"/>
      <c r="G5446" s="428" t="s">
        <v>158</v>
      </c>
      <c r="H5446" s="429">
        <v>1</v>
      </c>
      <c r="I5446" s="445"/>
      <c r="J5446" s="445">
        <v>9.61</v>
      </c>
      <c r="K5446" s="445">
        <v>9.61</v>
      </c>
    </row>
    <row r="5447" customHeight="1" spans="1:11">
      <c r="A5447" s="430" t="s">
        <v>1724</v>
      </c>
      <c r="B5447" s="431" t="s">
        <v>1956</v>
      </c>
      <c r="C5447" s="430" t="s">
        <v>71</v>
      </c>
      <c r="D5447" s="430" t="s">
        <v>1957</v>
      </c>
      <c r="E5447" s="430" t="s">
        <v>1708</v>
      </c>
      <c r="F5447" s="430"/>
      <c r="G5447" s="432" t="s">
        <v>82</v>
      </c>
      <c r="H5447" s="433">
        <v>0.0032</v>
      </c>
      <c r="I5447" s="433">
        <v>0</v>
      </c>
      <c r="J5447" s="446">
        <v>30.06</v>
      </c>
      <c r="K5447" s="446">
        <v>0.09</v>
      </c>
    </row>
    <row r="5448" customHeight="1" spans="1:11">
      <c r="A5448" s="430" t="s">
        <v>1724</v>
      </c>
      <c r="B5448" s="431" t="s">
        <v>1976</v>
      </c>
      <c r="C5448" s="430" t="s">
        <v>71</v>
      </c>
      <c r="D5448" s="430" t="s">
        <v>1977</v>
      </c>
      <c r="E5448" s="430" t="s">
        <v>1632</v>
      </c>
      <c r="F5448" s="430"/>
      <c r="G5448" s="432" t="s">
        <v>158</v>
      </c>
      <c r="H5448" s="433">
        <v>1</v>
      </c>
      <c r="I5448" s="433">
        <v>0</v>
      </c>
      <c r="J5448" s="446">
        <v>8.24</v>
      </c>
      <c r="K5448" s="446">
        <v>8.24</v>
      </c>
    </row>
    <row r="5449" customHeight="1" spans="1:11">
      <c r="A5449" s="430" t="s">
        <v>1724</v>
      </c>
      <c r="B5449" s="431" t="s">
        <v>1958</v>
      </c>
      <c r="C5449" s="430" t="s">
        <v>71</v>
      </c>
      <c r="D5449" s="430" t="s">
        <v>1959</v>
      </c>
      <c r="E5449" s="430" t="s">
        <v>1708</v>
      </c>
      <c r="F5449" s="430"/>
      <c r="G5449" s="432" t="s">
        <v>82</v>
      </c>
      <c r="H5449" s="433">
        <v>0.0194</v>
      </c>
      <c r="I5449" s="433">
        <v>0</v>
      </c>
      <c r="J5449" s="446">
        <v>35.95</v>
      </c>
      <c r="K5449" s="446">
        <v>0.69</v>
      </c>
    </row>
    <row r="5450" customHeight="1" spans="1:11">
      <c r="A5450" s="438" t="s">
        <v>1750</v>
      </c>
      <c r="B5450" s="439" t="s">
        <v>1962</v>
      </c>
      <c r="C5450" s="438" t="s">
        <v>71</v>
      </c>
      <c r="D5450" s="438" t="s">
        <v>1963</v>
      </c>
      <c r="E5450" s="438" t="s">
        <v>1631</v>
      </c>
      <c r="F5450" s="438"/>
      <c r="G5450" s="440" t="s">
        <v>105</v>
      </c>
      <c r="H5450" s="441">
        <v>0.212</v>
      </c>
      <c r="I5450" s="441">
        <v>0</v>
      </c>
      <c r="J5450" s="449">
        <v>0.22</v>
      </c>
      <c r="K5450" s="449">
        <v>0.04</v>
      </c>
    </row>
    <row r="5451" customHeight="1" spans="1:11">
      <c r="A5451" s="438" t="s">
        <v>1750</v>
      </c>
      <c r="B5451" s="439" t="s">
        <v>1960</v>
      </c>
      <c r="C5451" s="438" t="s">
        <v>71</v>
      </c>
      <c r="D5451" s="438" t="s">
        <v>1961</v>
      </c>
      <c r="E5451" s="438" t="s">
        <v>1631</v>
      </c>
      <c r="F5451" s="438"/>
      <c r="G5451" s="440" t="s">
        <v>158</v>
      </c>
      <c r="H5451" s="441">
        <v>0.025</v>
      </c>
      <c r="I5451" s="441">
        <v>0</v>
      </c>
      <c r="J5451" s="449">
        <v>22</v>
      </c>
      <c r="K5451" s="449">
        <v>0.55</v>
      </c>
    </row>
    <row r="5452" customHeight="1" spans="1:11">
      <c r="A5452" s="434"/>
      <c r="B5452" s="434"/>
      <c r="C5452" s="434"/>
      <c r="D5452" s="434"/>
      <c r="E5452" s="434"/>
      <c r="F5452" s="434" t="s">
        <v>1735</v>
      </c>
      <c r="G5452" s="435">
        <v>0.32</v>
      </c>
      <c r="H5452" s="434" t="s">
        <v>1736</v>
      </c>
      <c r="I5452" s="435">
        <v>0.3</v>
      </c>
      <c r="J5452" s="434" t="s">
        <v>1737</v>
      </c>
      <c r="K5452" s="435">
        <v>0.62</v>
      </c>
    </row>
    <row r="5453" customHeight="1" spans="1:11">
      <c r="A5453" s="434"/>
      <c r="B5453" s="434"/>
      <c r="C5453" s="434"/>
      <c r="D5453" s="434"/>
      <c r="E5453" s="434"/>
      <c r="F5453" s="434" t="s">
        <v>1738</v>
      </c>
      <c r="G5453" s="435">
        <v>2.36</v>
      </c>
      <c r="H5453" s="434"/>
      <c r="I5453" s="434" t="s">
        <v>1739</v>
      </c>
      <c r="J5453" s="434"/>
      <c r="K5453" s="435">
        <v>11.97</v>
      </c>
    </row>
    <row r="5454" customHeight="1" spans="1:11">
      <c r="A5454" s="436"/>
      <c r="B5454" s="436"/>
      <c r="C5454" s="436"/>
      <c r="D5454" s="436"/>
      <c r="E5454" s="436"/>
      <c r="F5454" s="436"/>
      <c r="G5454" s="436"/>
      <c r="H5454" s="436" t="s">
        <v>1740</v>
      </c>
      <c r="I5454" s="447" t="s">
        <v>3416</v>
      </c>
      <c r="J5454" s="436" t="s">
        <v>1742</v>
      </c>
      <c r="K5454" s="448">
        <v>1422.03</v>
      </c>
    </row>
    <row r="5455" customHeight="1" spans="1:11">
      <c r="A5455" s="437"/>
      <c r="B5455" s="437"/>
      <c r="C5455" s="437"/>
      <c r="D5455" s="437"/>
      <c r="E5455" s="437"/>
      <c r="F5455" s="437"/>
      <c r="G5455" s="437"/>
      <c r="H5455" s="437"/>
      <c r="I5455" s="437"/>
      <c r="J5455" s="437"/>
      <c r="K5455" s="437"/>
    </row>
    <row r="5456" customHeight="1" spans="1:11">
      <c r="A5456" s="423" t="s">
        <v>1583</v>
      </c>
      <c r="B5456" s="424" t="s">
        <v>1714</v>
      </c>
      <c r="C5456" s="423" t="s">
        <v>1715</v>
      </c>
      <c r="D5456" s="423" t="s">
        <v>1716</v>
      </c>
      <c r="E5456" s="423" t="s">
        <v>1717</v>
      </c>
      <c r="F5456" s="423"/>
      <c r="G5456" s="425" t="s">
        <v>1718</v>
      </c>
      <c r="H5456" s="424" t="s">
        <v>1719</v>
      </c>
      <c r="I5456" s="424" t="s">
        <v>1720</v>
      </c>
      <c r="J5456" s="424" t="s">
        <v>1721</v>
      </c>
      <c r="K5456" s="424" t="s">
        <v>1722</v>
      </c>
    </row>
    <row r="5457" customHeight="1" spans="1:11">
      <c r="A5457" s="426" t="s">
        <v>1723</v>
      </c>
      <c r="B5457" s="427" t="s">
        <v>1460</v>
      </c>
      <c r="C5457" s="426" t="s">
        <v>76</v>
      </c>
      <c r="D5457" s="426" t="s">
        <v>1461</v>
      </c>
      <c r="E5457" s="426">
        <v>11</v>
      </c>
      <c r="F5457" s="426"/>
      <c r="G5457" s="428" t="s">
        <v>129</v>
      </c>
      <c r="H5457" s="429">
        <v>1</v>
      </c>
      <c r="I5457" s="445"/>
      <c r="J5457" s="445">
        <v>808.65</v>
      </c>
      <c r="K5457" s="445">
        <v>808.65</v>
      </c>
    </row>
    <row r="5458" customHeight="1" spans="1:11">
      <c r="A5458" s="430" t="s">
        <v>1724</v>
      </c>
      <c r="B5458" s="431" t="s">
        <v>2143</v>
      </c>
      <c r="C5458" s="430" t="s">
        <v>76</v>
      </c>
      <c r="D5458" s="430" t="s">
        <v>2144</v>
      </c>
      <c r="E5458" s="430">
        <v>7</v>
      </c>
      <c r="F5458" s="430"/>
      <c r="G5458" s="432" t="s">
        <v>129</v>
      </c>
      <c r="H5458" s="433">
        <v>0.0125</v>
      </c>
      <c r="I5458" s="433">
        <v>0</v>
      </c>
      <c r="J5458" s="446">
        <v>468.89</v>
      </c>
      <c r="K5458" s="446">
        <v>5.86</v>
      </c>
    </row>
    <row r="5459" customHeight="1" spans="1:11">
      <c r="A5459" s="430" t="s">
        <v>1724</v>
      </c>
      <c r="B5459" s="431" t="s">
        <v>3321</v>
      </c>
      <c r="C5459" s="430" t="s">
        <v>76</v>
      </c>
      <c r="D5459" s="430" t="s">
        <v>3322</v>
      </c>
      <c r="E5459" s="430">
        <v>19</v>
      </c>
      <c r="F5459" s="430"/>
      <c r="G5459" s="432" t="s">
        <v>82</v>
      </c>
      <c r="H5459" s="433">
        <v>0.23</v>
      </c>
      <c r="I5459" s="433">
        <v>0</v>
      </c>
      <c r="J5459" s="446">
        <v>1.77</v>
      </c>
      <c r="K5459" s="446">
        <v>0.4</v>
      </c>
    </row>
    <row r="5460" customHeight="1" spans="1:11">
      <c r="A5460" s="430" t="s">
        <v>1724</v>
      </c>
      <c r="B5460" s="431" t="s">
        <v>3323</v>
      </c>
      <c r="C5460" s="430" t="s">
        <v>76</v>
      </c>
      <c r="D5460" s="430" t="s">
        <v>3322</v>
      </c>
      <c r="E5460" s="430">
        <v>19</v>
      </c>
      <c r="F5460" s="430"/>
      <c r="G5460" s="432" t="s">
        <v>82</v>
      </c>
      <c r="H5460" s="433">
        <v>0.39</v>
      </c>
      <c r="I5460" s="433">
        <v>0</v>
      </c>
      <c r="J5460" s="446">
        <v>0.48</v>
      </c>
      <c r="K5460" s="446">
        <v>0.18</v>
      </c>
    </row>
    <row r="5461" customHeight="1" spans="1:11">
      <c r="A5461" s="438" t="s">
        <v>1750</v>
      </c>
      <c r="B5461" s="439" t="s">
        <v>3324</v>
      </c>
      <c r="C5461" s="438" t="s">
        <v>76</v>
      </c>
      <c r="D5461" s="438" t="s">
        <v>3325</v>
      </c>
      <c r="E5461" s="438" t="s">
        <v>1631</v>
      </c>
      <c r="F5461" s="438"/>
      <c r="G5461" s="440" t="s">
        <v>129</v>
      </c>
      <c r="H5461" s="441">
        <v>1</v>
      </c>
      <c r="I5461" s="441">
        <v>0</v>
      </c>
      <c r="J5461" s="449">
        <v>60</v>
      </c>
      <c r="K5461" s="449">
        <v>60</v>
      </c>
    </row>
    <row r="5462" customHeight="1" spans="1:11">
      <c r="A5462" s="438" t="s">
        <v>1750</v>
      </c>
      <c r="B5462" s="439" t="s">
        <v>3326</v>
      </c>
      <c r="C5462" s="438" t="s">
        <v>76</v>
      </c>
      <c r="D5462" s="438" t="s">
        <v>3327</v>
      </c>
      <c r="E5462" s="438" t="s">
        <v>1631</v>
      </c>
      <c r="F5462" s="438"/>
      <c r="G5462" s="440" t="s">
        <v>129</v>
      </c>
      <c r="H5462" s="441">
        <v>1.05</v>
      </c>
      <c r="I5462" s="441">
        <v>0</v>
      </c>
      <c r="J5462" s="449">
        <v>630</v>
      </c>
      <c r="K5462" s="449">
        <v>661.5</v>
      </c>
    </row>
    <row r="5463" customHeight="1" spans="1:11">
      <c r="A5463" s="438" t="s">
        <v>1750</v>
      </c>
      <c r="B5463" s="439" t="s">
        <v>1762</v>
      </c>
      <c r="C5463" s="438" t="s">
        <v>76</v>
      </c>
      <c r="D5463" s="438" t="s">
        <v>1763</v>
      </c>
      <c r="E5463" s="438" t="s">
        <v>1764</v>
      </c>
      <c r="F5463" s="438"/>
      <c r="G5463" s="440" t="s">
        <v>82</v>
      </c>
      <c r="H5463" s="441">
        <v>0.6</v>
      </c>
      <c r="I5463" s="441">
        <v>3</v>
      </c>
      <c r="J5463" s="449">
        <v>26.52</v>
      </c>
      <c r="K5463" s="449">
        <v>16.38</v>
      </c>
    </row>
    <row r="5464" customHeight="1" spans="1:11">
      <c r="A5464" s="438" t="s">
        <v>1750</v>
      </c>
      <c r="B5464" s="439" t="s">
        <v>2149</v>
      </c>
      <c r="C5464" s="438" t="s">
        <v>76</v>
      </c>
      <c r="D5464" s="438" t="s">
        <v>2150</v>
      </c>
      <c r="E5464" s="438" t="s">
        <v>1764</v>
      </c>
      <c r="F5464" s="438"/>
      <c r="G5464" s="440" t="s">
        <v>82</v>
      </c>
      <c r="H5464" s="441">
        <v>0.6</v>
      </c>
      <c r="I5464" s="441">
        <v>3</v>
      </c>
      <c r="J5464" s="449">
        <v>26.52</v>
      </c>
      <c r="K5464" s="449">
        <v>16.38</v>
      </c>
    </row>
    <row r="5465" customHeight="1" spans="1:11">
      <c r="A5465" s="438" t="s">
        <v>1750</v>
      </c>
      <c r="B5465" s="439" t="s">
        <v>1767</v>
      </c>
      <c r="C5465" s="438" t="s">
        <v>76</v>
      </c>
      <c r="D5465" s="438" t="s">
        <v>1768</v>
      </c>
      <c r="E5465" s="438" t="s">
        <v>1764</v>
      </c>
      <c r="F5465" s="438"/>
      <c r="G5465" s="440" t="s">
        <v>82</v>
      </c>
      <c r="H5465" s="441">
        <v>1.6</v>
      </c>
      <c r="I5465" s="441">
        <v>3</v>
      </c>
      <c r="J5465" s="449">
        <v>19.16</v>
      </c>
      <c r="K5465" s="449">
        <v>31.57</v>
      </c>
    </row>
    <row r="5466" customHeight="1" spans="1:11">
      <c r="A5466" s="438" t="s">
        <v>1750</v>
      </c>
      <c r="B5466" s="439" t="s">
        <v>3260</v>
      </c>
      <c r="C5466" s="438" t="s">
        <v>76</v>
      </c>
      <c r="D5466" s="438" t="s">
        <v>3261</v>
      </c>
      <c r="E5466" s="438" t="s">
        <v>1764</v>
      </c>
      <c r="F5466" s="438"/>
      <c r="G5466" s="440" t="s">
        <v>82</v>
      </c>
      <c r="H5466" s="441">
        <v>0.6</v>
      </c>
      <c r="I5466" s="441">
        <v>3</v>
      </c>
      <c r="J5466" s="449">
        <v>26.52</v>
      </c>
      <c r="K5466" s="449">
        <v>16.38</v>
      </c>
    </row>
    <row r="5467" customHeight="1" spans="1:11">
      <c r="A5467" s="434"/>
      <c r="B5467" s="434"/>
      <c r="C5467" s="434"/>
      <c r="D5467" s="434"/>
      <c r="E5467" s="434"/>
      <c r="F5467" s="434" t="s">
        <v>1735</v>
      </c>
      <c r="G5467" s="435">
        <v>42.69</v>
      </c>
      <c r="H5467" s="434" t="s">
        <v>1736</v>
      </c>
      <c r="I5467" s="435">
        <v>38.78</v>
      </c>
      <c r="J5467" s="434" t="s">
        <v>1737</v>
      </c>
      <c r="K5467" s="435">
        <v>81.47</v>
      </c>
    </row>
    <row r="5468" customHeight="1" spans="1:11">
      <c r="A5468" s="434"/>
      <c r="B5468" s="434"/>
      <c r="C5468" s="434"/>
      <c r="D5468" s="434"/>
      <c r="E5468" s="434"/>
      <c r="F5468" s="434" t="s">
        <v>1738</v>
      </c>
      <c r="G5468" s="435">
        <v>199.41</v>
      </c>
      <c r="H5468" s="434"/>
      <c r="I5468" s="434" t="s">
        <v>1739</v>
      </c>
      <c r="J5468" s="434"/>
      <c r="K5468" s="435">
        <v>1008.06</v>
      </c>
    </row>
    <row r="5469" customHeight="1" spans="1:11">
      <c r="A5469" s="436"/>
      <c r="B5469" s="436"/>
      <c r="C5469" s="436"/>
      <c r="D5469" s="436"/>
      <c r="E5469" s="436"/>
      <c r="F5469" s="436"/>
      <c r="G5469" s="436"/>
      <c r="H5469" s="436" t="s">
        <v>1740</v>
      </c>
      <c r="I5469" s="447" t="s">
        <v>3417</v>
      </c>
      <c r="J5469" s="436" t="s">
        <v>1742</v>
      </c>
      <c r="K5469" s="448">
        <v>36390.96</v>
      </c>
    </row>
    <row r="5470" customHeight="1" spans="1:11">
      <c r="A5470" s="437"/>
      <c r="B5470" s="437"/>
      <c r="C5470" s="437"/>
      <c r="D5470" s="437"/>
      <c r="E5470" s="437"/>
      <c r="F5470" s="437"/>
      <c r="G5470" s="437"/>
      <c r="H5470" s="437"/>
      <c r="I5470" s="437"/>
      <c r="J5470" s="437"/>
      <c r="K5470" s="437"/>
    </row>
    <row r="5471" customHeight="1" spans="1:11">
      <c r="A5471" s="423" t="s">
        <v>1584</v>
      </c>
      <c r="B5471" s="424" t="s">
        <v>1714</v>
      </c>
      <c r="C5471" s="423" t="s">
        <v>1715</v>
      </c>
      <c r="D5471" s="423" t="s">
        <v>1716</v>
      </c>
      <c r="E5471" s="423" t="s">
        <v>1717</v>
      </c>
      <c r="F5471" s="423"/>
      <c r="G5471" s="425" t="s">
        <v>1718</v>
      </c>
      <c r="H5471" s="424" t="s">
        <v>1719</v>
      </c>
      <c r="I5471" s="424" t="s">
        <v>1720</v>
      </c>
      <c r="J5471" s="424" t="s">
        <v>1721</v>
      </c>
      <c r="K5471" s="424" t="s">
        <v>1722</v>
      </c>
    </row>
    <row r="5472" customHeight="1" spans="1:11">
      <c r="A5472" s="426" t="s">
        <v>1723</v>
      </c>
      <c r="B5472" s="427" t="s">
        <v>169</v>
      </c>
      <c r="C5472" s="426" t="s">
        <v>71</v>
      </c>
      <c r="D5472" s="426" t="s">
        <v>170</v>
      </c>
      <c r="E5472" s="426" t="s">
        <v>1634</v>
      </c>
      <c r="F5472" s="426"/>
      <c r="G5472" s="428" t="s">
        <v>158</v>
      </c>
      <c r="H5472" s="429">
        <v>1</v>
      </c>
      <c r="I5472" s="445"/>
      <c r="J5472" s="445">
        <v>14.25</v>
      </c>
      <c r="K5472" s="445">
        <v>14.25</v>
      </c>
    </row>
    <row r="5473" customHeight="1" spans="1:11">
      <c r="A5473" s="430" t="s">
        <v>1724</v>
      </c>
      <c r="B5473" s="431" t="s">
        <v>1958</v>
      </c>
      <c r="C5473" s="430" t="s">
        <v>71</v>
      </c>
      <c r="D5473" s="430" t="s">
        <v>1959</v>
      </c>
      <c r="E5473" s="430" t="s">
        <v>1708</v>
      </c>
      <c r="F5473" s="430"/>
      <c r="G5473" s="432" t="s">
        <v>82</v>
      </c>
      <c r="H5473" s="433">
        <v>0.081</v>
      </c>
      <c r="I5473" s="433">
        <v>0</v>
      </c>
      <c r="J5473" s="446">
        <v>35.95</v>
      </c>
      <c r="K5473" s="446">
        <v>2.91</v>
      </c>
    </row>
    <row r="5474" customHeight="1" spans="1:11">
      <c r="A5474" s="430" t="s">
        <v>1724</v>
      </c>
      <c r="B5474" s="431" t="s">
        <v>1965</v>
      </c>
      <c r="C5474" s="430" t="s">
        <v>71</v>
      </c>
      <c r="D5474" s="430" t="s">
        <v>1966</v>
      </c>
      <c r="E5474" s="430" t="s">
        <v>1632</v>
      </c>
      <c r="F5474" s="430"/>
      <c r="G5474" s="432" t="s">
        <v>158</v>
      </c>
      <c r="H5474" s="433">
        <v>1</v>
      </c>
      <c r="I5474" s="433">
        <v>0</v>
      </c>
      <c r="J5474" s="446">
        <v>9.78</v>
      </c>
      <c r="K5474" s="446">
        <v>9.78</v>
      </c>
    </row>
    <row r="5475" customHeight="1" spans="1:11">
      <c r="A5475" s="430" t="s">
        <v>1724</v>
      </c>
      <c r="B5475" s="431" t="s">
        <v>1956</v>
      </c>
      <c r="C5475" s="430" t="s">
        <v>71</v>
      </c>
      <c r="D5475" s="430" t="s">
        <v>1957</v>
      </c>
      <c r="E5475" s="430" t="s">
        <v>1708</v>
      </c>
      <c r="F5475" s="430"/>
      <c r="G5475" s="432" t="s">
        <v>82</v>
      </c>
      <c r="H5475" s="433">
        <v>0.031</v>
      </c>
      <c r="I5475" s="433">
        <v>0</v>
      </c>
      <c r="J5475" s="446">
        <v>30.06</v>
      </c>
      <c r="K5475" s="446">
        <v>0.93</v>
      </c>
    </row>
    <row r="5476" customHeight="1" spans="1:11">
      <c r="A5476" s="438" t="s">
        <v>1750</v>
      </c>
      <c r="B5476" s="439" t="s">
        <v>1962</v>
      </c>
      <c r="C5476" s="438" t="s">
        <v>71</v>
      </c>
      <c r="D5476" s="438" t="s">
        <v>1963</v>
      </c>
      <c r="E5476" s="438" t="s">
        <v>1631</v>
      </c>
      <c r="F5476" s="438"/>
      <c r="G5476" s="440" t="s">
        <v>105</v>
      </c>
      <c r="H5476" s="441">
        <v>0.399</v>
      </c>
      <c r="I5476" s="441">
        <v>0</v>
      </c>
      <c r="J5476" s="449">
        <v>0.22</v>
      </c>
      <c r="K5476" s="449">
        <v>0.08</v>
      </c>
    </row>
    <row r="5477" customHeight="1" spans="1:11">
      <c r="A5477" s="438" t="s">
        <v>1750</v>
      </c>
      <c r="B5477" s="439" t="s">
        <v>1960</v>
      </c>
      <c r="C5477" s="438" t="s">
        <v>71</v>
      </c>
      <c r="D5477" s="438" t="s">
        <v>1961</v>
      </c>
      <c r="E5477" s="438" t="s">
        <v>1631</v>
      </c>
      <c r="F5477" s="438"/>
      <c r="G5477" s="440" t="s">
        <v>158</v>
      </c>
      <c r="H5477" s="441">
        <v>0.025</v>
      </c>
      <c r="I5477" s="441">
        <v>0</v>
      </c>
      <c r="J5477" s="449">
        <v>22</v>
      </c>
      <c r="K5477" s="449">
        <v>0.55</v>
      </c>
    </row>
    <row r="5478" customHeight="1" spans="1:11">
      <c r="A5478" s="434"/>
      <c r="B5478" s="434"/>
      <c r="C5478" s="434"/>
      <c r="D5478" s="434"/>
      <c r="E5478" s="434"/>
      <c r="F5478" s="434" t="s">
        <v>1735</v>
      </c>
      <c r="G5478" s="435">
        <v>1.55</v>
      </c>
      <c r="H5478" s="434" t="s">
        <v>1736</v>
      </c>
      <c r="I5478" s="435">
        <v>1.41</v>
      </c>
      <c r="J5478" s="434" t="s">
        <v>1737</v>
      </c>
      <c r="K5478" s="435">
        <v>2.96</v>
      </c>
    </row>
    <row r="5479" customHeight="1" spans="1:11">
      <c r="A5479" s="434"/>
      <c r="B5479" s="434"/>
      <c r="C5479" s="434"/>
      <c r="D5479" s="434"/>
      <c r="E5479" s="434"/>
      <c r="F5479" s="434" t="s">
        <v>1738</v>
      </c>
      <c r="G5479" s="435">
        <v>3.51</v>
      </c>
      <c r="H5479" s="434"/>
      <c r="I5479" s="434" t="s">
        <v>1739</v>
      </c>
      <c r="J5479" s="434"/>
      <c r="K5479" s="435">
        <v>17.76</v>
      </c>
    </row>
    <row r="5480" customHeight="1" spans="1:11">
      <c r="A5480" s="436"/>
      <c r="B5480" s="436"/>
      <c r="C5480" s="436"/>
      <c r="D5480" s="436"/>
      <c r="E5480" s="436"/>
      <c r="F5480" s="436"/>
      <c r="G5480" s="436"/>
      <c r="H5480" s="436" t="s">
        <v>1740</v>
      </c>
      <c r="I5480" s="447" t="s">
        <v>3418</v>
      </c>
      <c r="J5480" s="436" t="s">
        <v>1742</v>
      </c>
      <c r="K5480" s="448">
        <v>15369.5</v>
      </c>
    </row>
    <row r="5481" customHeight="1" spans="1:11">
      <c r="A5481" s="437"/>
      <c r="B5481" s="437"/>
      <c r="C5481" s="437"/>
      <c r="D5481" s="437"/>
      <c r="E5481" s="437"/>
      <c r="F5481" s="437"/>
      <c r="G5481" s="437"/>
      <c r="H5481" s="437"/>
      <c r="I5481" s="437"/>
      <c r="J5481" s="437"/>
      <c r="K5481" s="437"/>
    </row>
    <row r="5482" customHeight="1" spans="1:11">
      <c r="A5482" s="422" t="s">
        <v>1585</v>
      </c>
      <c r="B5482" s="422"/>
      <c r="C5482" s="422"/>
      <c r="D5482" s="422" t="s">
        <v>48</v>
      </c>
      <c r="E5482" s="422"/>
      <c r="F5482" s="422"/>
      <c r="G5482" s="422"/>
      <c r="H5482" s="422"/>
      <c r="I5482" s="443"/>
      <c r="J5482" s="422"/>
      <c r="K5482" s="444">
        <v>64442.98</v>
      </c>
    </row>
    <row r="5483" customHeight="1" spans="1:11">
      <c r="A5483" s="423" t="s">
        <v>1586</v>
      </c>
      <c r="B5483" s="424" t="s">
        <v>1714</v>
      </c>
      <c r="C5483" s="423" t="s">
        <v>1715</v>
      </c>
      <c r="D5483" s="423" t="s">
        <v>1716</v>
      </c>
      <c r="E5483" s="423" t="s">
        <v>1717</v>
      </c>
      <c r="F5483" s="423"/>
      <c r="G5483" s="425" t="s">
        <v>1718</v>
      </c>
      <c r="H5483" s="424" t="s">
        <v>1719</v>
      </c>
      <c r="I5483" s="424" t="s">
        <v>1720</v>
      </c>
      <c r="J5483" s="424" t="s">
        <v>1721</v>
      </c>
      <c r="K5483" s="424" t="s">
        <v>1722</v>
      </c>
    </row>
    <row r="5484" customHeight="1" spans="1:11">
      <c r="A5484" s="426" t="s">
        <v>1723</v>
      </c>
      <c r="B5484" s="427" t="s">
        <v>1587</v>
      </c>
      <c r="C5484" s="426" t="s">
        <v>65</v>
      </c>
      <c r="D5484" s="426" t="s">
        <v>1588</v>
      </c>
      <c r="E5484" s="426" t="s">
        <v>62</v>
      </c>
      <c r="F5484" s="426"/>
      <c r="G5484" s="428" t="s">
        <v>67</v>
      </c>
      <c r="H5484" s="429">
        <v>1</v>
      </c>
      <c r="I5484" s="445"/>
      <c r="J5484" s="445">
        <v>60.68</v>
      </c>
      <c r="K5484" s="445">
        <v>60.68</v>
      </c>
    </row>
    <row r="5485" customHeight="1" spans="1:11">
      <c r="A5485" s="430" t="s">
        <v>1724</v>
      </c>
      <c r="B5485" s="431" t="s">
        <v>1745</v>
      </c>
      <c r="C5485" s="430" t="s">
        <v>71</v>
      </c>
      <c r="D5485" s="430" t="s">
        <v>1746</v>
      </c>
      <c r="E5485" s="430" t="s">
        <v>1708</v>
      </c>
      <c r="F5485" s="430"/>
      <c r="G5485" s="432" t="s">
        <v>82</v>
      </c>
      <c r="H5485" s="433">
        <v>1.876</v>
      </c>
      <c r="I5485" s="433">
        <v>0</v>
      </c>
      <c r="J5485" s="446">
        <v>29.15</v>
      </c>
      <c r="K5485" s="446">
        <v>54.68</v>
      </c>
    </row>
    <row r="5486" customHeight="1" spans="1:11">
      <c r="A5486" s="438" t="s">
        <v>1750</v>
      </c>
      <c r="B5486" s="439" t="s">
        <v>3419</v>
      </c>
      <c r="C5486" s="438" t="s">
        <v>99</v>
      </c>
      <c r="D5486" s="438" t="s">
        <v>3420</v>
      </c>
      <c r="E5486" s="438" t="s">
        <v>1631</v>
      </c>
      <c r="F5486" s="438"/>
      <c r="G5486" s="440" t="s">
        <v>105</v>
      </c>
      <c r="H5486" s="441">
        <v>1</v>
      </c>
      <c r="I5486" s="441">
        <v>0</v>
      </c>
      <c r="J5486" s="449">
        <v>6</v>
      </c>
      <c r="K5486" s="449">
        <v>6</v>
      </c>
    </row>
    <row r="5487" customHeight="1" spans="1:11">
      <c r="A5487" s="434"/>
      <c r="B5487" s="434"/>
      <c r="C5487" s="434"/>
      <c r="D5487" s="434"/>
      <c r="E5487" s="434"/>
      <c r="F5487" s="434" t="s">
        <v>1735</v>
      </c>
      <c r="G5487" s="435">
        <v>18.89</v>
      </c>
      <c r="H5487" s="434" t="s">
        <v>1736</v>
      </c>
      <c r="I5487" s="435">
        <v>17.16</v>
      </c>
      <c r="J5487" s="434" t="s">
        <v>1737</v>
      </c>
      <c r="K5487" s="435">
        <v>36.05</v>
      </c>
    </row>
    <row r="5488" customHeight="1" spans="1:11">
      <c r="A5488" s="434"/>
      <c r="B5488" s="434"/>
      <c r="C5488" s="434"/>
      <c r="D5488" s="434"/>
      <c r="E5488" s="434"/>
      <c r="F5488" s="434" t="s">
        <v>1738</v>
      </c>
      <c r="G5488" s="435">
        <v>14.96</v>
      </c>
      <c r="H5488" s="434"/>
      <c r="I5488" s="434" t="s">
        <v>1739</v>
      </c>
      <c r="J5488" s="434"/>
      <c r="K5488" s="435">
        <v>75.64</v>
      </c>
    </row>
    <row r="5489" customHeight="1" spans="1:11">
      <c r="A5489" s="436"/>
      <c r="B5489" s="436"/>
      <c r="C5489" s="436"/>
      <c r="D5489" s="436"/>
      <c r="E5489" s="436"/>
      <c r="F5489" s="436"/>
      <c r="G5489" s="436"/>
      <c r="H5489" s="436" t="s">
        <v>1740</v>
      </c>
      <c r="I5489" s="447" t="s">
        <v>3421</v>
      </c>
      <c r="J5489" s="436" t="s">
        <v>1742</v>
      </c>
      <c r="K5489" s="448">
        <v>64390.81</v>
      </c>
    </row>
    <row r="5490" customHeight="1" spans="1:11">
      <c r="A5490" s="437"/>
      <c r="B5490" s="437"/>
      <c r="C5490" s="437"/>
      <c r="D5490" s="437"/>
      <c r="E5490" s="437"/>
      <c r="F5490" s="437"/>
      <c r="G5490" s="437"/>
      <c r="H5490" s="437"/>
      <c r="I5490" s="437"/>
      <c r="J5490" s="437"/>
      <c r="K5490" s="437"/>
    </row>
    <row r="5491" customHeight="1" spans="1:11">
      <c r="A5491" s="423" t="s">
        <v>1589</v>
      </c>
      <c r="B5491" s="424" t="s">
        <v>1714</v>
      </c>
      <c r="C5491" s="423" t="s">
        <v>1715</v>
      </c>
      <c r="D5491" s="423" t="s">
        <v>1716</v>
      </c>
      <c r="E5491" s="423" t="s">
        <v>1717</v>
      </c>
      <c r="F5491" s="423"/>
      <c r="G5491" s="425" t="s">
        <v>1718</v>
      </c>
      <c r="H5491" s="424" t="s">
        <v>1719</v>
      </c>
      <c r="I5491" s="424" t="s">
        <v>1720</v>
      </c>
      <c r="J5491" s="424" t="s">
        <v>1721</v>
      </c>
      <c r="K5491" s="424" t="s">
        <v>1722</v>
      </c>
    </row>
    <row r="5492" customHeight="1" spans="1:11">
      <c r="A5492" s="426" t="s">
        <v>1723</v>
      </c>
      <c r="B5492" s="427" t="s">
        <v>1590</v>
      </c>
      <c r="C5492" s="426" t="s">
        <v>65</v>
      </c>
      <c r="D5492" s="426" t="s">
        <v>1591</v>
      </c>
      <c r="E5492" s="426" t="s">
        <v>62</v>
      </c>
      <c r="F5492" s="426"/>
      <c r="G5492" s="428" t="s">
        <v>67</v>
      </c>
      <c r="H5492" s="429">
        <v>1</v>
      </c>
      <c r="I5492" s="445"/>
      <c r="J5492" s="445">
        <v>41.85</v>
      </c>
      <c r="K5492" s="445">
        <v>41.85</v>
      </c>
    </row>
    <row r="5493" customHeight="1" spans="1:11">
      <c r="A5493" s="430" t="s">
        <v>1724</v>
      </c>
      <c r="B5493" s="431" t="s">
        <v>1793</v>
      </c>
      <c r="C5493" s="430" t="s">
        <v>71</v>
      </c>
      <c r="D5493" s="430" t="s">
        <v>1794</v>
      </c>
      <c r="E5493" s="430" t="s">
        <v>1795</v>
      </c>
      <c r="F5493" s="430"/>
      <c r="G5493" s="432" t="s">
        <v>1796</v>
      </c>
      <c r="H5493" s="433">
        <v>0.1</v>
      </c>
      <c r="I5493" s="433">
        <v>0</v>
      </c>
      <c r="J5493" s="446">
        <v>360.22</v>
      </c>
      <c r="K5493" s="446">
        <v>36.02</v>
      </c>
    </row>
    <row r="5494" customHeight="1" spans="1:11">
      <c r="A5494" s="430" t="s">
        <v>1724</v>
      </c>
      <c r="B5494" s="431" t="s">
        <v>1745</v>
      </c>
      <c r="C5494" s="430" t="s">
        <v>71</v>
      </c>
      <c r="D5494" s="430" t="s">
        <v>1746</v>
      </c>
      <c r="E5494" s="430" t="s">
        <v>1708</v>
      </c>
      <c r="F5494" s="430"/>
      <c r="G5494" s="432" t="s">
        <v>82</v>
      </c>
      <c r="H5494" s="433">
        <v>0.2</v>
      </c>
      <c r="I5494" s="433">
        <v>0</v>
      </c>
      <c r="J5494" s="446">
        <v>29.15</v>
      </c>
      <c r="K5494" s="446">
        <v>5.83</v>
      </c>
    </row>
    <row r="5495" customHeight="1" spans="1:11">
      <c r="A5495" s="434"/>
      <c r="B5495" s="434"/>
      <c r="C5495" s="434"/>
      <c r="D5495" s="434"/>
      <c r="E5495" s="434"/>
      <c r="F5495" s="434" t="s">
        <v>1735</v>
      </c>
      <c r="G5495" s="435">
        <v>4.24</v>
      </c>
      <c r="H5495" s="434" t="s">
        <v>1736</v>
      </c>
      <c r="I5495" s="435">
        <v>3.86</v>
      </c>
      <c r="J5495" s="434" t="s">
        <v>1737</v>
      </c>
      <c r="K5495" s="435">
        <v>8.1</v>
      </c>
    </row>
    <row r="5496" customHeight="1" spans="1:11">
      <c r="A5496" s="434"/>
      <c r="B5496" s="434"/>
      <c r="C5496" s="434"/>
      <c r="D5496" s="434"/>
      <c r="E5496" s="434"/>
      <c r="F5496" s="434" t="s">
        <v>1738</v>
      </c>
      <c r="G5496" s="435">
        <v>10.32</v>
      </c>
      <c r="H5496" s="434"/>
      <c r="I5496" s="434" t="s">
        <v>1739</v>
      </c>
      <c r="J5496" s="434"/>
      <c r="K5496" s="435">
        <v>52.17</v>
      </c>
    </row>
    <row r="5497" customHeight="1" spans="1:11">
      <c r="A5497" s="436"/>
      <c r="B5497" s="436"/>
      <c r="C5497" s="436"/>
      <c r="D5497" s="436"/>
      <c r="E5497" s="436"/>
      <c r="F5497" s="436"/>
      <c r="G5497" s="436"/>
      <c r="H5497" s="436" t="s">
        <v>1740</v>
      </c>
      <c r="I5497" s="447" t="s">
        <v>1741</v>
      </c>
      <c r="J5497" s="436" t="s">
        <v>1742</v>
      </c>
      <c r="K5497" s="448">
        <v>52.17</v>
      </c>
    </row>
    <row r="5498" customHeight="1" spans="1:11">
      <c r="A5498" s="437"/>
      <c r="B5498" s="437"/>
      <c r="C5498" s="437"/>
      <c r="D5498" s="437"/>
      <c r="E5498" s="437"/>
      <c r="F5498" s="437"/>
      <c r="G5498" s="437"/>
      <c r="H5498" s="437"/>
      <c r="I5498" s="437"/>
      <c r="J5498" s="437"/>
      <c r="K5498" s="437"/>
    </row>
    <row r="5499" customHeight="1" spans="1:10">
      <c r="A5499" s="455"/>
      <c r="B5499" s="455"/>
      <c r="C5499" s="455"/>
      <c r="D5499" s="455"/>
      <c r="E5499" s="455"/>
      <c r="F5499" s="455"/>
      <c r="G5499" s="455"/>
      <c r="H5499" s="455"/>
      <c r="I5499" s="455"/>
      <c r="J5499" s="455"/>
    </row>
    <row r="5500" customHeight="1" spans="1:10">
      <c r="A5500" s="436"/>
      <c r="B5500" s="436"/>
      <c r="C5500" s="436"/>
      <c r="D5500" s="456"/>
      <c r="E5500" s="436"/>
      <c r="F5500" s="457" t="s">
        <v>1592</v>
      </c>
      <c r="G5500" s="436"/>
      <c r="H5500" s="448">
        <v>6020501.6</v>
      </c>
      <c r="I5500" s="436"/>
      <c r="J5500" s="436"/>
    </row>
    <row r="5501" customHeight="1" spans="1:10">
      <c r="A5501" s="436"/>
      <c r="B5501" s="436"/>
      <c r="C5501" s="436"/>
      <c r="D5501" s="456"/>
      <c r="E5501" s="436"/>
      <c r="F5501" s="457" t="s">
        <v>1593</v>
      </c>
      <c r="G5501" s="436"/>
      <c r="H5501" s="448">
        <v>1484065.31</v>
      </c>
      <c r="I5501" s="436"/>
      <c r="J5501" s="436"/>
    </row>
    <row r="5502" customHeight="1" spans="1:10">
      <c r="A5502" s="436"/>
      <c r="B5502" s="436"/>
      <c r="C5502" s="436"/>
      <c r="D5502" s="456"/>
      <c r="E5502" s="436"/>
      <c r="F5502" s="457" t="s">
        <v>1594</v>
      </c>
      <c r="G5502" s="436"/>
      <c r="H5502" s="448">
        <v>7504566.91</v>
      </c>
      <c r="I5502" s="436"/>
      <c r="J5502" s="436"/>
    </row>
  </sheetData>
  <mergeCells count="3957">
    <mergeCell ref="A11:K11"/>
    <mergeCell ref="A12:G12"/>
    <mergeCell ref="H12:I12"/>
    <mergeCell ref="J12:K12"/>
    <mergeCell ref="A13:G13"/>
    <mergeCell ref="H13:I13"/>
    <mergeCell ref="J13:K13"/>
    <mergeCell ref="A14:G14"/>
    <mergeCell ref="A15:G15"/>
    <mergeCell ref="F16:G16"/>
    <mergeCell ref="E17:F17"/>
    <mergeCell ref="E18:F18"/>
    <mergeCell ref="E19:F19"/>
    <mergeCell ref="E20:F20"/>
    <mergeCell ref="E21:F21"/>
    <mergeCell ref="E22:F22"/>
    <mergeCell ref="E23:F23"/>
    <mergeCell ref="H25:I25"/>
    <mergeCell ref="F28:G28"/>
    <mergeCell ref="E29:F29"/>
    <mergeCell ref="E30:F30"/>
    <mergeCell ref="E31:F31"/>
    <mergeCell ref="E32:F32"/>
    <mergeCell ref="E33:F33"/>
    <mergeCell ref="E34:F34"/>
    <mergeCell ref="E35:F35"/>
    <mergeCell ref="E36:F36"/>
    <mergeCell ref="E37:F37"/>
    <mergeCell ref="H39:I39"/>
    <mergeCell ref="E42:F42"/>
    <mergeCell ref="E43:F43"/>
    <mergeCell ref="E44:F44"/>
    <mergeCell ref="E45:F45"/>
    <mergeCell ref="E46:F46"/>
    <mergeCell ref="E47:F47"/>
    <mergeCell ref="E48:F48"/>
    <mergeCell ref="E49:F49"/>
    <mergeCell ref="E50:F50"/>
    <mergeCell ref="E51:F51"/>
    <mergeCell ref="E52:F52"/>
    <mergeCell ref="H54:I54"/>
    <mergeCell ref="E57:F57"/>
    <mergeCell ref="E58:F58"/>
    <mergeCell ref="E59:F59"/>
    <mergeCell ref="E60:F60"/>
    <mergeCell ref="E61:F61"/>
    <mergeCell ref="E62:F62"/>
    <mergeCell ref="E63:F63"/>
    <mergeCell ref="E64:F64"/>
    <mergeCell ref="H66:I66"/>
    <mergeCell ref="F69:G69"/>
    <mergeCell ref="E70:F70"/>
    <mergeCell ref="E71:F71"/>
    <mergeCell ref="E72:F72"/>
    <mergeCell ref="E73:F73"/>
    <mergeCell ref="H75:I75"/>
    <mergeCell ref="E78:F78"/>
    <mergeCell ref="E79:F79"/>
    <mergeCell ref="E80:F80"/>
    <mergeCell ref="E81:F81"/>
    <mergeCell ref="E82:F82"/>
    <mergeCell ref="E83:F83"/>
    <mergeCell ref="E84:F84"/>
    <mergeCell ref="E85:F85"/>
    <mergeCell ref="E86:F86"/>
    <mergeCell ref="E87:F87"/>
    <mergeCell ref="E88:F88"/>
    <mergeCell ref="H90:I90"/>
    <mergeCell ref="E93:F93"/>
    <mergeCell ref="E94:F94"/>
    <mergeCell ref="E95:F95"/>
    <mergeCell ref="H97:I97"/>
    <mergeCell ref="E100:F100"/>
    <mergeCell ref="E101:F101"/>
    <mergeCell ref="E102:F102"/>
    <mergeCell ref="H104:I104"/>
    <mergeCell ref="E107:F107"/>
    <mergeCell ref="E108:F108"/>
    <mergeCell ref="E109:F109"/>
    <mergeCell ref="H111:I111"/>
    <mergeCell ref="E114:F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H132:I132"/>
    <mergeCell ref="E135:F135"/>
    <mergeCell ref="E136:F136"/>
    <mergeCell ref="E137:F137"/>
    <mergeCell ref="E138:F138"/>
    <mergeCell ref="E139:F139"/>
    <mergeCell ref="E140:F140"/>
    <mergeCell ref="E141:F141"/>
    <mergeCell ref="E142:F142"/>
    <mergeCell ref="E143:F143"/>
    <mergeCell ref="E144:F144"/>
    <mergeCell ref="E145:F145"/>
    <mergeCell ref="E146:F146"/>
    <mergeCell ref="E147:F147"/>
    <mergeCell ref="E148:F148"/>
    <mergeCell ref="E149:F149"/>
    <mergeCell ref="E150:F150"/>
    <mergeCell ref="H152:I152"/>
    <mergeCell ref="E155:F155"/>
    <mergeCell ref="E156:F156"/>
    <mergeCell ref="E157:F157"/>
    <mergeCell ref="E158:F158"/>
    <mergeCell ref="E159:F159"/>
    <mergeCell ref="H161:I161"/>
    <mergeCell ref="E164:F164"/>
    <mergeCell ref="E165:F165"/>
    <mergeCell ref="E166:F166"/>
    <mergeCell ref="E167:F167"/>
    <mergeCell ref="H169:I169"/>
    <mergeCell ref="E172:F172"/>
    <mergeCell ref="E173:F173"/>
    <mergeCell ref="E174:F174"/>
    <mergeCell ref="E175:F175"/>
    <mergeCell ref="E176:F176"/>
    <mergeCell ref="H178:I178"/>
    <mergeCell ref="E181:F181"/>
    <mergeCell ref="E182:F182"/>
    <mergeCell ref="E183:F183"/>
    <mergeCell ref="E184:F184"/>
    <mergeCell ref="E185:F185"/>
    <mergeCell ref="H187:I187"/>
    <mergeCell ref="E190:F190"/>
    <mergeCell ref="E191:F191"/>
    <mergeCell ref="E192:F192"/>
    <mergeCell ref="E193:F193"/>
    <mergeCell ref="H195:I195"/>
    <mergeCell ref="F198:G198"/>
    <mergeCell ref="E199:F199"/>
    <mergeCell ref="E200:F200"/>
    <mergeCell ref="E201:F201"/>
    <mergeCell ref="E202:F202"/>
    <mergeCell ref="E203:F203"/>
    <mergeCell ref="H205:I205"/>
    <mergeCell ref="E208:F208"/>
    <mergeCell ref="E209:F209"/>
    <mergeCell ref="E210:F210"/>
    <mergeCell ref="E211:F211"/>
    <mergeCell ref="E212:F212"/>
    <mergeCell ref="E213:F213"/>
    <mergeCell ref="H215:I215"/>
    <mergeCell ref="E218:F218"/>
    <mergeCell ref="E219:F219"/>
    <mergeCell ref="E220:F220"/>
    <mergeCell ref="E221:F221"/>
    <mergeCell ref="E222:F222"/>
    <mergeCell ref="E223:F223"/>
    <mergeCell ref="E224:F224"/>
    <mergeCell ref="E225:F225"/>
    <mergeCell ref="E226:F226"/>
    <mergeCell ref="H228:I228"/>
    <mergeCell ref="E231:F231"/>
    <mergeCell ref="E232:F232"/>
    <mergeCell ref="E233:F233"/>
    <mergeCell ref="E234:F234"/>
    <mergeCell ref="H236:I236"/>
    <mergeCell ref="E239:F239"/>
    <mergeCell ref="E240:F240"/>
    <mergeCell ref="E241:F241"/>
    <mergeCell ref="H243:I243"/>
    <mergeCell ref="F246:G246"/>
    <mergeCell ref="F247:G247"/>
    <mergeCell ref="E248:F248"/>
    <mergeCell ref="E249:F249"/>
    <mergeCell ref="E250:F250"/>
    <mergeCell ref="E251:F251"/>
    <mergeCell ref="H253:I253"/>
    <mergeCell ref="E256:F256"/>
    <mergeCell ref="E257:F257"/>
    <mergeCell ref="E258:F258"/>
    <mergeCell ref="E259:F259"/>
    <mergeCell ref="E260:F260"/>
    <mergeCell ref="E261:F261"/>
    <mergeCell ref="E262:F262"/>
    <mergeCell ref="E263:F263"/>
    <mergeCell ref="E264:F264"/>
    <mergeCell ref="E265:F265"/>
    <mergeCell ref="E266:F266"/>
    <mergeCell ref="E267:F267"/>
    <mergeCell ref="H269:I269"/>
    <mergeCell ref="E272:F272"/>
    <mergeCell ref="E273:F273"/>
    <mergeCell ref="E274:F274"/>
    <mergeCell ref="E275:F275"/>
    <mergeCell ref="E276:F276"/>
    <mergeCell ref="E277:F277"/>
    <mergeCell ref="E278:F278"/>
    <mergeCell ref="E279:F279"/>
    <mergeCell ref="E280:F280"/>
    <mergeCell ref="E281:F281"/>
    <mergeCell ref="E282:F282"/>
    <mergeCell ref="E283:F283"/>
    <mergeCell ref="H285:I285"/>
    <mergeCell ref="E288:F288"/>
    <mergeCell ref="E289:F289"/>
    <mergeCell ref="E290:F290"/>
    <mergeCell ref="E291:F291"/>
    <mergeCell ref="E292:F292"/>
    <mergeCell ref="E293:F293"/>
    <mergeCell ref="E294:F294"/>
    <mergeCell ref="H296:I296"/>
    <mergeCell ref="E299:F299"/>
    <mergeCell ref="E300:F300"/>
    <mergeCell ref="E301:F301"/>
    <mergeCell ref="E302:F302"/>
    <mergeCell ref="E303:F303"/>
    <mergeCell ref="E304:F304"/>
    <mergeCell ref="E305:F305"/>
    <mergeCell ref="H307:I307"/>
    <mergeCell ref="E310:F310"/>
    <mergeCell ref="E311:F311"/>
    <mergeCell ref="E312:F312"/>
    <mergeCell ref="E313:F313"/>
    <mergeCell ref="E314:F314"/>
    <mergeCell ref="E315:F315"/>
    <mergeCell ref="E316:F316"/>
    <mergeCell ref="H318:I318"/>
    <mergeCell ref="E321:F321"/>
    <mergeCell ref="E322:F322"/>
    <mergeCell ref="E323:F323"/>
    <mergeCell ref="E324:F324"/>
    <mergeCell ref="E325:F325"/>
    <mergeCell ref="E326:F326"/>
    <mergeCell ref="E327:F327"/>
    <mergeCell ref="H329:I329"/>
    <mergeCell ref="E332:F332"/>
    <mergeCell ref="E333:F333"/>
    <mergeCell ref="E334:F334"/>
    <mergeCell ref="E335:F335"/>
    <mergeCell ref="E336:F336"/>
    <mergeCell ref="E337:F337"/>
    <mergeCell ref="E338:F338"/>
    <mergeCell ref="H340:I340"/>
    <mergeCell ref="E343:F343"/>
    <mergeCell ref="E344:F344"/>
    <mergeCell ref="E345:F345"/>
    <mergeCell ref="E346:F346"/>
    <mergeCell ref="E347:F347"/>
    <mergeCell ref="E348:F348"/>
    <mergeCell ref="E349:F349"/>
    <mergeCell ref="H351:I351"/>
    <mergeCell ref="E354:F354"/>
    <mergeCell ref="E355:F355"/>
    <mergeCell ref="E356:F356"/>
    <mergeCell ref="E357:F357"/>
    <mergeCell ref="E358:F358"/>
    <mergeCell ref="E359:F359"/>
    <mergeCell ref="E360:F360"/>
    <mergeCell ref="H362:I362"/>
    <mergeCell ref="E365:F365"/>
    <mergeCell ref="E366:F366"/>
    <mergeCell ref="E367:F367"/>
    <mergeCell ref="E368:F368"/>
    <mergeCell ref="E369:F369"/>
    <mergeCell ref="E370:F370"/>
    <mergeCell ref="E371:F371"/>
    <mergeCell ref="H373:I373"/>
    <mergeCell ref="E376:F376"/>
    <mergeCell ref="E377:F377"/>
    <mergeCell ref="E378:F378"/>
    <mergeCell ref="E379:F379"/>
    <mergeCell ref="E380:F380"/>
    <mergeCell ref="E381:F381"/>
    <mergeCell ref="E382:F382"/>
    <mergeCell ref="H384:I384"/>
    <mergeCell ref="F387:G387"/>
    <mergeCell ref="E388:F388"/>
    <mergeCell ref="E389:F389"/>
    <mergeCell ref="E390:F390"/>
    <mergeCell ref="E391:F391"/>
    <mergeCell ref="H393:I393"/>
    <mergeCell ref="E396:F396"/>
    <mergeCell ref="E397:F397"/>
    <mergeCell ref="E398:F398"/>
    <mergeCell ref="E399:F399"/>
    <mergeCell ref="E400:F400"/>
    <mergeCell ref="E401:F401"/>
    <mergeCell ref="E402:F402"/>
    <mergeCell ref="E403:F403"/>
    <mergeCell ref="E404:F404"/>
    <mergeCell ref="E405:F405"/>
    <mergeCell ref="E406:F406"/>
    <mergeCell ref="E407:F407"/>
    <mergeCell ref="H409:I409"/>
    <mergeCell ref="E412:F412"/>
    <mergeCell ref="E413:F413"/>
    <mergeCell ref="E414:F414"/>
    <mergeCell ref="E415:F415"/>
    <mergeCell ref="E416:F416"/>
    <mergeCell ref="E417:F417"/>
    <mergeCell ref="E418:F418"/>
    <mergeCell ref="H420:I420"/>
    <mergeCell ref="E423:F423"/>
    <mergeCell ref="E424:F424"/>
    <mergeCell ref="E425:F425"/>
    <mergeCell ref="E426:F426"/>
    <mergeCell ref="E427:F427"/>
    <mergeCell ref="E428:F428"/>
    <mergeCell ref="E429:F429"/>
    <mergeCell ref="H431:I431"/>
    <mergeCell ref="E434:F434"/>
    <mergeCell ref="E435:F435"/>
    <mergeCell ref="E436:F436"/>
    <mergeCell ref="E437:F437"/>
    <mergeCell ref="E438:F438"/>
    <mergeCell ref="E439:F439"/>
    <mergeCell ref="E440:F440"/>
    <mergeCell ref="H442:I442"/>
    <mergeCell ref="E445:F445"/>
    <mergeCell ref="E446:F446"/>
    <mergeCell ref="E447:F447"/>
    <mergeCell ref="E448:F448"/>
    <mergeCell ref="E449:F449"/>
    <mergeCell ref="E450:F450"/>
    <mergeCell ref="E451:F451"/>
    <mergeCell ref="H453:I453"/>
    <mergeCell ref="F456:G456"/>
    <mergeCell ref="E457:F457"/>
    <mergeCell ref="E458:F458"/>
    <mergeCell ref="E459:F459"/>
    <mergeCell ref="E460:F460"/>
    <mergeCell ref="E461:F461"/>
    <mergeCell ref="E462:F462"/>
    <mergeCell ref="E463:F463"/>
    <mergeCell ref="E464:F464"/>
    <mergeCell ref="E465:F465"/>
    <mergeCell ref="E466:F466"/>
    <mergeCell ref="E467:F467"/>
    <mergeCell ref="E468:F468"/>
    <mergeCell ref="E469:F469"/>
    <mergeCell ref="E470:F470"/>
    <mergeCell ref="H472:I472"/>
    <mergeCell ref="E475:F475"/>
    <mergeCell ref="E476:F476"/>
    <mergeCell ref="E477:F477"/>
    <mergeCell ref="E478:F478"/>
    <mergeCell ref="E479:F479"/>
    <mergeCell ref="H481:I481"/>
    <mergeCell ref="E484:F484"/>
    <mergeCell ref="E485:F485"/>
    <mergeCell ref="E486:F486"/>
    <mergeCell ref="H488:I488"/>
    <mergeCell ref="F491:G491"/>
    <mergeCell ref="F492:G492"/>
    <mergeCell ref="E493:F493"/>
    <mergeCell ref="E494:F494"/>
    <mergeCell ref="E495:F495"/>
    <mergeCell ref="E496:F496"/>
    <mergeCell ref="E497:F497"/>
    <mergeCell ref="E498:F498"/>
    <mergeCell ref="E499:F499"/>
    <mergeCell ref="H501:I501"/>
    <mergeCell ref="E504:F504"/>
    <mergeCell ref="E505:F505"/>
    <mergeCell ref="E506:F506"/>
    <mergeCell ref="E507:F507"/>
    <mergeCell ref="E508:F508"/>
    <mergeCell ref="E509:F509"/>
    <mergeCell ref="E510:F510"/>
    <mergeCell ref="H512:I512"/>
    <mergeCell ref="E515:F515"/>
    <mergeCell ref="E516:F516"/>
    <mergeCell ref="E517:F517"/>
    <mergeCell ref="E518:F518"/>
    <mergeCell ref="E519:F519"/>
    <mergeCell ref="E520:F520"/>
    <mergeCell ref="E521:F521"/>
    <mergeCell ref="H523:I523"/>
    <mergeCell ref="E526:F526"/>
    <mergeCell ref="E527:F527"/>
    <mergeCell ref="E528:F528"/>
    <mergeCell ref="E529:F529"/>
    <mergeCell ref="E530:F530"/>
    <mergeCell ref="E531:F531"/>
    <mergeCell ref="E532:F532"/>
    <mergeCell ref="H534:I534"/>
    <mergeCell ref="E537:F537"/>
    <mergeCell ref="E538:F538"/>
    <mergeCell ref="E539:F539"/>
    <mergeCell ref="E540:F540"/>
    <mergeCell ref="E541:F541"/>
    <mergeCell ref="E542:F542"/>
    <mergeCell ref="E543:F543"/>
    <mergeCell ref="H545:I545"/>
    <mergeCell ref="E548:F548"/>
    <mergeCell ref="E549:F549"/>
    <mergeCell ref="E550:F550"/>
    <mergeCell ref="E551:F551"/>
    <mergeCell ref="E552:F552"/>
    <mergeCell ref="E553:F553"/>
    <mergeCell ref="E554:F554"/>
    <mergeCell ref="H556:I556"/>
    <mergeCell ref="E559:F559"/>
    <mergeCell ref="E560:F560"/>
    <mergeCell ref="E561:F561"/>
    <mergeCell ref="E562:F562"/>
    <mergeCell ref="E563:F563"/>
    <mergeCell ref="E564:F564"/>
    <mergeCell ref="E565:F565"/>
    <mergeCell ref="H567:I567"/>
    <mergeCell ref="E570:F570"/>
    <mergeCell ref="E571:F571"/>
    <mergeCell ref="E572:F572"/>
    <mergeCell ref="E573:F573"/>
    <mergeCell ref="E574:F574"/>
    <mergeCell ref="E575:F575"/>
    <mergeCell ref="E576:F576"/>
    <mergeCell ref="E577:F577"/>
    <mergeCell ref="H579:I579"/>
    <mergeCell ref="F582:G582"/>
    <mergeCell ref="E583:F583"/>
    <mergeCell ref="E584:F584"/>
    <mergeCell ref="E585:F585"/>
    <mergeCell ref="E586:F586"/>
    <mergeCell ref="E587:F587"/>
    <mergeCell ref="E588:F588"/>
    <mergeCell ref="E589:F589"/>
    <mergeCell ref="E590:F590"/>
    <mergeCell ref="E591:F591"/>
    <mergeCell ref="H593:I593"/>
    <mergeCell ref="E596:F596"/>
    <mergeCell ref="E597:F597"/>
    <mergeCell ref="E598:F598"/>
    <mergeCell ref="E599:F599"/>
    <mergeCell ref="E600:F600"/>
    <mergeCell ref="E601:F601"/>
    <mergeCell ref="E602:F602"/>
    <mergeCell ref="H604:I604"/>
    <mergeCell ref="E607:F607"/>
    <mergeCell ref="E608:F608"/>
    <mergeCell ref="E609:F609"/>
    <mergeCell ref="E610:F610"/>
    <mergeCell ref="E611:F611"/>
    <mergeCell ref="E612:F612"/>
    <mergeCell ref="E613:F613"/>
    <mergeCell ref="H615:I615"/>
    <mergeCell ref="E618:F618"/>
    <mergeCell ref="E619:F619"/>
    <mergeCell ref="E620:F620"/>
    <mergeCell ref="E621:F621"/>
    <mergeCell ref="E622:F622"/>
    <mergeCell ref="E623:F623"/>
    <mergeCell ref="E624:F624"/>
    <mergeCell ref="H626:I626"/>
    <mergeCell ref="E629:F629"/>
    <mergeCell ref="E630:F630"/>
    <mergeCell ref="E631:F631"/>
    <mergeCell ref="E632:F632"/>
    <mergeCell ref="E633:F633"/>
    <mergeCell ref="E634:F634"/>
    <mergeCell ref="E635:F635"/>
    <mergeCell ref="H637:I637"/>
    <mergeCell ref="E640:F640"/>
    <mergeCell ref="E641:F641"/>
    <mergeCell ref="E642:F642"/>
    <mergeCell ref="E643:F643"/>
    <mergeCell ref="E644:F644"/>
    <mergeCell ref="E645:F645"/>
    <mergeCell ref="E646:F646"/>
    <mergeCell ref="H648:I648"/>
    <mergeCell ref="E651:F651"/>
    <mergeCell ref="E652:F652"/>
    <mergeCell ref="E653:F653"/>
    <mergeCell ref="E654:F654"/>
    <mergeCell ref="E655:F655"/>
    <mergeCell ref="E656:F656"/>
    <mergeCell ref="E657:F657"/>
    <mergeCell ref="H659:I659"/>
    <mergeCell ref="E662:F662"/>
    <mergeCell ref="E663:F663"/>
    <mergeCell ref="E664:F664"/>
    <mergeCell ref="E665:F665"/>
    <mergeCell ref="E666:F666"/>
    <mergeCell ref="E667:F667"/>
    <mergeCell ref="E668:F668"/>
    <mergeCell ref="H670:I670"/>
    <mergeCell ref="F673:G673"/>
    <mergeCell ref="E674:F674"/>
    <mergeCell ref="E675:F675"/>
    <mergeCell ref="E676:F676"/>
    <mergeCell ref="E677:F677"/>
    <mergeCell ref="E678:F678"/>
    <mergeCell ref="E679:F679"/>
    <mergeCell ref="E680:F680"/>
    <mergeCell ref="E681:F681"/>
    <mergeCell ref="H683:I683"/>
    <mergeCell ref="E686:F686"/>
    <mergeCell ref="E687:F687"/>
    <mergeCell ref="E688:F688"/>
    <mergeCell ref="E689:F689"/>
    <mergeCell ref="E690:F690"/>
    <mergeCell ref="E691:F691"/>
    <mergeCell ref="E692:F692"/>
    <mergeCell ref="H694:I694"/>
    <mergeCell ref="E697:F697"/>
    <mergeCell ref="E698:F698"/>
    <mergeCell ref="E699:F699"/>
    <mergeCell ref="E700:F700"/>
    <mergeCell ref="E701:F701"/>
    <mergeCell ref="E702:F702"/>
    <mergeCell ref="E703:F703"/>
    <mergeCell ref="H705:I705"/>
    <mergeCell ref="E708:F708"/>
    <mergeCell ref="E709:F709"/>
    <mergeCell ref="E710:F710"/>
    <mergeCell ref="E711:F711"/>
    <mergeCell ref="E712:F712"/>
    <mergeCell ref="E713:F713"/>
    <mergeCell ref="E714:F714"/>
    <mergeCell ref="H716:I716"/>
    <mergeCell ref="E719:F719"/>
    <mergeCell ref="E720:F720"/>
    <mergeCell ref="E721:F721"/>
    <mergeCell ref="E722:F722"/>
    <mergeCell ref="E723:F723"/>
    <mergeCell ref="E724:F724"/>
    <mergeCell ref="E725:F725"/>
    <mergeCell ref="H727:I727"/>
    <mergeCell ref="E730:F730"/>
    <mergeCell ref="E731:F731"/>
    <mergeCell ref="E732:F732"/>
    <mergeCell ref="E733:F733"/>
    <mergeCell ref="E734:F734"/>
    <mergeCell ref="E735:F735"/>
    <mergeCell ref="E736:F736"/>
    <mergeCell ref="H738:I738"/>
    <mergeCell ref="E741:F741"/>
    <mergeCell ref="E742:F742"/>
    <mergeCell ref="E743:F743"/>
    <mergeCell ref="E744:F744"/>
    <mergeCell ref="E745:F745"/>
    <mergeCell ref="E746:F746"/>
    <mergeCell ref="H748:I748"/>
    <mergeCell ref="E751:F751"/>
    <mergeCell ref="E752:F752"/>
    <mergeCell ref="E753:F753"/>
    <mergeCell ref="E754:F754"/>
    <mergeCell ref="E755:F755"/>
    <mergeCell ref="E756:F756"/>
    <mergeCell ref="E757:F757"/>
    <mergeCell ref="E758:F758"/>
    <mergeCell ref="E759:F759"/>
    <mergeCell ref="E760:F760"/>
    <mergeCell ref="H762:I762"/>
    <mergeCell ref="E765:F765"/>
    <mergeCell ref="E766:F766"/>
    <mergeCell ref="E767:F767"/>
    <mergeCell ref="E768:F768"/>
    <mergeCell ref="E769:F769"/>
    <mergeCell ref="E770:F770"/>
    <mergeCell ref="E771:F771"/>
    <mergeCell ref="E772:F772"/>
    <mergeCell ref="E773:F773"/>
    <mergeCell ref="H775:I775"/>
    <mergeCell ref="E778:F778"/>
    <mergeCell ref="E779:F779"/>
    <mergeCell ref="E780:F780"/>
    <mergeCell ref="E781:F781"/>
    <mergeCell ref="E782:F782"/>
    <mergeCell ref="E783:F783"/>
    <mergeCell ref="E784:F784"/>
    <mergeCell ref="E785:F785"/>
    <mergeCell ref="H787:I787"/>
    <mergeCell ref="F790:G790"/>
    <mergeCell ref="E791:F791"/>
    <mergeCell ref="E792:F792"/>
    <mergeCell ref="E793:F793"/>
    <mergeCell ref="E794:F794"/>
    <mergeCell ref="E795:F795"/>
    <mergeCell ref="E796:F796"/>
    <mergeCell ref="E797:F797"/>
    <mergeCell ref="E798:F798"/>
    <mergeCell ref="E799:F799"/>
    <mergeCell ref="H801:I801"/>
    <mergeCell ref="E804:F804"/>
    <mergeCell ref="E805:F805"/>
    <mergeCell ref="E806:F806"/>
    <mergeCell ref="E807:F807"/>
    <mergeCell ref="E808:F808"/>
    <mergeCell ref="E809:F809"/>
    <mergeCell ref="E810:F810"/>
    <mergeCell ref="H812:I812"/>
    <mergeCell ref="E815:F815"/>
    <mergeCell ref="E816:F816"/>
    <mergeCell ref="E817:F817"/>
    <mergeCell ref="E818:F818"/>
    <mergeCell ref="E819:F819"/>
    <mergeCell ref="E820:F820"/>
    <mergeCell ref="E821:F821"/>
    <mergeCell ref="H823:I823"/>
    <mergeCell ref="E826:F826"/>
    <mergeCell ref="E827:F827"/>
    <mergeCell ref="E828:F828"/>
    <mergeCell ref="E829:F829"/>
    <mergeCell ref="E830:F830"/>
    <mergeCell ref="E831:F831"/>
    <mergeCell ref="E832:F832"/>
    <mergeCell ref="H834:I834"/>
    <mergeCell ref="E837:F837"/>
    <mergeCell ref="E838:F838"/>
    <mergeCell ref="E839:F839"/>
    <mergeCell ref="E840:F840"/>
    <mergeCell ref="E841:F841"/>
    <mergeCell ref="E842:F842"/>
    <mergeCell ref="E843:F843"/>
    <mergeCell ref="H845:I845"/>
    <mergeCell ref="E848:F848"/>
    <mergeCell ref="E849:F849"/>
    <mergeCell ref="E850:F850"/>
    <mergeCell ref="E851:F851"/>
    <mergeCell ref="E852:F852"/>
    <mergeCell ref="E853:F853"/>
    <mergeCell ref="E854:F854"/>
    <mergeCell ref="H856:I856"/>
    <mergeCell ref="E859:F859"/>
    <mergeCell ref="E860:F860"/>
    <mergeCell ref="E861:F861"/>
    <mergeCell ref="E862:F862"/>
    <mergeCell ref="E863:F863"/>
    <mergeCell ref="E864:F864"/>
    <mergeCell ref="E865:F865"/>
    <mergeCell ref="E866:F866"/>
    <mergeCell ref="H868:I868"/>
    <mergeCell ref="E871:F871"/>
    <mergeCell ref="E872:F872"/>
    <mergeCell ref="E873:F873"/>
    <mergeCell ref="E874:F874"/>
    <mergeCell ref="E875:F875"/>
    <mergeCell ref="E876:F876"/>
    <mergeCell ref="E877:F877"/>
    <mergeCell ref="E878:F878"/>
    <mergeCell ref="H880:I880"/>
    <mergeCell ref="E883:F883"/>
    <mergeCell ref="E884:F884"/>
    <mergeCell ref="E885:F885"/>
    <mergeCell ref="E886:F886"/>
    <mergeCell ref="E887:F887"/>
    <mergeCell ref="E888:F888"/>
    <mergeCell ref="E889:F889"/>
    <mergeCell ref="E890:F890"/>
    <mergeCell ref="H892:I892"/>
    <mergeCell ref="F895:G895"/>
    <mergeCell ref="E896:F896"/>
    <mergeCell ref="E897:F897"/>
    <mergeCell ref="E898:F898"/>
    <mergeCell ref="E899:F899"/>
    <mergeCell ref="E900:F900"/>
    <mergeCell ref="H902:I902"/>
    <mergeCell ref="E905:F905"/>
    <mergeCell ref="E906:F906"/>
    <mergeCell ref="E907:F907"/>
    <mergeCell ref="E908:F908"/>
    <mergeCell ref="E909:F909"/>
    <mergeCell ref="H911:I911"/>
    <mergeCell ref="E914:F914"/>
    <mergeCell ref="E915:F915"/>
    <mergeCell ref="E916:F916"/>
    <mergeCell ref="E917:F917"/>
    <mergeCell ref="E918:F918"/>
    <mergeCell ref="E919:F919"/>
    <mergeCell ref="E920:F920"/>
    <mergeCell ref="E921:F921"/>
    <mergeCell ref="E922:F922"/>
    <mergeCell ref="H924:I924"/>
    <mergeCell ref="E927:F927"/>
    <mergeCell ref="E928:F928"/>
    <mergeCell ref="E929:F929"/>
    <mergeCell ref="E930:F930"/>
    <mergeCell ref="E931:F931"/>
    <mergeCell ref="E932:F932"/>
    <mergeCell ref="E933:F933"/>
    <mergeCell ref="E934:F934"/>
    <mergeCell ref="E935:F935"/>
    <mergeCell ref="E936:F936"/>
    <mergeCell ref="H938:I938"/>
    <mergeCell ref="E941:F941"/>
    <mergeCell ref="E942:F942"/>
    <mergeCell ref="E943:F943"/>
    <mergeCell ref="E944:F944"/>
    <mergeCell ref="E945:F945"/>
    <mergeCell ref="E946:F946"/>
    <mergeCell ref="E947:F947"/>
    <mergeCell ref="E948:F948"/>
    <mergeCell ref="H950:I950"/>
    <mergeCell ref="F953:G953"/>
    <mergeCell ref="F954:G954"/>
    <mergeCell ref="E955:F955"/>
    <mergeCell ref="E956:F956"/>
    <mergeCell ref="E957:F957"/>
    <mergeCell ref="E958:F958"/>
    <mergeCell ref="E959:F959"/>
    <mergeCell ref="E960:F960"/>
    <mergeCell ref="E961:F961"/>
    <mergeCell ref="E962:F962"/>
    <mergeCell ref="H964:I964"/>
    <mergeCell ref="E967:F967"/>
    <mergeCell ref="E968:F968"/>
    <mergeCell ref="E969:F969"/>
    <mergeCell ref="E970:F970"/>
    <mergeCell ref="E971:F971"/>
    <mergeCell ref="E972:F972"/>
    <mergeCell ref="E973:F973"/>
    <mergeCell ref="E974:F974"/>
    <mergeCell ref="H976:I976"/>
    <mergeCell ref="E979:F979"/>
    <mergeCell ref="E980:F980"/>
    <mergeCell ref="E981:F981"/>
    <mergeCell ref="E982:F982"/>
    <mergeCell ref="E983:F983"/>
    <mergeCell ref="E984:F984"/>
    <mergeCell ref="E985:F985"/>
    <mergeCell ref="E986:F986"/>
    <mergeCell ref="E987:F987"/>
    <mergeCell ref="E988:F988"/>
    <mergeCell ref="E989:F989"/>
    <mergeCell ref="H991:I991"/>
    <mergeCell ref="E994:F994"/>
    <mergeCell ref="E995:F995"/>
    <mergeCell ref="E996:F996"/>
    <mergeCell ref="E997:F997"/>
    <mergeCell ref="E998:F998"/>
    <mergeCell ref="E999:F999"/>
    <mergeCell ref="H1001:I1001"/>
    <mergeCell ref="E1004:F1004"/>
    <mergeCell ref="E1005:F1005"/>
    <mergeCell ref="E1006:F1006"/>
    <mergeCell ref="E1007:F1007"/>
    <mergeCell ref="E1008:F1008"/>
    <mergeCell ref="E1009:F1009"/>
    <mergeCell ref="E1010:F1010"/>
    <mergeCell ref="E1011:F1011"/>
    <mergeCell ref="H1013:I1013"/>
    <mergeCell ref="E1016:F1016"/>
    <mergeCell ref="E1017:F1017"/>
    <mergeCell ref="E1018:F1018"/>
    <mergeCell ref="E1019:F1019"/>
    <mergeCell ref="E1020:F1020"/>
    <mergeCell ref="E1021:F1021"/>
    <mergeCell ref="E1022:F1022"/>
    <mergeCell ref="E1023:F1023"/>
    <mergeCell ref="H1025:I1025"/>
    <mergeCell ref="F1028:G1028"/>
    <mergeCell ref="E1029:F1029"/>
    <mergeCell ref="E1030:F1030"/>
    <mergeCell ref="E1031:F1031"/>
    <mergeCell ref="H1033:I1033"/>
    <mergeCell ref="F1036:G1036"/>
    <mergeCell ref="E1037:F1037"/>
    <mergeCell ref="E1038:F1038"/>
    <mergeCell ref="E1039:F1039"/>
    <mergeCell ref="E1040:F1040"/>
    <mergeCell ref="E1041:F1041"/>
    <mergeCell ref="E1042:F1042"/>
    <mergeCell ref="E1043:F1043"/>
    <mergeCell ref="E1044:F1044"/>
    <mergeCell ref="E1045:F1045"/>
    <mergeCell ref="E1046:F1046"/>
    <mergeCell ref="E1047:F1047"/>
    <mergeCell ref="E1048:F1048"/>
    <mergeCell ref="E1049:F1049"/>
    <mergeCell ref="E1050:F1050"/>
    <mergeCell ref="H1052:I1052"/>
    <mergeCell ref="E1055:F1055"/>
    <mergeCell ref="E1056:F1056"/>
    <mergeCell ref="E1057:F1057"/>
    <mergeCell ref="E1058:F1058"/>
    <mergeCell ref="E1059:F1059"/>
    <mergeCell ref="E1060:F1060"/>
    <mergeCell ref="E1061:F1061"/>
    <mergeCell ref="E1062:F1062"/>
    <mergeCell ref="E1063:F1063"/>
    <mergeCell ref="E1064:F1064"/>
    <mergeCell ref="E1065:F1065"/>
    <mergeCell ref="E1066:F1066"/>
    <mergeCell ref="E1067:F1067"/>
    <mergeCell ref="E1068:F1068"/>
    <mergeCell ref="H1070:I1070"/>
    <mergeCell ref="F1073:G1073"/>
    <mergeCell ref="E1074:F1074"/>
    <mergeCell ref="E1075:F1075"/>
    <mergeCell ref="E1076:F1076"/>
    <mergeCell ref="E1077:F1077"/>
    <mergeCell ref="E1078:F1078"/>
    <mergeCell ref="H1080:I1080"/>
    <mergeCell ref="E1083:F1083"/>
    <mergeCell ref="E1084:F1084"/>
    <mergeCell ref="E1085:F1085"/>
    <mergeCell ref="E1086:F1086"/>
    <mergeCell ref="E1087:F1087"/>
    <mergeCell ref="E1088:F1088"/>
    <mergeCell ref="E1089:F1089"/>
    <mergeCell ref="H1091:I1091"/>
    <mergeCell ref="F1094:G1094"/>
    <mergeCell ref="F1095:G1095"/>
    <mergeCell ref="E1096:F1096"/>
    <mergeCell ref="E1097:F1097"/>
    <mergeCell ref="E1098:F1098"/>
    <mergeCell ref="E1099:F1099"/>
    <mergeCell ref="E1100:F1100"/>
    <mergeCell ref="H1102:I1102"/>
    <mergeCell ref="E1105:F1105"/>
    <mergeCell ref="E1106:F1106"/>
    <mergeCell ref="E1107:F1107"/>
    <mergeCell ref="E1108:F1108"/>
    <mergeCell ref="E1109:F1109"/>
    <mergeCell ref="E1110:F1110"/>
    <mergeCell ref="E1111:F1111"/>
    <mergeCell ref="H1113:I1113"/>
    <mergeCell ref="F1116:G1116"/>
    <mergeCell ref="E1117:F1117"/>
    <mergeCell ref="E1118:F1118"/>
    <mergeCell ref="E1119:F1119"/>
    <mergeCell ref="E1120:F1120"/>
    <mergeCell ref="E1121:F1121"/>
    <mergeCell ref="E1122:F1122"/>
    <mergeCell ref="H1124:I1124"/>
    <mergeCell ref="E1127:F1127"/>
    <mergeCell ref="E1128:F1128"/>
    <mergeCell ref="E1129:F1129"/>
    <mergeCell ref="E1130:F1130"/>
    <mergeCell ref="E1131:F1131"/>
    <mergeCell ref="E1132:F1132"/>
    <mergeCell ref="E1133:F1133"/>
    <mergeCell ref="H1135:I1135"/>
    <mergeCell ref="E1138:F1138"/>
    <mergeCell ref="E1139:F1139"/>
    <mergeCell ref="E1140:F1140"/>
    <mergeCell ref="E1141:F1141"/>
    <mergeCell ref="E1142:F1142"/>
    <mergeCell ref="H1144:I1144"/>
    <mergeCell ref="E1147:F1147"/>
    <mergeCell ref="E1148:F1148"/>
    <mergeCell ref="E1149:F1149"/>
    <mergeCell ref="E1150:F1150"/>
    <mergeCell ref="E1151:F1151"/>
    <mergeCell ref="H1153:I1153"/>
    <mergeCell ref="E1156:F1156"/>
    <mergeCell ref="E1157:F1157"/>
    <mergeCell ref="E1158:F1158"/>
    <mergeCell ref="E1159:F1159"/>
    <mergeCell ref="E1160:F1160"/>
    <mergeCell ref="E1161:F1161"/>
    <mergeCell ref="H1163:I1163"/>
    <mergeCell ref="E1166:F1166"/>
    <mergeCell ref="E1167:F1167"/>
    <mergeCell ref="E1168:F1168"/>
    <mergeCell ref="E1169:F1169"/>
    <mergeCell ref="E1170:F1170"/>
    <mergeCell ref="H1172:I1172"/>
    <mergeCell ref="E1175:F1175"/>
    <mergeCell ref="E1176:F1176"/>
    <mergeCell ref="E1177:F1177"/>
    <mergeCell ref="E1178:F1178"/>
    <mergeCell ref="E1179:F1179"/>
    <mergeCell ref="E1180:F1180"/>
    <mergeCell ref="E1181:F1181"/>
    <mergeCell ref="H1183:I1183"/>
    <mergeCell ref="F1186:G1186"/>
    <mergeCell ref="E1187:F1187"/>
    <mergeCell ref="E1188:F1188"/>
    <mergeCell ref="E1189:F1189"/>
    <mergeCell ref="E1190:F1190"/>
    <mergeCell ref="E1191:F1191"/>
    <mergeCell ref="H1193:I1193"/>
    <mergeCell ref="F1196:G1196"/>
    <mergeCell ref="E1197:F1197"/>
    <mergeCell ref="E1198:F1198"/>
    <mergeCell ref="E1199:F1199"/>
    <mergeCell ref="E1200:F1200"/>
    <mergeCell ref="E1201:F1201"/>
    <mergeCell ref="H1203:I1203"/>
    <mergeCell ref="E1206:F1206"/>
    <mergeCell ref="E1207:F1207"/>
    <mergeCell ref="E1208:F1208"/>
    <mergeCell ref="E1209:F1209"/>
    <mergeCell ref="E1210:F1210"/>
    <mergeCell ref="H1212:I1212"/>
    <mergeCell ref="F1215:G1215"/>
    <mergeCell ref="F1216:G1216"/>
    <mergeCell ref="F1217:G1217"/>
    <mergeCell ref="E1218:F1218"/>
    <mergeCell ref="E1219:F1219"/>
    <mergeCell ref="E1220:F1220"/>
    <mergeCell ref="E1221:F1221"/>
    <mergeCell ref="E1222:F1222"/>
    <mergeCell ref="E1223:F1223"/>
    <mergeCell ref="H1225:I1225"/>
    <mergeCell ref="E1228:F1228"/>
    <mergeCell ref="E1229:F1229"/>
    <mergeCell ref="E1230:F1230"/>
    <mergeCell ref="E1231:F1231"/>
    <mergeCell ref="E1232:F1232"/>
    <mergeCell ref="E1233:F1233"/>
    <mergeCell ref="H1235:I1235"/>
    <mergeCell ref="E1238:F1238"/>
    <mergeCell ref="E1239:F1239"/>
    <mergeCell ref="E1240:F1240"/>
    <mergeCell ref="E1241:F1241"/>
    <mergeCell ref="E1242:F1242"/>
    <mergeCell ref="E1243:F1243"/>
    <mergeCell ref="H1245:I1245"/>
    <mergeCell ref="E1248:F1248"/>
    <mergeCell ref="E1249:F1249"/>
    <mergeCell ref="E1250:F1250"/>
    <mergeCell ref="E1251:F1251"/>
    <mergeCell ref="E1252:F1252"/>
    <mergeCell ref="E1253:F1253"/>
    <mergeCell ref="H1255:I1255"/>
    <mergeCell ref="E1258:F1258"/>
    <mergeCell ref="E1259:F1259"/>
    <mergeCell ref="E1260:F1260"/>
    <mergeCell ref="E1261:F1261"/>
    <mergeCell ref="E1262:F1262"/>
    <mergeCell ref="E1263:F1263"/>
    <mergeCell ref="E1264:F1264"/>
    <mergeCell ref="E1265:F1265"/>
    <mergeCell ref="H1267:I1267"/>
    <mergeCell ref="E1270:F1270"/>
    <mergeCell ref="E1271:F1271"/>
    <mergeCell ref="E1272:F1272"/>
    <mergeCell ref="E1273:F1273"/>
    <mergeCell ref="E1274:F1274"/>
    <mergeCell ref="E1275:F1275"/>
    <mergeCell ref="E1276:F1276"/>
    <mergeCell ref="E1277:F1277"/>
    <mergeCell ref="H1279:I1279"/>
    <mergeCell ref="E1282:F1282"/>
    <mergeCell ref="E1283:F1283"/>
    <mergeCell ref="E1284:F1284"/>
    <mergeCell ref="E1285:F1285"/>
    <mergeCell ref="E1286:F1286"/>
    <mergeCell ref="E1287:F1287"/>
    <mergeCell ref="E1288:F1288"/>
    <mergeCell ref="E1289:F1289"/>
    <mergeCell ref="H1291:I1291"/>
    <mergeCell ref="E1294:F1294"/>
    <mergeCell ref="E1295:F1295"/>
    <mergeCell ref="E1296:F1296"/>
    <mergeCell ref="E1297:F1297"/>
    <mergeCell ref="E1298:F1298"/>
    <mergeCell ref="E1299:F1299"/>
    <mergeCell ref="E1300:F1300"/>
    <mergeCell ref="E1301:F1301"/>
    <mergeCell ref="H1303:I1303"/>
    <mergeCell ref="E1306:F1306"/>
    <mergeCell ref="E1307:F1307"/>
    <mergeCell ref="E1308:F1308"/>
    <mergeCell ref="E1309:F1309"/>
    <mergeCell ref="E1310:F1310"/>
    <mergeCell ref="E1311:F1311"/>
    <mergeCell ref="E1312:F1312"/>
    <mergeCell ref="E1313:F1313"/>
    <mergeCell ref="H1315:I1315"/>
    <mergeCell ref="E1318:F1318"/>
    <mergeCell ref="E1319:F1319"/>
    <mergeCell ref="E1320:F1320"/>
    <mergeCell ref="E1321:F1321"/>
    <mergeCell ref="E1322:F1322"/>
    <mergeCell ref="E1323:F1323"/>
    <mergeCell ref="E1324:F1324"/>
    <mergeCell ref="E1325:F1325"/>
    <mergeCell ref="H1327:I1327"/>
    <mergeCell ref="E1330:F1330"/>
    <mergeCell ref="E1331:F1331"/>
    <mergeCell ref="E1332:F1332"/>
    <mergeCell ref="E1333:F1333"/>
    <mergeCell ref="E1334:F1334"/>
    <mergeCell ref="E1335:F1335"/>
    <mergeCell ref="E1336:F1336"/>
    <mergeCell ref="E1337:F1337"/>
    <mergeCell ref="H1339:I1339"/>
    <mergeCell ref="E1342:F1342"/>
    <mergeCell ref="E1343:F1343"/>
    <mergeCell ref="E1344:F1344"/>
    <mergeCell ref="E1345:F1345"/>
    <mergeCell ref="E1346:F1346"/>
    <mergeCell ref="E1347:F1347"/>
    <mergeCell ref="E1348:F1348"/>
    <mergeCell ref="E1349:F1349"/>
    <mergeCell ref="H1351:I1351"/>
    <mergeCell ref="E1354:F1354"/>
    <mergeCell ref="E1355:F1355"/>
    <mergeCell ref="E1356:F1356"/>
    <mergeCell ref="E1357:F1357"/>
    <mergeCell ref="E1358:F1358"/>
    <mergeCell ref="E1359:F1359"/>
    <mergeCell ref="E1360:F1360"/>
    <mergeCell ref="E1361:F1361"/>
    <mergeCell ref="H1363:I1363"/>
    <mergeCell ref="E1366:F1366"/>
    <mergeCell ref="E1367:F1367"/>
    <mergeCell ref="E1368:F1368"/>
    <mergeCell ref="E1369:F1369"/>
    <mergeCell ref="E1370:F1370"/>
    <mergeCell ref="E1371:F1371"/>
    <mergeCell ref="H1373:I1373"/>
    <mergeCell ref="E1376:F1376"/>
    <mergeCell ref="E1377:F1377"/>
    <mergeCell ref="E1378:F1378"/>
    <mergeCell ref="E1379:F1379"/>
    <mergeCell ref="E1380:F1380"/>
    <mergeCell ref="E1381:F1381"/>
    <mergeCell ref="E1382:F1382"/>
    <mergeCell ref="E1383:F1383"/>
    <mergeCell ref="H1385:I1385"/>
    <mergeCell ref="E1388:F1388"/>
    <mergeCell ref="E1389:F1389"/>
    <mergeCell ref="E1390:F1390"/>
    <mergeCell ref="E1391:F1391"/>
    <mergeCell ref="E1392:F1392"/>
    <mergeCell ref="E1393:F1393"/>
    <mergeCell ref="E1394:F1394"/>
    <mergeCell ref="E1395:F1395"/>
    <mergeCell ref="H1397:I1397"/>
    <mergeCell ref="E1400:F1400"/>
    <mergeCell ref="E1401:F1401"/>
    <mergeCell ref="E1402:F1402"/>
    <mergeCell ref="E1403:F1403"/>
    <mergeCell ref="E1404:F1404"/>
    <mergeCell ref="E1405:F1405"/>
    <mergeCell ref="E1406:F1406"/>
    <mergeCell ref="E1407:F1407"/>
    <mergeCell ref="H1409:I1409"/>
    <mergeCell ref="E1412:F1412"/>
    <mergeCell ref="E1413:F1413"/>
    <mergeCell ref="E1414:F1414"/>
    <mergeCell ref="E1415:F1415"/>
    <mergeCell ref="E1416:F1416"/>
    <mergeCell ref="E1417:F1417"/>
    <mergeCell ref="E1418:F1418"/>
    <mergeCell ref="E1419:F1419"/>
    <mergeCell ref="H1421:I1421"/>
    <mergeCell ref="E1424:F1424"/>
    <mergeCell ref="E1425:F1425"/>
    <mergeCell ref="E1426:F1426"/>
    <mergeCell ref="E1427:F1427"/>
    <mergeCell ref="E1428:F1428"/>
    <mergeCell ref="E1429:F1429"/>
    <mergeCell ref="E1430:F1430"/>
    <mergeCell ref="E1431:F1431"/>
    <mergeCell ref="H1433:I1433"/>
    <mergeCell ref="E1436:F1436"/>
    <mergeCell ref="E1437:F1437"/>
    <mergeCell ref="E1438:F1438"/>
    <mergeCell ref="E1439:F1439"/>
    <mergeCell ref="E1440:F1440"/>
    <mergeCell ref="E1441:F1441"/>
    <mergeCell ref="E1442:F1442"/>
    <mergeCell ref="E1443:F1443"/>
    <mergeCell ref="H1445:I1445"/>
    <mergeCell ref="E1448:F1448"/>
    <mergeCell ref="E1449:F1449"/>
    <mergeCell ref="E1450:F1450"/>
    <mergeCell ref="E1451:F1451"/>
    <mergeCell ref="E1452:F1452"/>
    <mergeCell ref="E1453:F1453"/>
    <mergeCell ref="E1454:F1454"/>
    <mergeCell ref="E1455:F1455"/>
    <mergeCell ref="H1457:I1457"/>
    <mergeCell ref="E1460:F1460"/>
    <mergeCell ref="E1461:F1461"/>
    <mergeCell ref="E1462:F1462"/>
    <mergeCell ref="E1463:F1463"/>
    <mergeCell ref="E1464:F1464"/>
    <mergeCell ref="E1465:F1465"/>
    <mergeCell ref="E1466:F1466"/>
    <mergeCell ref="E1467:F1467"/>
    <mergeCell ref="H1469:I1469"/>
    <mergeCell ref="E1472:F1472"/>
    <mergeCell ref="E1473:F1473"/>
    <mergeCell ref="E1474:F1474"/>
    <mergeCell ref="E1475:F1475"/>
    <mergeCell ref="E1476:F1476"/>
    <mergeCell ref="E1477:F1477"/>
    <mergeCell ref="E1478:F1478"/>
    <mergeCell ref="E1479:F1479"/>
    <mergeCell ref="H1481:I1481"/>
    <mergeCell ref="E1484:F1484"/>
    <mergeCell ref="E1485:F1485"/>
    <mergeCell ref="E1486:F1486"/>
    <mergeCell ref="E1487:F1487"/>
    <mergeCell ref="E1488:F1488"/>
    <mergeCell ref="E1489:F1489"/>
    <mergeCell ref="E1490:F1490"/>
    <mergeCell ref="E1491:F1491"/>
    <mergeCell ref="H1493:I1493"/>
    <mergeCell ref="E1496:F1496"/>
    <mergeCell ref="E1497:F1497"/>
    <mergeCell ref="E1498:F1498"/>
    <mergeCell ref="E1499:F1499"/>
    <mergeCell ref="E1500:F1500"/>
    <mergeCell ref="E1501:F1501"/>
    <mergeCell ref="E1502:F1502"/>
    <mergeCell ref="H1504:I1504"/>
    <mergeCell ref="E1507:F1507"/>
    <mergeCell ref="E1508:F1508"/>
    <mergeCell ref="E1509:F1509"/>
    <mergeCell ref="E1510:F1510"/>
    <mergeCell ref="E1511:F1511"/>
    <mergeCell ref="E1512:F1512"/>
    <mergeCell ref="E1513:F1513"/>
    <mergeCell ref="H1515:I1515"/>
    <mergeCell ref="E1518:F1518"/>
    <mergeCell ref="E1519:F1519"/>
    <mergeCell ref="E1520:F1520"/>
    <mergeCell ref="E1521:F1521"/>
    <mergeCell ref="E1522:F1522"/>
    <mergeCell ref="E1523:F1523"/>
    <mergeCell ref="E1524:F1524"/>
    <mergeCell ref="E1525:F1525"/>
    <mergeCell ref="H1527:I1527"/>
    <mergeCell ref="E1530:F1530"/>
    <mergeCell ref="E1531:F1531"/>
    <mergeCell ref="E1532:F1532"/>
    <mergeCell ref="E1533:F1533"/>
    <mergeCell ref="E1534:F1534"/>
    <mergeCell ref="E1535:F1535"/>
    <mergeCell ref="H1537:I1537"/>
    <mergeCell ref="E1540:F1540"/>
    <mergeCell ref="E1541:F1541"/>
    <mergeCell ref="E1542:F1542"/>
    <mergeCell ref="E1543:F1543"/>
    <mergeCell ref="E1544:F1544"/>
    <mergeCell ref="E1545:F1545"/>
    <mergeCell ref="H1547:I1547"/>
    <mergeCell ref="E1550:F1550"/>
    <mergeCell ref="E1551:F1551"/>
    <mergeCell ref="E1552:F1552"/>
    <mergeCell ref="E1553:F1553"/>
    <mergeCell ref="E1554:F1554"/>
    <mergeCell ref="E1555:F1555"/>
    <mergeCell ref="H1557:I1557"/>
    <mergeCell ref="E1560:F1560"/>
    <mergeCell ref="E1561:F1561"/>
    <mergeCell ref="E1562:F1562"/>
    <mergeCell ref="E1563:F1563"/>
    <mergeCell ref="E1564:F1564"/>
    <mergeCell ref="H1566:I1566"/>
    <mergeCell ref="E1569:F1569"/>
    <mergeCell ref="E1570:F1570"/>
    <mergeCell ref="E1571:F1571"/>
    <mergeCell ref="E1572:F1572"/>
    <mergeCell ref="E1573:F1573"/>
    <mergeCell ref="E1574:F1574"/>
    <mergeCell ref="H1576:I1576"/>
    <mergeCell ref="F1579:G1579"/>
    <mergeCell ref="E1580:F1580"/>
    <mergeCell ref="E1581:F1581"/>
    <mergeCell ref="E1582:F1582"/>
    <mergeCell ref="E1583:F1583"/>
    <mergeCell ref="E1584:F1584"/>
    <mergeCell ref="E1585:F1585"/>
    <mergeCell ref="E1586:F1586"/>
    <mergeCell ref="H1588:I1588"/>
    <mergeCell ref="E1591:F1591"/>
    <mergeCell ref="E1592:F1592"/>
    <mergeCell ref="E1593:F1593"/>
    <mergeCell ref="E1594:F1594"/>
    <mergeCell ref="E1595:F1595"/>
    <mergeCell ref="E1596:F1596"/>
    <mergeCell ref="H1598:I1598"/>
    <mergeCell ref="E1601:F1601"/>
    <mergeCell ref="E1602:F1602"/>
    <mergeCell ref="H1604:I1604"/>
    <mergeCell ref="E1607:F1607"/>
    <mergeCell ref="E1608:F1608"/>
    <mergeCell ref="E1609:F1609"/>
    <mergeCell ref="E1610:F1610"/>
    <mergeCell ref="E1611:F1611"/>
    <mergeCell ref="E1612:F1612"/>
    <mergeCell ref="H1614:I1614"/>
    <mergeCell ref="E1617:F1617"/>
    <mergeCell ref="E1618:F1618"/>
    <mergeCell ref="E1619:F1619"/>
    <mergeCell ref="E1620:F1620"/>
    <mergeCell ref="E1621:F1621"/>
    <mergeCell ref="E1622:F1622"/>
    <mergeCell ref="E1623:F1623"/>
    <mergeCell ref="E1624:F1624"/>
    <mergeCell ref="H1626:I1626"/>
    <mergeCell ref="E1629:F1629"/>
    <mergeCell ref="E1630:F1630"/>
    <mergeCell ref="E1631:F1631"/>
    <mergeCell ref="E1632:F1632"/>
    <mergeCell ref="E1633:F1633"/>
    <mergeCell ref="E1634:F1634"/>
    <mergeCell ref="H1636:I1636"/>
    <mergeCell ref="E1639:F1639"/>
    <mergeCell ref="E1640:F1640"/>
    <mergeCell ref="E1641:F1641"/>
    <mergeCell ref="E1642:F1642"/>
    <mergeCell ref="E1643:F1643"/>
    <mergeCell ref="H1645:I1645"/>
    <mergeCell ref="F1648:G1648"/>
    <mergeCell ref="E1649:F1649"/>
    <mergeCell ref="E1650:F1650"/>
    <mergeCell ref="E1651:F1651"/>
    <mergeCell ref="E1652:F1652"/>
    <mergeCell ref="H1654:I1654"/>
    <mergeCell ref="E1657:F1657"/>
    <mergeCell ref="E1658:F1658"/>
    <mergeCell ref="E1659:F1659"/>
    <mergeCell ref="E1660:F1660"/>
    <mergeCell ref="E1661:F1661"/>
    <mergeCell ref="E1662:F1662"/>
    <mergeCell ref="H1664:I1664"/>
    <mergeCell ref="E1667:F1667"/>
    <mergeCell ref="E1668:F1668"/>
    <mergeCell ref="E1669:F1669"/>
    <mergeCell ref="E1670:F1670"/>
    <mergeCell ref="E1671:F1671"/>
    <mergeCell ref="E1672:F1672"/>
    <mergeCell ref="H1674:I1674"/>
    <mergeCell ref="E1677:F1677"/>
    <mergeCell ref="E1678:F1678"/>
    <mergeCell ref="E1679:F1679"/>
    <mergeCell ref="E1680:F1680"/>
    <mergeCell ref="E1681:F1681"/>
    <mergeCell ref="E1682:F1682"/>
    <mergeCell ref="H1684:I1684"/>
    <mergeCell ref="E1687:F1687"/>
    <mergeCell ref="E1688:F1688"/>
    <mergeCell ref="E1689:F1689"/>
    <mergeCell ref="E1690:F1690"/>
    <mergeCell ref="E1691:F1691"/>
    <mergeCell ref="E1692:F1692"/>
    <mergeCell ref="H1694:I1694"/>
    <mergeCell ref="E1697:F1697"/>
    <mergeCell ref="E1698:F1698"/>
    <mergeCell ref="E1699:F1699"/>
    <mergeCell ref="E1700:F1700"/>
    <mergeCell ref="E1701:F1701"/>
    <mergeCell ref="E1702:F1702"/>
    <mergeCell ref="E1703:F1703"/>
    <mergeCell ref="E1704:F1704"/>
    <mergeCell ref="H1706:I1706"/>
    <mergeCell ref="E1709:F1709"/>
    <mergeCell ref="E1710:F1710"/>
    <mergeCell ref="E1711:F1711"/>
    <mergeCell ref="E1712:F1712"/>
    <mergeCell ref="E1713:F1713"/>
    <mergeCell ref="E1714:F1714"/>
    <mergeCell ref="E1715:F1715"/>
    <mergeCell ref="E1716:F1716"/>
    <mergeCell ref="H1718:I1718"/>
    <mergeCell ref="E1721:F1721"/>
    <mergeCell ref="E1722:F1722"/>
    <mergeCell ref="E1723:F1723"/>
    <mergeCell ref="E1724:F1724"/>
    <mergeCell ref="E1725:F1725"/>
    <mergeCell ref="E1726:F1726"/>
    <mergeCell ref="E1727:F1727"/>
    <mergeCell ref="H1729:I1729"/>
    <mergeCell ref="E1732:F1732"/>
    <mergeCell ref="E1733:F1733"/>
    <mergeCell ref="E1734:F1734"/>
    <mergeCell ref="E1735:F1735"/>
    <mergeCell ref="E1736:F1736"/>
    <mergeCell ref="E1737:F1737"/>
    <mergeCell ref="E1738:F1738"/>
    <mergeCell ref="H1740:I1740"/>
    <mergeCell ref="E1743:F1743"/>
    <mergeCell ref="E1744:F1744"/>
    <mergeCell ref="E1745:F1745"/>
    <mergeCell ref="E1746:F1746"/>
    <mergeCell ref="E1747:F1747"/>
    <mergeCell ref="E1748:F1748"/>
    <mergeCell ref="E1749:F1749"/>
    <mergeCell ref="H1751:I1751"/>
    <mergeCell ref="E1754:F1754"/>
    <mergeCell ref="E1755:F1755"/>
    <mergeCell ref="E1756:F1756"/>
    <mergeCell ref="E1757:F1757"/>
    <mergeCell ref="E1758:F1758"/>
    <mergeCell ref="E1759:F1759"/>
    <mergeCell ref="E1760:F1760"/>
    <mergeCell ref="H1762:I1762"/>
    <mergeCell ref="E1765:F1765"/>
    <mergeCell ref="E1766:F1766"/>
    <mergeCell ref="E1767:F1767"/>
    <mergeCell ref="E1768:F1768"/>
    <mergeCell ref="E1769:F1769"/>
    <mergeCell ref="E1770:F1770"/>
    <mergeCell ref="E1771:F1771"/>
    <mergeCell ref="E1772:F1772"/>
    <mergeCell ref="H1774:I1774"/>
    <mergeCell ref="E1777:F1777"/>
    <mergeCell ref="E1778:F1778"/>
    <mergeCell ref="E1779:F1779"/>
    <mergeCell ref="E1780:F1780"/>
    <mergeCell ref="E1781:F1781"/>
    <mergeCell ref="E1782:F1782"/>
    <mergeCell ref="E1783:F1783"/>
    <mergeCell ref="E1784:F1784"/>
    <mergeCell ref="H1786:I1786"/>
    <mergeCell ref="E1789:F1789"/>
    <mergeCell ref="E1790:F1790"/>
    <mergeCell ref="E1791:F1791"/>
    <mergeCell ref="E1792:F1792"/>
    <mergeCell ref="E1793:F1793"/>
    <mergeCell ref="E1794:F1794"/>
    <mergeCell ref="E1795:F1795"/>
    <mergeCell ref="H1797:I1797"/>
    <mergeCell ref="E1800:F1800"/>
    <mergeCell ref="E1801:F1801"/>
    <mergeCell ref="E1802:F1802"/>
    <mergeCell ref="E1803:F1803"/>
    <mergeCell ref="E1804:F1804"/>
    <mergeCell ref="E1805:F1805"/>
    <mergeCell ref="E1806:F1806"/>
    <mergeCell ref="H1808:I1808"/>
    <mergeCell ref="E1811:F1811"/>
    <mergeCell ref="E1812:F1812"/>
    <mergeCell ref="E1813:F1813"/>
    <mergeCell ref="E1814:F1814"/>
    <mergeCell ref="E1815:F1815"/>
    <mergeCell ref="E1816:F1816"/>
    <mergeCell ref="E1817:F1817"/>
    <mergeCell ref="H1819:I1819"/>
    <mergeCell ref="E1822:F1822"/>
    <mergeCell ref="E1823:F1823"/>
    <mergeCell ref="E1824:F1824"/>
    <mergeCell ref="E1825:F1825"/>
    <mergeCell ref="E1826:F1826"/>
    <mergeCell ref="E1827:F1827"/>
    <mergeCell ref="E1828:F1828"/>
    <mergeCell ref="E1829:F1829"/>
    <mergeCell ref="H1831:I1831"/>
    <mergeCell ref="E1834:F1834"/>
    <mergeCell ref="E1835:F1835"/>
    <mergeCell ref="E1836:F1836"/>
    <mergeCell ref="E1837:F1837"/>
    <mergeCell ref="E1838:F1838"/>
    <mergeCell ref="E1839:F1839"/>
    <mergeCell ref="E1840:F1840"/>
    <mergeCell ref="H1842:I1842"/>
    <mergeCell ref="E1845:F1845"/>
    <mergeCell ref="E1846:F1846"/>
    <mergeCell ref="E1847:F1847"/>
    <mergeCell ref="E1848:F1848"/>
    <mergeCell ref="E1849:F1849"/>
    <mergeCell ref="E1850:F1850"/>
    <mergeCell ref="E1851:F1851"/>
    <mergeCell ref="E1852:F1852"/>
    <mergeCell ref="H1854:I1854"/>
    <mergeCell ref="E1857:F1857"/>
    <mergeCell ref="E1858:F1858"/>
    <mergeCell ref="E1859:F1859"/>
    <mergeCell ref="E1860:F1860"/>
    <mergeCell ref="E1861:F1861"/>
    <mergeCell ref="E1862:F1862"/>
    <mergeCell ref="E1863:F1863"/>
    <mergeCell ref="E1864:F1864"/>
    <mergeCell ref="H1866:I1866"/>
    <mergeCell ref="E1869:F1869"/>
    <mergeCell ref="E1870:F1870"/>
    <mergeCell ref="E1871:F1871"/>
    <mergeCell ref="E1872:F1872"/>
    <mergeCell ref="E1873:F1873"/>
    <mergeCell ref="E1874:F1874"/>
    <mergeCell ref="E1875:F1875"/>
    <mergeCell ref="H1877:I1877"/>
    <mergeCell ref="E1880:F1880"/>
    <mergeCell ref="E1881:F1881"/>
    <mergeCell ref="E1882:F1882"/>
    <mergeCell ref="E1883:F1883"/>
    <mergeCell ref="E1884:F1884"/>
    <mergeCell ref="E1885:F1885"/>
    <mergeCell ref="E1886:F1886"/>
    <mergeCell ref="E1887:F1887"/>
    <mergeCell ref="E1888:F1888"/>
    <mergeCell ref="E1889:F1889"/>
    <mergeCell ref="H1891:I1891"/>
    <mergeCell ref="E1894:F1894"/>
    <mergeCell ref="E1895:F1895"/>
    <mergeCell ref="E1896:F1896"/>
    <mergeCell ref="E1897:F1897"/>
    <mergeCell ref="E1898:F1898"/>
    <mergeCell ref="E1899:F1899"/>
    <mergeCell ref="E1900:F1900"/>
    <mergeCell ref="E1901:F1901"/>
    <mergeCell ref="H1903:I1903"/>
    <mergeCell ref="E1906:F1906"/>
    <mergeCell ref="E1907:F1907"/>
    <mergeCell ref="E1908:F1908"/>
    <mergeCell ref="E1909:F1909"/>
    <mergeCell ref="E1910:F1910"/>
    <mergeCell ref="E1911:F1911"/>
    <mergeCell ref="E1912:F1912"/>
    <mergeCell ref="H1914:I1914"/>
    <mergeCell ref="E1917:F1917"/>
    <mergeCell ref="E1918:F1918"/>
    <mergeCell ref="E1919:F1919"/>
    <mergeCell ref="E1920:F1920"/>
    <mergeCell ref="E1921:F1921"/>
    <mergeCell ref="E1922:F1922"/>
    <mergeCell ref="E1923:F1923"/>
    <mergeCell ref="H1925:I1925"/>
    <mergeCell ref="E1928:F1928"/>
    <mergeCell ref="E1929:F1929"/>
    <mergeCell ref="E1930:F1930"/>
    <mergeCell ref="E1931:F1931"/>
    <mergeCell ref="E1932:F1932"/>
    <mergeCell ref="E1933:F1933"/>
    <mergeCell ref="E1934:F1934"/>
    <mergeCell ref="E1935:F1935"/>
    <mergeCell ref="H1937:I1937"/>
    <mergeCell ref="E1940:F1940"/>
    <mergeCell ref="E1941:F1941"/>
    <mergeCell ref="E1942:F1942"/>
    <mergeCell ref="E1943:F1943"/>
    <mergeCell ref="E1944:F1944"/>
    <mergeCell ref="E1945:F1945"/>
    <mergeCell ref="E1946:F1946"/>
    <mergeCell ref="E1947:F1947"/>
    <mergeCell ref="H1949:I1949"/>
    <mergeCell ref="E1952:F1952"/>
    <mergeCell ref="E1953:F1953"/>
    <mergeCell ref="E1954:F1954"/>
    <mergeCell ref="E1955:F1955"/>
    <mergeCell ref="E1956:F1956"/>
    <mergeCell ref="E1957:F1957"/>
    <mergeCell ref="E1958:F1958"/>
    <mergeCell ref="E1959:F1959"/>
    <mergeCell ref="H1961:I1961"/>
    <mergeCell ref="E1964:F1964"/>
    <mergeCell ref="E1965:F1965"/>
    <mergeCell ref="E1966:F1966"/>
    <mergeCell ref="E1967:F1967"/>
    <mergeCell ref="E1968:F1968"/>
    <mergeCell ref="E1969:F1969"/>
    <mergeCell ref="E1970:F1970"/>
    <mergeCell ref="E1971:F1971"/>
    <mergeCell ref="H1973:I1973"/>
    <mergeCell ref="E1976:F1976"/>
    <mergeCell ref="E1977:F1977"/>
    <mergeCell ref="E1978:F1978"/>
    <mergeCell ref="E1979:F1979"/>
    <mergeCell ref="E1980:F1980"/>
    <mergeCell ref="E1981:F1981"/>
    <mergeCell ref="E1982:F1982"/>
    <mergeCell ref="E1983:F1983"/>
    <mergeCell ref="H1985:I1985"/>
    <mergeCell ref="E1988:F1988"/>
    <mergeCell ref="E1989:F1989"/>
    <mergeCell ref="E1990:F1990"/>
    <mergeCell ref="E1991:F1991"/>
    <mergeCell ref="E1992:F1992"/>
    <mergeCell ref="E1993:F1993"/>
    <mergeCell ref="E1994:F1994"/>
    <mergeCell ref="E1995:F1995"/>
    <mergeCell ref="H1997:I1997"/>
    <mergeCell ref="E2000:F2000"/>
    <mergeCell ref="E2001:F2001"/>
    <mergeCell ref="E2002:F2002"/>
    <mergeCell ref="E2003:F2003"/>
    <mergeCell ref="E2004:F2004"/>
    <mergeCell ref="E2005:F2005"/>
    <mergeCell ref="E2006:F2006"/>
    <mergeCell ref="E2007:F2007"/>
    <mergeCell ref="H2009:I2009"/>
    <mergeCell ref="E2012:F2012"/>
    <mergeCell ref="E2013:F2013"/>
    <mergeCell ref="E2014:F2014"/>
    <mergeCell ref="E2015:F2015"/>
    <mergeCell ref="E2016:F2016"/>
    <mergeCell ref="E2017:F2017"/>
    <mergeCell ref="E2018:F2018"/>
    <mergeCell ref="E2019:F2019"/>
    <mergeCell ref="H2021:I2021"/>
    <mergeCell ref="E2024:F2024"/>
    <mergeCell ref="E2025:F2025"/>
    <mergeCell ref="E2026:F2026"/>
    <mergeCell ref="E2027:F2027"/>
    <mergeCell ref="E2028:F2028"/>
    <mergeCell ref="E2029:F2029"/>
    <mergeCell ref="E2030:F2030"/>
    <mergeCell ref="H2032:I2032"/>
    <mergeCell ref="E2035:F2035"/>
    <mergeCell ref="E2036:F2036"/>
    <mergeCell ref="E2037:F2037"/>
    <mergeCell ref="E2038:F2038"/>
    <mergeCell ref="E2039:F2039"/>
    <mergeCell ref="E2040:F2040"/>
    <mergeCell ref="E2041:F2041"/>
    <mergeCell ref="E2042:F2042"/>
    <mergeCell ref="E2043:F2043"/>
    <mergeCell ref="H2045:I2045"/>
    <mergeCell ref="E2048:F2048"/>
    <mergeCell ref="E2049:F2049"/>
    <mergeCell ref="E2050:F2050"/>
    <mergeCell ref="E2051:F2051"/>
    <mergeCell ref="E2052:F2052"/>
    <mergeCell ref="E2053:F2053"/>
    <mergeCell ref="E2054:F2054"/>
    <mergeCell ref="E2055:F2055"/>
    <mergeCell ref="E2056:F2056"/>
    <mergeCell ref="E2057:F2057"/>
    <mergeCell ref="E2058:F2058"/>
    <mergeCell ref="E2059:F2059"/>
    <mergeCell ref="E2060:F2060"/>
    <mergeCell ref="E2061:F2061"/>
    <mergeCell ref="E2062:F2062"/>
    <mergeCell ref="H2064:I2064"/>
    <mergeCell ref="F2067:G2067"/>
    <mergeCell ref="E2068:F2068"/>
    <mergeCell ref="E2069:F2069"/>
    <mergeCell ref="E2070:F2070"/>
    <mergeCell ref="E2071:F2071"/>
    <mergeCell ref="E2072:F2072"/>
    <mergeCell ref="E2073:F2073"/>
    <mergeCell ref="E2074:F2074"/>
    <mergeCell ref="E2075:F2075"/>
    <mergeCell ref="H2077:I2077"/>
    <mergeCell ref="E2080:F2080"/>
    <mergeCell ref="E2081:F2081"/>
    <mergeCell ref="E2082:F2082"/>
    <mergeCell ref="E2083:F2083"/>
    <mergeCell ref="E2084:F2084"/>
    <mergeCell ref="E2085:F2085"/>
    <mergeCell ref="E2086:F2086"/>
    <mergeCell ref="E2087:F2087"/>
    <mergeCell ref="E2088:F2088"/>
    <mergeCell ref="H2090:I2090"/>
    <mergeCell ref="E2093:F2093"/>
    <mergeCell ref="E2094:F2094"/>
    <mergeCell ref="E2095:F2095"/>
    <mergeCell ref="E2096:F2096"/>
    <mergeCell ref="E2097:F2097"/>
    <mergeCell ref="E2098:F2098"/>
    <mergeCell ref="H2100:I2100"/>
    <mergeCell ref="E2103:F2103"/>
    <mergeCell ref="E2104:F2104"/>
    <mergeCell ref="E2105:F2105"/>
    <mergeCell ref="E2106:F2106"/>
    <mergeCell ref="E2107:F2107"/>
    <mergeCell ref="H2109:I2109"/>
    <mergeCell ref="E2112:F2112"/>
    <mergeCell ref="E2113:F2113"/>
    <mergeCell ref="E2114:F2114"/>
    <mergeCell ref="E2115:F2115"/>
    <mergeCell ref="E2116:F2116"/>
    <mergeCell ref="H2118:I2118"/>
    <mergeCell ref="E2121:F2121"/>
    <mergeCell ref="E2122:F2122"/>
    <mergeCell ref="E2123:F2123"/>
    <mergeCell ref="E2124:F2124"/>
    <mergeCell ref="E2125:F2125"/>
    <mergeCell ref="E2126:F2126"/>
    <mergeCell ref="E2127:F2127"/>
    <mergeCell ref="E2128:F2128"/>
    <mergeCell ref="H2130:I2130"/>
    <mergeCell ref="E2133:F2133"/>
    <mergeCell ref="E2134:F2134"/>
    <mergeCell ref="E2135:F2135"/>
    <mergeCell ref="H2137:I2137"/>
    <mergeCell ref="E2140:F2140"/>
    <mergeCell ref="E2141:F2141"/>
    <mergeCell ref="E2142:F2142"/>
    <mergeCell ref="E2143:F2143"/>
    <mergeCell ref="E2144:F2144"/>
    <mergeCell ref="E2145:F2145"/>
    <mergeCell ref="H2147:I2147"/>
    <mergeCell ref="E2150:F2150"/>
    <mergeCell ref="E2151:F2151"/>
    <mergeCell ref="E2152:F2152"/>
    <mergeCell ref="E2153:F2153"/>
    <mergeCell ref="E2154:F2154"/>
    <mergeCell ref="E2155:F2155"/>
    <mergeCell ref="H2157:I2157"/>
    <mergeCell ref="E2160:F2160"/>
    <mergeCell ref="E2161:F2161"/>
    <mergeCell ref="E2162:F2162"/>
    <mergeCell ref="H2164:I2164"/>
    <mergeCell ref="E2167:F2167"/>
    <mergeCell ref="E2168:F2168"/>
    <mergeCell ref="E2169:F2169"/>
    <mergeCell ref="E2170:F2170"/>
    <mergeCell ref="E2171:F2171"/>
    <mergeCell ref="E2172:F2172"/>
    <mergeCell ref="H2174:I2174"/>
    <mergeCell ref="E2177:F2177"/>
    <mergeCell ref="E2178:F2178"/>
    <mergeCell ref="E2179:F2179"/>
    <mergeCell ref="E2180:F2180"/>
    <mergeCell ref="E2181:F2181"/>
    <mergeCell ref="E2182:F2182"/>
    <mergeCell ref="H2184:I2184"/>
    <mergeCell ref="E2187:F2187"/>
    <mergeCell ref="E2188:F2188"/>
    <mergeCell ref="E2189:F2189"/>
    <mergeCell ref="E2190:F2190"/>
    <mergeCell ref="E2191:F2191"/>
    <mergeCell ref="E2192:F2192"/>
    <mergeCell ref="H2194:I2194"/>
    <mergeCell ref="E2197:F2197"/>
    <mergeCell ref="E2198:F2198"/>
    <mergeCell ref="E2199:F2199"/>
    <mergeCell ref="E2200:F2200"/>
    <mergeCell ref="E2201:F2201"/>
    <mergeCell ref="E2202:F2202"/>
    <mergeCell ref="H2204:I2204"/>
    <mergeCell ref="E2207:F2207"/>
    <mergeCell ref="E2208:F2208"/>
    <mergeCell ref="E2209:F2209"/>
    <mergeCell ref="E2210:F2210"/>
    <mergeCell ref="E2211:F2211"/>
    <mergeCell ref="E2212:F2212"/>
    <mergeCell ref="E2213:F2213"/>
    <mergeCell ref="E2214:F2214"/>
    <mergeCell ref="H2216:I2216"/>
    <mergeCell ref="E2219:F2219"/>
    <mergeCell ref="E2220:F2220"/>
    <mergeCell ref="E2221:F2221"/>
    <mergeCell ref="E2222:F2222"/>
    <mergeCell ref="E2223:F2223"/>
    <mergeCell ref="H2225:I2225"/>
    <mergeCell ref="E2228:F2228"/>
    <mergeCell ref="E2229:F2229"/>
    <mergeCell ref="E2230:F2230"/>
    <mergeCell ref="E2231:F2231"/>
    <mergeCell ref="H2233:I2233"/>
    <mergeCell ref="E2236:F2236"/>
    <mergeCell ref="E2237:F2237"/>
    <mergeCell ref="E2238:F2238"/>
    <mergeCell ref="E2239:F2239"/>
    <mergeCell ref="H2241:I2241"/>
    <mergeCell ref="E2244:F2244"/>
    <mergeCell ref="E2245:F2245"/>
    <mergeCell ref="E2246:F2246"/>
    <mergeCell ref="E2247:F2247"/>
    <mergeCell ref="E2248:F2248"/>
    <mergeCell ref="E2249:F2249"/>
    <mergeCell ref="E2250:F2250"/>
    <mergeCell ref="E2251:F2251"/>
    <mergeCell ref="E2252:F2252"/>
    <mergeCell ref="H2254:I2254"/>
    <mergeCell ref="F2257:G2257"/>
    <mergeCell ref="E2258:F2258"/>
    <mergeCell ref="E2259:F2259"/>
    <mergeCell ref="E2260:F2260"/>
    <mergeCell ref="E2261:F2261"/>
    <mergeCell ref="E2262:F2262"/>
    <mergeCell ref="E2263:F2263"/>
    <mergeCell ref="H2265:I2265"/>
    <mergeCell ref="E2268:F2268"/>
    <mergeCell ref="E2269:F2269"/>
    <mergeCell ref="E2270:F2270"/>
    <mergeCell ref="E2271:F2271"/>
    <mergeCell ref="E2272:F2272"/>
    <mergeCell ref="E2273:F2273"/>
    <mergeCell ref="H2275:I2275"/>
    <mergeCell ref="E2278:F2278"/>
    <mergeCell ref="E2279:F2279"/>
    <mergeCell ref="E2280:F2280"/>
    <mergeCell ref="E2281:F2281"/>
    <mergeCell ref="E2282:F2282"/>
    <mergeCell ref="E2283:F2283"/>
    <mergeCell ref="H2285:I2285"/>
    <mergeCell ref="E2288:F2288"/>
    <mergeCell ref="E2289:F2289"/>
    <mergeCell ref="E2290:F2290"/>
    <mergeCell ref="E2291:F2291"/>
    <mergeCell ref="E2292:F2292"/>
    <mergeCell ref="E2293:F2293"/>
    <mergeCell ref="H2295:I2295"/>
    <mergeCell ref="E2298:F2298"/>
    <mergeCell ref="E2299:F2299"/>
    <mergeCell ref="E2300:F2300"/>
    <mergeCell ref="H2302:I2302"/>
    <mergeCell ref="E2305:F2305"/>
    <mergeCell ref="E2306:F2306"/>
    <mergeCell ref="E2307:F2307"/>
    <mergeCell ref="E2308:F2308"/>
    <mergeCell ref="E2309:F2309"/>
    <mergeCell ref="E2310:F2310"/>
    <mergeCell ref="E2311:F2311"/>
    <mergeCell ref="E2312:F2312"/>
    <mergeCell ref="E2313:F2313"/>
    <mergeCell ref="E2314:F2314"/>
    <mergeCell ref="H2316:I2316"/>
    <mergeCell ref="E2319:F2319"/>
    <mergeCell ref="E2320:F2320"/>
    <mergeCell ref="E2321:F2321"/>
    <mergeCell ref="E2322:F2322"/>
    <mergeCell ref="E2323:F2323"/>
    <mergeCell ref="E2324:F2324"/>
    <mergeCell ref="E2325:F2325"/>
    <mergeCell ref="E2326:F2326"/>
    <mergeCell ref="H2328:I2328"/>
    <mergeCell ref="E2331:F2331"/>
    <mergeCell ref="E2332:F2332"/>
    <mergeCell ref="E2333:F2333"/>
    <mergeCell ref="E2334:F2334"/>
    <mergeCell ref="E2335:F2335"/>
    <mergeCell ref="E2336:F2336"/>
    <mergeCell ref="E2337:F2337"/>
    <mergeCell ref="H2339:I2339"/>
    <mergeCell ref="E2342:F2342"/>
    <mergeCell ref="E2343:F2343"/>
    <mergeCell ref="E2344:F2344"/>
    <mergeCell ref="E2345:F2345"/>
    <mergeCell ref="E2346:F2346"/>
    <mergeCell ref="E2347:F2347"/>
    <mergeCell ref="E2348:F2348"/>
    <mergeCell ref="H2350:I2350"/>
    <mergeCell ref="E2353:F2353"/>
    <mergeCell ref="E2354:F2354"/>
    <mergeCell ref="E2355:F2355"/>
    <mergeCell ref="E2356:F2356"/>
    <mergeCell ref="E2357:F2357"/>
    <mergeCell ref="E2358:F2358"/>
    <mergeCell ref="E2359:F2359"/>
    <mergeCell ref="H2361:I2361"/>
    <mergeCell ref="E2364:F2364"/>
    <mergeCell ref="E2365:F2365"/>
    <mergeCell ref="E2366:F2366"/>
    <mergeCell ref="E2367:F2367"/>
    <mergeCell ref="E2368:F2368"/>
    <mergeCell ref="E2369:F2369"/>
    <mergeCell ref="E2370:F2370"/>
    <mergeCell ref="H2372:I2372"/>
    <mergeCell ref="E2375:F2375"/>
    <mergeCell ref="E2376:F2376"/>
    <mergeCell ref="E2377:F2377"/>
    <mergeCell ref="E2378:F2378"/>
    <mergeCell ref="E2379:F2379"/>
    <mergeCell ref="E2380:F2380"/>
    <mergeCell ref="E2381:F2381"/>
    <mergeCell ref="H2383:I2383"/>
    <mergeCell ref="E2386:F2386"/>
    <mergeCell ref="E2387:F2387"/>
    <mergeCell ref="E2388:F2388"/>
    <mergeCell ref="E2389:F2389"/>
    <mergeCell ref="E2390:F2390"/>
    <mergeCell ref="E2391:F2391"/>
    <mergeCell ref="E2392:F2392"/>
    <mergeCell ref="H2394:I2394"/>
    <mergeCell ref="E2397:F2397"/>
    <mergeCell ref="E2398:F2398"/>
    <mergeCell ref="E2399:F2399"/>
    <mergeCell ref="E2400:F2400"/>
    <mergeCell ref="E2401:F2401"/>
    <mergeCell ref="E2402:F2402"/>
    <mergeCell ref="E2403:F2403"/>
    <mergeCell ref="H2405:I2405"/>
    <mergeCell ref="E2408:F2408"/>
    <mergeCell ref="E2409:F2409"/>
    <mergeCell ref="E2410:F2410"/>
    <mergeCell ref="E2411:F2411"/>
    <mergeCell ref="E2412:F2412"/>
    <mergeCell ref="E2413:F2413"/>
    <mergeCell ref="E2414:F2414"/>
    <mergeCell ref="H2416:I2416"/>
    <mergeCell ref="E2419:F2419"/>
    <mergeCell ref="E2420:F2420"/>
    <mergeCell ref="E2421:F2421"/>
    <mergeCell ref="E2422:F2422"/>
    <mergeCell ref="E2423:F2423"/>
    <mergeCell ref="E2424:F2424"/>
    <mergeCell ref="E2425:F2425"/>
    <mergeCell ref="H2427:I2427"/>
    <mergeCell ref="E2430:F2430"/>
    <mergeCell ref="E2431:F2431"/>
    <mergeCell ref="E2432:F2432"/>
    <mergeCell ref="E2433:F2433"/>
    <mergeCell ref="E2434:F2434"/>
    <mergeCell ref="E2435:F2435"/>
    <mergeCell ref="E2436:F2436"/>
    <mergeCell ref="E2437:F2437"/>
    <mergeCell ref="H2439:I2439"/>
    <mergeCell ref="E2442:F2442"/>
    <mergeCell ref="E2443:F2443"/>
    <mergeCell ref="E2444:F2444"/>
    <mergeCell ref="E2445:F2445"/>
    <mergeCell ref="E2446:F2446"/>
    <mergeCell ref="E2447:F2447"/>
    <mergeCell ref="H2449:I2449"/>
    <mergeCell ref="E2452:F2452"/>
    <mergeCell ref="E2453:F2453"/>
    <mergeCell ref="E2454:F2454"/>
    <mergeCell ref="E2455:F2455"/>
    <mergeCell ref="E2456:F2456"/>
    <mergeCell ref="E2457:F2457"/>
    <mergeCell ref="H2459:I2459"/>
    <mergeCell ref="E2462:F2462"/>
    <mergeCell ref="E2463:F2463"/>
    <mergeCell ref="E2464:F2464"/>
    <mergeCell ref="E2465:F2465"/>
    <mergeCell ref="E2466:F2466"/>
    <mergeCell ref="E2467:F2467"/>
    <mergeCell ref="E2468:F2468"/>
    <mergeCell ref="E2469:F2469"/>
    <mergeCell ref="E2470:F2470"/>
    <mergeCell ref="H2472:I2472"/>
    <mergeCell ref="E2475:F2475"/>
    <mergeCell ref="E2476:F2476"/>
    <mergeCell ref="E2477:F2477"/>
    <mergeCell ref="E2478:F2478"/>
    <mergeCell ref="E2479:F2479"/>
    <mergeCell ref="E2480:F2480"/>
    <mergeCell ref="H2482:I2482"/>
    <mergeCell ref="E2485:F2485"/>
    <mergeCell ref="E2486:F2486"/>
    <mergeCell ref="E2487:F2487"/>
    <mergeCell ref="E2488:F2488"/>
    <mergeCell ref="E2489:F2489"/>
    <mergeCell ref="E2490:F2490"/>
    <mergeCell ref="E2491:F2491"/>
    <mergeCell ref="E2492:F2492"/>
    <mergeCell ref="H2494:I2494"/>
    <mergeCell ref="F2497:G2497"/>
    <mergeCell ref="F2498:G2498"/>
    <mergeCell ref="E2499:F2499"/>
    <mergeCell ref="E2500:F2500"/>
    <mergeCell ref="E2501:F2501"/>
    <mergeCell ref="E2502:F2502"/>
    <mergeCell ref="E2503:F2503"/>
    <mergeCell ref="H2505:I2505"/>
    <mergeCell ref="E2508:F2508"/>
    <mergeCell ref="E2509:F2509"/>
    <mergeCell ref="E2510:F2510"/>
    <mergeCell ref="E2511:F2511"/>
    <mergeCell ref="E2512:F2512"/>
    <mergeCell ref="E2513:F2513"/>
    <mergeCell ref="H2515:I2515"/>
    <mergeCell ref="E2518:F2518"/>
    <mergeCell ref="E2519:F2519"/>
    <mergeCell ref="E2520:F2520"/>
    <mergeCell ref="E2521:F2521"/>
    <mergeCell ref="E2522:F2522"/>
    <mergeCell ref="E2523:F2523"/>
    <mergeCell ref="H2525:I2525"/>
    <mergeCell ref="E2528:F2528"/>
    <mergeCell ref="E2529:F2529"/>
    <mergeCell ref="E2530:F2530"/>
    <mergeCell ref="E2531:F2531"/>
    <mergeCell ref="E2532:F2532"/>
    <mergeCell ref="E2533:F2533"/>
    <mergeCell ref="H2535:I2535"/>
    <mergeCell ref="E2538:F2538"/>
    <mergeCell ref="E2539:F2539"/>
    <mergeCell ref="E2540:F2540"/>
    <mergeCell ref="E2541:F2541"/>
    <mergeCell ref="E2542:F2542"/>
    <mergeCell ref="E2543:F2543"/>
    <mergeCell ref="H2545:I2545"/>
    <mergeCell ref="E2548:F2548"/>
    <mergeCell ref="E2549:F2549"/>
    <mergeCell ref="E2550:F2550"/>
    <mergeCell ref="E2551:F2551"/>
    <mergeCell ref="E2552:F2552"/>
    <mergeCell ref="E2553:F2553"/>
    <mergeCell ref="H2555:I2555"/>
    <mergeCell ref="E2558:F2558"/>
    <mergeCell ref="E2559:F2559"/>
    <mergeCell ref="E2560:F2560"/>
    <mergeCell ref="E2561:F2561"/>
    <mergeCell ref="E2562:F2562"/>
    <mergeCell ref="E2563:F2563"/>
    <mergeCell ref="H2565:I2565"/>
    <mergeCell ref="E2568:F2568"/>
    <mergeCell ref="E2569:F2569"/>
    <mergeCell ref="E2570:F2570"/>
    <mergeCell ref="E2571:F2571"/>
    <mergeCell ref="E2572:F2572"/>
    <mergeCell ref="E2573:F2573"/>
    <mergeCell ref="H2575:I2575"/>
    <mergeCell ref="E2578:F2578"/>
    <mergeCell ref="E2579:F2579"/>
    <mergeCell ref="E2580:F2580"/>
    <mergeCell ref="E2581:F2581"/>
    <mergeCell ref="E2582:F2582"/>
    <mergeCell ref="E2583:F2583"/>
    <mergeCell ref="H2585:I2585"/>
    <mergeCell ref="E2588:F2588"/>
    <mergeCell ref="E2589:F2589"/>
    <mergeCell ref="E2590:F2590"/>
    <mergeCell ref="E2591:F2591"/>
    <mergeCell ref="E2592:F2592"/>
    <mergeCell ref="E2593:F2593"/>
    <mergeCell ref="H2595:I2595"/>
    <mergeCell ref="E2598:F2598"/>
    <mergeCell ref="E2599:F2599"/>
    <mergeCell ref="E2600:F2600"/>
    <mergeCell ref="E2601:F2601"/>
    <mergeCell ref="E2602:F2602"/>
    <mergeCell ref="E2603:F2603"/>
    <mergeCell ref="H2605:I2605"/>
    <mergeCell ref="E2608:F2608"/>
    <mergeCell ref="E2609:F2609"/>
    <mergeCell ref="E2610:F2610"/>
    <mergeCell ref="E2611:F2611"/>
    <mergeCell ref="H2613:I2613"/>
    <mergeCell ref="E2616:F2616"/>
    <mergeCell ref="E2617:F2617"/>
    <mergeCell ref="E2618:F2618"/>
    <mergeCell ref="E2619:F2619"/>
    <mergeCell ref="H2621:I2621"/>
    <mergeCell ref="E2624:F2624"/>
    <mergeCell ref="E2625:F2625"/>
    <mergeCell ref="E2626:F2626"/>
    <mergeCell ref="E2627:F2627"/>
    <mergeCell ref="E2628:F2628"/>
    <mergeCell ref="E2629:F2629"/>
    <mergeCell ref="H2631:I2631"/>
    <mergeCell ref="E2634:F2634"/>
    <mergeCell ref="E2635:F2635"/>
    <mergeCell ref="E2636:F2636"/>
    <mergeCell ref="E2637:F2637"/>
    <mergeCell ref="E2638:F2638"/>
    <mergeCell ref="E2639:F2639"/>
    <mergeCell ref="H2641:I2641"/>
    <mergeCell ref="F2644:G2644"/>
    <mergeCell ref="E2645:F2645"/>
    <mergeCell ref="E2646:F2646"/>
    <mergeCell ref="E2647:F2647"/>
    <mergeCell ref="E2648:F2648"/>
    <mergeCell ref="E2649:F2649"/>
    <mergeCell ref="H2651:I2651"/>
    <mergeCell ref="E2654:F2654"/>
    <mergeCell ref="E2655:F2655"/>
    <mergeCell ref="E2656:F2656"/>
    <mergeCell ref="E2657:F2657"/>
    <mergeCell ref="E2658:F2658"/>
    <mergeCell ref="E2659:F2659"/>
    <mergeCell ref="H2661:I2661"/>
    <mergeCell ref="E2664:F2664"/>
    <mergeCell ref="E2665:F2665"/>
    <mergeCell ref="E2666:F2666"/>
    <mergeCell ref="E2667:F2667"/>
    <mergeCell ref="E2668:F2668"/>
    <mergeCell ref="H2670:I2670"/>
    <mergeCell ref="E2673:F2673"/>
    <mergeCell ref="E2674:F2674"/>
    <mergeCell ref="E2675:F2675"/>
    <mergeCell ref="E2676:F2676"/>
    <mergeCell ref="E2677:F2677"/>
    <mergeCell ref="E2678:F2678"/>
    <mergeCell ref="H2680:I2680"/>
    <mergeCell ref="E2683:F2683"/>
    <mergeCell ref="E2684:F2684"/>
    <mergeCell ref="E2685:F2685"/>
    <mergeCell ref="E2686:F2686"/>
    <mergeCell ref="E2687:F2687"/>
    <mergeCell ref="E2688:F2688"/>
    <mergeCell ref="E2689:F2689"/>
    <mergeCell ref="E2690:F2690"/>
    <mergeCell ref="H2692:I2692"/>
    <mergeCell ref="F2695:G2695"/>
    <mergeCell ref="E2696:F2696"/>
    <mergeCell ref="E2697:F2697"/>
    <mergeCell ref="E2698:F2698"/>
    <mergeCell ref="E2699:F2699"/>
    <mergeCell ref="E2700:F2700"/>
    <mergeCell ref="E2701:F2701"/>
    <mergeCell ref="H2703:I2703"/>
    <mergeCell ref="E2706:F2706"/>
    <mergeCell ref="E2707:F2707"/>
    <mergeCell ref="E2708:F2708"/>
    <mergeCell ref="E2709:F2709"/>
    <mergeCell ref="E2710:F2710"/>
    <mergeCell ref="H2712:I2712"/>
    <mergeCell ref="E2715:F2715"/>
    <mergeCell ref="E2716:F2716"/>
    <mergeCell ref="E2717:F2717"/>
    <mergeCell ref="E2718:F2718"/>
    <mergeCell ref="E2719:F2719"/>
    <mergeCell ref="H2721:I2721"/>
    <mergeCell ref="E2724:F2724"/>
    <mergeCell ref="E2725:F2725"/>
    <mergeCell ref="E2726:F2726"/>
    <mergeCell ref="E2727:F2727"/>
    <mergeCell ref="E2728:F2728"/>
    <mergeCell ref="H2730:I2730"/>
    <mergeCell ref="E2733:F2733"/>
    <mergeCell ref="E2734:F2734"/>
    <mergeCell ref="E2735:F2735"/>
    <mergeCell ref="E2736:F2736"/>
    <mergeCell ref="E2737:F2737"/>
    <mergeCell ref="E2738:F2738"/>
    <mergeCell ref="E2739:F2739"/>
    <mergeCell ref="E2740:F2740"/>
    <mergeCell ref="E2741:F2741"/>
    <mergeCell ref="E2742:F2742"/>
    <mergeCell ref="E2743:F2743"/>
    <mergeCell ref="E2744:F2744"/>
    <mergeCell ref="H2746:I2746"/>
    <mergeCell ref="E2749:F2749"/>
    <mergeCell ref="E2750:F2750"/>
    <mergeCell ref="E2751:F2751"/>
    <mergeCell ref="E2752:F2752"/>
    <mergeCell ref="E2753:F2753"/>
    <mergeCell ref="E2754:F2754"/>
    <mergeCell ref="E2755:F2755"/>
    <mergeCell ref="E2756:F2756"/>
    <mergeCell ref="E2757:F2757"/>
    <mergeCell ref="H2759:I2759"/>
    <mergeCell ref="E2762:F2762"/>
    <mergeCell ref="E2763:F2763"/>
    <mergeCell ref="E2764:F2764"/>
    <mergeCell ref="E2765:F2765"/>
    <mergeCell ref="E2766:F2766"/>
    <mergeCell ref="E2767:F2767"/>
    <mergeCell ref="E2768:F2768"/>
    <mergeCell ref="E2769:F2769"/>
    <mergeCell ref="E2770:F2770"/>
    <mergeCell ref="E2771:F2771"/>
    <mergeCell ref="E2772:F2772"/>
    <mergeCell ref="E2773:F2773"/>
    <mergeCell ref="H2775:I2775"/>
    <mergeCell ref="E2778:F2778"/>
    <mergeCell ref="E2779:F2779"/>
    <mergeCell ref="E2780:F2780"/>
    <mergeCell ref="E2781:F2781"/>
    <mergeCell ref="E2782:F2782"/>
    <mergeCell ref="E2783:F2783"/>
    <mergeCell ref="E2784:F2784"/>
    <mergeCell ref="E2785:F2785"/>
    <mergeCell ref="E2786:F2786"/>
    <mergeCell ref="E2787:F2787"/>
    <mergeCell ref="E2788:F2788"/>
    <mergeCell ref="E2789:F2789"/>
    <mergeCell ref="H2791:I2791"/>
    <mergeCell ref="F2794:G2794"/>
    <mergeCell ref="E2795:F2795"/>
    <mergeCell ref="E2796:F2796"/>
    <mergeCell ref="E2797:F2797"/>
    <mergeCell ref="E2798:F2798"/>
    <mergeCell ref="E2799:F2799"/>
    <mergeCell ref="E2800:F2800"/>
    <mergeCell ref="H2802:I2802"/>
    <mergeCell ref="E2805:F2805"/>
    <mergeCell ref="E2806:F2806"/>
    <mergeCell ref="E2807:F2807"/>
    <mergeCell ref="E2808:F2808"/>
    <mergeCell ref="E2809:F2809"/>
    <mergeCell ref="E2810:F2810"/>
    <mergeCell ref="E2811:F2811"/>
    <mergeCell ref="H2813:I2813"/>
    <mergeCell ref="E2816:F2816"/>
    <mergeCell ref="E2817:F2817"/>
    <mergeCell ref="E2818:F2818"/>
    <mergeCell ref="E2819:F2819"/>
    <mergeCell ref="E2820:F2820"/>
    <mergeCell ref="E2821:F2821"/>
    <mergeCell ref="H2823:I2823"/>
    <mergeCell ref="E2826:F2826"/>
    <mergeCell ref="E2827:F2827"/>
    <mergeCell ref="E2828:F2828"/>
    <mergeCell ref="E2829:F2829"/>
    <mergeCell ref="E2830:F2830"/>
    <mergeCell ref="E2831:F2831"/>
    <mergeCell ref="E2832:F2832"/>
    <mergeCell ref="H2834:I2834"/>
    <mergeCell ref="E2837:F2837"/>
    <mergeCell ref="E2838:F2838"/>
    <mergeCell ref="E2839:F2839"/>
    <mergeCell ref="E2840:F2840"/>
    <mergeCell ref="E2841:F2841"/>
    <mergeCell ref="E2842:F2842"/>
    <mergeCell ref="H2844:I2844"/>
    <mergeCell ref="E2847:F2847"/>
    <mergeCell ref="E2848:F2848"/>
    <mergeCell ref="E2849:F2849"/>
    <mergeCell ref="E2850:F2850"/>
    <mergeCell ref="E2851:F2851"/>
    <mergeCell ref="H2853:I2853"/>
    <mergeCell ref="E2856:F2856"/>
    <mergeCell ref="E2857:F2857"/>
    <mergeCell ref="E2858:F2858"/>
    <mergeCell ref="E2859:F2859"/>
    <mergeCell ref="E2860:F2860"/>
    <mergeCell ref="H2862:I2862"/>
    <mergeCell ref="E2865:F2865"/>
    <mergeCell ref="E2866:F2866"/>
    <mergeCell ref="E2867:F2867"/>
    <mergeCell ref="E2868:F2868"/>
    <mergeCell ref="E2869:F2869"/>
    <mergeCell ref="H2871:I2871"/>
    <mergeCell ref="E2874:F2874"/>
    <mergeCell ref="E2875:F2875"/>
    <mergeCell ref="E2876:F2876"/>
    <mergeCell ref="E2877:F2877"/>
    <mergeCell ref="E2878:F2878"/>
    <mergeCell ref="H2880:I2880"/>
    <mergeCell ref="E2883:F2883"/>
    <mergeCell ref="E2884:F2884"/>
    <mergeCell ref="E2885:F2885"/>
    <mergeCell ref="E2886:F2886"/>
    <mergeCell ref="E2887:F2887"/>
    <mergeCell ref="H2889:I2889"/>
    <mergeCell ref="F2892:G2892"/>
    <mergeCell ref="E2893:F2893"/>
    <mergeCell ref="E2894:F2894"/>
    <mergeCell ref="E2895:F2895"/>
    <mergeCell ref="E2896:F2896"/>
    <mergeCell ref="E2897:F2897"/>
    <mergeCell ref="E2898:F2898"/>
    <mergeCell ref="H2900:I2900"/>
    <mergeCell ref="E2903:F2903"/>
    <mergeCell ref="E2904:F2904"/>
    <mergeCell ref="E2905:F2905"/>
    <mergeCell ref="E2906:F2906"/>
    <mergeCell ref="E2907:F2907"/>
    <mergeCell ref="H2909:I2909"/>
    <mergeCell ref="E2912:F2912"/>
    <mergeCell ref="E2913:F2913"/>
    <mergeCell ref="E2914:F2914"/>
    <mergeCell ref="E2915:F2915"/>
    <mergeCell ref="E2916:F2916"/>
    <mergeCell ref="H2918:I2918"/>
    <mergeCell ref="E2921:F2921"/>
    <mergeCell ref="E2922:F2922"/>
    <mergeCell ref="E2923:F2923"/>
    <mergeCell ref="E2924:F2924"/>
    <mergeCell ref="E2925:F2925"/>
    <mergeCell ref="H2927:I2927"/>
    <mergeCell ref="E2930:F2930"/>
    <mergeCell ref="E2931:F2931"/>
    <mergeCell ref="E2932:F2932"/>
    <mergeCell ref="E2933:F2933"/>
    <mergeCell ref="E2934:F2934"/>
    <mergeCell ref="E2935:F2935"/>
    <mergeCell ref="E2936:F2936"/>
    <mergeCell ref="E2937:F2937"/>
    <mergeCell ref="E2938:F2938"/>
    <mergeCell ref="H2940:I2940"/>
    <mergeCell ref="F2943:G2943"/>
    <mergeCell ref="E2944:F2944"/>
    <mergeCell ref="E2945:F2945"/>
    <mergeCell ref="E2946:F2946"/>
    <mergeCell ref="E2947:F2947"/>
    <mergeCell ref="E2948:F2948"/>
    <mergeCell ref="E2949:F2949"/>
    <mergeCell ref="E2950:F2950"/>
    <mergeCell ref="E2951:F2951"/>
    <mergeCell ref="E2952:F2952"/>
    <mergeCell ref="E2953:F2953"/>
    <mergeCell ref="E2954:F2954"/>
    <mergeCell ref="H2956:I2956"/>
    <mergeCell ref="F2959:G2959"/>
    <mergeCell ref="E2960:F2960"/>
    <mergeCell ref="E2961:F2961"/>
    <mergeCell ref="E2962:F2962"/>
    <mergeCell ref="E2963:F2963"/>
    <mergeCell ref="E2964:F2964"/>
    <mergeCell ref="E2965:F2965"/>
    <mergeCell ref="E2966:F2966"/>
    <mergeCell ref="E2967:F2967"/>
    <mergeCell ref="H2969:I2969"/>
    <mergeCell ref="E2972:F2972"/>
    <mergeCell ref="E2973:F2973"/>
    <mergeCell ref="E2974:F2974"/>
    <mergeCell ref="E2975:F2975"/>
    <mergeCell ref="E2976:F2976"/>
    <mergeCell ref="E2977:F2977"/>
    <mergeCell ref="E2978:F2978"/>
    <mergeCell ref="E2979:F2979"/>
    <mergeCell ref="E2980:F2980"/>
    <mergeCell ref="H2982:I2982"/>
    <mergeCell ref="E2985:F2985"/>
    <mergeCell ref="E2986:F2986"/>
    <mergeCell ref="E2987:F2987"/>
    <mergeCell ref="E2988:F2988"/>
    <mergeCell ref="E2989:F2989"/>
    <mergeCell ref="E2990:F2990"/>
    <mergeCell ref="E2991:F2991"/>
    <mergeCell ref="H2993:I2993"/>
    <mergeCell ref="E2996:F2996"/>
    <mergeCell ref="E2997:F2997"/>
    <mergeCell ref="E2998:F2998"/>
    <mergeCell ref="E2999:F2999"/>
    <mergeCell ref="E3000:F3000"/>
    <mergeCell ref="E3001:F3001"/>
    <mergeCell ref="H3003:I3003"/>
    <mergeCell ref="E3006:F3006"/>
    <mergeCell ref="E3007:F3007"/>
    <mergeCell ref="E3008:F3008"/>
    <mergeCell ref="E3009:F3009"/>
    <mergeCell ref="E3010:F3010"/>
    <mergeCell ref="E3011:F3011"/>
    <mergeCell ref="H3013:I3013"/>
    <mergeCell ref="E3016:F3016"/>
    <mergeCell ref="E3017:F3017"/>
    <mergeCell ref="E3018:F3018"/>
    <mergeCell ref="E3019:F3019"/>
    <mergeCell ref="E3020:F3020"/>
    <mergeCell ref="E3021:F3021"/>
    <mergeCell ref="H3023:I3023"/>
    <mergeCell ref="E3026:F3026"/>
    <mergeCell ref="E3027:F3027"/>
    <mergeCell ref="E3028:F3028"/>
    <mergeCell ref="E3029:F3029"/>
    <mergeCell ref="E3030:F3030"/>
    <mergeCell ref="H3032:I3032"/>
    <mergeCell ref="E3035:F3035"/>
    <mergeCell ref="E3036:F3036"/>
    <mergeCell ref="E3037:F3037"/>
    <mergeCell ref="E3038:F3038"/>
    <mergeCell ref="E3039:F3039"/>
    <mergeCell ref="H3041:I3041"/>
    <mergeCell ref="E3044:F3044"/>
    <mergeCell ref="E3045:F3045"/>
    <mergeCell ref="E3046:F3046"/>
    <mergeCell ref="E3047:F3047"/>
    <mergeCell ref="E3048:F3048"/>
    <mergeCell ref="H3050:I3050"/>
    <mergeCell ref="F3053:G3053"/>
    <mergeCell ref="E3054:F3054"/>
    <mergeCell ref="E3055:F3055"/>
    <mergeCell ref="E3056:F3056"/>
    <mergeCell ref="E3057:F3057"/>
    <mergeCell ref="H3059:I3059"/>
    <mergeCell ref="E3062:F3062"/>
    <mergeCell ref="E3063:F3063"/>
    <mergeCell ref="E3064:F3064"/>
    <mergeCell ref="E3065:F3065"/>
    <mergeCell ref="H3067:I3067"/>
    <mergeCell ref="E3070:F3070"/>
    <mergeCell ref="E3071:F3071"/>
    <mergeCell ref="E3072:F3072"/>
    <mergeCell ref="E3073:F3073"/>
    <mergeCell ref="H3075:I3075"/>
    <mergeCell ref="E3078:F3078"/>
    <mergeCell ref="E3079:F3079"/>
    <mergeCell ref="E3080:F3080"/>
    <mergeCell ref="E3081:F3081"/>
    <mergeCell ref="H3083:I3083"/>
    <mergeCell ref="E3086:F3086"/>
    <mergeCell ref="E3087:F3087"/>
    <mergeCell ref="E3088:F3088"/>
    <mergeCell ref="E3089:F3089"/>
    <mergeCell ref="H3091:I3091"/>
    <mergeCell ref="E3094:F3094"/>
    <mergeCell ref="E3095:F3095"/>
    <mergeCell ref="E3096:F3096"/>
    <mergeCell ref="E3097:F3097"/>
    <mergeCell ref="H3099:I3099"/>
    <mergeCell ref="E3102:F3102"/>
    <mergeCell ref="E3103:F3103"/>
    <mergeCell ref="E3104:F3104"/>
    <mergeCell ref="E3105:F3105"/>
    <mergeCell ref="E3106:F3106"/>
    <mergeCell ref="E3107:F3107"/>
    <mergeCell ref="H3109:I3109"/>
    <mergeCell ref="F3112:G3112"/>
    <mergeCell ref="E3113:F3113"/>
    <mergeCell ref="E3114:F3114"/>
    <mergeCell ref="E3115:F3115"/>
    <mergeCell ref="E3116:F3116"/>
    <mergeCell ref="E3117:F3117"/>
    <mergeCell ref="H3119:I3119"/>
    <mergeCell ref="E3122:F3122"/>
    <mergeCell ref="E3123:F3123"/>
    <mergeCell ref="E3124:F3124"/>
    <mergeCell ref="E3125:F3125"/>
    <mergeCell ref="E3126:F3126"/>
    <mergeCell ref="E3127:F3127"/>
    <mergeCell ref="E3128:F3128"/>
    <mergeCell ref="H3130:I3130"/>
    <mergeCell ref="E3133:F3133"/>
    <mergeCell ref="E3134:F3134"/>
    <mergeCell ref="E3135:F3135"/>
    <mergeCell ref="E3136:F3136"/>
    <mergeCell ref="E3137:F3137"/>
    <mergeCell ref="H3139:I3139"/>
    <mergeCell ref="E3142:F3142"/>
    <mergeCell ref="E3143:F3143"/>
    <mergeCell ref="E3144:F3144"/>
    <mergeCell ref="H3146:I3146"/>
    <mergeCell ref="E3149:F3149"/>
    <mergeCell ref="E3150:F3150"/>
    <mergeCell ref="E3151:F3151"/>
    <mergeCell ref="E3152:F3152"/>
    <mergeCell ref="E3153:F3153"/>
    <mergeCell ref="E3154:F3154"/>
    <mergeCell ref="E3155:F3155"/>
    <mergeCell ref="H3157:I3157"/>
    <mergeCell ref="E3160:F3160"/>
    <mergeCell ref="E3161:F3161"/>
    <mergeCell ref="E3162:F3162"/>
    <mergeCell ref="H3164:I3164"/>
    <mergeCell ref="E3167:F3167"/>
    <mergeCell ref="E3168:F3168"/>
    <mergeCell ref="E3169:F3169"/>
    <mergeCell ref="E3170:F3170"/>
    <mergeCell ref="E3171:F3171"/>
    <mergeCell ref="E3172:F3172"/>
    <mergeCell ref="E3173:F3173"/>
    <mergeCell ref="E3174:F3174"/>
    <mergeCell ref="E3175:F3175"/>
    <mergeCell ref="H3177:I3177"/>
    <mergeCell ref="E3180:F3180"/>
    <mergeCell ref="E3181:F3181"/>
    <mergeCell ref="E3182:F3182"/>
    <mergeCell ref="E3183:F3183"/>
    <mergeCell ref="E3184:F3184"/>
    <mergeCell ref="H3186:I3186"/>
    <mergeCell ref="E3189:F3189"/>
    <mergeCell ref="E3190:F3190"/>
    <mergeCell ref="E3191:F3191"/>
    <mergeCell ref="E3192:F3192"/>
    <mergeCell ref="E3193:F3193"/>
    <mergeCell ref="E3194:F3194"/>
    <mergeCell ref="H3196:I3196"/>
    <mergeCell ref="E3199:F3199"/>
    <mergeCell ref="E3200:F3200"/>
    <mergeCell ref="E3201:F3201"/>
    <mergeCell ref="E3202:F3202"/>
    <mergeCell ref="E3203:F3203"/>
    <mergeCell ref="E3204:F3204"/>
    <mergeCell ref="H3206:I3206"/>
    <mergeCell ref="E3209:F3209"/>
    <mergeCell ref="E3210:F3210"/>
    <mergeCell ref="E3211:F3211"/>
    <mergeCell ref="E3212:F3212"/>
    <mergeCell ref="E3213:F3213"/>
    <mergeCell ref="E3214:F3214"/>
    <mergeCell ref="E3215:F3215"/>
    <mergeCell ref="E3216:F3216"/>
    <mergeCell ref="H3218:I3218"/>
    <mergeCell ref="E3221:F3221"/>
    <mergeCell ref="E3222:F3222"/>
    <mergeCell ref="E3223:F3223"/>
    <mergeCell ref="E3224:F3224"/>
    <mergeCell ref="E3225:F3225"/>
    <mergeCell ref="E3226:F3226"/>
    <mergeCell ref="H3228:I3228"/>
    <mergeCell ref="E3231:F3231"/>
    <mergeCell ref="E3232:F3232"/>
    <mergeCell ref="E3233:F3233"/>
    <mergeCell ref="E3234:F3234"/>
    <mergeCell ref="E3235:F3235"/>
    <mergeCell ref="E3236:F3236"/>
    <mergeCell ref="H3238:I3238"/>
    <mergeCell ref="E3241:F3241"/>
    <mergeCell ref="E3242:F3242"/>
    <mergeCell ref="E3243:F3243"/>
    <mergeCell ref="E3244:F3244"/>
    <mergeCell ref="E3245:F3245"/>
    <mergeCell ref="E3246:F3246"/>
    <mergeCell ref="E3247:F3247"/>
    <mergeCell ref="H3249:I3249"/>
    <mergeCell ref="F3252:G3252"/>
    <mergeCell ref="E3253:F3253"/>
    <mergeCell ref="E3254:F3254"/>
    <mergeCell ref="E3255:F3255"/>
    <mergeCell ref="E3256:F3256"/>
    <mergeCell ref="E3257:F3257"/>
    <mergeCell ref="H3259:I3259"/>
    <mergeCell ref="E3262:F3262"/>
    <mergeCell ref="E3263:F3263"/>
    <mergeCell ref="E3264:F3264"/>
    <mergeCell ref="E3265:F3265"/>
    <mergeCell ref="E3266:F3266"/>
    <mergeCell ref="H3268:I3268"/>
    <mergeCell ref="E3271:F3271"/>
    <mergeCell ref="E3272:F3272"/>
    <mergeCell ref="E3273:F3273"/>
    <mergeCell ref="E3274:F3274"/>
    <mergeCell ref="E3275:F3275"/>
    <mergeCell ref="E3276:F3276"/>
    <mergeCell ref="H3278:I3278"/>
    <mergeCell ref="E3281:F3281"/>
    <mergeCell ref="E3282:F3282"/>
    <mergeCell ref="E3283:F3283"/>
    <mergeCell ref="E3284:F3284"/>
    <mergeCell ref="E3285:F3285"/>
    <mergeCell ref="H3287:I3287"/>
    <mergeCell ref="E3290:F3290"/>
    <mergeCell ref="E3291:F3291"/>
    <mergeCell ref="E3292:F3292"/>
    <mergeCell ref="H3294:I3294"/>
    <mergeCell ref="E3297:F3297"/>
    <mergeCell ref="E3298:F3298"/>
    <mergeCell ref="E3299:F3299"/>
    <mergeCell ref="H3301:I3301"/>
    <mergeCell ref="E3304:F3304"/>
    <mergeCell ref="E3305:F3305"/>
    <mergeCell ref="E3306:F3306"/>
    <mergeCell ref="E3307:F3307"/>
    <mergeCell ref="E3308:F3308"/>
    <mergeCell ref="H3310:I3310"/>
    <mergeCell ref="E3313:F3313"/>
    <mergeCell ref="E3314:F3314"/>
    <mergeCell ref="E3315:F3315"/>
    <mergeCell ref="E3316:F3316"/>
    <mergeCell ref="E3317:F3317"/>
    <mergeCell ref="H3319:I3319"/>
    <mergeCell ref="E3322:F3322"/>
    <mergeCell ref="E3323:F3323"/>
    <mergeCell ref="E3324:F3324"/>
    <mergeCell ref="H3326:I3326"/>
    <mergeCell ref="E3329:F3329"/>
    <mergeCell ref="E3330:F3330"/>
    <mergeCell ref="E3331:F3331"/>
    <mergeCell ref="E3332:F3332"/>
    <mergeCell ref="E3333:F3333"/>
    <mergeCell ref="H3335:I3335"/>
    <mergeCell ref="F3338:G3338"/>
    <mergeCell ref="F3339:G3339"/>
    <mergeCell ref="E3340:F3340"/>
    <mergeCell ref="E3341:F3341"/>
    <mergeCell ref="E3342:F3342"/>
    <mergeCell ref="E3343:F3343"/>
    <mergeCell ref="E3344:F3344"/>
    <mergeCell ref="E3345:F3345"/>
    <mergeCell ref="H3347:I3347"/>
    <mergeCell ref="E3350:F3350"/>
    <mergeCell ref="E3351:F3351"/>
    <mergeCell ref="E3352:F3352"/>
    <mergeCell ref="E3353:F3353"/>
    <mergeCell ref="E3354:F3354"/>
    <mergeCell ref="H3356:I3356"/>
    <mergeCell ref="E3359:F3359"/>
    <mergeCell ref="E3360:F3360"/>
    <mergeCell ref="E3361:F3361"/>
    <mergeCell ref="E3362:F3362"/>
    <mergeCell ref="E3363:F3363"/>
    <mergeCell ref="H3365:I3365"/>
    <mergeCell ref="E3368:F3368"/>
    <mergeCell ref="E3369:F3369"/>
    <mergeCell ref="E3370:F3370"/>
    <mergeCell ref="E3371:F3371"/>
    <mergeCell ref="E3372:F3372"/>
    <mergeCell ref="E3373:F3373"/>
    <mergeCell ref="H3375:I3375"/>
    <mergeCell ref="F3378:G3378"/>
    <mergeCell ref="E3379:F3379"/>
    <mergeCell ref="E3380:F3380"/>
    <mergeCell ref="E3381:F3381"/>
    <mergeCell ref="E3382:F3382"/>
    <mergeCell ref="E3383:F3383"/>
    <mergeCell ref="H3385:I3385"/>
    <mergeCell ref="E3388:F3388"/>
    <mergeCell ref="E3389:F3389"/>
    <mergeCell ref="E3390:F3390"/>
    <mergeCell ref="E3391:F3391"/>
    <mergeCell ref="E3392:F3392"/>
    <mergeCell ref="H3394:I3394"/>
    <mergeCell ref="E3397:F3397"/>
    <mergeCell ref="E3398:F3398"/>
    <mergeCell ref="E3399:F3399"/>
    <mergeCell ref="E3400:F3400"/>
    <mergeCell ref="E3401:F3401"/>
    <mergeCell ref="H3403:I3403"/>
    <mergeCell ref="F3406:G3406"/>
    <mergeCell ref="E3407:F3407"/>
    <mergeCell ref="E3408:F3408"/>
    <mergeCell ref="E3409:F3409"/>
    <mergeCell ref="E3410:F3410"/>
    <mergeCell ref="H3412:I3412"/>
    <mergeCell ref="E3415:F3415"/>
    <mergeCell ref="E3416:F3416"/>
    <mergeCell ref="E3417:F3417"/>
    <mergeCell ref="E3418:F3418"/>
    <mergeCell ref="E3419:F3419"/>
    <mergeCell ref="E3420:F3420"/>
    <mergeCell ref="H3422:I3422"/>
    <mergeCell ref="F3425:G3425"/>
    <mergeCell ref="E3426:F3426"/>
    <mergeCell ref="E3427:F3427"/>
    <mergeCell ref="E3428:F3428"/>
    <mergeCell ref="E3429:F3429"/>
    <mergeCell ref="E3430:F3430"/>
    <mergeCell ref="H3432:I3432"/>
    <mergeCell ref="E3435:F3435"/>
    <mergeCell ref="E3436:F3436"/>
    <mergeCell ref="E3437:F3437"/>
    <mergeCell ref="E3438:F3438"/>
    <mergeCell ref="E3439:F3439"/>
    <mergeCell ref="H3441:I3441"/>
    <mergeCell ref="E3444:F3444"/>
    <mergeCell ref="E3445:F3445"/>
    <mergeCell ref="E3446:F3446"/>
    <mergeCell ref="E3447:F3447"/>
    <mergeCell ref="E3448:F3448"/>
    <mergeCell ref="H3450:I3450"/>
    <mergeCell ref="E3453:F3453"/>
    <mergeCell ref="E3454:F3454"/>
    <mergeCell ref="E3455:F3455"/>
    <mergeCell ref="E3456:F3456"/>
    <mergeCell ref="H3458:I3458"/>
    <mergeCell ref="E3461:F3461"/>
    <mergeCell ref="E3462:F3462"/>
    <mergeCell ref="E3463:F3463"/>
    <mergeCell ref="E3464:F3464"/>
    <mergeCell ref="H3466:I3466"/>
    <mergeCell ref="E3469:F3469"/>
    <mergeCell ref="E3470:F3470"/>
    <mergeCell ref="E3471:F3471"/>
    <mergeCell ref="E3472:F3472"/>
    <mergeCell ref="E3473:F3473"/>
    <mergeCell ref="H3475:I3475"/>
    <mergeCell ref="E3478:F3478"/>
    <mergeCell ref="E3479:F3479"/>
    <mergeCell ref="E3480:F3480"/>
    <mergeCell ref="E3481:F3481"/>
    <mergeCell ref="H3483:I3483"/>
    <mergeCell ref="E3486:F3486"/>
    <mergeCell ref="E3487:F3487"/>
    <mergeCell ref="E3488:F3488"/>
    <mergeCell ref="E3489:F3489"/>
    <mergeCell ref="E3490:F3490"/>
    <mergeCell ref="H3492:I3492"/>
    <mergeCell ref="E3495:F3495"/>
    <mergeCell ref="E3496:F3496"/>
    <mergeCell ref="H3498:I3498"/>
    <mergeCell ref="F3501:G3501"/>
    <mergeCell ref="E3502:F3502"/>
    <mergeCell ref="E3503:F3503"/>
    <mergeCell ref="E3504:F3504"/>
    <mergeCell ref="E3505:F3505"/>
    <mergeCell ref="E3506:F3506"/>
    <mergeCell ref="H3508:I3508"/>
    <mergeCell ref="E3511:F3511"/>
    <mergeCell ref="E3512:F3512"/>
    <mergeCell ref="E3513:F3513"/>
    <mergeCell ref="E3514:F3514"/>
    <mergeCell ref="E3515:F3515"/>
    <mergeCell ref="H3517:I3517"/>
    <mergeCell ref="E3520:F3520"/>
    <mergeCell ref="E3521:F3521"/>
    <mergeCell ref="E3522:F3522"/>
    <mergeCell ref="H3524:I3524"/>
    <mergeCell ref="E3527:F3527"/>
    <mergeCell ref="E3528:F3528"/>
    <mergeCell ref="E3529:F3529"/>
    <mergeCell ref="H3531:I3531"/>
    <mergeCell ref="F3534:G3534"/>
    <mergeCell ref="E3535:F3535"/>
    <mergeCell ref="E3536:F3536"/>
    <mergeCell ref="E3537:F3537"/>
    <mergeCell ref="E3538:F3538"/>
    <mergeCell ref="E3539:F3539"/>
    <mergeCell ref="H3541:I3541"/>
    <mergeCell ref="E3544:F3544"/>
    <mergeCell ref="E3545:F3545"/>
    <mergeCell ref="E3546:F3546"/>
    <mergeCell ref="E3547:F3547"/>
    <mergeCell ref="E3548:F3548"/>
    <mergeCell ref="E3549:F3549"/>
    <mergeCell ref="H3551:I3551"/>
    <mergeCell ref="E3554:F3554"/>
    <mergeCell ref="E3555:F3555"/>
    <mergeCell ref="E3556:F3556"/>
    <mergeCell ref="E3557:F3557"/>
    <mergeCell ref="E3558:F3558"/>
    <mergeCell ref="E3559:F3559"/>
    <mergeCell ref="H3561:I3561"/>
    <mergeCell ref="E3564:F3564"/>
    <mergeCell ref="E3565:F3565"/>
    <mergeCell ref="E3566:F3566"/>
    <mergeCell ref="E3567:F3567"/>
    <mergeCell ref="H3569:I3569"/>
    <mergeCell ref="E3572:F3572"/>
    <mergeCell ref="E3573:F3573"/>
    <mergeCell ref="E3574:F3574"/>
    <mergeCell ref="E3575:F3575"/>
    <mergeCell ref="E3576:F3576"/>
    <mergeCell ref="E3577:F3577"/>
    <mergeCell ref="E3578:F3578"/>
    <mergeCell ref="E3579:F3579"/>
    <mergeCell ref="E3580:F3580"/>
    <mergeCell ref="E3581:F3581"/>
    <mergeCell ref="E3582:F3582"/>
    <mergeCell ref="E3583:F3583"/>
    <mergeCell ref="H3585:I3585"/>
    <mergeCell ref="F3588:G3588"/>
    <mergeCell ref="E3589:F3589"/>
    <mergeCell ref="E3590:F3590"/>
    <mergeCell ref="E3591:F3591"/>
    <mergeCell ref="E3592:F3592"/>
    <mergeCell ref="E3593:F3593"/>
    <mergeCell ref="E3594:F3594"/>
    <mergeCell ref="H3596:I3596"/>
    <mergeCell ref="E3599:F3599"/>
    <mergeCell ref="E3600:F3600"/>
    <mergeCell ref="E3601:F3601"/>
    <mergeCell ref="E3602:F3602"/>
    <mergeCell ref="E3603:F3603"/>
    <mergeCell ref="H3605:I3605"/>
    <mergeCell ref="E3608:F3608"/>
    <mergeCell ref="E3609:F3609"/>
    <mergeCell ref="E3610:F3610"/>
    <mergeCell ref="H3612:I3612"/>
    <mergeCell ref="E3615:F3615"/>
    <mergeCell ref="E3616:F3616"/>
    <mergeCell ref="E3617:F3617"/>
    <mergeCell ref="E3618:F3618"/>
    <mergeCell ref="E3619:F3619"/>
    <mergeCell ref="E3620:F3620"/>
    <mergeCell ref="H3622:I3622"/>
    <mergeCell ref="E3625:F3625"/>
    <mergeCell ref="E3626:F3626"/>
    <mergeCell ref="E3627:F3627"/>
    <mergeCell ref="H3629:I3629"/>
    <mergeCell ref="E3632:F3632"/>
    <mergeCell ref="E3633:F3633"/>
    <mergeCell ref="E3634:F3634"/>
    <mergeCell ref="E3635:F3635"/>
    <mergeCell ref="H3637:I3637"/>
    <mergeCell ref="E3640:F3640"/>
    <mergeCell ref="E3641:F3641"/>
    <mergeCell ref="E3642:F3642"/>
    <mergeCell ref="E3643:F3643"/>
    <mergeCell ref="H3645:I3645"/>
    <mergeCell ref="E3648:F3648"/>
    <mergeCell ref="E3649:F3649"/>
    <mergeCell ref="E3650:F3650"/>
    <mergeCell ref="E3651:F3651"/>
    <mergeCell ref="H3653:I3653"/>
    <mergeCell ref="E3656:F3656"/>
    <mergeCell ref="E3657:F3657"/>
    <mergeCell ref="E3658:F3658"/>
    <mergeCell ref="E3659:F3659"/>
    <mergeCell ref="H3661:I3661"/>
    <mergeCell ref="E3664:F3664"/>
    <mergeCell ref="E3665:F3665"/>
    <mergeCell ref="E3666:F3666"/>
    <mergeCell ref="E3667:F3667"/>
    <mergeCell ref="H3669:I3669"/>
    <mergeCell ref="F3672:G3672"/>
    <mergeCell ref="F3673:G3673"/>
    <mergeCell ref="E3674:F3674"/>
    <mergeCell ref="E3675:F3675"/>
    <mergeCell ref="E3676:F3676"/>
    <mergeCell ref="E3677:F3677"/>
    <mergeCell ref="E3678:F3678"/>
    <mergeCell ref="H3680:I3680"/>
    <mergeCell ref="E3683:F3683"/>
    <mergeCell ref="E3684:F3684"/>
    <mergeCell ref="E3685:F3685"/>
    <mergeCell ref="E3686:F3686"/>
    <mergeCell ref="E3687:F3687"/>
    <mergeCell ref="H3689:I3689"/>
    <mergeCell ref="E3692:F3692"/>
    <mergeCell ref="E3693:F3693"/>
    <mergeCell ref="E3694:F3694"/>
    <mergeCell ref="E3695:F3695"/>
    <mergeCell ref="E3696:F3696"/>
    <mergeCell ref="H3698:I3698"/>
    <mergeCell ref="E3701:F3701"/>
    <mergeCell ref="E3702:F3702"/>
    <mergeCell ref="E3703:F3703"/>
    <mergeCell ref="E3704:F3704"/>
    <mergeCell ref="E3705:F3705"/>
    <mergeCell ref="H3707:I3707"/>
    <mergeCell ref="F3710:G3710"/>
    <mergeCell ref="E3711:F3711"/>
    <mergeCell ref="E3712:F3712"/>
    <mergeCell ref="E3713:F3713"/>
    <mergeCell ref="E3714:F3714"/>
    <mergeCell ref="E3715:F3715"/>
    <mergeCell ref="E3716:F3716"/>
    <mergeCell ref="H3718:I3718"/>
    <mergeCell ref="E3721:F3721"/>
    <mergeCell ref="E3722:F3722"/>
    <mergeCell ref="E3723:F3723"/>
    <mergeCell ref="E3724:F3724"/>
    <mergeCell ref="E3725:F3725"/>
    <mergeCell ref="E3726:F3726"/>
    <mergeCell ref="H3728:I3728"/>
    <mergeCell ref="E3731:F3731"/>
    <mergeCell ref="E3732:F3732"/>
    <mergeCell ref="E3733:F3733"/>
    <mergeCell ref="E3734:F3734"/>
    <mergeCell ref="E3735:F3735"/>
    <mergeCell ref="H3737:I3737"/>
    <mergeCell ref="E3740:F3740"/>
    <mergeCell ref="E3741:F3741"/>
    <mergeCell ref="E3742:F3742"/>
    <mergeCell ref="E3743:F3743"/>
    <mergeCell ref="E3744:F3744"/>
    <mergeCell ref="E3745:F3745"/>
    <mergeCell ref="H3747:I3747"/>
    <mergeCell ref="E3750:F3750"/>
    <mergeCell ref="E3751:F3751"/>
    <mergeCell ref="E3752:F3752"/>
    <mergeCell ref="E3753:F3753"/>
    <mergeCell ref="H3755:I3755"/>
    <mergeCell ref="E3758:F3758"/>
    <mergeCell ref="E3759:F3759"/>
    <mergeCell ref="E3760:F3760"/>
    <mergeCell ref="E3761:F3761"/>
    <mergeCell ref="H3763:I3763"/>
    <mergeCell ref="F3766:G3766"/>
    <mergeCell ref="E3767:F3767"/>
    <mergeCell ref="E3768:F3768"/>
    <mergeCell ref="E3769:F3769"/>
    <mergeCell ref="E3770:F3770"/>
    <mergeCell ref="E3771:F3771"/>
    <mergeCell ref="H3773:I3773"/>
    <mergeCell ref="F3776:G3776"/>
    <mergeCell ref="F3777:G3777"/>
    <mergeCell ref="E3778:F3778"/>
    <mergeCell ref="E3779:F3779"/>
    <mergeCell ref="E3780:F3780"/>
    <mergeCell ref="E3781:F3781"/>
    <mergeCell ref="E3782:F3782"/>
    <mergeCell ref="H3784:I3784"/>
    <mergeCell ref="E3787:F3787"/>
    <mergeCell ref="E3788:F3788"/>
    <mergeCell ref="E3789:F3789"/>
    <mergeCell ref="E3790:F3790"/>
    <mergeCell ref="E3791:F3791"/>
    <mergeCell ref="E3792:F3792"/>
    <mergeCell ref="H3794:I3794"/>
    <mergeCell ref="E3797:F3797"/>
    <mergeCell ref="E3798:F3798"/>
    <mergeCell ref="E3799:F3799"/>
    <mergeCell ref="E3800:F3800"/>
    <mergeCell ref="E3801:F3801"/>
    <mergeCell ref="E3802:F3802"/>
    <mergeCell ref="H3804:I3804"/>
    <mergeCell ref="E3807:F3807"/>
    <mergeCell ref="E3808:F3808"/>
    <mergeCell ref="E3809:F3809"/>
    <mergeCell ref="E3810:F3810"/>
    <mergeCell ref="E3811:F3811"/>
    <mergeCell ref="E3812:F3812"/>
    <mergeCell ref="H3814:I3814"/>
    <mergeCell ref="E3817:F3817"/>
    <mergeCell ref="E3818:F3818"/>
    <mergeCell ref="E3819:F3819"/>
    <mergeCell ref="E3820:F3820"/>
    <mergeCell ref="E3821:F3821"/>
    <mergeCell ref="E3822:F3822"/>
    <mergeCell ref="H3824:I3824"/>
    <mergeCell ref="F3827:G3827"/>
    <mergeCell ref="E3828:F3828"/>
    <mergeCell ref="E3829:F3829"/>
    <mergeCell ref="E3830:F3830"/>
    <mergeCell ref="E3831:F3831"/>
    <mergeCell ref="E3832:F3832"/>
    <mergeCell ref="E3833:F3833"/>
    <mergeCell ref="H3835:I3835"/>
    <mergeCell ref="E3838:F3838"/>
    <mergeCell ref="E3839:F3839"/>
    <mergeCell ref="E3840:F3840"/>
    <mergeCell ref="E3841:F3841"/>
    <mergeCell ref="E3842:F3842"/>
    <mergeCell ref="E3843:F3843"/>
    <mergeCell ref="H3845:I3845"/>
    <mergeCell ref="E3848:F3848"/>
    <mergeCell ref="E3849:F3849"/>
    <mergeCell ref="E3850:F3850"/>
    <mergeCell ref="E3851:F3851"/>
    <mergeCell ref="E3852:F3852"/>
    <mergeCell ref="E3853:F3853"/>
    <mergeCell ref="H3855:I3855"/>
    <mergeCell ref="F3858:G3858"/>
    <mergeCell ref="E3859:F3859"/>
    <mergeCell ref="E3860:F3860"/>
    <mergeCell ref="E3861:F3861"/>
    <mergeCell ref="E3862:F3862"/>
    <mergeCell ref="E3863:F3863"/>
    <mergeCell ref="E3864:F3864"/>
    <mergeCell ref="H3866:I3866"/>
    <mergeCell ref="E3869:F3869"/>
    <mergeCell ref="E3870:F3870"/>
    <mergeCell ref="E3871:F3871"/>
    <mergeCell ref="E3872:F3872"/>
    <mergeCell ref="E3873:F3873"/>
    <mergeCell ref="E3874:F3874"/>
    <mergeCell ref="H3876:I3876"/>
    <mergeCell ref="E3879:F3879"/>
    <mergeCell ref="E3880:F3880"/>
    <mergeCell ref="E3881:F3881"/>
    <mergeCell ref="E3882:F3882"/>
    <mergeCell ref="E3883:F3883"/>
    <mergeCell ref="E3884:F3884"/>
    <mergeCell ref="H3886:I3886"/>
    <mergeCell ref="E3889:F3889"/>
    <mergeCell ref="E3890:F3890"/>
    <mergeCell ref="E3891:F3891"/>
    <mergeCell ref="E3892:F3892"/>
    <mergeCell ref="E3893:F3893"/>
    <mergeCell ref="E3894:F3894"/>
    <mergeCell ref="H3896:I3896"/>
    <mergeCell ref="E3899:F3899"/>
    <mergeCell ref="E3900:F3900"/>
    <mergeCell ref="E3901:F3901"/>
    <mergeCell ref="E3902:F3902"/>
    <mergeCell ref="E3903:F3903"/>
    <mergeCell ref="H3905:I3905"/>
    <mergeCell ref="E3908:F3908"/>
    <mergeCell ref="E3909:F3909"/>
    <mergeCell ref="E3910:F3910"/>
    <mergeCell ref="E3911:F3911"/>
    <mergeCell ref="E3912:F3912"/>
    <mergeCell ref="E3913:F3913"/>
    <mergeCell ref="H3915:I3915"/>
    <mergeCell ref="E3918:F3918"/>
    <mergeCell ref="E3919:F3919"/>
    <mergeCell ref="E3920:F3920"/>
    <mergeCell ref="E3921:F3921"/>
    <mergeCell ref="E3922:F3922"/>
    <mergeCell ref="E3923:F3923"/>
    <mergeCell ref="E3924:F3924"/>
    <mergeCell ref="E3925:F3925"/>
    <mergeCell ref="H3927:I3927"/>
    <mergeCell ref="E3930:F3930"/>
    <mergeCell ref="E3931:F3931"/>
    <mergeCell ref="H3933:I3933"/>
    <mergeCell ref="F3936:G3936"/>
    <mergeCell ref="E3937:F3937"/>
    <mergeCell ref="E3938:F3938"/>
    <mergeCell ref="E3939:F3939"/>
    <mergeCell ref="E3940:F3940"/>
    <mergeCell ref="E3941:F3941"/>
    <mergeCell ref="E3942:F3942"/>
    <mergeCell ref="H3944:I3944"/>
    <mergeCell ref="E3947:F3947"/>
    <mergeCell ref="E3948:F3948"/>
    <mergeCell ref="E3949:F3949"/>
    <mergeCell ref="E3950:F3950"/>
    <mergeCell ref="E3951:F3951"/>
    <mergeCell ref="E3952:F3952"/>
    <mergeCell ref="H3954:I3954"/>
    <mergeCell ref="E3957:F3957"/>
    <mergeCell ref="E3958:F3958"/>
    <mergeCell ref="E3959:F3959"/>
    <mergeCell ref="E3960:F3960"/>
    <mergeCell ref="E3961:F3961"/>
    <mergeCell ref="E3962:F3962"/>
    <mergeCell ref="H3964:I3964"/>
    <mergeCell ref="E3967:F3967"/>
    <mergeCell ref="E3968:F3968"/>
    <mergeCell ref="E3969:F3969"/>
    <mergeCell ref="E3970:F3970"/>
    <mergeCell ref="E3971:F3971"/>
    <mergeCell ref="E3972:F3972"/>
    <mergeCell ref="H3974:I3974"/>
    <mergeCell ref="E3977:F3977"/>
    <mergeCell ref="E3978:F3978"/>
    <mergeCell ref="E3979:F3979"/>
    <mergeCell ref="E3980:F3980"/>
    <mergeCell ref="E3981:F3981"/>
    <mergeCell ref="E3982:F3982"/>
    <mergeCell ref="E3983:F3983"/>
    <mergeCell ref="H3985:I3985"/>
    <mergeCell ref="E3988:F3988"/>
    <mergeCell ref="E3989:F3989"/>
    <mergeCell ref="E3990:F3990"/>
    <mergeCell ref="E3991:F3991"/>
    <mergeCell ref="E3992:F3992"/>
    <mergeCell ref="E3993:F3993"/>
    <mergeCell ref="H3995:I3995"/>
    <mergeCell ref="E3998:F3998"/>
    <mergeCell ref="E3999:F3999"/>
    <mergeCell ref="E4000:F4000"/>
    <mergeCell ref="E4001:F4001"/>
    <mergeCell ref="E4002:F4002"/>
    <mergeCell ref="E4003:F4003"/>
    <mergeCell ref="H4005:I4005"/>
    <mergeCell ref="F4008:G4008"/>
    <mergeCell ref="E4009:F4009"/>
    <mergeCell ref="E4010:F4010"/>
    <mergeCell ref="E4011:F4011"/>
    <mergeCell ref="E4012:F4012"/>
    <mergeCell ref="E4013:F4013"/>
    <mergeCell ref="H4015:I4015"/>
    <mergeCell ref="F4018:G4018"/>
    <mergeCell ref="F4019:G4019"/>
    <mergeCell ref="E4020:F4020"/>
    <mergeCell ref="E4021:F4021"/>
    <mergeCell ref="E4022:F4022"/>
    <mergeCell ref="E4023:F4023"/>
    <mergeCell ref="E4024:F4024"/>
    <mergeCell ref="E4025:F4025"/>
    <mergeCell ref="E4026:F4026"/>
    <mergeCell ref="H4028:I4028"/>
    <mergeCell ref="E4031:F4031"/>
    <mergeCell ref="E4032:F4032"/>
    <mergeCell ref="E4033:F4033"/>
    <mergeCell ref="E4034:F4034"/>
    <mergeCell ref="E4035:F4035"/>
    <mergeCell ref="H4037:I4037"/>
    <mergeCell ref="E4040:F4040"/>
    <mergeCell ref="E4041:F4041"/>
    <mergeCell ref="E4042:F4042"/>
    <mergeCell ref="E4043:F4043"/>
    <mergeCell ref="E4044:F4044"/>
    <mergeCell ref="H4046:I4046"/>
    <mergeCell ref="E4049:F4049"/>
    <mergeCell ref="E4050:F4050"/>
    <mergeCell ref="E4051:F4051"/>
    <mergeCell ref="E4052:F4052"/>
    <mergeCell ref="E4053:F4053"/>
    <mergeCell ref="H4055:I4055"/>
    <mergeCell ref="E4058:F4058"/>
    <mergeCell ref="E4059:F4059"/>
    <mergeCell ref="E4060:F4060"/>
    <mergeCell ref="E4061:F4061"/>
    <mergeCell ref="E4062:F4062"/>
    <mergeCell ref="E4063:F4063"/>
    <mergeCell ref="H4065:I4065"/>
    <mergeCell ref="F4068:G4068"/>
    <mergeCell ref="E4069:F4069"/>
    <mergeCell ref="E4070:F4070"/>
    <mergeCell ref="E4071:F4071"/>
    <mergeCell ref="E4072:F4072"/>
    <mergeCell ref="E4073:F4073"/>
    <mergeCell ref="H4075:I4075"/>
    <mergeCell ref="E4078:F4078"/>
    <mergeCell ref="E4079:F4079"/>
    <mergeCell ref="E4080:F4080"/>
    <mergeCell ref="E4081:F4081"/>
    <mergeCell ref="E4082:F4082"/>
    <mergeCell ref="E4083:F4083"/>
    <mergeCell ref="H4085:I4085"/>
    <mergeCell ref="E4088:F4088"/>
    <mergeCell ref="E4089:F4089"/>
    <mergeCell ref="E4090:F4090"/>
    <mergeCell ref="E4091:F4091"/>
    <mergeCell ref="E4092:F4092"/>
    <mergeCell ref="H4094:I4094"/>
    <mergeCell ref="E4097:F4097"/>
    <mergeCell ref="E4098:F4098"/>
    <mergeCell ref="E4099:F4099"/>
    <mergeCell ref="E4100:F4100"/>
    <mergeCell ref="E4101:F4101"/>
    <mergeCell ref="H4103:I4103"/>
    <mergeCell ref="E4106:F4106"/>
    <mergeCell ref="E4107:F4107"/>
    <mergeCell ref="E4108:F4108"/>
    <mergeCell ref="E4109:F4109"/>
    <mergeCell ref="E4110:F4110"/>
    <mergeCell ref="E4111:F4111"/>
    <mergeCell ref="H4113:I4113"/>
    <mergeCell ref="E4116:F4116"/>
    <mergeCell ref="E4117:F4117"/>
    <mergeCell ref="E4118:F4118"/>
    <mergeCell ref="E4119:F4119"/>
    <mergeCell ref="E4120:F4120"/>
    <mergeCell ref="H4122:I4122"/>
    <mergeCell ref="E4125:F4125"/>
    <mergeCell ref="E4126:F4126"/>
    <mergeCell ref="E4127:F4127"/>
    <mergeCell ref="E4128:F4128"/>
    <mergeCell ref="E4129:F4129"/>
    <mergeCell ref="E4130:F4130"/>
    <mergeCell ref="H4132:I4132"/>
    <mergeCell ref="F4135:G4135"/>
    <mergeCell ref="E4136:F4136"/>
    <mergeCell ref="E4137:F4137"/>
    <mergeCell ref="E4138:F4138"/>
    <mergeCell ref="E4139:F4139"/>
    <mergeCell ref="E4140:F4140"/>
    <mergeCell ref="E4141:F4141"/>
    <mergeCell ref="E4142:F4142"/>
    <mergeCell ref="H4144:I4144"/>
    <mergeCell ref="F4147:G4147"/>
    <mergeCell ref="E4148:F4148"/>
    <mergeCell ref="E4149:F4149"/>
    <mergeCell ref="E4150:F4150"/>
    <mergeCell ref="E4151:F4151"/>
    <mergeCell ref="E4152:F4152"/>
    <mergeCell ref="E4153:F4153"/>
    <mergeCell ref="E4154:F4154"/>
    <mergeCell ref="H4156:I4156"/>
    <mergeCell ref="E4159:F4159"/>
    <mergeCell ref="E4160:F4160"/>
    <mergeCell ref="E4161:F4161"/>
    <mergeCell ref="E4162:F4162"/>
    <mergeCell ref="E4163:F4163"/>
    <mergeCell ref="E4164:F4164"/>
    <mergeCell ref="E4165:F4165"/>
    <mergeCell ref="H4167:I4167"/>
    <mergeCell ref="E4170:F4170"/>
    <mergeCell ref="E4171:F4171"/>
    <mergeCell ref="E4172:F4172"/>
    <mergeCell ref="E4173:F4173"/>
    <mergeCell ref="E4174:F4174"/>
    <mergeCell ref="H4176:I4176"/>
    <mergeCell ref="E4179:F4179"/>
    <mergeCell ref="E4180:F4180"/>
    <mergeCell ref="E4181:F4181"/>
    <mergeCell ref="E4182:F4182"/>
    <mergeCell ref="E4183:F4183"/>
    <mergeCell ref="H4185:I4185"/>
    <mergeCell ref="E4188:F4188"/>
    <mergeCell ref="E4189:F4189"/>
    <mergeCell ref="E4190:F4190"/>
    <mergeCell ref="E4191:F4191"/>
    <mergeCell ref="E4192:F4192"/>
    <mergeCell ref="H4194:I4194"/>
    <mergeCell ref="F4197:G4197"/>
    <mergeCell ref="F4198:G4198"/>
    <mergeCell ref="E4199:F4199"/>
    <mergeCell ref="E4200:F4200"/>
    <mergeCell ref="E4201:F4201"/>
    <mergeCell ref="E4202:F4202"/>
    <mergeCell ref="H4204:I4204"/>
    <mergeCell ref="E4207:F4207"/>
    <mergeCell ref="E4208:F4208"/>
    <mergeCell ref="E4209:F4209"/>
    <mergeCell ref="E4210:F4210"/>
    <mergeCell ref="E4211:F4211"/>
    <mergeCell ref="E4212:F4212"/>
    <mergeCell ref="H4214:I4214"/>
    <mergeCell ref="E4217:F4217"/>
    <mergeCell ref="E4218:F4218"/>
    <mergeCell ref="E4219:F4219"/>
    <mergeCell ref="E4220:F4220"/>
    <mergeCell ref="E4221:F4221"/>
    <mergeCell ref="E4222:F4222"/>
    <mergeCell ref="E4223:F4223"/>
    <mergeCell ref="H4225:I4225"/>
    <mergeCell ref="E4228:F4228"/>
    <mergeCell ref="E4229:F4229"/>
    <mergeCell ref="E4230:F4230"/>
    <mergeCell ref="E4231:F4231"/>
    <mergeCell ref="E4232:F4232"/>
    <mergeCell ref="E4233:F4233"/>
    <mergeCell ref="H4235:I4235"/>
    <mergeCell ref="E4238:F4238"/>
    <mergeCell ref="E4239:F4239"/>
    <mergeCell ref="E4240:F4240"/>
    <mergeCell ref="E4241:F4241"/>
    <mergeCell ref="E4242:F4242"/>
    <mergeCell ref="E4243:F4243"/>
    <mergeCell ref="H4245:I4245"/>
    <mergeCell ref="E4248:F4248"/>
    <mergeCell ref="E4249:F4249"/>
    <mergeCell ref="E4250:F4250"/>
    <mergeCell ref="E4251:F4251"/>
    <mergeCell ref="E4252:F4252"/>
    <mergeCell ref="E4253:F4253"/>
    <mergeCell ref="E4254:F4254"/>
    <mergeCell ref="H4256:I4256"/>
    <mergeCell ref="E4259:F4259"/>
    <mergeCell ref="E4260:F4260"/>
    <mergeCell ref="E4261:F4261"/>
    <mergeCell ref="E4262:F4262"/>
    <mergeCell ref="E4263:F4263"/>
    <mergeCell ref="E4264:F4264"/>
    <mergeCell ref="H4266:I4266"/>
    <mergeCell ref="E4269:F4269"/>
    <mergeCell ref="E4270:F4270"/>
    <mergeCell ref="E4271:F4271"/>
    <mergeCell ref="E4272:F4272"/>
    <mergeCell ref="E4273:F4273"/>
    <mergeCell ref="E4274:F4274"/>
    <mergeCell ref="E4275:F4275"/>
    <mergeCell ref="H4277:I4277"/>
    <mergeCell ref="F4280:G4280"/>
    <mergeCell ref="E4281:F4281"/>
    <mergeCell ref="E4282:F4282"/>
    <mergeCell ref="E4283:F4283"/>
    <mergeCell ref="E4284:F4284"/>
    <mergeCell ref="E4285:F4285"/>
    <mergeCell ref="H4287:I4287"/>
    <mergeCell ref="E4290:F4290"/>
    <mergeCell ref="E4291:F4291"/>
    <mergeCell ref="E4292:F4292"/>
    <mergeCell ref="E4293:F4293"/>
    <mergeCell ref="E4294:F4294"/>
    <mergeCell ref="E4295:F4295"/>
    <mergeCell ref="E4296:F4296"/>
    <mergeCell ref="E4297:F4297"/>
    <mergeCell ref="E4298:F4298"/>
    <mergeCell ref="H4300:I4300"/>
    <mergeCell ref="F4303:G4303"/>
    <mergeCell ref="E4304:F4304"/>
    <mergeCell ref="E4305:F4305"/>
    <mergeCell ref="E4306:F4306"/>
    <mergeCell ref="E4307:F4307"/>
    <mergeCell ref="E4308:F4308"/>
    <mergeCell ref="H4310:I4310"/>
    <mergeCell ref="E4313:F4313"/>
    <mergeCell ref="E4314:F4314"/>
    <mergeCell ref="E4315:F4315"/>
    <mergeCell ref="E4316:F4316"/>
    <mergeCell ref="E4317:F4317"/>
    <mergeCell ref="H4319:I4319"/>
    <mergeCell ref="E4322:F4322"/>
    <mergeCell ref="E4323:F4323"/>
    <mergeCell ref="E4324:F4324"/>
    <mergeCell ref="E4325:F4325"/>
    <mergeCell ref="E4326:F4326"/>
    <mergeCell ref="E4327:F4327"/>
    <mergeCell ref="E4328:F4328"/>
    <mergeCell ref="E4329:F4329"/>
    <mergeCell ref="E4330:F4330"/>
    <mergeCell ref="H4332:I4332"/>
    <mergeCell ref="E4335:F4335"/>
    <mergeCell ref="E4336:F4336"/>
    <mergeCell ref="E4337:F4337"/>
    <mergeCell ref="E4338:F4338"/>
    <mergeCell ref="E4339:F4339"/>
    <mergeCell ref="E4340:F4340"/>
    <mergeCell ref="H4342:I4342"/>
    <mergeCell ref="F4345:G4345"/>
    <mergeCell ref="F4346:G4346"/>
    <mergeCell ref="E4347:F4347"/>
    <mergeCell ref="E4348:F4348"/>
    <mergeCell ref="E4349:F4349"/>
    <mergeCell ref="H4351:I4351"/>
    <mergeCell ref="E4354:F4354"/>
    <mergeCell ref="E4355:F4355"/>
    <mergeCell ref="E4356:F4356"/>
    <mergeCell ref="H4358:I4358"/>
    <mergeCell ref="E4361:F4361"/>
    <mergeCell ref="E4362:F4362"/>
    <mergeCell ref="E4363:F4363"/>
    <mergeCell ref="E4364:F4364"/>
    <mergeCell ref="H4366:I4366"/>
    <mergeCell ref="E4369:F4369"/>
    <mergeCell ref="E4370:F4370"/>
    <mergeCell ref="E4371:F4371"/>
    <mergeCell ref="E4372:F4372"/>
    <mergeCell ref="E4373:F4373"/>
    <mergeCell ref="E4374:F4374"/>
    <mergeCell ref="E4375:F4375"/>
    <mergeCell ref="H4377:I4377"/>
    <mergeCell ref="E4380:F4380"/>
    <mergeCell ref="E4381:F4381"/>
    <mergeCell ref="E4382:F4382"/>
    <mergeCell ref="H4384:I4384"/>
    <mergeCell ref="E4387:F4387"/>
    <mergeCell ref="E4388:F4388"/>
    <mergeCell ref="E4389:F4389"/>
    <mergeCell ref="E4390:F4390"/>
    <mergeCell ref="E4391:F4391"/>
    <mergeCell ref="E4392:F4392"/>
    <mergeCell ref="H4394:I4394"/>
    <mergeCell ref="F4397:G4397"/>
    <mergeCell ref="E4398:F4398"/>
    <mergeCell ref="E4399:F4399"/>
    <mergeCell ref="E4400:F4400"/>
    <mergeCell ref="E4401:F4401"/>
    <mergeCell ref="E4402:F4402"/>
    <mergeCell ref="E4403:F4403"/>
    <mergeCell ref="E4404:F4404"/>
    <mergeCell ref="E4405:F4405"/>
    <mergeCell ref="E4406:F4406"/>
    <mergeCell ref="E4407:F4407"/>
    <mergeCell ref="E4408:F4408"/>
    <mergeCell ref="E4409:F4409"/>
    <mergeCell ref="H4411:I4411"/>
    <mergeCell ref="E4414:F4414"/>
    <mergeCell ref="E4415:F4415"/>
    <mergeCell ref="E4416:F4416"/>
    <mergeCell ref="E4417:F4417"/>
    <mergeCell ref="H4419:I4419"/>
    <mergeCell ref="E4422:F4422"/>
    <mergeCell ref="E4423:F4423"/>
    <mergeCell ref="E4424:F4424"/>
    <mergeCell ref="E4425:F4425"/>
    <mergeCell ref="E4426:F4426"/>
    <mergeCell ref="E4427:F4427"/>
    <mergeCell ref="E4428:F4428"/>
    <mergeCell ref="E4429:F4429"/>
    <mergeCell ref="E4430:F4430"/>
    <mergeCell ref="H4432:I4432"/>
    <mergeCell ref="E4435:F4435"/>
    <mergeCell ref="E4436:F4436"/>
    <mergeCell ref="E4437:F4437"/>
    <mergeCell ref="E4438:F4438"/>
    <mergeCell ref="E4439:F4439"/>
    <mergeCell ref="E4440:F4440"/>
    <mergeCell ref="E4441:F4441"/>
    <mergeCell ref="H4443:I4443"/>
    <mergeCell ref="E4446:F4446"/>
    <mergeCell ref="E4447:F4447"/>
    <mergeCell ref="E4448:F4448"/>
    <mergeCell ref="E4449:F4449"/>
    <mergeCell ref="E4450:F4450"/>
    <mergeCell ref="E4451:F4451"/>
    <mergeCell ref="H4453:I4453"/>
    <mergeCell ref="E4456:F4456"/>
    <mergeCell ref="E4457:F4457"/>
    <mergeCell ref="E4458:F4458"/>
    <mergeCell ref="E4459:F4459"/>
    <mergeCell ref="E4460:F4460"/>
    <mergeCell ref="E4461:F4461"/>
    <mergeCell ref="E4462:F4462"/>
    <mergeCell ref="E4463:F4463"/>
    <mergeCell ref="E4464:F4464"/>
    <mergeCell ref="H4466:I4466"/>
    <mergeCell ref="E4469:F4469"/>
    <mergeCell ref="E4470:F4470"/>
    <mergeCell ref="E4471:F4471"/>
    <mergeCell ref="E4472:F4472"/>
    <mergeCell ref="E4473:F4473"/>
    <mergeCell ref="E4474:F4474"/>
    <mergeCell ref="E4475:F4475"/>
    <mergeCell ref="E4476:F4476"/>
    <mergeCell ref="E4477:F4477"/>
    <mergeCell ref="H4479:I4479"/>
    <mergeCell ref="E4482:F4482"/>
    <mergeCell ref="E4483:F4483"/>
    <mergeCell ref="E4484:F4484"/>
    <mergeCell ref="E4485:F4485"/>
    <mergeCell ref="E4486:F4486"/>
    <mergeCell ref="E4487:F4487"/>
    <mergeCell ref="E4488:F4488"/>
    <mergeCell ref="E4489:F4489"/>
    <mergeCell ref="E4490:F4490"/>
    <mergeCell ref="E4491:F4491"/>
    <mergeCell ref="E4492:F4492"/>
    <mergeCell ref="H4494:I4494"/>
    <mergeCell ref="E4497:F4497"/>
    <mergeCell ref="E4498:F4498"/>
    <mergeCell ref="E4499:F4499"/>
    <mergeCell ref="E4500:F4500"/>
    <mergeCell ref="E4501:F4501"/>
    <mergeCell ref="E4502:F4502"/>
    <mergeCell ref="E4503:F4503"/>
    <mergeCell ref="E4504:F4504"/>
    <mergeCell ref="H4506:I4506"/>
    <mergeCell ref="E4509:F4509"/>
    <mergeCell ref="E4510:F4510"/>
    <mergeCell ref="E4511:F4511"/>
    <mergeCell ref="E4512:F4512"/>
    <mergeCell ref="E4513:F4513"/>
    <mergeCell ref="E4514:F4514"/>
    <mergeCell ref="H4516:I4516"/>
    <mergeCell ref="E4519:F4519"/>
    <mergeCell ref="E4520:F4520"/>
    <mergeCell ref="E4521:F4521"/>
    <mergeCell ref="E4522:F4522"/>
    <mergeCell ref="E4523:F4523"/>
    <mergeCell ref="E4524:F4524"/>
    <mergeCell ref="H4526:I4526"/>
    <mergeCell ref="F4529:G4529"/>
    <mergeCell ref="E4530:F4530"/>
    <mergeCell ref="E4531:F4531"/>
    <mergeCell ref="E4532:F4532"/>
    <mergeCell ref="E4533:F4533"/>
    <mergeCell ref="E4534:F4534"/>
    <mergeCell ref="E4535:F4535"/>
    <mergeCell ref="H4537:I4537"/>
    <mergeCell ref="F4540:G4540"/>
    <mergeCell ref="E4541:F4541"/>
    <mergeCell ref="E4542:F4542"/>
    <mergeCell ref="E4543:F4543"/>
    <mergeCell ref="H4545:I4545"/>
    <mergeCell ref="E4548:F4548"/>
    <mergeCell ref="E4549:F4549"/>
    <mergeCell ref="E4550:F4550"/>
    <mergeCell ref="E4551:F4551"/>
    <mergeCell ref="E4552:F4552"/>
    <mergeCell ref="H4554:I4554"/>
    <mergeCell ref="E4557:F4557"/>
    <mergeCell ref="E4558:F4558"/>
    <mergeCell ref="E4559:F4559"/>
    <mergeCell ref="E4560:F4560"/>
    <mergeCell ref="H4562:I4562"/>
    <mergeCell ref="E4565:F4565"/>
    <mergeCell ref="E4566:F4566"/>
    <mergeCell ref="E4567:F4567"/>
    <mergeCell ref="E4568:F4568"/>
    <mergeCell ref="E4569:F4569"/>
    <mergeCell ref="E4570:F4570"/>
    <mergeCell ref="E4571:F4571"/>
    <mergeCell ref="E4572:F4572"/>
    <mergeCell ref="E4573:F4573"/>
    <mergeCell ref="H4575:I4575"/>
    <mergeCell ref="E4578:F4578"/>
    <mergeCell ref="E4579:F4579"/>
    <mergeCell ref="E4580:F4580"/>
    <mergeCell ref="E4581:F4581"/>
    <mergeCell ref="H4583:I4583"/>
    <mergeCell ref="F4586:G4586"/>
    <mergeCell ref="E4587:F4587"/>
    <mergeCell ref="E4588:F4588"/>
    <mergeCell ref="E4589:F4589"/>
    <mergeCell ref="H4591:I4591"/>
    <mergeCell ref="E4594:F4594"/>
    <mergeCell ref="E4595:F4595"/>
    <mergeCell ref="E4596:F4596"/>
    <mergeCell ref="H4598:I4598"/>
    <mergeCell ref="E4601:F4601"/>
    <mergeCell ref="E4602:F4602"/>
    <mergeCell ref="E4603:F4603"/>
    <mergeCell ref="H4605:I4605"/>
    <mergeCell ref="E4608:F4608"/>
    <mergeCell ref="E4609:F4609"/>
    <mergeCell ref="E4610:F4610"/>
    <mergeCell ref="H4612:I4612"/>
    <mergeCell ref="E4615:F4615"/>
    <mergeCell ref="E4616:F4616"/>
    <mergeCell ref="E4617:F4617"/>
    <mergeCell ref="H4619:I4619"/>
    <mergeCell ref="E4622:F4622"/>
    <mergeCell ref="E4623:F4623"/>
    <mergeCell ref="E4624:F4624"/>
    <mergeCell ref="H4626:I4626"/>
    <mergeCell ref="E4629:F4629"/>
    <mergeCell ref="E4630:F4630"/>
    <mergeCell ref="E4631:F4631"/>
    <mergeCell ref="H4633:I4633"/>
    <mergeCell ref="E4636:F4636"/>
    <mergeCell ref="E4637:F4637"/>
    <mergeCell ref="E4638:F4638"/>
    <mergeCell ref="H4640:I4640"/>
    <mergeCell ref="E4643:F4643"/>
    <mergeCell ref="E4644:F4644"/>
    <mergeCell ref="E4645:F4645"/>
    <mergeCell ref="H4647:I4647"/>
    <mergeCell ref="E4650:F4650"/>
    <mergeCell ref="E4651:F4651"/>
    <mergeCell ref="E4652:F4652"/>
    <mergeCell ref="H4654:I4654"/>
    <mergeCell ref="F4657:G4657"/>
    <mergeCell ref="F4658:G4658"/>
    <mergeCell ref="F4659:G4659"/>
    <mergeCell ref="E4660:F4660"/>
    <mergeCell ref="E4661:F4661"/>
    <mergeCell ref="E4662:F4662"/>
    <mergeCell ref="E4663:F4663"/>
    <mergeCell ref="H4665:I4665"/>
    <mergeCell ref="E4668:F4668"/>
    <mergeCell ref="E4669:F4669"/>
    <mergeCell ref="E4670:F4670"/>
    <mergeCell ref="E4671:F4671"/>
    <mergeCell ref="E4672:F4672"/>
    <mergeCell ref="E4673:F4673"/>
    <mergeCell ref="E4674:F4674"/>
    <mergeCell ref="E4675:F4675"/>
    <mergeCell ref="E4676:F4676"/>
    <mergeCell ref="E4677:F4677"/>
    <mergeCell ref="E4678:F4678"/>
    <mergeCell ref="E4679:F4679"/>
    <mergeCell ref="E4680:F4680"/>
    <mergeCell ref="E4681:F4681"/>
    <mergeCell ref="H4683:I4683"/>
    <mergeCell ref="E4686:F4686"/>
    <mergeCell ref="E4687:F4687"/>
    <mergeCell ref="E4688:F4688"/>
    <mergeCell ref="E4689:F4689"/>
    <mergeCell ref="E4690:F4690"/>
    <mergeCell ref="E4691:F4691"/>
    <mergeCell ref="E4692:F4692"/>
    <mergeCell ref="H4694:I4694"/>
    <mergeCell ref="E4697:F4697"/>
    <mergeCell ref="E4698:F4698"/>
    <mergeCell ref="E4699:F4699"/>
    <mergeCell ref="E4700:F4700"/>
    <mergeCell ref="E4701:F4701"/>
    <mergeCell ref="E4702:F4702"/>
    <mergeCell ref="E4703:F4703"/>
    <mergeCell ref="H4705:I4705"/>
    <mergeCell ref="E4708:F4708"/>
    <mergeCell ref="E4709:F4709"/>
    <mergeCell ref="E4710:F4710"/>
    <mergeCell ref="E4711:F4711"/>
    <mergeCell ref="E4712:F4712"/>
    <mergeCell ref="E4713:F4713"/>
    <mergeCell ref="E4714:F4714"/>
    <mergeCell ref="E4715:F4715"/>
    <mergeCell ref="E4716:F4716"/>
    <mergeCell ref="E4717:F4717"/>
    <mergeCell ref="E4718:F4718"/>
    <mergeCell ref="H4720:I4720"/>
    <mergeCell ref="E4723:F4723"/>
    <mergeCell ref="E4724:F4724"/>
    <mergeCell ref="E4725:F4725"/>
    <mergeCell ref="E4726:F4726"/>
    <mergeCell ref="E4727:F4727"/>
    <mergeCell ref="E4728:F4728"/>
    <mergeCell ref="E4729:F4729"/>
    <mergeCell ref="H4731:I4731"/>
    <mergeCell ref="F4734:G4734"/>
    <mergeCell ref="E4735:F4735"/>
    <mergeCell ref="E4736:F4736"/>
    <mergeCell ref="E4737:F4737"/>
    <mergeCell ref="E4738:F4738"/>
    <mergeCell ref="E4739:F4739"/>
    <mergeCell ref="E4740:F4740"/>
    <mergeCell ref="E4741:F4741"/>
    <mergeCell ref="H4743:I4743"/>
    <mergeCell ref="E4746:F4746"/>
    <mergeCell ref="E4747:F4747"/>
    <mergeCell ref="E4748:F4748"/>
    <mergeCell ref="E4749:F4749"/>
    <mergeCell ref="E4750:F4750"/>
    <mergeCell ref="E4751:F4751"/>
    <mergeCell ref="E4752:F4752"/>
    <mergeCell ref="E4753:F4753"/>
    <mergeCell ref="E4754:F4754"/>
    <mergeCell ref="H4756:I4756"/>
    <mergeCell ref="E4759:F4759"/>
    <mergeCell ref="E4760:F4760"/>
    <mergeCell ref="E4761:F4761"/>
    <mergeCell ref="E4762:F4762"/>
    <mergeCell ref="E4763:F4763"/>
    <mergeCell ref="E4764:F4764"/>
    <mergeCell ref="E4765:F4765"/>
    <mergeCell ref="H4767:I4767"/>
    <mergeCell ref="E4770:F4770"/>
    <mergeCell ref="E4771:F4771"/>
    <mergeCell ref="E4772:F4772"/>
    <mergeCell ref="E4773:F4773"/>
    <mergeCell ref="E4774:F4774"/>
    <mergeCell ref="E4775:F4775"/>
    <mergeCell ref="E4776:F4776"/>
    <mergeCell ref="H4778:I4778"/>
    <mergeCell ref="E4781:F4781"/>
    <mergeCell ref="E4782:F4782"/>
    <mergeCell ref="E4783:F4783"/>
    <mergeCell ref="E4784:F4784"/>
    <mergeCell ref="E4785:F4785"/>
    <mergeCell ref="E4786:F4786"/>
    <mergeCell ref="E4787:F4787"/>
    <mergeCell ref="H4789:I4789"/>
    <mergeCell ref="E4792:F4792"/>
    <mergeCell ref="E4793:F4793"/>
    <mergeCell ref="E4794:F4794"/>
    <mergeCell ref="E4795:F4795"/>
    <mergeCell ref="E4796:F4796"/>
    <mergeCell ref="E4797:F4797"/>
    <mergeCell ref="E4798:F4798"/>
    <mergeCell ref="H4800:I4800"/>
    <mergeCell ref="E4803:F4803"/>
    <mergeCell ref="E4804:F4804"/>
    <mergeCell ref="E4805:F4805"/>
    <mergeCell ref="E4806:F4806"/>
    <mergeCell ref="E4807:F4807"/>
    <mergeCell ref="E4808:F4808"/>
    <mergeCell ref="E4809:F4809"/>
    <mergeCell ref="E4810:F4810"/>
    <mergeCell ref="E4811:F4811"/>
    <mergeCell ref="E4812:F4812"/>
    <mergeCell ref="E4813:F4813"/>
    <mergeCell ref="H4815:I4815"/>
    <mergeCell ref="F4818:G4818"/>
    <mergeCell ref="E4819:F4819"/>
    <mergeCell ref="E4820:F4820"/>
    <mergeCell ref="E4821:F4821"/>
    <mergeCell ref="E4822:F4822"/>
    <mergeCell ref="E4823:F4823"/>
    <mergeCell ref="E4824:F4824"/>
    <mergeCell ref="E4825:F4825"/>
    <mergeCell ref="E4826:F4826"/>
    <mergeCell ref="H4828:I4828"/>
    <mergeCell ref="E4831:F4831"/>
    <mergeCell ref="E4832:F4832"/>
    <mergeCell ref="E4833:F4833"/>
    <mergeCell ref="E4834:F4834"/>
    <mergeCell ref="E4835:F4835"/>
    <mergeCell ref="E4836:F4836"/>
    <mergeCell ref="E4837:F4837"/>
    <mergeCell ref="H4839:I4839"/>
    <mergeCell ref="E4842:F4842"/>
    <mergeCell ref="E4843:F4843"/>
    <mergeCell ref="E4844:F4844"/>
    <mergeCell ref="E4845:F4845"/>
    <mergeCell ref="E4846:F4846"/>
    <mergeCell ref="E4847:F4847"/>
    <mergeCell ref="E4848:F4848"/>
    <mergeCell ref="H4850:I4850"/>
    <mergeCell ref="E4853:F4853"/>
    <mergeCell ref="E4854:F4854"/>
    <mergeCell ref="E4855:F4855"/>
    <mergeCell ref="E4856:F4856"/>
    <mergeCell ref="E4857:F4857"/>
    <mergeCell ref="E4858:F4858"/>
    <mergeCell ref="E4859:F4859"/>
    <mergeCell ref="H4861:I4861"/>
    <mergeCell ref="E4864:F4864"/>
    <mergeCell ref="E4865:F4865"/>
    <mergeCell ref="E4866:F4866"/>
    <mergeCell ref="E4867:F4867"/>
    <mergeCell ref="E4868:F4868"/>
    <mergeCell ref="E4869:F4869"/>
    <mergeCell ref="E4870:F4870"/>
    <mergeCell ref="H4872:I4872"/>
    <mergeCell ref="E4875:F4875"/>
    <mergeCell ref="E4876:F4876"/>
    <mergeCell ref="E4877:F4877"/>
    <mergeCell ref="E4878:F4878"/>
    <mergeCell ref="E4879:F4879"/>
    <mergeCell ref="E4880:F4880"/>
    <mergeCell ref="H4882:I4882"/>
    <mergeCell ref="E4885:F4885"/>
    <mergeCell ref="E4886:F4886"/>
    <mergeCell ref="E4887:F4887"/>
    <mergeCell ref="E4888:F4888"/>
    <mergeCell ref="E4889:F4889"/>
    <mergeCell ref="E4890:F4890"/>
    <mergeCell ref="E4891:F4891"/>
    <mergeCell ref="E4892:F4892"/>
    <mergeCell ref="E4893:F4893"/>
    <mergeCell ref="E4894:F4894"/>
    <mergeCell ref="E4895:F4895"/>
    <mergeCell ref="H4897:I4897"/>
    <mergeCell ref="F4900:G4900"/>
    <mergeCell ref="E4901:F4901"/>
    <mergeCell ref="E4902:F4902"/>
    <mergeCell ref="E4903:F4903"/>
    <mergeCell ref="E4904:F4904"/>
    <mergeCell ref="E4905:F4905"/>
    <mergeCell ref="E4906:F4906"/>
    <mergeCell ref="E4907:F4907"/>
    <mergeCell ref="H4909:I4909"/>
    <mergeCell ref="E4912:F4912"/>
    <mergeCell ref="E4913:F4913"/>
    <mergeCell ref="E4914:F4914"/>
    <mergeCell ref="H4916:I4916"/>
    <mergeCell ref="E4919:F4919"/>
    <mergeCell ref="E4920:F4920"/>
    <mergeCell ref="E4921:F4921"/>
    <mergeCell ref="E4922:F4922"/>
    <mergeCell ref="H4924:I4924"/>
    <mergeCell ref="F4927:G4927"/>
    <mergeCell ref="E4928:F4928"/>
    <mergeCell ref="E4929:F4929"/>
    <mergeCell ref="E4930:F4930"/>
    <mergeCell ref="E4931:F4931"/>
    <mergeCell ref="E4932:F4932"/>
    <mergeCell ref="H4934:I4934"/>
    <mergeCell ref="E4937:F4937"/>
    <mergeCell ref="E4938:F4938"/>
    <mergeCell ref="E4939:F4939"/>
    <mergeCell ref="E4940:F4940"/>
    <mergeCell ref="E4941:F4941"/>
    <mergeCell ref="E4942:F4942"/>
    <mergeCell ref="E4943:F4943"/>
    <mergeCell ref="H4945:I4945"/>
    <mergeCell ref="F4948:G4948"/>
    <mergeCell ref="E4949:F4949"/>
    <mergeCell ref="E4950:F4950"/>
    <mergeCell ref="E4951:F4951"/>
    <mergeCell ref="E4952:F4952"/>
    <mergeCell ref="E4953:F4953"/>
    <mergeCell ref="E4954:F4954"/>
    <mergeCell ref="H4956:I4956"/>
    <mergeCell ref="E4959:F4959"/>
    <mergeCell ref="E4960:F4960"/>
    <mergeCell ref="E4961:F4961"/>
    <mergeCell ref="E4962:F4962"/>
    <mergeCell ref="E4963:F4963"/>
    <mergeCell ref="E4964:F4964"/>
    <mergeCell ref="H4966:I4966"/>
    <mergeCell ref="E4969:F4969"/>
    <mergeCell ref="E4970:F4970"/>
    <mergeCell ref="E4971:F4971"/>
    <mergeCell ref="E4972:F4972"/>
    <mergeCell ref="E4973:F4973"/>
    <mergeCell ref="E4974:F4974"/>
    <mergeCell ref="H4976:I4976"/>
    <mergeCell ref="E4979:F4979"/>
    <mergeCell ref="E4980:F4980"/>
    <mergeCell ref="E4981:F4981"/>
    <mergeCell ref="E4982:F4982"/>
    <mergeCell ref="E4983:F4983"/>
    <mergeCell ref="E4984:F4984"/>
    <mergeCell ref="H4986:I4986"/>
    <mergeCell ref="E4989:F4989"/>
    <mergeCell ref="E4990:F4990"/>
    <mergeCell ref="E4991:F4991"/>
    <mergeCell ref="E4992:F4992"/>
    <mergeCell ref="E4993:F4993"/>
    <mergeCell ref="H4995:I4995"/>
    <mergeCell ref="E4998:F4998"/>
    <mergeCell ref="E4999:F4999"/>
    <mergeCell ref="E5000:F5000"/>
    <mergeCell ref="E5001:F5001"/>
    <mergeCell ref="E5002:F5002"/>
    <mergeCell ref="E5003:F5003"/>
    <mergeCell ref="H5005:I5005"/>
    <mergeCell ref="E5008:F5008"/>
    <mergeCell ref="E5009:F5009"/>
    <mergeCell ref="E5010:F5010"/>
    <mergeCell ref="E5011:F5011"/>
    <mergeCell ref="E5012:F5012"/>
    <mergeCell ref="E5013:F5013"/>
    <mergeCell ref="H5015:I5015"/>
    <mergeCell ref="E5018:F5018"/>
    <mergeCell ref="E5019:F5019"/>
    <mergeCell ref="E5020:F5020"/>
    <mergeCell ref="E5021:F5021"/>
    <mergeCell ref="E5022:F5022"/>
    <mergeCell ref="E5023:F5023"/>
    <mergeCell ref="H5025:I5025"/>
    <mergeCell ref="E5028:F5028"/>
    <mergeCell ref="E5029:F5029"/>
    <mergeCell ref="E5030:F5030"/>
    <mergeCell ref="E5031:F5031"/>
    <mergeCell ref="E5032:F5032"/>
    <mergeCell ref="E5033:F5033"/>
    <mergeCell ref="H5035:I5035"/>
    <mergeCell ref="E5038:F5038"/>
    <mergeCell ref="E5039:F5039"/>
    <mergeCell ref="E5040:F5040"/>
    <mergeCell ref="E5041:F5041"/>
    <mergeCell ref="E5042:F5042"/>
    <mergeCell ref="E5043:F5043"/>
    <mergeCell ref="H5045:I5045"/>
    <mergeCell ref="E5048:F5048"/>
    <mergeCell ref="E5049:F5049"/>
    <mergeCell ref="E5050:F5050"/>
    <mergeCell ref="E5051:F5051"/>
    <mergeCell ref="E5052:F5052"/>
    <mergeCell ref="H5054:I5054"/>
    <mergeCell ref="E5057:F5057"/>
    <mergeCell ref="E5058:F5058"/>
    <mergeCell ref="E5059:F5059"/>
    <mergeCell ref="E5060:F5060"/>
    <mergeCell ref="E5061:F5061"/>
    <mergeCell ref="E5062:F5062"/>
    <mergeCell ref="H5064:I5064"/>
    <mergeCell ref="E5067:F5067"/>
    <mergeCell ref="E5068:F5068"/>
    <mergeCell ref="E5069:F5069"/>
    <mergeCell ref="E5070:F5070"/>
    <mergeCell ref="E5071:F5071"/>
    <mergeCell ref="E5072:F5072"/>
    <mergeCell ref="H5074:I5074"/>
    <mergeCell ref="E5077:F5077"/>
    <mergeCell ref="E5078:F5078"/>
    <mergeCell ref="E5079:F5079"/>
    <mergeCell ref="E5080:F5080"/>
    <mergeCell ref="H5082:I5082"/>
    <mergeCell ref="F5085:G5085"/>
    <mergeCell ref="F5086:G5086"/>
    <mergeCell ref="E5087:F5087"/>
    <mergeCell ref="E5088:F5088"/>
    <mergeCell ref="E5089:F5089"/>
    <mergeCell ref="E5090:F5090"/>
    <mergeCell ref="H5092:I5092"/>
    <mergeCell ref="E5095:F5095"/>
    <mergeCell ref="E5096:F5096"/>
    <mergeCell ref="E5097:F5097"/>
    <mergeCell ref="E5098:F5098"/>
    <mergeCell ref="E5099:F5099"/>
    <mergeCell ref="E5100:F5100"/>
    <mergeCell ref="E5101:F5101"/>
    <mergeCell ref="E5102:F5102"/>
    <mergeCell ref="E5103:F5103"/>
    <mergeCell ref="E5104:F5104"/>
    <mergeCell ref="E5105:F5105"/>
    <mergeCell ref="E5106:F5106"/>
    <mergeCell ref="E5107:F5107"/>
    <mergeCell ref="E5108:F5108"/>
    <mergeCell ref="H5110:I5110"/>
    <mergeCell ref="E5113:F5113"/>
    <mergeCell ref="E5114:F5114"/>
    <mergeCell ref="E5115:F5115"/>
    <mergeCell ref="E5116:F5116"/>
    <mergeCell ref="E5117:F5117"/>
    <mergeCell ref="E5118:F5118"/>
    <mergeCell ref="E5119:F5119"/>
    <mergeCell ref="H5121:I5121"/>
    <mergeCell ref="E5124:F5124"/>
    <mergeCell ref="E5125:F5125"/>
    <mergeCell ref="E5126:F5126"/>
    <mergeCell ref="E5127:F5127"/>
    <mergeCell ref="E5128:F5128"/>
    <mergeCell ref="E5129:F5129"/>
    <mergeCell ref="E5130:F5130"/>
    <mergeCell ref="H5132:I5132"/>
    <mergeCell ref="E5135:F5135"/>
    <mergeCell ref="E5136:F5136"/>
    <mergeCell ref="E5137:F5137"/>
    <mergeCell ref="E5138:F5138"/>
    <mergeCell ref="E5139:F5139"/>
    <mergeCell ref="E5140:F5140"/>
    <mergeCell ref="E5141:F5141"/>
    <mergeCell ref="E5142:F5142"/>
    <mergeCell ref="E5143:F5143"/>
    <mergeCell ref="E5144:F5144"/>
    <mergeCell ref="E5145:F5145"/>
    <mergeCell ref="H5147:I5147"/>
    <mergeCell ref="F5150:G5150"/>
    <mergeCell ref="E5151:F5151"/>
    <mergeCell ref="E5152:F5152"/>
    <mergeCell ref="E5153:F5153"/>
    <mergeCell ref="E5154:F5154"/>
    <mergeCell ref="E5155:F5155"/>
    <mergeCell ref="E5156:F5156"/>
    <mergeCell ref="E5157:F5157"/>
    <mergeCell ref="E5158:F5158"/>
    <mergeCell ref="H5160:I5160"/>
    <mergeCell ref="E5163:F5163"/>
    <mergeCell ref="E5164:F5164"/>
    <mergeCell ref="E5165:F5165"/>
    <mergeCell ref="E5166:F5166"/>
    <mergeCell ref="E5167:F5167"/>
    <mergeCell ref="E5168:F5168"/>
    <mergeCell ref="E5169:F5169"/>
    <mergeCell ref="E5170:F5170"/>
    <mergeCell ref="E5171:F5171"/>
    <mergeCell ref="E5172:F5172"/>
    <mergeCell ref="E5173:F5173"/>
    <mergeCell ref="H5175:I5175"/>
    <mergeCell ref="E5178:F5178"/>
    <mergeCell ref="E5179:F5179"/>
    <mergeCell ref="E5180:F5180"/>
    <mergeCell ref="E5181:F5181"/>
    <mergeCell ref="E5182:F5182"/>
    <mergeCell ref="E5183:F5183"/>
    <mergeCell ref="E5184:F5184"/>
    <mergeCell ref="H5186:I5186"/>
    <mergeCell ref="E5189:F5189"/>
    <mergeCell ref="E5190:F5190"/>
    <mergeCell ref="E5191:F5191"/>
    <mergeCell ref="E5192:F5192"/>
    <mergeCell ref="E5193:F5193"/>
    <mergeCell ref="E5194:F5194"/>
    <mergeCell ref="E5195:F5195"/>
    <mergeCell ref="H5197:I5197"/>
    <mergeCell ref="E5200:F5200"/>
    <mergeCell ref="E5201:F5201"/>
    <mergeCell ref="E5202:F5202"/>
    <mergeCell ref="E5203:F5203"/>
    <mergeCell ref="E5204:F5204"/>
    <mergeCell ref="E5205:F5205"/>
    <mergeCell ref="E5206:F5206"/>
    <mergeCell ref="E5207:F5207"/>
    <mergeCell ref="E5208:F5208"/>
    <mergeCell ref="E5209:F5209"/>
    <mergeCell ref="H5211:I5211"/>
    <mergeCell ref="F5214:G5214"/>
    <mergeCell ref="E5215:F5215"/>
    <mergeCell ref="E5216:F5216"/>
    <mergeCell ref="E5217:F5217"/>
    <mergeCell ref="E5218:F5218"/>
    <mergeCell ref="E5219:F5219"/>
    <mergeCell ref="E5220:F5220"/>
    <mergeCell ref="E5221:F5221"/>
    <mergeCell ref="H5223:I5223"/>
    <mergeCell ref="E5226:F5226"/>
    <mergeCell ref="E5227:F5227"/>
    <mergeCell ref="E5228:F5228"/>
    <mergeCell ref="E5229:F5229"/>
    <mergeCell ref="E5230:F5230"/>
    <mergeCell ref="E5231:F5231"/>
    <mergeCell ref="E5232:F5232"/>
    <mergeCell ref="E5233:F5233"/>
    <mergeCell ref="E5234:F5234"/>
    <mergeCell ref="H5236:I5236"/>
    <mergeCell ref="E5239:F5239"/>
    <mergeCell ref="E5240:F5240"/>
    <mergeCell ref="E5241:F5241"/>
    <mergeCell ref="E5242:F5242"/>
    <mergeCell ref="E5243:F5243"/>
    <mergeCell ref="E5244:F5244"/>
    <mergeCell ref="E5245:F5245"/>
    <mergeCell ref="E5246:F5246"/>
    <mergeCell ref="E5247:F5247"/>
    <mergeCell ref="E5248:F5248"/>
    <mergeCell ref="E5249:F5249"/>
    <mergeCell ref="H5251:I5251"/>
    <mergeCell ref="E5254:F5254"/>
    <mergeCell ref="E5255:F5255"/>
    <mergeCell ref="E5256:F5256"/>
    <mergeCell ref="E5257:F5257"/>
    <mergeCell ref="E5258:F5258"/>
    <mergeCell ref="E5259:F5259"/>
    <mergeCell ref="E5260:F5260"/>
    <mergeCell ref="H5262:I5262"/>
    <mergeCell ref="E5265:F5265"/>
    <mergeCell ref="E5266:F5266"/>
    <mergeCell ref="E5267:F5267"/>
    <mergeCell ref="E5268:F5268"/>
    <mergeCell ref="E5269:F5269"/>
    <mergeCell ref="E5270:F5270"/>
    <mergeCell ref="E5271:F5271"/>
    <mergeCell ref="H5273:I5273"/>
    <mergeCell ref="E5276:F5276"/>
    <mergeCell ref="E5277:F5277"/>
    <mergeCell ref="E5278:F5278"/>
    <mergeCell ref="E5279:F5279"/>
    <mergeCell ref="E5280:F5280"/>
    <mergeCell ref="E5281:F5281"/>
    <mergeCell ref="E5282:F5282"/>
    <mergeCell ref="H5284:I5284"/>
    <mergeCell ref="F5287:G5287"/>
    <mergeCell ref="E5288:F5288"/>
    <mergeCell ref="E5289:F5289"/>
    <mergeCell ref="E5290:F5290"/>
    <mergeCell ref="E5291:F5291"/>
    <mergeCell ref="E5292:F5292"/>
    <mergeCell ref="E5293:F5293"/>
    <mergeCell ref="E5294:F5294"/>
    <mergeCell ref="E5295:F5295"/>
    <mergeCell ref="E5296:F5296"/>
    <mergeCell ref="H5298:I5298"/>
    <mergeCell ref="E5301:F5301"/>
    <mergeCell ref="E5302:F5302"/>
    <mergeCell ref="E5303:F5303"/>
    <mergeCell ref="E5304:F5304"/>
    <mergeCell ref="E5305:F5305"/>
    <mergeCell ref="E5306:F5306"/>
    <mergeCell ref="E5307:F5307"/>
    <mergeCell ref="E5308:F5308"/>
    <mergeCell ref="E5309:F5309"/>
    <mergeCell ref="E5310:F5310"/>
    <mergeCell ref="E5311:F5311"/>
    <mergeCell ref="H5313:I5313"/>
    <mergeCell ref="E5316:F5316"/>
    <mergeCell ref="E5317:F5317"/>
    <mergeCell ref="E5318:F5318"/>
    <mergeCell ref="E5319:F5319"/>
    <mergeCell ref="E5320:F5320"/>
    <mergeCell ref="E5321:F5321"/>
    <mergeCell ref="E5322:F5322"/>
    <mergeCell ref="H5324:I5324"/>
    <mergeCell ref="E5327:F5327"/>
    <mergeCell ref="E5328:F5328"/>
    <mergeCell ref="E5329:F5329"/>
    <mergeCell ref="E5330:F5330"/>
    <mergeCell ref="E5331:F5331"/>
    <mergeCell ref="E5332:F5332"/>
    <mergeCell ref="E5333:F5333"/>
    <mergeCell ref="H5335:I5335"/>
    <mergeCell ref="F5338:G5338"/>
    <mergeCell ref="E5339:F5339"/>
    <mergeCell ref="E5340:F5340"/>
    <mergeCell ref="E5341:F5341"/>
    <mergeCell ref="E5342:F5342"/>
    <mergeCell ref="H5344:I5344"/>
    <mergeCell ref="E5347:F5347"/>
    <mergeCell ref="E5348:F5348"/>
    <mergeCell ref="E5349:F5349"/>
    <mergeCell ref="E5350:F5350"/>
    <mergeCell ref="E5351:F5351"/>
    <mergeCell ref="E5352:F5352"/>
    <mergeCell ref="E5353:F5353"/>
    <mergeCell ref="E5354:F5354"/>
    <mergeCell ref="E5355:F5355"/>
    <mergeCell ref="E5356:F5356"/>
    <mergeCell ref="E5357:F5357"/>
    <mergeCell ref="E5358:F5358"/>
    <mergeCell ref="E5359:F5359"/>
    <mergeCell ref="E5360:F5360"/>
    <mergeCell ref="H5362:I5362"/>
    <mergeCell ref="E5365:F5365"/>
    <mergeCell ref="E5366:F5366"/>
    <mergeCell ref="E5367:F5367"/>
    <mergeCell ref="E5368:F5368"/>
    <mergeCell ref="E5369:F5369"/>
    <mergeCell ref="E5370:F5370"/>
    <mergeCell ref="E5371:F5371"/>
    <mergeCell ref="H5373:I5373"/>
    <mergeCell ref="E5376:F5376"/>
    <mergeCell ref="E5377:F5377"/>
    <mergeCell ref="E5378:F5378"/>
    <mergeCell ref="E5379:F5379"/>
    <mergeCell ref="E5380:F5380"/>
    <mergeCell ref="E5381:F5381"/>
    <mergeCell ref="E5382:F5382"/>
    <mergeCell ref="E5383:F5383"/>
    <mergeCell ref="H5385:I5385"/>
    <mergeCell ref="E5388:F5388"/>
    <mergeCell ref="E5389:F5389"/>
    <mergeCell ref="E5390:F5390"/>
    <mergeCell ref="E5391:F5391"/>
    <mergeCell ref="E5392:F5392"/>
    <mergeCell ref="E5393:F5393"/>
    <mergeCell ref="E5394:F5394"/>
    <mergeCell ref="H5396:I5396"/>
    <mergeCell ref="E5399:F5399"/>
    <mergeCell ref="E5400:F5400"/>
    <mergeCell ref="E5401:F5401"/>
    <mergeCell ref="E5402:F5402"/>
    <mergeCell ref="E5403:F5403"/>
    <mergeCell ref="E5404:F5404"/>
    <mergeCell ref="E5405:F5405"/>
    <mergeCell ref="H5407:I5407"/>
    <mergeCell ref="E5410:F5410"/>
    <mergeCell ref="E5411:F5411"/>
    <mergeCell ref="E5412:F5412"/>
    <mergeCell ref="E5413:F5413"/>
    <mergeCell ref="E5414:F5414"/>
    <mergeCell ref="E5415:F5415"/>
    <mergeCell ref="E5416:F5416"/>
    <mergeCell ref="E5417:F5417"/>
    <mergeCell ref="E5418:F5418"/>
    <mergeCell ref="H5420:I5420"/>
    <mergeCell ref="E5423:F5423"/>
    <mergeCell ref="E5424:F5424"/>
    <mergeCell ref="E5425:F5425"/>
    <mergeCell ref="E5426:F5426"/>
    <mergeCell ref="E5427:F5427"/>
    <mergeCell ref="E5428:F5428"/>
    <mergeCell ref="E5429:F5429"/>
    <mergeCell ref="H5431:I5431"/>
    <mergeCell ref="E5434:F5434"/>
    <mergeCell ref="E5435:F5435"/>
    <mergeCell ref="E5436:F5436"/>
    <mergeCell ref="E5437:F5437"/>
    <mergeCell ref="E5438:F5438"/>
    <mergeCell ref="E5439:F5439"/>
    <mergeCell ref="E5440:F5440"/>
    <mergeCell ref="H5442:I5442"/>
    <mergeCell ref="E5445:F5445"/>
    <mergeCell ref="E5446:F5446"/>
    <mergeCell ref="E5447:F5447"/>
    <mergeCell ref="E5448:F5448"/>
    <mergeCell ref="E5449:F5449"/>
    <mergeCell ref="E5450:F5450"/>
    <mergeCell ref="E5451:F5451"/>
    <mergeCell ref="H5453:I5453"/>
    <mergeCell ref="E5456:F5456"/>
    <mergeCell ref="E5457:F5457"/>
    <mergeCell ref="E5458:F5458"/>
    <mergeCell ref="E5459:F5459"/>
    <mergeCell ref="E5460:F5460"/>
    <mergeCell ref="E5461:F5461"/>
    <mergeCell ref="E5462:F5462"/>
    <mergeCell ref="E5463:F5463"/>
    <mergeCell ref="E5464:F5464"/>
    <mergeCell ref="E5465:F5465"/>
    <mergeCell ref="E5466:F5466"/>
    <mergeCell ref="H5468:I5468"/>
    <mergeCell ref="E5471:F5471"/>
    <mergeCell ref="E5472:F5472"/>
    <mergeCell ref="E5473:F5473"/>
    <mergeCell ref="E5474:F5474"/>
    <mergeCell ref="E5475:F5475"/>
    <mergeCell ref="E5476:F5476"/>
    <mergeCell ref="E5477:F5477"/>
    <mergeCell ref="H5479:I5479"/>
    <mergeCell ref="F5482:G5482"/>
    <mergeCell ref="E5483:F5483"/>
    <mergeCell ref="E5484:F5484"/>
    <mergeCell ref="E5485:F5485"/>
    <mergeCell ref="E5486:F5486"/>
    <mergeCell ref="H5488:I5488"/>
    <mergeCell ref="E5491:F5491"/>
    <mergeCell ref="E5492:F5492"/>
    <mergeCell ref="E5493:F5493"/>
    <mergeCell ref="E5494:F5494"/>
    <mergeCell ref="H5496:I5496"/>
    <mergeCell ref="A5500:C5500"/>
    <mergeCell ref="F5500:G5500"/>
    <mergeCell ref="H5500:J5500"/>
    <mergeCell ref="A5501:C5501"/>
    <mergeCell ref="F5501:G5501"/>
    <mergeCell ref="H5501:J5501"/>
    <mergeCell ref="A5502:C5502"/>
    <mergeCell ref="F5502:G5502"/>
    <mergeCell ref="H5502:J5502"/>
    <mergeCell ref="A1:K10"/>
  </mergeCells>
  <pageMargins left="0.7" right="0.7" top="0.75" bottom="0.75" header="0" footer="0"/>
  <pageSetup paperSize="9" scale="38" fitToHeight="0"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0"/>
  <sheetViews>
    <sheetView showGridLines="0" topLeftCell="A48" workbookViewId="0">
      <selection activeCell="D55" sqref="D55"/>
    </sheetView>
  </sheetViews>
  <sheetFormatPr defaultColWidth="14.4380952380952" defaultRowHeight="15" customHeight="1"/>
  <cols>
    <col min="1" max="2" width="15.8857142857143" customWidth="1"/>
    <col min="3" max="3" width="47.3333333333333" customWidth="1"/>
    <col min="4" max="4" width="15.8857142857143" customWidth="1"/>
    <col min="5" max="5" width="16.8857142857143" customWidth="1"/>
    <col min="6" max="9" width="15.8857142857143" customWidth="1"/>
    <col min="10" max="26" width="8" customWidth="1"/>
  </cols>
  <sheetData>
    <row r="1" spans="1:26">
      <c r="A1" s="292"/>
      <c r="B1" s="202"/>
      <c r="C1" s="202"/>
      <c r="D1" s="202"/>
      <c r="E1" s="202"/>
      <c r="F1" s="202"/>
      <c r="G1" s="202"/>
      <c r="H1" s="202"/>
      <c r="I1" s="256"/>
      <c r="J1" s="230"/>
      <c r="K1" s="230"/>
      <c r="L1" s="230"/>
      <c r="M1" s="230"/>
      <c r="N1" s="230"/>
      <c r="O1" s="230"/>
      <c r="P1" s="230"/>
      <c r="Q1" s="230"/>
      <c r="R1" s="230"/>
      <c r="S1" s="230"/>
      <c r="T1" s="230"/>
      <c r="U1" s="230"/>
      <c r="V1" s="230"/>
      <c r="W1" s="230"/>
      <c r="X1" s="230"/>
      <c r="Y1" s="335"/>
      <c r="Z1" s="335"/>
    </row>
    <row r="2" spans="1:26">
      <c r="A2" s="203"/>
      <c r="I2" s="257"/>
      <c r="J2" s="230"/>
      <c r="K2" s="230"/>
      <c r="L2" s="230"/>
      <c r="M2" s="230"/>
      <c r="N2" s="230"/>
      <c r="O2" s="230"/>
      <c r="P2" s="230"/>
      <c r="Q2" s="230"/>
      <c r="R2" s="230"/>
      <c r="S2" s="230"/>
      <c r="T2" s="230"/>
      <c r="U2" s="230"/>
      <c r="V2" s="230"/>
      <c r="W2" s="230"/>
      <c r="X2" s="230"/>
      <c r="Y2" s="335"/>
      <c r="Z2" s="335"/>
    </row>
    <row r="3" spans="1:26">
      <c r="A3" s="203"/>
      <c r="I3" s="257"/>
      <c r="J3" s="230"/>
      <c r="K3" s="230"/>
      <c r="L3" s="230"/>
      <c r="M3" s="230"/>
      <c r="N3" s="230"/>
      <c r="O3" s="230"/>
      <c r="P3" s="230"/>
      <c r="Q3" s="230"/>
      <c r="R3" s="230"/>
      <c r="S3" s="230"/>
      <c r="T3" s="230"/>
      <c r="U3" s="230"/>
      <c r="V3" s="230"/>
      <c r="W3" s="230"/>
      <c r="X3" s="230"/>
      <c r="Y3" s="335"/>
      <c r="Z3" s="335"/>
    </row>
    <row r="4" spans="1:26">
      <c r="A4" s="203"/>
      <c r="I4" s="257"/>
      <c r="J4" s="230"/>
      <c r="K4" s="230"/>
      <c r="L4" s="230"/>
      <c r="M4" s="230"/>
      <c r="N4" s="230"/>
      <c r="O4" s="230"/>
      <c r="P4" s="230"/>
      <c r="Q4" s="230"/>
      <c r="R4" s="230"/>
      <c r="S4" s="230"/>
      <c r="T4" s="230"/>
      <c r="U4" s="230"/>
      <c r="V4" s="230"/>
      <c r="W4" s="230"/>
      <c r="X4" s="230"/>
      <c r="Y4" s="335"/>
      <c r="Z4" s="335"/>
    </row>
    <row r="5" spans="1:26">
      <c r="A5" s="203"/>
      <c r="I5" s="257"/>
      <c r="J5" s="230"/>
      <c r="K5" s="230"/>
      <c r="L5" s="230"/>
      <c r="M5" s="230"/>
      <c r="N5" s="230"/>
      <c r="O5" s="230"/>
      <c r="P5" s="230"/>
      <c r="Q5" s="230"/>
      <c r="R5" s="230"/>
      <c r="S5" s="230"/>
      <c r="T5" s="230"/>
      <c r="U5" s="230"/>
      <c r="V5" s="230"/>
      <c r="W5" s="230"/>
      <c r="X5" s="230"/>
      <c r="Y5" s="336"/>
      <c r="Z5" s="336"/>
    </row>
    <row r="6" spans="1:26">
      <c r="A6" s="203"/>
      <c r="I6" s="257"/>
      <c r="J6" s="230"/>
      <c r="K6" s="230"/>
      <c r="L6" s="230"/>
      <c r="M6" s="230"/>
      <c r="N6" s="230"/>
      <c r="O6" s="230"/>
      <c r="P6" s="230"/>
      <c r="Q6" s="230"/>
      <c r="R6" s="230"/>
      <c r="S6" s="230"/>
      <c r="T6" s="230"/>
      <c r="U6" s="230"/>
      <c r="V6" s="230"/>
      <c r="W6" s="230"/>
      <c r="X6" s="230"/>
      <c r="Y6" s="336"/>
      <c r="Z6" s="336"/>
    </row>
    <row r="7" spans="1:26">
      <c r="A7" s="203"/>
      <c r="I7" s="257"/>
      <c r="J7" s="230"/>
      <c r="K7" s="230"/>
      <c r="L7" s="230"/>
      <c r="M7" s="230"/>
      <c r="N7" s="230"/>
      <c r="O7" s="230"/>
      <c r="P7" s="230"/>
      <c r="Q7" s="230"/>
      <c r="R7" s="230"/>
      <c r="S7" s="230"/>
      <c r="T7" s="230"/>
      <c r="U7" s="230"/>
      <c r="V7" s="230"/>
      <c r="W7" s="230"/>
      <c r="X7" s="230"/>
      <c r="Y7" s="336"/>
      <c r="Z7" s="336"/>
    </row>
    <row r="8" spans="1:26">
      <c r="A8" s="203"/>
      <c r="I8" s="257"/>
      <c r="J8" s="230"/>
      <c r="K8" s="230"/>
      <c r="L8" s="230"/>
      <c r="M8" s="230"/>
      <c r="N8" s="230"/>
      <c r="O8" s="230"/>
      <c r="P8" s="230"/>
      <c r="Q8" s="230"/>
      <c r="R8" s="230"/>
      <c r="S8" s="230"/>
      <c r="T8" s="230"/>
      <c r="U8" s="230"/>
      <c r="V8" s="230"/>
      <c r="W8" s="230"/>
      <c r="X8" s="230"/>
      <c r="Y8" s="336"/>
      <c r="Z8" s="336"/>
    </row>
    <row r="9" spans="1:26">
      <c r="A9" s="203"/>
      <c r="I9" s="257"/>
      <c r="J9" s="230"/>
      <c r="K9" s="230"/>
      <c r="L9" s="230"/>
      <c r="M9" s="230"/>
      <c r="N9" s="230"/>
      <c r="O9" s="230"/>
      <c r="P9" s="230"/>
      <c r="Q9" s="230"/>
      <c r="R9" s="230"/>
      <c r="S9" s="230"/>
      <c r="T9" s="230"/>
      <c r="U9" s="230"/>
      <c r="V9" s="230"/>
      <c r="W9" s="230"/>
      <c r="X9" s="230"/>
      <c r="Y9" s="336"/>
      <c r="Z9" s="336"/>
    </row>
    <row r="10" ht="15.75" spans="1:26">
      <c r="A10" s="204"/>
      <c r="B10" s="205"/>
      <c r="C10" s="205"/>
      <c r="D10" s="205"/>
      <c r="E10" s="205"/>
      <c r="F10" s="205"/>
      <c r="G10" s="205"/>
      <c r="H10" s="205"/>
      <c r="I10" s="258"/>
      <c r="J10" s="230"/>
      <c r="K10" s="230"/>
      <c r="L10" s="230"/>
      <c r="M10" s="230"/>
      <c r="N10" s="230"/>
      <c r="O10" s="230"/>
      <c r="P10" s="230"/>
      <c r="Q10" s="230"/>
      <c r="R10" s="230"/>
      <c r="S10" s="230"/>
      <c r="T10" s="230"/>
      <c r="U10" s="230"/>
      <c r="V10" s="230"/>
      <c r="W10" s="230"/>
      <c r="X10" s="230"/>
      <c r="Y10" s="335"/>
      <c r="Z10" s="335"/>
    </row>
    <row r="11" ht="15.75" spans="1:26">
      <c r="A11" s="206" t="s">
        <v>3422</v>
      </c>
      <c r="B11" s="207"/>
      <c r="C11" s="207"/>
      <c r="D11" s="207"/>
      <c r="E11" s="207"/>
      <c r="F11" s="207"/>
      <c r="G11" s="207"/>
      <c r="H11" s="207"/>
      <c r="I11" s="259"/>
      <c r="J11" s="230"/>
      <c r="K11" s="230"/>
      <c r="L11" s="230"/>
      <c r="M11" s="230"/>
      <c r="N11" s="230"/>
      <c r="O11" s="230"/>
      <c r="P11" s="230"/>
      <c r="Q11" s="230"/>
      <c r="R11" s="230"/>
      <c r="S11" s="230"/>
      <c r="T11" s="230"/>
      <c r="U11" s="230"/>
      <c r="V11" s="230"/>
      <c r="W11" s="230"/>
      <c r="X11" s="230"/>
      <c r="Y11" s="335"/>
      <c r="Z11" s="335"/>
    </row>
    <row r="12" spans="1:26">
      <c r="A12" s="208" t="str">
        <f>Planilha!A12</f>
        <v>UFF- CAMPUS NITERÓI</v>
      </c>
      <c r="B12" s="209"/>
      <c r="C12" s="209"/>
      <c r="D12" s="209"/>
      <c r="E12" s="293" t="str">
        <f>Planilha!E12</f>
        <v>AUTOR:</v>
      </c>
      <c r="F12" s="294"/>
      <c r="G12" s="295"/>
      <c r="H12" s="355" t="str">
        <f>Planilha!H12</f>
        <v>FUNÇÃO:</v>
      </c>
      <c r="I12" s="324"/>
      <c r="J12" s="230"/>
      <c r="K12" s="230"/>
      <c r="L12" s="378"/>
      <c r="M12" s="378"/>
      <c r="N12" s="378"/>
      <c r="O12" s="378"/>
      <c r="P12" s="378"/>
      <c r="Q12" s="378"/>
      <c r="R12" s="378"/>
      <c r="S12" s="378"/>
      <c r="T12" s="378"/>
      <c r="U12" s="378"/>
      <c r="V12" s="394"/>
      <c r="W12" s="230"/>
      <c r="X12" s="230"/>
      <c r="Y12" s="335"/>
      <c r="Z12" s="335"/>
    </row>
    <row r="13" ht="15.75" spans="1:26">
      <c r="A13" s="212" t="str">
        <f>Planilha!A13</f>
        <v>LOCAL: RUA VERA CRISPINO DE FREITAS, 190-2 - BOA VIAGEM, NITERÓI-RJ</v>
      </c>
      <c r="B13" s="213"/>
      <c r="C13" s="213"/>
      <c r="D13" s="213"/>
      <c r="E13" s="214" t="str">
        <f>Planilha!E13</f>
        <v>PROCESSO: </v>
      </c>
      <c r="F13" s="215"/>
      <c r="G13" s="216"/>
      <c r="H13" s="217" t="str">
        <f>Planilha!H13</f>
        <v>ART/RRT:</v>
      </c>
      <c r="I13" s="261"/>
      <c r="J13" s="230"/>
      <c r="K13" s="230"/>
      <c r="L13" s="379"/>
      <c r="M13" s="379"/>
      <c r="N13" s="379"/>
      <c r="O13" s="379"/>
      <c r="P13" s="379"/>
      <c r="Q13" s="379"/>
      <c r="R13" s="379"/>
      <c r="S13" s="379"/>
      <c r="T13" s="379"/>
      <c r="U13" s="379"/>
      <c r="V13" s="235"/>
      <c r="W13" s="230"/>
      <c r="X13" s="230"/>
      <c r="Y13" s="335"/>
      <c r="Z13" s="335"/>
    </row>
    <row r="14" ht="15.75" spans="1:26">
      <c r="A14" s="212" t="str">
        <f>Planilha!A14</f>
        <v>NOME DA OBRA: AGÊNCIA DE INOVAÇÃO DA UFF</v>
      </c>
      <c r="B14" s="213"/>
      <c r="C14" s="213"/>
      <c r="D14" s="213"/>
      <c r="E14" s="218" t="str">
        <f>Planilha!E14</f>
        <v>BDI</v>
      </c>
      <c r="F14" s="218" t="str">
        <f>Planilha!F14</f>
        <v>BDI EQUIP.</v>
      </c>
      <c r="G14" s="218" t="str">
        <f>Planilha!G14</f>
        <v>SIAPE</v>
      </c>
      <c r="H14" s="218" t="str">
        <f>Planilha!H14</f>
        <v>DATA</v>
      </c>
      <c r="I14" s="218" t="str">
        <f>Planilha!I14</f>
        <v>REVISÃO</v>
      </c>
      <c r="J14" s="230"/>
      <c r="K14" s="230"/>
      <c r="L14" s="380"/>
      <c r="M14" s="380"/>
      <c r="N14" s="380"/>
      <c r="O14" s="380"/>
      <c r="P14" s="380"/>
      <c r="Q14" s="378"/>
      <c r="R14" s="378"/>
      <c r="S14" s="378"/>
      <c r="T14" s="378"/>
      <c r="U14" s="378"/>
      <c r="V14" s="378"/>
      <c r="W14" s="230"/>
      <c r="X14" s="230"/>
      <c r="Y14" s="335"/>
      <c r="Z14" s="335"/>
    </row>
    <row r="15" ht="15.75" spans="1:26">
      <c r="A15" s="356" t="str">
        <f>Planilha!A15</f>
        <v>BASE DE DADOS: SINAPI/2025.7 - EMOP/2025.7 - SCO/2025.7 - SBC/2025.7</v>
      </c>
      <c r="B15" s="357"/>
      <c r="C15" s="357"/>
      <c r="D15" s="357"/>
      <c r="E15" s="298">
        <f>Planilha!E15</f>
        <v>0.24657</v>
      </c>
      <c r="F15" s="358">
        <f>Planilha!F15</f>
        <v>0</v>
      </c>
      <c r="G15" s="300" t="str">
        <f>Planilha!G15</f>
        <v>0000000</v>
      </c>
      <c r="H15" s="301">
        <f>Planilha!H15</f>
        <v>45957</v>
      </c>
      <c r="I15" s="381" t="str">
        <f>Planilha!I15</f>
        <v>R03</v>
      </c>
      <c r="J15" s="230"/>
      <c r="K15" s="230"/>
      <c r="L15" s="380"/>
      <c r="M15" s="380"/>
      <c r="N15" s="380"/>
      <c r="O15" s="380"/>
      <c r="P15" s="380"/>
      <c r="Q15" s="395"/>
      <c r="R15" s="395"/>
      <c r="S15" s="350"/>
      <c r="T15" s="350"/>
      <c r="U15" s="396"/>
      <c r="V15" s="395"/>
      <c r="W15" s="230"/>
      <c r="X15" s="230"/>
      <c r="Y15" s="335"/>
      <c r="Z15" s="335"/>
    </row>
    <row r="16" spans="1:26">
      <c r="A16" s="359" t="s">
        <v>17</v>
      </c>
      <c r="B16" s="360" t="s">
        <v>51</v>
      </c>
      <c r="C16" s="360" t="s">
        <v>53</v>
      </c>
      <c r="D16" s="360" t="s">
        <v>3423</v>
      </c>
      <c r="E16" s="360" t="s">
        <v>3424</v>
      </c>
      <c r="F16" s="360" t="s">
        <v>3425</v>
      </c>
      <c r="G16" s="360" t="s">
        <v>3426</v>
      </c>
      <c r="H16" s="360" t="s">
        <v>3427</v>
      </c>
      <c r="I16" s="382" t="s">
        <v>3428</v>
      </c>
      <c r="J16" s="230"/>
      <c r="K16" s="230"/>
      <c r="L16" s="337"/>
      <c r="M16" s="243"/>
      <c r="N16" s="243"/>
      <c r="O16" s="243"/>
      <c r="P16" s="243"/>
      <c r="Q16" s="243"/>
      <c r="R16" s="243"/>
      <c r="S16" s="243"/>
      <c r="T16" s="243"/>
      <c r="U16" s="243"/>
      <c r="V16" s="243"/>
      <c r="W16" s="230"/>
      <c r="X16" s="230"/>
      <c r="Y16" s="335"/>
      <c r="Z16" s="335"/>
    </row>
    <row r="17" spans="1:26">
      <c r="A17" s="361">
        <v>1</v>
      </c>
      <c r="B17" s="362" t="s">
        <v>3429</v>
      </c>
      <c r="C17" s="363" t="s">
        <v>3430</v>
      </c>
      <c r="D17" s="364" t="s">
        <v>3431</v>
      </c>
      <c r="E17" s="364" t="s">
        <v>3431</v>
      </c>
      <c r="F17" s="364" t="s">
        <v>3431</v>
      </c>
      <c r="G17" s="364" t="s">
        <v>3431</v>
      </c>
      <c r="H17" s="364" t="s">
        <v>3431</v>
      </c>
      <c r="I17" s="383">
        <f>MEDIAN(D18:H18)</f>
        <v>0</v>
      </c>
      <c r="J17" s="230"/>
      <c r="K17" s="230"/>
      <c r="L17" s="384"/>
      <c r="M17" s="385"/>
      <c r="N17" s="386"/>
      <c r="O17" s="386"/>
      <c r="P17" s="385"/>
      <c r="Q17" s="385"/>
      <c r="R17" s="385"/>
      <c r="S17" s="385"/>
      <c r="T17" s="385"/>
      <c r="U17" s="386"/>
      <c r="V17" s="386"/>
      <c r="W17" s="230"/>
      <c r="X17" s="230"/>
      <c r="Y17" s="335"/>
      <c r="Z17" s="335"/>
    </row>
    <row r="18" customHeight="1" spans="1:26">
      <c r="A18" s="365" t="s">
        <v>3432</v>
      </c>
      <c r="B18" s="213"/>
      <c r="C18" s="279"/>
      <c r="D18" s="366">
        <v>0</v>
      </c>
      <c r="E18" s="366">
        <v>0</v>
      </c>
      <c r="F18" s="366">
        <v>0</v>
      </c>
      <c r="G18" s="366">
        <v>0</v>
      </c>
      <c r="H18" s="366">
        <v>0</v>
      </c>
      <c r="I18" s="387"/>
      <c r="J18" s="230"/>
      <c r="K18" s="230"/>
      <c r="L18" s="384"/>
      <c r="M18" s="385"/>
      <c r="N18" s="386"/>
      <c r="O18" s="386"/>
      <c r="P18" s="385"/>
      <c r="Q18" s="385"/>
      <c r="R18" s="385"/>
      <c r="S18" s="385"/>
      <c r="T18" s="385"/>
      <c r="U18" s="386"/>
      <c r="V18" s="386"/>
      <c r="W18" s="230"/>
      <c r="X18" s="230"/>
      <c r="Y18" s="335"/>
      <c r="Z18" s="335"/>
    </row>
    <row r="19" customHeight="1" spans="1:26">
      <c r="A19" s="367" t="s">
        <v>3433</v>
      </c>
      <c r="B19" s="368"/>
      <c r="C19" s="369"/>
      <c r="D19" s="370"/>
      <c r="E19" s="370"/>
      <c r="F19" s="370"/>
      <c r="G19" s="370"/>
      <c r="H19" s="370"/>
      <c r="I19" s="388"/>
      <c r="J19" s="230"/>
      <c r="K19" s="230"/>
      <c r="L19" s="384"/>
      <c r="M19" s="385"/>
      <c r="N19" s="386"/>
      <c r="O19" s="386"/>
      <c r="P19" s="385"/>
      <c r="Q19" s="385"/>
      <c r="R19" s="385"/>
      <c r="S19" s="385"/>
      <c r="T19" s="385"/>
      <c r="U19" s="386"/>
      <c r="V19" s="386"/>
      <c r="W19" s="230"/>
      <c r="X19" s="230"/>
      <c r="Y19" s="335"/>
      <c r="Z19" s="335"/>
    </row>
    <row r="20" ht="15.75" spans="1:26">
      <c r="A20" s="371"/>
      <c r="B20" s="371"/>
      <c r="C20" s="372"/>
      <c r="D20" s="373"/>
      <c r="E20" s="373"/>
      <c r="F20" s="373"/>
      <c r="G20" s="373"/>
      <c r="H20" s="373"/>
      <c r="I20" s="389"/>
      <c r="J20" s="230"/>
      <c r="K20" s="230"/>
      <c r="L20" s="384"/>
      <c r="M20" s="385"/>
      <c r="N20" s="386"/>
      <c r="O20" s="386"/>
      <c r="P20" s="385"/>
      <c r="Q20" s="385"/>
      <c r="R20" s="385"/>
      <c r="S20" s="385"/>
      <c r="T20" s="385"/>
      <c r="U20" s="386"/>
      <c r="V20" s="386"/>
      <c r="W20" s="230"/>
      <c r="X20" s="230"/>
      <c r="Y20" s="335"/>
      <c r="Z20" s="335"/>
    </row>
    <row r="21" ht="19.5" customHeight="1" spans="1:26">
      <c r="A21" s="361">
        <v>2</v>
      </c>
      <c r="B21" s="362" t="s">
        <v>3434</v>
      </c>
      <c r="C21" s="363" t="s">
        <v>3027</v>
      </c>
      <c r="D21" s="364" t="s">
        <v>3435</v>
      </c>
      <c r="E21" s="364" t="s">
        <v>3436</v>
      </c>
      <c r="F21" s="364" t="s">
        <v>3437</v>
      </c>
      <c r="G21" s="364" t="s">
        <v>3438</v>
      </c>
      <c r="H21" s="364" t="s">
        <v>3431</v>
      </c>
      <c r="I21" s="383">
        <f>MEDIAN(D22:H22)</f>
        <v>53.3</v>
      </c>
      <c r="J21" s="230"/>
      <c r="K21" s="230"/>
      <c r="L21" s="384"/>
      <c r="M21" s="385"/>
      <c r="N21" s="386"/>
      <c r="O21" s="386"/>
      <c r="P21" s="385"/>
      <c r="Q21" s="385"/>
      <c r="R21" s="385"/>
      <c r="S21" s="385"/>
      <c r="T21" s="385"/>
      <c r="U21" s="386"/>
      <c r="V21" s="386"/>
      <c r="W21" s="230"/>
      <c r="X21" s="230"/>
      <c r="Y21" s="335"/>
      <c r="Z21" s="335"/>
    </row>
    <row r="22" ht="15.75" customHeight="1" spans="1:26">
      <c r="A22" s="365" t="s">
        <v>3432</v>
      </c>
      <c r="B22" s="213"/>
      <c r="C22" s="279"/>
      <c r="D22" s="366">
        <v>61.43</v>
      </c>
      <c r="E22" s="366">
        <v>53.3</v>
      </c>
      <c r="F22" s="366">
        <v>53.11</v>
      </c>
      <c r="G22" s="366">
        <v>69.95</v>
      </c>
      <c r="H22" s="366">
        <v>0</v>
      </c>
      <c r="I22" s="387"/>
      <c r="J22" s="230"/>
      <c r="K22" s="230"/>
      <c r="L22" s="384"/>
      <c r="M22" s="385"/>
      <c r="N22" s="386"/>
      <c r="O22" s="386"/>
      <c r="P22" s="385"/>
      <c r="Q22" s="385"/>
      <c r="R22" s="385"/>
      <c r="S22" s="385"/>
      <c r="T22" s="385"/>
      <c r="U22" s="386"/>
      <c r="V22" s="386"/>
      <c r="W22" s="230"/>
      <c r="X22" s="230"/>
      <c r="Y22" s="335"/>
      <c r="Z22" s="335"/>
    </row>
    <row r="23" ht="15.75" customHeight="1" spans="1:26">
      <c r="A23" s="367" t="s">
        <v>3433</v>
      </c>
      <c r="B23" s="368"/>
      <c r="C23" s="369"/>
      <c r="D23" s="374" t="s">
        <v>3439</v>
      </c>
      <c r="E23" s="370" t="s">
        <v>3440</v>
      </c>
      <c r="F23" s="374" t="s">
        <v>3441</v>
      </c>
      <c r="G23" s="374" t="s">
        <v>3442</v>
      </c>
      <c r="H23" s="370"/>
      <c r="I23" s="388"/>
      <c r="J23" s="230"/>
      <c r="K23" s="230"/>
      <c r="L23" s="384"/>
      <c r="M23" s="385"/>
      <c r="N23" s="386"/>
      <c r="O23" s="386"/>
      <c r="P23" s="385"/>
      <c r="Q23" s="385"/>
      <c r="R23" s="385"/>
      <c r="S23" s="386"/>
      <c r="T23" s="386"/>
      <c r="U23" s="386"/>
      <c r="V23" s="386"/>
      <c r="W23" s="230"/>
      <c r="X23" s="230"/>
      <c r="Y23" s="335"/>
      <c r="Z23" s="335"/>
    </row>
    <row r="24" ht="15.75" customHeight="1" spans="1:26">
      <c r="A24" s="371"/>
      <c r="B24" s="371"/>
      <c r="C24" s="372"/>
      <c r="D24" s="373"/>
      <c r="E24" s="373"/>
      <c r="F24" s="373"/>
      <c r="G24" s="373"/>
      <c r="H24" s="373"/>
      <c r="I24" s="389"/>
      <c r="J24" s="230"/>
      <c r="K24" s="230"/>
      <c r="L24" s="337"/>
      <c r="M24" s="243"/>
      <c r="N24" s="243"/>
      <c r="O24" s="243"/>
      <c r="P24" s="243"/>
      <c r="Q24" s="243"/>
      <c r="R24" s="243"/>
      <c r="S24" s="243"/>
      <c r="T24" s="243"/>
      <c r="U24" s="243"/>
      <c r="V24" s="243"/>
      <c r="W24" s="230"/>
      <c r="X24" s="230"/>
      <c r="Y24" s="335"/>
      <c r="Z24" s="335"/>
    </row>
    <row r="25" ht="21" customHeight="1" spans="1:26">
      <c r="A25" s="361">
        <v>3</v>
      </c>
      <c r="B25" s="362" t="s">
        <v>3443</v>
      </c>
      <c r="C25" s="363" t="s">
        <v>2390</v>
      </c>
      <c r="D25" s="364" t="s">
        <v>3444</v>
      </c>
      <c r="E25" s="364" t="s">
        <v>3445</v>
      </c>
      <c r="F25" s="364" t="s">
        <v>3446</v>
      </c>
      <c r="G25" s="364" t="s">
        <v>3431</v>
      </c>
      <c r="H25" s="364" t="s">
        <v>3431</v>
      </c>
      <c r="I25" s="383">
        <f>AVERAGE(D26:F26)</f>
        <v>326.533333333333</v>
      </c>
      <c r="J25" s="230"/>
      <c r="K25" s="230"/>
      <c r="L25" s="337"/>
      <c r="M25" s="243"/>
      <c r="N25" s="243"/>
      <c r="O25" s="243"/>
      <c r="P25" s="243"/>
      <c r="Q25" s="243"/>
      <c r="R25" s="243"/>
      <c r="S25" s="243"/>
      <c r="T25" s="243"/>
      <c r="U25" s="243"/>
      <c r="V25" s="243"/>
      <c r="W25" s="230"/>
      <c r="X25" s="230"/>
      <c r="Y25" s="336"/>
      <c r="Z25" s="336"/>
    </row>
    <row r="26" ht="15.75" customHeight="1" spans="1:26">
      <c r="A26" s="365" t="s">
        <v>3432</v>
      </c>
      <c r="B26" s="213"/>
      <c r="C26" s="279"/>
      <c r="D26" s="366">
        <v>319.9</v>
      </c>
      <c r="E26" s="366">
        <v>324.9</v>
      </c>
      <c r="F26" s="366">
        <v>334.8</v>
      </c>
      <c r="G26" s="366">
        <v>0</v>
      </c>
      <c r="H26" s="366">
        <v>0</v>
      </c>
      <c r="I26" s="387"/>
      <c r="J26" s="230"/>
      <c r="K26" s="230"/>
      <c r="L26" s="337"/>
      <c r="M26" s="243"/>
      <c r="N26" s="243"/>
      <c r="O26" s="243"/>
      <c r="P26" s="243"/>
      <c r="Q26" s="243"/>
      <c r="R26" s="243"/>
      <c r="S26" s="243"/>
      <c r="T26" s="243"/>
      <c r="U26" s="243"/>
      <c r="V26" s="243"/>
      <c r="W26" s="230"/>
      <c r="X26" s="230"/>
      <c r="Y26" s="336"/>
      <c r="Z26" s="336"/>
    </row>
    <row r="27" ht="15.75" customHeight="1" spans="1:26">
      <c r="A27" s="367" t="s">
        <v>3433</v>
      </c>
      <c r="B27" s="368"/>
      <c r="C27" s="369"/>
      <c r="D27" s="374" t="s">
        <v>3447</v>
      </c>
      <c r="E27" s="374" t="s">
        <v>3448</v>
      </c>
      <c r="F27" s="374" t="s">
        <v>3449</v>
      </c>
      <c r="G27" s="370"/>
      <c r="H27" s="370"/>
      <c r="I27" s="388"/>
      <c r="J27" s="230"/>
      <c r="K27" s="230"/>
      <c r="L27" s="337"/>
      <c r="M27" s="243"/>
      <c r="N27" s="243"/>
      <c r="O27" s="243"/>
      <c r="P27" s="243"/>
      <c r="Q27" s="243"/>
      <c r="R27" s="243"/>
      <c r="S27" s="243"/>
      <c r="T27" s="243"/>
      <c r="U27" s="243"/>
      <c r="V27" s="243"/>
      <c r="W27" s="230"/>
      <c r="X27" s="230"/>
      <c r="Y27" s="336"/>
      <c r="Z27" s="336"/>
    </row>
    <row r="28" ht="15.75" customHeight="1" spans="1:26">
      <c r="A28" s="371"/>
      <c r="B28" s="371"/>
      <c r="C28" s="372"/>
      <c r="D28" s="373"/>
      <c r="E28" s="373"/>
      <c r="F28" s="373"/>
      <c r="G28" s="373"/>
      <c r="H28" s="373"/>
      <c r="I28" s="389"/>
      <c r="J28" s="230"/>
      <c r="K28" s="230"/>
      <c r="L28" s="337"/>
      <c r="M28" s="243"/>
      <c r="N28" s="243"/>
      <c r="O28" s="243"/>
      <c r="P28" s="243"/>
      <c r="Q28" s="243"/>
      <c r="R28" s="243"/>
      <c r="S28" s="243"/>
      <c r="T28" s="243"/>
      <c r="U28" s="243"/>
      <c r="V28" s="243"/>
      <c r="W28" s="230"/>
      <c r="X28" s="230"/>
      <c r="Y28" s="336"/>
      <c r="Z28" s="336"/>
    </row>
    <row r="29" ht="15.75" customHeight="1" spans="1:26">
      <c r="A29" s="361">
        <v>4</v>
      </c>
      <c r="B29" s="362" t="s">
        <v>3450</v>
      </c>
      <c r="C29" s="363" t="s">
        <v>2866</v>
      </c>
      <c r="D29" s="364" t="s">
        <v>3451</v>
      </c>
      <c r="E29" s="364" t="s">
        <v>3452</v>
      </c>
      <c r="F29" s="364" t="s">
        <v>3453</v>
      </c>
      <c r="G29" s="364" t="s">
        <v>3431</v>
      </c>
      <c r="H29" s="364" t="s">
        <v>3431</v>
      </c>
      <c r="I29" s="383">
        <f>AVERAGE(D30:F30)</f>
        <v>49.0366666666667</v>
      </c>
      <c r="J29" s="390"/>
      <c r="K29" s="230"/>
      <c r="L29" s="384"/>
      <c r="M29" s="385"/>
      <c r="N29" s="386"/>
      <c r="O29" s="386"/>
      <c r="P29" s="385"/>
      <c r="Q29" s="385"/>
      <c r="R29" s="385"/>
      <c r="S29" s="385"/>
      <c r="T29" s="385"/>
      <c r="U29" s="386"/>
      <c r="V29" s="386"/>
      <c r="W29" s="230"/>
      <c r="X29" s="230"/>
      <c r="Y29" s="335"/>
      <c r="Z29" s="335"/>
    </row>
    <row r="30" ht="15.75" customHeight="1" spans="1:26">
      <c r="A30" s="365" t="s">
        <v>3432</v>
      </c>
      <c r="B30" s="213"/>
      <c r="C30" s="279"/>
      <c r="D30" s="366">
        <v>41.55</v>
      </c>
      <c r="E30" s="366">
        <v>52.1</v>
      </c>
      <c r="F30" s="366">
        <v>53.46</v>
      </c>
      <c r="G30" s="366">
        <v>0</v>
      </c>
      <c r="H30" s="366">
        <v>0</v>
      </c>
      <c r="I30" s="387"/>
      <c r="J30" s="230"/>
      <c r="K30" s="390"/>
      <c r="L30" s="384"/>
      <c r="M30" s="385"/>
      <c r="N30" s="386"/>
      <c r="O30" s="386"/>
      <c r="P30" s="385"/>
      <c r="Q30" s="385"/>
      <c r="R30" s="385"/>
      <c r="S30" s="385"/>
      <c r="T30" s="385"/>
      <c r="U30" s="386"/>
      <c r="V30" s="386"/>
      <c r="W30" s="230"/>
      <c r="X30" s="230"/>
      <c r="Y30" s="335"/>
      <c r="Z30" s="335"/>
    </row>
    <row r="31" ht="15.75" customHeight="1" spans="1:26">
      <c r="A31" s="367" t="s">
        <v>3433</v>
      </c>
      <c r="B31" s="368"/>
      <c r="C31" s="369"/>
      <c r="D31" s="374" t="s">
        <v>3454</v>
      </c>
      <c r="E31" s="374" t="s">
        <v>3455</v>
      </c>
      <c r="F31" s="374" t="s">
        <v>3456</v>
      </c>
      <c r="G31" s="370"/>
      <c r="H31" s="370"/>
      <c r="I31" s="388"/>
      <c r="J31" s="230"/>
      <c r="K31" s="230"/>
      <c r="L31" s="384"/>
      <c r="M31" s="385"/>
      <c r="N31" s="386"/>
      <c r="O31" s="386"/>
      <c r="P31" s="385"/>
      <c r="Q31" s="385"/>
      <c r="R31" s="385"/>
      <c r="S31" s="386"/>
      <c r="T31" s="386"/>
      <c r="U31" s="386"/>
      <c r="V31" s="386"/>
      <c r="W31" s="230"/>
      <c r="X31" s="230"/>
      <c r="Y31" s="335"/>
      <c r="Z31" s="335"/>
    </row>
    <row r="32" ht="15.75" customHeight="1" spans="1:26">
      <c r="A32" s="371"/>
      <c r="B32" s="371"/>
      <c r="C32" s="372"/>
      <c r="D32" s="373"/>
      <c r="E32" s="373"/>
      <c r="F32" s="373"/>
      <c r="G32" s="373"/>
      <c r="H32" s="373"/>
      <c r="I32" s="389"/>
      <c r="J32" s="230"/>
      <c r="K32" s="230"/>
      <c r="L32" s="337"/>
      <c r="M32" s="243"/>
      <c r="N32" s="243"/>
      <c r="O32" s="243"/>
      <c r="P32" s="243"/>
      <c r="Q32" s="243"/>
      <c r="R32" s="243"/>
      <c r="S32" s="243"/>
      <c r="T32" s="243"/>
      <c r="U32" s="243"/>
      <c r="V32" s="243"/>
      <c r="W32" s="230"/>
      <c r="X32" s="230"/>
      <c r="Y32" s="336"/>
      <c r="Z32" s="336"/>
    </row>
    <row r="33" ht="15.75" customHeight="1" spans="1:26">
      <c r="A33" s="361">
        <v>5</v>
      </c>
      <c r="B33" s="362" t="s">
        <v>3457</v>
      </c>
      <c r="C33" s="363" t="s">
        <v>2869</v>
      </c>
      <c r="D33" s="364" t="s">
        <v>3458</v>
      </c>
      <c r="E33" s="364" t="s">
        <v>3459</v>
      </c>
      <c r="F33" s="364" t="s">
        <v>3460</v>
      </c>
      <c r="G33" s="364" t="s">
        <v>3431</v>
      </c>
      <c r="H33" s="364" t="s">
        <v>3431</v>
      </c>
      <c r="I33" s="383">
        <f>AVERAGE(D34:F34)</f>
        <v>50.4333333333333</v>
      </c>
      <c r="J33" s="230"/>
      <c r="K33" s="230"/>
      <c r="L33" s="384"/>
      <c r="M33" s="385"/>
      <c r="N33" s="386"/>
      <c r="O33" s="386"/>
      <c r="P33" s="385"/>
      <c r="Q33" s="385"/>
      <c r="R33" s="385"/>
      <c r="S33" s="385"/>
      <c r="T33" s="385"/>
      <c r="U33" s="386"/>
      <c r="V33" s="386"/>
      <c r="W33" s="230"/>
      <c r="X33" s="230"/>
      <c r="Y33" s="335"/>
      <c r="Z33" s="335"/>
    </row>
    <row r="34" ht="15.75" customHeight="1" spans="1:26">
      <c r="A34" s="365" t="s">
        <v>3432</v>
      </c>
      <c r="B34" s="213"/>
      <c r="C34" s="279"/>
      <c r="D34" s="366">
        <v>36.57</v>
      </c>
      <c r="E34" s="366">
        <v>37.53</v>
      </c>
      <c r="F34" s="366">
        <v>77.2</v>
      </c>
      <c r="G34" s="366">
        <v>0</v>
      </c>
      <c r="H34" s="366">
        <v>0</v>
      </c>
      <c r="I34" s="387"/>
      <c r="J34" s="230"/>
      <c r="K34" s="230"/>
      <c r="L34" s="384"/>
      <c r="M34" s="385"/>
      <c r="N34" s="386"/>
      <c r="O34" s="386"/>
      <c r="P34" s="385"/>
      <c r="Q34" s="385"/>
      <c r="R34" s="385"/>
      <c r="S34" s="385"/>
      <c r="T34" s="385"/>
      <c r="U34" s="386"/>
      <c r="V34" s="386"/>
      <c r="W34" s="230"/>
      <c r="X34" s="230"/>
      <c r="Y34" s="335"/>
      <c r="Z34" s="335"/>
    </row>
    <row r="35" ht="15.75" customHeight="1" spans="1:26">
      <c r="A35" s="367" t="s">
        <v>3433</v>
      </c>
      <c r="B35" s="368"/>
      <c r="C35" s="369"/>
      <c r="D35" s="374" t="s">
        <v>3461</v>
      </c>
      <c r="E35" s="374" t="s">
        <v>3462</v>
      </c>
      <c r="F35" s="374" t="s">
        <v>3463</v>
      </c>
      <c r="G35" s="370"/>
      <c r="H35" s="370"/>
      <c r="I35" s="388"/>
      <c r="J35" s="230"/>
      <c r="K35" s="230"/>
      <c r="L35" s="384"/>
      <c r="M35" s="385"/>
      <c r="N35" s="386"/>
      <c r="O35" s="386"/>
      <c r="P35" s="385"/>
      <c r="Q35" s="385"/>
      <c r="R35" s="385"/>
      <c r="S35" s="386"/>
      <c r="T35" s="386"/>
      <c r="U35" s="386"/>
      <c r="V35" s="386"/>
      <c r="W35" s="230"/>
      <c r="X35" s="230"/>
      <c r="Y35" s="335"/>
      <c r="Z35" s="335"/>
    </row>
    <row r="36" ht="15.75" customHeight="1" spans="1:26">
      <c r="A36" s="371"/>
      <c r="B36" s="371"/>
      <c r="C36" s="372"/>
      <c r="D36" s="373"/>
      <c r="E36" s="373"/>
      <c r="F36" s="373"/>
      <c r="G36" s="373"/>
      <c r="H36" s="373"/>
      <c r="I36" s="389"/>
      <c r="J36" s="230"/>
      <c r="K36" s="230"/>
      <c r="L36" s="337"/>
      <c r="M36" s="243"/>
      <c r="N36" s="243"/>
      <c r="O36" s="243"/>
      <c r="P36" s="243"/>
      <c r="Q36" s="243"/>
      <c r="R36" s="243"/>
      <c r="S36" s="243"/>
      <c r="T36" s="243"/>
      <c r="U36" s="243"/>
      <c r="V36" s="243"/>
      <c r="W36" s="230"/>
      <c r="X36" s="230"/>
      <c r="Y36" s="336"/>
      <c r="Z36" s="336"/>
    </row>
    <row r="37" ht="15.75" customHeight="1" spans="1:26">
      <c r="A37" s="361">
        <v>6</v>
      </c>
      <c r="B37" s="362" t="s">
        <v>3464</v>
      </c>
      <c r="C37" s="363" t="s">
        <v>2859</v>
      </c>
      <c r="D37" s="364" t="s">
        <v>3458</v>
      </c>
      <c r="E37" s="364" t="s">
        <v>3465</v>
      </c>
      <c r="F37" s="364" t="s">
        <v>3466</v>
      </c>
      <c r="G37" s="364" t="s">
        <v>3431</v>
      </c>
      <c r="H37" s="364" t="s">
        <v>3431</v>
      </c>
      <c r="I37" s="383">
        <f>AVERAGE(D38:F38)</f>
        <v>375.84</v>
      </c>
      <c r="J37" s="230"/>
      <c r="K37" s="230"/>
      <c r="L37" s="384"/>
      <c r="M37" s="385"/>
      <c r="N37" s="386"/>
      <c r="O37" s="386"/>
      <c r="P37" s="385"/>
      <c r="Q37" s="385"/>
      <c r="R37" s="385"/>
      <c r="S37" s="385"/>
      <c r="T37" s="385"/>
      <c r="U37" s="386"/>
      <c r="V37" s="386"/>
      <c r="W37" s="230"/>
      <c r="X37" s="230"/>
      <c r="Y37" s="335"/>
      <c r="Z37" s="335"/>
    </row>
    <row r="38" ht="15.75" customHeight="1" spans="1:26">
      <c r="A38" s="365" t="s">
        <v>3432</v>
      </c>
      <c r="B38" s="213"/>
      <c r="C38" s="279"/>
      <c r="D38" s="366">
        <v>406.96</v>
      </c>
      <c r="E38" s="366">
        <v>259.96</v>
      </c>
      <c r="F38" s="366">
        <v>460.6</v>
      </c>
      <c r="G38" s="366">
        <v>0</v>
      </c>
      <c r="H38" s="366">
        <v>0</v>
      </c>
      <c r="I38" s="387"/>
      <c r="J38" s="230"/>
      <c r="K38" s="230"/>
      <c r="L38" s="384"/>
      <c r="M38" s="385"/>
      <c r="N38" s="386"/>
      <c r="O38" s="386"/>
      <c r="P38" s="385"/>
      <c r="Q38" s="385"/>
      <c r="R38" s="385"/>
      <c r="S38" s="385"/>
      <c r="T38" s="385"/>
      <c r="U38" s="386"/>
      <c r="V38" s="386"/>
      <c r="W38" s="230"/>
      <c r="X38" s="230"/>
      <c r="Y38" s="335"/>
      <c r="Z38" s="335"/>
    </row>
    <row r="39" ht="15.75" customHeight="1" spans="1:26">
      <c r="A39" s="367" t="s">
        <v>3433</v>
      </c>
      <c r="B39" s="368"/>
      <c r="C39" s="369"/>
      <c r="D39" s="374" t="s">
        <v>3467</v>
      </c>
      <c r="E39" s="374" t="s">
        <v>3468</v>
      </c>
      <c r="F39" s="374" t="s">
        <v>3469</v>
      </c>
      <c r="G39" s="370"/>
      <c r="H39" s="370"/>
      <c r="I39" s="388"/>
      <c r="J39" s="230"/>
      <c r="K39" s="230"/>
      <c r="L39" s="384"/>
      <c r="M39" s="385"/>
      <c r="N39" s="386"/>
      <c r="O39" s="386"/>
      <c r="P39" s="385"/>
      <c r="Q39" s="385"/>
      <c r="R39" s="385"/>
      <c r="S39" s="386"/>
      <c r="T39" s="386"/>
      <c r="U39" s="386"/>
      <c r="V39" s="386"/>
      <c r="W39" s="230"/>
      <c r="X39" s="230"/>
      <c r="Y39" s="335"/>
      <c r="Z39" s="335"/>
    </row>
    <row r="40" ht="27" customHeight="1" spans="1:26">
      <c r="A40" s="361">
        <v>7</v>
      </c>
      <c r="B40" s="362" t="s">
        <v>3470</v>
      </c>
      <c r="C40" s="363" t="s">
        <v>2888</v>
      </c>
      <c r="D40" s="364" t="s">
        <v>3471</v>
      </c>
      <c r="E40" s="364" t="s">
        <v>3466</v>
      </c>
      <c r="F40" s="364" t="s">
        <v>3472</v>
      </c>
      <c r="G40" s="364" t="s">
        <v>3431</v>
      </c>
      <c r="H40" s="364" t="s">
        <v>3431</v>
      </c>
      <c r="I40" s="383">
        <f>AVERAGE(D41:F41)</f>
        <v>2.75333333333333</v>
      </c>
      <c r="J40" s="230"/>
      <c r="K40" s="230"/>
      <c r="L40" s="384"/>
      <c r="M40" s="385"/>
      <c r="N40" s="386"/>
      <c r="O40" s="386"/>
      <c r="P40" s="385"/>
      <c r="Q40" s="385"/>
      <c r="R40" s="385"/>
      <c r="S40" s="385"/>
      <c r="T40" s="385"/>
      <c r="U40" s="386"/>
      <c r="V40" s="386"/>
      <c r="W40" s="230"/>
      <c r="X40" s="230"/>
      <c r="Y40" s="335"/>
      <c r="Z40" s="335"/>
    </row>
    <row r="41" ht="15.75" customHeight="1" spans="1:26">
      <c r="A41" s="365" t="s">
        <v>3432</v>
      </c>
      <c r="B41" s="213"/>
      <c r="C41" s="279"/>
      <c r="D41" s="366">
        <v>2.04</v>
      </c>
      <c r="E41" s="366">
        <v>3.95</v>
      </c>
      <c r="F41" s="366">
        <v>2.27</v>
      </c>
      <c r="G41" s="366">
        <v>0</v>
      </c>
      <c r="H41" s="366">
        <v>0</v>
      </c>
      <c r="I41" s="387"/>
      <c r="J41" s="230"/>
      <c r="K41" s="230"/>
      <c r="L41" s="384"/>
      <c r="M41" s="385"/>
      <c r="N41" s="386"/>
      <c r="O41" s="386"/>
      <c r="P41" s="385"/>
      <c r="Q41" s="385"/>
      <c r="R41" s="385"/>
      <c r="S41" s="385"/>
      <c r="T41" s="385"/>
      <c r="U41" s="386"/>
      <c r="V41" s="386"/>
      <c r="W41" s="230"/>
      <c r="X41" s="230"/>
      <c r="Y41" s="335"/>
      <c r="Z41" s="335"/>
    </row>
    <row r="42" ht="15.75" customHeight="1" spans="1:26">
      <c r="A42" s="367" t="s">
        <v>3433</v>
      </c>
      <c r="B42" s="368"/>
      <c r="C42" s="369"/>
      <c r="D42" s="374" t="s">
        <v>3473</v>
      </c>
      <c r="E42" s="374" t="s">
        <v>3474</v>
      </c>
      <c r="F42" s="374" t="s">
        <v>3475</v>
      </c>
      <c r="G42" s="370"/>
      <c r="H42" s="370"/>
      <c r="I42" s="388"/>
      <c r="J42" s="230"/>
      <c r="K42" s="230"/>
      <c r="L42" s="384"/>
      <c r="M42" s="385"/>
      <c r="N42" s="386"/>
      <c r="O42" s="386"/>
      <c r="P42" s="385"/>
      <c r="Q42" s="385"/>
      <c r="R42" s="385"/>
      <c r="S42" s="385"/>
      <c r="T42" s="385"/>
      <c r="U42" s="386"/>
      <c r="V42" s="386"/>
      <c r="W42" s="230"/>
      <c r="X42" s="230"/>
      <c r="Y42" s="335"/>
      <c r="Z42" s="335"/>
    </row>
    <row r="43" ht="15.75" customHeight="1" spans="1:26">
      <c r="A43" s="361">
        <v>8</v>
      </c>
      <c r="B43" s="362" t="s">
        <v>3476</v>
      </c>
      <c r="C43" s="363" t="s">
        <v>2906</v>
      </c>
      <c r="D43" s="364" t="s">
        <v>3477</v>
      </c>
      <c r="E43" s="364" t="s">
        <v>3478</v>
      </c>
      <c r="F43" s="364" t="s">
        <v>3479</v>
      </c>
      <c r="G43" s="364" t="s">
        <v>3431</v>
      </c>
      <c r="H43" s="364" t="s">
        <v>3431</v>
      </c>
      <c r="I43" s="383">
        <f>AVERAGE(D44:F44)</f>
        <v>2160.06666666667</v>
      </c>
      <c r="J43" s="230"/>
      <c r="K43" s="230"/>
      <c r="L43" s="384"/>
      <c r="M43" s="385"/>
      <c r="N43" s="386"/>
      <c r="O43" s="386"/>
      <c r="P43" s="385"/>
      <c r="Q43" s="385"/>
      <c r="R43" s="385"/>
      <c r="S43" s="385"/>
      <c r="T43" s="385"/>
      <c r="U43" s="386"/>
      <c r="V43" s="386"/>
      <c r="W43" s="230"/>
      <c r="X43" s="230"/>
      <c r="Y43" s="335"/>
      <c r="Z43" s="335"/>
    </row>
    <row r="44" ht="15.75" customHeight="1" spans="1:26">
      <c r="A44" s="365" t="s">
        <v>3432</v>
      </c>
      <c r="B44" s="213"/>
      <c r="C44" s="279"/>
      <c r="D44" s="366">
        <v>2099</v>
      </c>
      <c r="E44" s="366">
        <v>2699</v>
      </c>
      <c r="F44" s="366">
        <v>1682.2</v>
      </c>
      <c r="G44" s="366">
        <v>0</v>
      </c>
      <c r="H44" s="366">
        <v>0</v>
      </c>
      <c r="I44" s="387"/>
      <c r="J44" s="230"/>
      <c r="K44" s="230"/>
      <c r="L44" s="384"/>
      <c r="M44" s="385"/>
      <c r="N44" s="386"/>
      <c r="O44" s="386"/>
      <c r="P44" s="385"/>
      <c r="Q44" s="385"/>
      <c r="R44" s="385"/>
      <c r="S44" s="385"/>
      <c r="T44" s="385"/>
      <c r="U44" s="386"/>
      <c r="V44" s="386"/>
      <c r="W44" s="230"/>
      <c r="X44" s="230"/>
      <c r="Y44" s="335"/>
      <c r="Z44" s="335"/>
    </row>
    <row r="45" ht="27" customHeight="1" spans="1:26">
      <c r="A45" s="367" t="s">
        <v>3433</v>
      </c>
      <c r="B45" s="368"/>
      <c r="C45" s="369"/>
      <c r="D45" s="374" t="s">
        <v>3480</v>
      </c>
      <c r="E45" s="374" t="s">
        <v>3481</v>
      </c>
      <c r="F45" s="374" t="s">
        <v>3482</v>
      </c>
      <c r="G45" s="370"/>
      <c r="H45" s="370"/>
      <c r="I45" s="388"/>
      <c r="J45" s="230"/>
      <c r="K45" s="230"/>
      <c r="L45" s="384"/>
      <c r="M45" s="385"/>
      <c r="N45" s="386"/>
      <c r="O45" s="386"/>
      <c r="P45" s="385"/>
      <c r="Q45" s="385"/>
      <c r="R45" s="385"/>
      <c r="S45" s="385"/>
      <c r="T45" s="385"/>
      <c r="U45" s="386"/>
      <c r="V45" s="386"/>
      <c r="W45" s="230"/>
      <c r="X45" s="230"/>
      <c r="Y45" s="335"/>
      <c r="Z45" s="335"/>
    </row>
    <row r="46" ht="15.75" customHeight="1" spans="1:26">
      <c r="A46" s="361">
        <v>9</v>
      </c>
      <c r="B46" s="362" t="s">
        <v>3483</v>
      </c>
      <c r="C46" s="363" t="s">
        <v>3484</v>
      </c>
      <c r="D46" s="364" t="s">
        <v>3479</v>
      </c>
      <c r="E46" s="364" t="s">
        <v>3485</v>
      </c>
      <c r="F46" s="364" t="s">
        <v>3486</v>
      </c>
      <c r="G46" s="364" t="s">
        <v>3431</v>
      </c>
      <c r="H46" s="364" t="s">
        <v>3431</v>
      </c>
      <c r="I46" s="383">
        <f>AVERAGE((D47:F47))</f>
        <v>78.21</v>
      </c>
      <c r="J46" s="230"/>
      <c r="K46" s="230"/>
      <c r="L46" s="384"/>
      <c r="M46" s="385"/>
      <c r="N46" s="386"/>
      <c r="O46" s="386"/>
      <c r="P46" s="385"/>
      <c r="Q46" s="385"/>
      <c r="R46" s="385"/>
      <c r="S46" s="385"/>
      <c r="T46" s="385"/>
      <c r="U46" s="386"/>
      <c r="V46" s="386"/>
      <c r="W46" s="230"/>
      <c r="X46" s="230"/>
      <c r="Y46" s="335"/>
      <c r="Z46" s="335"/>
    </row>
    <row r="47" ht="15.75" customHeight="1" spans="1:26">
      <c r="A47" s="365" t="s">
        <v>3432</v>
      </c>
      <c r="B47" s="213"/>
      <c r="C47" s="279"/>
      <c r="D47" s="366">
        <v>78.38</v>
      </c>
      <c r="E47" s="366">
        <v>75.5</v>
      </c>
      <c r="F47" s="366">
        <v>80.75</v>
      </c>
      <c r="G47" s="366">
        <v>0</v>
      </c>
      <c r="H47" s="366">
        <v>0</v>
      </c>
      <c r="I47" s="387"/>
      <c r="J47" s="230"/>
      <c r="K47" s="230"/>
      <c r="L47" s="384"/>
      <c r="M47" s="385"/>
      <c r="N47" s="386"/>
      <c r="O47" s="386"/>
      <c r="P47" s="385"/>
      <c r="Q47" s="385"/>
      <c r="R47" s="385"/>
      <c r="S47" s="385"/>
      <c r="T47" s="385"/>
      <c r="U47" s="386"/>
      <c r="V47" s="386"/>
      <c r="W47" s="230"/>
      <c r="X47" s="230"/>
      <c r="Y47" s="335"/>
      <c r="Z47" s="335"/>
    </row>
    <row r="48" ht="44.25" customHeight="1" spans="1:26">
      <c r="A48" s="367" t="s">
        <v>3433</v>
      </c>
      <c r="B48" s="368"/>
      <c r="C48" s="369"/>
      <c r="D48" s="374" t="s">
        <v>3487</v>
      </c>
      <c r="E48" s="374" t="s">
        <v>3488</v>
      </c>
      <c r="F48" s="374" t="s">
        <v>3489</v>
      </c>
      <c r="G48" s="370"/>
      <c r="H48" s="370"/>
      <c r="I48" s="388"/>
      <c r="J48" s="230"/>
      <c r="K48" s="230"/>
      <c r="L48" s="384"/>
      <c r="M48" s="385"/>
      <c r="N48" s="386"/>
      <c r="O48" s="386"/>
      <c r="P48" s="385"/>
      <c r="Q48" s="385"/>
      <c r="R48" s="385"/>
      <c r="S48" s="385"/>
      <c r="T48" s="385"/>
      <c r="U48" s="386"/>
      <c r="V48" s="386"/>
      <c r="W48" s="230"/>
      <c r="X48" s="230"/>
      <c r="Y48" s="335"/>
      <c r="Z48" s="335"/>
    </row>
    <row r="49" ht="15.75" customHeight="1" spans="1:26">
      <c r="A49" s="361">
        <v>10</v>
      </c>
      <c r="B49" s="362" t="s">
        <v>3490</v>
      </c>
      <c r="C49" s="363" t="s">
        <v>3491</v>
      </c>
      <c r="D49" s="364" t="s">
        <v>3492</v>
      </c>
      <c r="E49" s="364" t="s">
        <v>3493</v>
      </c>
      <c r="F49" s="364" t="s">
        <v>3494</v>
      </c>
      <c r="G49" s="364" t="s">
        <v>3431</v>
      </c>
      <c r="H49" s="364" t="s">
        <v>3431</v>
      </c>
      <c r="I49" s="383">
        <f>AVERAGE(D50:F50)</f>
        <v>203.013333333333</v>
      </c>
      <c r="J49" s="230"/>
      <c r="K49" s="230"/>
      <c r="L49" s="384"/>
      <c r="M49" s="385"/>
      <c r="N49" s="386"/>
      <c r="O49" s="386"/>
      <c r="P49" s="385"/>
      <c r="Q49" s="385"/>
      <c r="R49" s="385"/>
      <c r="S49" s="385"/>
      <c r="T49" s="385"/>
      <c r="U49" s="386"/>
      <c r="V49" s="386"/>
      <c r="W49" s="230"/>
      <c r="X49" s="230"/>
      <c r="Y49" s="335"/>
      <c r="Z49" s="335"/>
    </row>
    <row r="50" ht="15.75" customHeight="1" spans="1:26">
      <c r="A50" s="365" t="s">
        <v>3432</v>
      </c>
      <c r="B50" s="213"/>
      <c r="C50" s="279"/>
      <c r="D50" s="366">
        <v>187.54</v>
      </c>
      <c r="E50" s="366">
        <v>202.88</v>
      </c>
      <c r="F50" s="366">
        <v>218.62</v>
      </c>
      <c r="G50" s="366">
        <v>0</v>
      </c>
      <c r="H50" s="366">
        <v>0</v>
      </c>
      <c r="I50" s="387"/>
      <c r="J50" s="230"/>
      <c r="K50" s="230"/>
      <c r="L50" s="384"/>
      <c r="M50" s="385"/>
      <c r="N50" s="386"/>
      <c r="O50" s="386"/>
      <c r="P50" s="385"/>
      <c r="Q50" s="385"/>
      <c r="R50" s="385"/>
      <c r="S50" s="385"/>
      <c r="T50" s="385"/>
      <c r="U50" s="386"/>
      <c r="V50" s="386"/>
      <c r="W50" s="230"/>
      <c r="X50" s="230"/>
      <c r="Y50" s="335"/>
      <c r="Z50" s="335"/>
    </row>
    <row r="51" ht="45.75" customHeight="1" spans="1:26">
      <c r="A51" s="367" t="s">
        <v>3433</v>
      </c>
      <c r="B51" s="368"/>
      <c r="C51" s="369"/>
      <c r="D51" s="374" t="s">
        <v>3495</v>
      </c>
      <c r="E51" s="374" t="s">
        <v>3496</v>
      </c>
      <c r="F51" s="374" t="s">
        <v>3497</v>
      </c>
      <c r="G51" s="370"/>
      <c r="H51" s="370"/>
      <c r="I51" s="388"/>
      <c r="J51" s="230"/>
      <c r="K51" s="230"/>
      <c r="L51" s="384"/>
      <c r="M51" s="385"/>
      <c r="N51" s="386"/>
      <c r="O51" s="386"/>
      <c r="P51" s="385"/>
      <c r="Q51" s="385"/>
      <c r="R51" s="385"/>
      <c r="S51" s="385"/>
      <c r="T51" s="385"/>
      <c r="U51" s="386"/>
      <c r="V51" s="386"/>
      <c r="W51" s="230"/>
      <c r="X51" s="230"/>
      <c r="Y51" s="335"/>
      <c r="Z51" s="335"/>
    </row>
    <row r="52" ht="27.75" customHeight="1" spans="1:26">
      <c r="A52" s="361">
        <v>11</v>
      </c>
      <c r="B52" s="362" t="s">
        <v>3498</v>
      </c>
      <c r="C52" s="363" t="s">
        <v>3137</v>
      </c>
      <c r="D52" s="364" t="s">
        <v>3492</v>
      </c>
      <c r="E52" s="364" t="s">
        <v>3493</v>
      </c>
      <c r="F52" s="364" t="s">
        <v>3494</v>
      </c>
      <c r="G52" s="364" t="s">
        <v>3431</v>
      </c>
      <c r="H52" s="364" t="s">
        <v>3431</v>
      </c>
      <c r="I52" s="383">
        <f>AVERAGE(D53:F53)</f>
        <v>197.976666666667</v>
      </c>
      <c r="J52" s="230"/>
      <c r="K52" s="230"/>
      <c r="L52" s="384"/>
      <c r="M52" s="385"/>
      <c r="N52" s="386"/>
      <c r="O52" s="386"/>
      <c r="P52" s="385"/>
      <c r="Q52" s="385"/>
      <c r="R52" s="385"/>
      <c r="S52" s="385"/>
      <c r="T52" s="385"/>
      <c r="U52" s="386"/>
      <c r="V52" s="386"/>
      <c r="W52" s="230"/>
      <c r="X52" s="230"/>
      <c r="Y52" s="335"/>
      <c r="Z52" s="335"/>
    </row>
    <row r="53" ht="15.75" customHeight="1" spans="1:26">
      <c r="A53" s="365" t="s">
        <v>3432</v>
      </c>
      <c r="B53" s="213"/>
      <c r="C53" s="279"/>
      <c r="D53" s="366">
        <v>187.54</v>
      </c>
      <c r="E53" s="366">
        <v>187.77</v>
      </c>
      <c r="F53" s="366">
        <v>218.62</v>
      </c>
      <c r="G53" s="366">
        <v>0</v>
      </c>
      <c r="H53" s="366">
        <v>0</v>
      </c>
      <c r="I53" s="387"/>
      <c r="J53" s="230"/>
      <c r="K53" s="230"/>
      <c r="L53" s="384"/>
      <c r="M53" s="385"/>
      <c r="N53" s="386"/>
      <c r="O53" s="386"/>
      <c r="P53" s="385"/>
      <c r="Q53" s="385"/>
      <c r="R53" s="385"/>
      <c r="S53" s="385"/>
      <c r="T53" s="385"/>
      <c r="U53" s="386"/>
      <c r="V53" s="386"/>
      <c r="W53" s="230"/>
      <c r="X53" s="230"/>
      <c r="Y53" s="335"/>
      <c r="Z53" s="335"/>
    </row>
    <row r="54" ht="35.25" customHeight="1" spans="1:26">
      <c r="A54" s="367" t="s">
        <v>3433</v>
      </c>
      <c r="B54" s="368"/>
      <c r="C54" s="369"/>
      <c r="D54" s="374" t="s">
        <v>3499</v>
      </c>
      <c r="E54" s="374" t="s">
        <v>3500</v>
      </c>
      <c r="F54" s="374" t="s">
        <v>3501</v>
      </c>
      <c r="G54" s="370"/>
      <c r="H54" s="370"/>
      <c r="I54" s="388"/>
      <c r="J54" s="230"/>
      <c r="K54" s="230"/>
      <c r="L54" s="384"/>
      <c r="M54" s="385"/>
      <c r="N54" s="386"/>
      <c r="O54" s="386"/>
      <c r="P54" s="385"/>
      <c r="Q54" s="385"/>
      <c r="R54" s="385"/>
      <c r="S54" s="385"/>
      <c r="T54" s="385"/>
      <c r="U54" s="386"/>
      <c r="V54" s="386"/>
      <c r="W54" s="230"/>
      <c r="X54" s="230"/>
      <c r="Y54" s="335"/>
      <c r="Z54" s="335"/>
    </row>
    <row r="55" ht="15.75" customHeight="1" spans="1:26">
      <c r="A55" s="361">
        <v>12</v>
      </c>
      <c r="B55" s="362" t="s">
        <v>3502</v>
      </c>
      <c r="C55" s="363" t="s">
        <v>3503</v>
      </c>
      <c r="D55" s="375" t="s">
        <v>3504</v>
      </c>
      <c r="E55" s="364"/>
      <c r="F55" s="364"/>
      <c r="G55" s="364" t="s">
        <v>3431</v>
      </c>
      <c r="H55" s="364" t="s">
        <v>3431</v>
      </c>
      <c r="I55" s="383" t="e">
        <f>AVERAGE(D56:F56)</f>
        <v>#DIV/0!</v>
      </c>
      <c r="J55" s="230"/>
      <c r="K55" s="230"/>
      <c r="L55" s="384"/>
      <c r="M55" s="385"/>
      <c r="N55" s="386"/>
      <c r="O55" s="386"/>
      <c r="P55" s="385"/>
      <c r="Q55" s="385"/>
      <c r="R55" s="385"/>
      <c r="S55" s="385"/>
      <c r="T55" s="385"/>
      <c r="U55" s="386"/>
      <c r="V55" s="386"/>
      <c r="W55" s="230"/>
      <c r="X55" s="230"/>
      <c r="Y55" s="335"/>
      <c r="Z55" s="335"/>
    </row>
    <row r="56" ht="15.75" customHeight="1" spans="1:26">
      <c r="A56" s="365" t="s">
        <v>3432</v>
      </c>
      <c r="B56" s="213"/>
      <c r="C56" s="279"/>
      <c r="D56" s="376" t="s">
        <v>3505</v>
      </c>
      <c r="E56" s="366"/>
      <c r="F56" s="366"/>
      <c r="G56" s="366"/>
      <c r="H56" s="366"/>
      <c r="I56" s="387"/>
      <c r="J56" s="230"/>
      <c r="K56" s="230"/>
      <c r="L56" s="384"/>
      <c r="M56" s="385"/>
      <c r="N56" s="386"/>
      <c r="O56" s="386"/>
      <c r="P56" s="385"/>
      <c r="Q56" s="385"/>
      <c r="R56" s="385"/>
      <c r="S56" s="385"/>
      <c r="T56" s="385"/>
      <c r="U56" s="386"/>
      <c r="V56" s="386"/>
      <c r="W56" s="230"/>
      <c r="X56" s="230"/>
      <c r="Y56" s="335"/>
      <c r="Z56" s="335"/>
    </row>
    <row r="57" ht="43.5" customHeight="1" spans="1:26">
      <c r="A57" s="377" t="s">
        <v>3432</v>
      </c>
      <c r="B57" s="368"/>
      <c r="C57" s="369"/>
      <c r="D57" s="374"/>
      <c r="E57" s="374"/>
      <c r="F57" s="374"/>
      <c r="G57" s="370"/>
      <c r="H57" s="370"/>
      <c r="I57" s="388"/>
      <c r="J57" s="230"/>
      <c r="K57" s="230"/>
      <c r="L57" s="384"/>
      <c r="M57" s="385"/>
      <c r="N57" s="386"/>
      <c r="O57" s="386"/>
      <c r="P57" s="385"/>
      <c r="Q57" s="385"/>
      <c r="R57" s="385"/>
      <c r="S57" s="385"/>
      <c r="T57" s="385"/>
      <c r="U57" s="386"/>
      <c r="V57" s="386"/>
      <c r="W57" s="230"/>
      <c r="X57" s="230"/>
      <c r="Y57" s="335"/>
      <c r="Z57" s="335"/>
    </row>
    <row r="58" ht="15.75" customHeight="1" spans="1:26">
      <c r="A58" s="361">
        <v>13</v>
      </c>
      <c r="B58" s="362" t="s">
        <v>3129</v>
      </c>
      <c r="C58" s="363" t="s">
        <v>3506</v>
      </c>
      <c r="D58" s="364" t="s">
        <v>3507</v>
      </c>
      <c r="E58" s="364" t="s">
        <v>3508</v>
      </c>
      <c r="F58" s="364" t="s">
        <v>3509</v>
      </c>
      <c r="G58" s="364" t="s">
        <v>3431</v>
      </c>
      <c r="H58" s="364" t="s">
        <v>3431</v>
      </c>
      <c r="I58" s="383">
        <f>AVERAGE(D59:F59)</f>
        <v>128.7</v>
      </c>
      <c r="J58" s="230"/>
      <c r="K58" s="230"/>
      <c r="L58" s="384"/>
      <c r="M58" s="385"/>
      <c r="N58" s="386"/>
      <c r="O58" s="386"/>
      <c r="P58" s="385"/>
      <c r="Q58" s="385"/>
      <c r="R58" s="385"/>
      <c r="S58" s="385"/>
      <c r="T58" s="385"/>
      <c r="U58" s="386"/>
      <c r="V58" s="386"/>
      <c r="W58" s="230"/>
      <c r="X58" s="230"/>
      <c r="Y58" s="335"/>
      <c r="Z58" s="335"/>
    </row>
    <row r="59" ht="15.75" customHeight="1" spans="1:26">
      <c r="A59" s="365" t="s">
        <v>3432</v>
      </c>
      <c r="B59" s="213"/>
      <c r="C59" s="279"/>
      <c r="D59" s="366">
        <v>161.2</v>
      </c>
      <c r="E59" s="366">
        <v>117.7</v>
      </c>
      <c r="F59" s="366">
        <v>107.2</v>
      </c>
      <c r="G59" s="366">
        <v>0</v>
      </c>
      <c r="H59" s="366">
        <v>0</v>
      </c>
      <c r="I59" s="387"/>
      <c r="J59" s="230"/>
      <c r="K59" s="230"/>
      <c r="L59" s="391"/>
      <c r="M59" s="385"/>
      <c r="N59" s="386"/>
      <c r="O59" s="391"/>
      <c r="P59" s="385"/>
      <c r="Q59" s="385"/>
      <c r="R59" s="385"/>
      <c r="S59" s="385"/>
      <c r="T59" s="385"/>
      <c r="U59" s="386"/>
      <c r="V59" s="386"/>
      <c r="W59" s="230"/>
      <c r="X59" s="230"/>
      <c r="Y59" s="335"/>
      <c r="Z59" s="335"/>
    </row>
    <row r="60" ht="15.75" customHeight="1" spans="1:26">
      <c r="A60" s="367" t="s">
        <v>3433</v>
      </c>
      <c r="B60" s="368"/>
      <c r="C60" s="369"/>
      <c r="D60" s="374" t="s">
        <v>3510</v>
      </c>
      <c r="E60" s="374" t="s">
        <v>3511</v>
      </c>
      <c r="F60" s="374" t="s">
        <v>3512</v>
      </c>
      <c r="G60" s="370"/>
      <c r="H60" s="370"/>
      <c r="I60" s="388"/>
      <c r="J60" s="230"/>
      <c r="K60" s="230"/>
      <c r="L60" s="384"/>
      <c r="M60" s="385"/>
      <c r="N60" s="386"/>
      <c r="O60" s="386"/>
      <c r="P60" s="385"/>
      <c r="Q60" s="385"/>
      <c r="R60" s="385"/>
      <c r="S60" s="385"/>
      <c r="T60" s="385"/>
      <c r="U60" s="386"/>
      <c r="V60" s="386"/>
      <c r="W60" s="230"/>
      <c r="X60" s="230"/>
      <c r="Y60" s="335"/>
      <c r="Z60" s="335"/>
    </row>
    <row r="61" ht="27" customHeight="1" spans="1:26">
      <c r="A61" s="361">
        <v>14</v>
      </c>
      <c r="B61" s="362" t="s">
        <v>3513</v>
      </c>
      <c r="C61" s="363" t="s">
        <v>3182</v>
      </c>
      <c r="D61" s="364" t="s">
        <v>3514</v>
      </c>
      <c r="E61" s="364" t="s">
        <v>3515</v>
      </c>
      <c r="F61" s="364" t="s">
        <v>3516</v>
      </c>
      <c r="G61" s="364"/>
      <c r="H61" s="364"/>
      <c r="I61" s="383">
        <f>AVERAGE(D62:F62)</f>
        <v>49.6300617283951</v>
      </c>
      <c r="J61" s="230"/>
      <c r="K61" s="230"/>
      <c r="L61" s="392"/>
      <c r="M61" s="385"/>
      <c r="N61" s="386"/>
      <c r="O61" s="386"/>
      <c r="P61" s="385"/>
      <c r="Q61" s="397"/>
      <c r="R61" s="385"/>
      <c r="S61" s="385"/>
      <c r="T61" s="385"/>
      <c r="U61" s="386"/>
      <c r="V61" s="386"/>
      <c r="W61" s="230"/>
      <c r="X61" s="230"/>
      <c r="Y61" s="335"/>
      <c r="Z61" s="335"/>
    </row>
    <row r="62" ht="15.75" customHeight="1" spans="1:26">
      <c r="A62" s="365" t="s">
        <v>3432</v>
      </c>
      <c r="B62" s="213"/>
      <c r="C62" s="279"/>
      <c r="D62" s="366">
        <v>9.33</v>
      </c>
      <c r="E62" s="366">
        <v>64.8148148148148</v>
      </c>
      <c r="F62" s="366">
        <v>74.7453703703704</v>
      </c>
      <c r="G62" s="366"/>
      <c r="H62" s="366"/>
      <c r="I62" s="387"/>
      <c r="J62" s="230"/>
      <c r="K62" s="230"/>
      <c r="L62" s="392"/>
      <c r="M62" s="393"/>
      <c r="N62" s="392"/>
      <c r="O62" s="386"/>
      <c r="P62" s="391"/>
      <c r="Q62" s="385"/>
      <c r="R62" s="385"/>
      <c r="S62" s="385"/>
      <c r="T62" s="385"/>
      <c r="U62" s="386"/>
      <c r="V62" s="386"/>
      <c r="W62" s="230"/>
      <c r="X62" s="230"/>
      <c r="Y62" s="335"/>
      <c r="Z62" s="335"/>
    </row>
    <row r="63" ht="48.75" customHeight="1" spans="1:26">
      <c r="A63" s="367" t="s">
        <v>3433</v>
      </c>
      <c r="B63" s="368"/>
      <c r="C63" s="369"/>
      <c r="D63" s="374" t="s">
        <v>3517</v>
      </c>
      <c r="E63" s="374" t="s">
        <v>3518</v>
      </c>
      <c r="F63" s="374" t="s">
        <v>3519</v>
      </c>
      <c r="G63" s="370"/>
      <c r="H63" s="370"/>
      <c r="I63" s="388"/>
      <c r="J63" s="230"/>
      <c r="K63" s="230"/>
      <c r="L63" s="392"/>
      <c r="M63" s="393"/>
      <c r="N63" s="392"/>
      <c r="O63" s="386"/>
      <c r="P63" s="385"/>
      <c r="Q63" s="385"/>
      <c r="R63" s="385"/>
      <c r="S63" s="385"/>
      <c r="T63" s="385"/>
      <c r="U63" s="386"/>
      <c r="V63" s="386"/>
      <c r="W63" s="230"/>
      <c r="X63" s="230"/>
      <c r="Y63" s="335"/>
      <c r="Z63" s="335"/>
    </row>
    <row r="64" ht="15.75" customHeight="1" spans="1:26">
      <c r="A64" s="361">
        <v>15</v>
      </c>
      <c r="B64" s="362" t="s">
        <v>3520</v>
      </c>
      <c r="C64" s="363" t="s">
        <v>3521</v>
      </c>
      <c r="D64" s="364" t="s">
        <v>3522</v>
      </c>
      <c r="E64" s="364" t="s">
        <v>3523</v>
      </c>
      <c r="F64" s="364" t="s">
        <v>3524</v>
      </c>
      <c r="G64" s="364" t="s">
        <v>3431</v>
      </c>
      <c r="H64" s="364" t="s">
        <v>3431</v>
      </c>
      <c r="I64" s="383">
        <f>AVERAGE(D65:F65)</f>
        <v>200.926666666667</v>
      </c>
      <c r="J64" s="230"/>
      <c r="K64" s="230"/>
      <c r="L64" s="384"/>
      <c r="M64" s="385"/>
      <c r="N64" s="386"/>
      <c r="O64" s="386"/>
      <c r="P64" s="385"/>
      <c r="Q64" s="385"/>
      <c r="R64" s="385"/>
      <c r="S64" s="385"/>
      <c r="T64" s="385"/>
      <c r="U64" s="386"/>
      <c r="V64" s="386"/>
      <c r="W64" s="230"/>
      <c r="X64" s="230"/>
      <c r="Y64" s="335"/>
      <c r="Z64" s="335"/>
    </row>
    <row r="65" ht="15.75" customHeight="1" spans="1:26">
      <c r="A65" s="365" t="s">
        <v>3432</v>
      </c>
      <c r="B65" s="213"/>
      <c r="C65" s="279"/>
      <c r="D65" s="366">
        <v>229.78</v>
      </c>
      <c r="E65" s="366">
        <v>108.9</v>
      </c>
      <c r="F65" s="366">
        <v>264.1</v>
      </c>
      <c r="G65" s="366">
        <v>0</v>
      </c>
      <c r="H65" s="366">
        <v>0</v>
      </c>
      <c r="I65" s="387"/>
      <c r="J65" s="230"/>
      <c r="K65" s="230"/>
      <c r="L65" s="384"/>
      <c r="M65" s="385"/>
      <c r="N65" s="386"/>
      <c r="O65" s="386"/>
      <c r="P65" s="385"/>
      <c r="Q65" s="385"/>
      <c r="R65" s="385"/>
      <c r="S65" s="385"/>
      <c r="T65" s="385"/>
      <c r="U65" s="386"/>
      <c r="V65" s="386"/>
      <c r="W65" s="230"/>
      <c r="X65" s="230"/>
      <c r="Y65" s="335"/>
      <c r="Z65" s="335"/>
    </row>
    <row r="66" ht="33.75" customHeight="1" spans="1:26">
      <c r="A66" s="367" t="s">
        <v>3433</v>
      </c>
      <c r="B66" s="368"/>
      <c r="C66" s="369"/>
      <c r="D66" s="374" t="s">
        <v>3525</v>
      </c>
      <c r="E66" s="374" t="s">
        <v>3526</v>
      </c>
      <c r="F66" s="374" t="s">
        <v>3527</v>
      </c>
      <c r="G66" s="370"/>
      <c r="H66" s="370"/>
      <c r="I66" s="388"/>
      <c r="J66" s="230"/>
      <c r="K66" s="230"/>
      <c r="L66" s="384"/>
      <c r="M66" s="385"/>
      <c r="N66" s="386"/>
      <c r="O66" s="386"/>
      <c r="P66" s="385"/>
      <c r="Q66" s="385"/>
      <c r="R66" s="385"/>
      <c r="S66" s="385"/>
      <c r="T66" s="385"/>
      <c r="U66" s="386"/>
      <c r="V66" s="386"/>
      <c r="W66" s="230"/>
      <c r="X66" s="230"/>
      <c r="Y66" s="335"/>
      <c r="Z66" s="335"/>
    </row>
    <row r="67" ht="15.75" customHeight="1" spans="1:26">
      <c r="A67" s="361">
        <v>16</v>
      </c>
      <c r="B67" s="362" t="s">
        <v>3528</v>
      </c>
      <c r="C67" s="363" t="s">
        <v>2997</v>
      </c>
      <c r="D67" s="364" t="s">
        <v>3529</v>
      </c>
      <c r="E67" s="364" t="s">
        <v>3530</v>
      </c>
      <c r="F67" s="364" t="s">
        <v>3531</v>
      </c>
      <c r="G67" s="364"/>
      <c r="H67" s="364"/>
      <c r="I67" s="383">
        <f>AVERAGE(D68:F68)</f>
        <v>111.883333333333</v>
      </c>
      <c r="J67" s="230"/>
      <c r="K67" s="230"/>
      <c r="L67" s="384"/>
      <c r="M67" s="385"/>
      <c r="N67" s="386"/>
      <c r="O67" s="386"/>
      <c r="P67" s="385"/>
      <c r="Q67" s="385"/>
      <c r="R67" s="385"/>
      <c r="S67" s="385"/>
      <c r="T67" s="385"/>
      <c r="U67" s="386"/>
      <c r="V67" s="386"/>
      <c r="W67" s="230"/>
      <c r="X67" s="230"/>
      <c r="Y67" s="335"/>
      <c r="Z67" s="335"/>
    </row>
    <row r="68" ht="15.75" customHeight="1" spans="1:26">
      <c r="A68" s="365" t="s">
        <v>3432</v>
      </c>
      <c r="B68" s="213"/>
      <c r="C68" s="279"/>
      <c r="D68" s="366">
        <v>87.31</v>
      </c>
      <c r="E68" s="366">
        <v>76.9</v>
      </c>
      <c r="F68" s="366">
        <v>171.44</v>
      </c>
      <c r="G68" s="366"/>
      <c r="H68" s="366"/>
      <c r="I68" s="387"/>
      <c r="J68" s="230"/>
      <c r="K68" s="230"/>
      <c r="L68" s="384"/>
      <c r="M68" s="385"/>
      <c r="N68" s="386"/>
      <c r="O68" s="386"/>
      <c r="P68" s="385"/>
      <c r="Q68" s="385"/>
      <c r="R68" s="385"/>
      <c r="S68" s="385"/>
      <c r="T68" s="385"/>
      <c r="U68" s="386"/>
      <c r="V68" s="386"/>
      <c r="W68" s="230"/>
      <c r="X68" s="230"/>
      <c r="Y68" s="335"/>
      <c r="Z68" s="335"/>
    </row>
    <row r="69" ht="48.75" customHeight="1" spans="1:26">
      <c r="A69" s="367" t="s">
        <v>3433</v>
      </c>
      <c r="B69" s="368"/>
      <c r="C69" s="369"/>
      <c r="D69" s="374" t="s">
        <v>3532</v>
      </c>
      <c r="E69" s="374" t="s">
        <v>3533</v>
      </c>
      <c r="F69" s="374" t="s">
        <v>3534</v>
      </c>
      <c r="G69" s="370"/>
      <c r="H69" s="370"/>
      <c r="I69" s="388"/>
      <c r="J69" s="230"/>
      <c r="K69" s="230"/>
      <c r="L69" s="384"/>
      <c r="M69" s="385"/>
      <c r="N69" s="386"/>
      <c r="O69" s="386"/>
      <c r="P69" s="385"/>
      <c r="Q69" s="385"/>
      <c r="R69" s="385"/>
      <c r="S69" s="385"/>
      <c r="T69" s="385"/>
      <c r="U69" s="386"/>
      <c r="V69" s="386"/>
      <c r="W69" s="230"/>
      <c r="X69" s="230"/>
      <c r="Y69" s="335"/>
      <c r="Z69" s="335"/>
    </row>
    <row r="70" ht="25.5" customHeight="1" spans="1:26">
      <c r="A70" s="361">
        <v>17</v>
      </c>
      <c r="B70" s="362" t="s">
        <v>3535</v>
      </c>
      <c r="C70" s="363" t="s">
        <v>3536</v>
      </c>
      <c r="D70" s="364" t="s">
        <v>3537</v>
      </c>
      <c r="E70" s="364" t="s">
        <v>3538</v>
      </c>
      <c r="F70" s="364" t="s">
        <v>3539</v>
      </c>
      <c r="G70" s="364" t="s">
        <v>3431</v>
      </c>
      <c r="H70" s="364" t="s">
        <v>3431</v>
      </c>
      <c r="I70" s="383">
        <f>AVERAGE(D71:F71)</f>
        <v>52.6166666666667</v>
      </c>
      <c r="J70" s="230" t="s">
        <v>3540</v>
      </c>
      <c r="K70" s="230"/>
      <c r="L70" s="384"/>
      <c r="M70" s="385"/>
      <c r="N70" s="386"/>
      <c r="O70" s="386"/>
      <c r="P70" s="385"/>
      <c r="Q70" s="385"/>
      <c r="R70" s="385"/>
      <c r="S70" s="385"/>
      <c r="T70" s="385"/>
      <c r="U70" s="386"/>
      <c r="V70" s="386"/>
      <c r="W70" s="230"/>
      <c r="X70" s="230"/>
      <c r="Y70" s="335"/>
      <c r="Z70" s="335"/>
    </row>
    <row r="71" ht="15.75" customHeight="1" spans="1:26">
      <c r="A71" s="365" t="s">
        <v>3432</v>
      </c>
      <c r="B71" s="213"/>
      <c r="C71" s="279"/>
      <c r="D71" s="366">
        <v>30</v>
      </c>
      <c r="E71" s="366">
        <v>90.9</v>
      </c>
      <c r="F71" s="366">
        <v>36.95</v>
      </c>
      <c r="G71" s="366">
        <v>0</v>
      </c>
      <c r="H71" s="366">
        <v>0</v>
      </c>
      <c r="I71" s="387"/>
      <c r="J71" s="230"/>
      <c r="K71" s="230"/>
      <c r="L71" s="384"/>
      <c r="M71" s="385"/>
      <c r="N71" s="386"/>
      <c r="O71" s="386"/>
      <c r="P71" s="385"/>
      <c r="Q71" s="385"/>
      <c r="R71" s="385"/>
      <c r="S71" s="385"/>
      <c r="T71" s="385"/>
      <c r="U71" s="386"/>
      <c r="V71" s="386"/>
      <c r="W71" s="230"/>
      <c r="X71" s="230"/>
      <c r="Y71" s="335"/>
      <c r="Z71" s="335"/>
    </row>
    <row r="72" ht="45" customHeight="1" spans="1:26">
      <c r="A72" s="367" t="s">
        <v>3433</v>
      </c>
      <c r="B72" s="368"/>
      <c r="C72" s="369"/>
      <c r="D72" s="374" t="s">
        <v>3541</v>
      </c>
      <c r="E72" s="374" t="s">
        <v>3542</v>
      </c>
      <c r="F72" s="374" t="s">
        <v>3543</v>
      </c>
      <c r="G72" s="370"/>
      <c r="H72" s="370"/>
      <c r="I72" s="388"/>
      <c r="J72" s="230"/>
      <c r="K72" s="230"/>
      <c r="L72" s="384"/>
      <c r="M72" s="385"/>
      <c r="N72" s="386"/>
      <c r="O72" s="386"/>
      <c r="P72" s="385"/>
      <c r="Q72" s="385"/>
      <c r="R72" s="385"/>
      <c r="S72" s="385"/>
      <c r="T72" s="385"/>
      <c r="U72" s="386"/>
      <c r="V72" s="386"/>
      <c r="W72" s="230"/>
      <c r="X72" s="230"/>
      <c r="Y72" s="335"/>
      <c r="Z72" s="335"/>
    </row>
    <row r="73" ht="29.25" customHeight="1" spans="1:26">
      <c r="A73" s="361">
        <v>18</v>
      </c>
      <c r="B73" s="362" t="s">
        <v>3544</v>
      </c>
      <c r="C73" s="363" t="s">
        <v>3545</v>
      </c>
      <c r="D73" s="364" t="s">
        <v>3537</v>
      </c>
      <c r="E73" s="364" t="s">
        <v>3546</v>
      </c>
      <c r="F73" s="364" t="s">
        <v>3547</v>
      </c>
      <c r="G73" s="364" t="s">
        <v>3431</v>
      </c>
      <c r="H73" s="364" t="s">
        <v>3431</v>
      </c>
      <c r="I73" s="383">
        <f>AVERAGE(D74:F74)</f>
        <v>24.3</v>
      </c>
      <c r="J73" s="230" t="s">
        <v>3548</v>
      </c>
      <c r="K73" s="230"/>
      <c r="L73" s="384"/>
      <c r="M73" s="385"/>
      <c r="N73" s="386"/>
      <c r="O73" s="386"/>
      <c r="P73" s="385"/>
      <c r="Q73" s="385"/>
      <c r="R73" s="385"/>
      <c r="S73" s="385"/>
      <c r="T73" s="385"/>
      <c r="U73" s="386"/>
      <c r="V73" s="386"/>
      <c r="W73" s="230"/>
      <c r="X73" s="230"/>
      <c r="Y73" s="335"/>
      <c r="Z73" s="335"/>
    </row>
    <row r="74" ht="15.75" customHeight="1" spans="1:26">
      <c r="A74" s="365" t="s">
        <v>3432</v>
      </c>
      <c r="B74" s="213"/>
      <c r="C74" s="279"/>
      <c r="D74" s="366">
        <v>30</v>
      </c>
      <c r="E74" s="366">
        <v>35</v>
      </c>
      <c r="F74" s="366">
        <v>7.9</v>
      </c>
      <c r="G74" s="366">
        <v>0</v>
      </c>
      <c r="H74" s="366">
        <v>0</v>
      </c>
      <c r="I74" s="387"/>
      <c r="J74" s="230"/>
      <c r="K74" s="230"/>
      <c r="L74" s="384"/>
      <c r="M74" s="385"/>
      <c r="N74" s="386"/>
      <c r="O74" s="386"/>
      <c r="P74" s="385"/>
      <c r="Q74" s="385"/>
      <c r="R74" s="385"/>
      <c r="S74" s="385"/>
      <c r="T74" s="385"/>
      <c r="U74" s="386"/>
      <c r="V74" s="386"/>
      <c r="W74" s="230"/>
      <c r="X74" s="230"/>
      <c r="Y74" s="335"/>
      <c r="Z74" s="335"/>
    </row>
    <row r="75" ht="51" customHeight="1" spans="1:26">
      <c r="A75" s="367" t="s">
        <v>3433</v>
      </c>
      <c r="B75" s="368"/>
      <c r="C75" s="369"/>
      <c r="D75" s="374" t="s">
        <v>3549</v>
      </c>
      <c r="E75" s="398" t="s">
        <v>3550</v>
      </c>
      <c r="F75" s="374" t="s">
        <v>3551</v>
      </c>
      <c r="G75" s="370"/>
      <c r="H75" s="370"/>
      <c r="I75" s="388"/>
      <c r="J75" s="230"/>
      <c r="K75" s="230"/>
      <c r="L75" s="384"/>
      <c r="M75" s="385"/>
      <c r="N75" s="386"/>
      <c r="O75" s="386"/>
      <c r="P75" s="385"/>
      <c r="Q75" s="385"/>
      <c r="R75" s="385"/>
      <c r="S75" s="385"/>
      <c r="T75" s="385"/>
      <c r="U75" s="386"/>
      <c r="V75" s="386"/>
      <c r="W75" s="230"/>
      <c r="X75" s="230"/>
      <c r="Y75" s="335"/>
      <c r="Z75" s="335"/>
    </row>
    <row r="76" ht="15.75" customHeight="1" spans="1:26">
      <c r="A76" s="361">
        <v>19</v>
      </c>
      <c r="B76" s="362" t="s">
        <v>3552</v>
      </c>
      <c r="C76" s="363" t="s">
        <v>2962</v>
      </c>
      <c r="D76" s="364" t="s">
        <v>3553</v>
      </c>
      <c r="E76" s="364" t="s">
        <v>3554</v>
      </c>
      <c r="F76" s="364" t="s">
        <v>3555</v>
      </c>
      <c r="G76" s="364" t="s">
        <v>3431</v>
      </c>
      <c r="H76" s="364" t="s">
        <v>3431</v>
      </c>
      <c r="I76" s="383">
        <f>AVERAGE(D76:F77)</f>
        <v>21.8966666666667</v>
      </c>
      <c r="J76" s="230"/>
      <c r="K76" s="230"/>
      <c r="L76" s="384"/>
      <c r="M76" s="385"/>
      <c r="N76" s="386"/>
      <c r="O76" s="386"/>
      <c r="P76" s="385"/>
      <c r="Q76" s="385"/>
      <c r="R76" s="385"/>
      <c r="S76" s="385"/>
      <c r="T76" s="385"/>
      <c r="U76" s="386"/>
      <c r="V76" s="386"/>
      <c r="W76" s="230"/>
      <c r="X76" s="230"/>
      <c r="Y76" s="335"/>
      <c r="Z76" s="335"/>
    </row>
    <row r="77" ht="15.75" customHeight="1" spans="1:26">
      <c r="A77" s="365" t="s">
        <v>3432</v>
      </c>
      <c r="B77" s="213"/>
      <c r="C77" s="279"/>
      <c r="D77" s="366">
        <v>13.6</v>
      </c>
      <c r="E77" s="366">
        <v>17.1</v>
      </c>
      <c r="F77" s="366">
        <v>34.99</v>
      </c>
      <c r="G77" s="366">
        <v>0</v>
      </c>
      <c r="H77" s="366">
        <v>0</v>
      </c>
      <c r="I77" s="387"/>
      <c r="J77" s="230"/>
      <c r="K77" s="230"/>
      <c r="L77" s="384"/>
      <c r="M77" s="385"/>
      <c r="N77" s="386"/>
      <c r="O77" s="386"/>
      <c r="P77" s="385"/>
      <c r="Q77" s="385"/>
      <c r="R77" s="385"/>
      <c r="S77" s="385"/>
      <c r="T77" s="385"/>
      <c r="U77" s="386"/>
      <c r="V77" s="386"/>
      <c r="W77" s="230"/>
      <c r="X77" s="230"/>
      <c r="Y77" s="335"/>
      <c r="Z77" s="335"/>
    </row>
    <row r="78" ht="34.5" customHeight="1" spans="1:26">
      <c r="A78" s="367" t="s">
        <v>3433</v>
      </c>
      <c r="B78" s="368"/>
      <c r="C78" s="369"/>
      <c r="D78" s="374" t="s">
        <v>3556</v>
      </c>
      <c r="E78" s="374" t="s">
        <v>3557</v>
      </c>
      <c r="F78" s="374" t="s">
        <v>3558</v>
      </c>
      <c r="G78" s="370"/>
      <c r="H78" s="370"/>
      <c r="I78" s="388"/>
      <c r="J78" s="230"/>
      <c r="K78" s="230"/>
      <c r="L78" s="384"/>
      <c r="M78" s="385"/>
      <c r="N78" s="386"/>
      <c r="O78" s="386"/>
      <c r="P78" s="385"/>
      <c r="Q78" s="385"/>
      <c r="R78" s="385"/>
      <c r="S78" s="385"/>
      <c r="T78" s="385"/>
      <c r="U78" s="386"/>
      <c r="V78" s="386"/>
      <c r="W78" s="230"/>
      <c r="X78" s="230"/>
      <c r="Y78" s="335"/>
      <c r="Z78" s="335"/>
    </row>
    <row r="79" ht="15.75" customHeight="1" spans="1:26">
      <c r="A79" s="361">
        <v>20</v>
      </c>
      <c r="B79" s="362" t="s">
        <v>3559</v>
      </c>
      <c r="C79" s="363" t="s">
        <v>3560</v>
      </c>
      <c r="D79" s="364" t="s">
        <v>3561</v>
      </c>
      <c r="E79" s="364" t="s">
        <v>3562</v>
      </c>
      <c r="F79" s="364" t="s">
        <v>3539</v>
      </c>
      <c r="G79" s="364" t="s">
        <v>3431</v>
      </c>
      <c r="H79" s="364" t="s">
        <v>3431</v>
      </c>
      <c r="I79" s="383">
        <f>AVERAGE(D80:F80)</f>
        <v>166.08</v>
      </c>
      <c r="J79" s="230"/>
      <c r="K79" s="230"/>
      <c r="L79" s="384"/>
      <c r="M79" s="385"/>
      <c r="N79" s="386"/>
      <c r="O79" s="386"/>
      <c r="P79" s="385"/>
      <c r="Q79" s="385"/>
      <c r="R79" s="385"/>
      <c r="S79" s="385"/>
      <c r="T79" s="385"/>
      <c r="U79" s="386"/>
      <c r="V79" s="386"/>
      <c r="W79" s="230"/>
      <c r="X79" s="230"/>
      <c r="Y79" s="335"/>
      <c r="Z79" s="335"/>
    </row>
    <row r="80" ht="15.75" customHeight="1" spans="1:26">
      <c r="A80" s="365" t="s">
        <v>3432</v>
      </c>
      <c r="B80" s="213"/>
      <c r="C80" s="279"/>
      <c r="D80" s="366">
        <v>181.5</v>
      </c>
      <c r="E80" s="366">
        <v>179.99</v>
      </c>
      <c r="F80" s="366">
        <v>136.75</v>
      </c>
      <c r="G80" s="366">
        <v>0</v>
      </c>
      <c r="H80" s="366">
        <v>0</v>
      </c>
      <c r="I80" s="387"/>
      <c r="J80" s="230"/>
      <c r="K80" s="230"/>
      <c r="L80" s="384"/>
      <c r="M80" s="385"/>
      <c r="N80" s="386"/>
      <c r="O80" s="386"/>
      <c r="P80" s="385"/>
      <c r="Q80" s="385"/>
      <c r="R80" s="385"/>
      <c r="S80" s="385"/>
      <c r="T80" s="385"/>
      <c r="U80" s="386"/>
      <c r="V80" s="386"/>
      <c r="W80" s="230"/>
      <c r="X80" s="230"/>
      <c r="Y80" s="335"/>
      <c r="Z80" s="335"/>
    </row>
    <row r="81" ht="43.5" customHeight="1" spans="1:26">
      <c r="A81" s="367" t="s">
        <v>3433</v>
      </c>
      <c r="B81" s="368"/>
      <c r="C81" s="369"/>
      <c r="D81" s="374" t="s">
        <v>3563</v>
      </c>
      <c r="E81" s="374" t="s">
        <v>3564</v>
      </c>
      <c r="F81" s="374" t="s">
        <v>3565</v>
      </c>
      <c r="G81" s="370"/>
      <c r="H81" s="370"/>
      <c r="I81" s="388"/>
      <c r="J81" s="230"/>
      <c r="K81" s="230"/>
      <c r="L81" s="384"/>
      <c r="M81" s="385"/>
      <c r="N81" s="386"/>
      <c r="O81" s="386"/>
      <c r="P81" s="385"/>
      <c r="Q81" s="385"/>
      <c r="R81" s="385"/>
      <c r="S81" s="385"/>
      <c r="T81" s="385"/>
      <c r="U81" s="386"/>
      <c r="V81" s="386"/>
      <c r="W81" s="230"/>
      <c r="X81" s="230"/>
      <c r="Y81" s="335"/>
      <c r="Z81" s="335"/>
    </row>
    <row r="82" ht="15.75" customHeight="1" spans="1:26">
      <c r="A82" s="361">
        <v>21</v>
      </c>
      <c r="B82" s="362" t="s">
        <v>3566</v>
      </c>
      <c r="C82" s="363" t="s">
        <v>3567</v>
      </c>
      <c r="D82" s="364" t="s">
        <v>3568</v>
      </c>
      <c r="E82" s="364" t="s">
        <v>3569</v>
      </c>
      <c r="F82" s="364" t="s">
        <v>3570</v>
      </c>
      <c r="G82" s="364" t="s">
        <v>3431</v>
      </c>
      <c r="H82" s="364" t="s">
        <v>3431</v>
      </c>
      <c r="I82" s="383">
        <f>MIN(D83:F83)</f>
        <v>132.7</v>
      </c>
      <c r="J82" s="230" t="s">
        <v>3571</v>
      </c>
      <c r="K82" s="230"/>
      <c r="L82" s="384"/>
      <c r="M82" s="385"/>
      <c r="N82" s="386"/>
      <c r="O82" s="386"/>
      <c r="P82" s="385"/>
      <c r="Q82" s="385"/>
      <c r="R82" s="385"/>
      <c r="S82" s="385"/>
      <c r="T82" s="385"/>
      <c r="U82" s="386"/>
      <c r="V82" s="386"/>
      <c r="W82" s="230"/>
      <c r="X82" s="230"/>
      <c r="Y82" s="335"/>
      <c r="Z82" s="335"/>
    </row>
    <row r="83" ht="15.75" customHeight="1" spans="1:26">
      <c r="A83" s="365" t="s">
        <v>3432</v>
      </c>
      <c r="B83" s="213"/>
      <c r="C83" s="279"/>
      <c r="D83" s="366">
        <v>224.1</v>
      </c>
      <c r="E83" s="366">
        <v>132.7</v>
      </c>
      <c r="F83" s="366">
        <v>163.5</v>
      </c>
      <c r="G83" s="366">
        <v>0</v>
      </c>
      <c r="H83" s="366">
        <v>0</v>
      </c>
      <c r="I83" s="387"/>
      <c r="J83" s="230"/>
      <c r="K83" s="230"/>
      <c r="L83" s="384"/>
      <c r="M83" s="385"/>
      <c r="N83" s="386"/>
      <c r="O83" s="386"/>
      <c r="P83" s="385"/>
      <c r="Q83" s="385"/>
      <c r="R83" s="385"/>
      <c r="S83" s="385"/>
      <c r="T83" s="385"/>
      <c r="U83" s="386"/>
      <c r="V83" s="386"/>
      <c r="W83" s="230"/>
      <c r="X83" s="230"/>
      <c r="Y83" s="335"/>
      <c r="Z83" s="335"/>
    </row>
    <row r="84" ht="43.5" customHeight="1" spans="1:26">
      <c r="A84" s="367" t="s">
        <v>3433</v>
      </c>
      <c r="B84" s="368"/>
      <c r="C84" s="369"/>
      <c r="D84" s="374" t="s">
        <v>3572</v>
      </c>
      <c r="E84" s="374" t="s">
        <v>3573</v>
      </c>
      <c r="F84" s="374" t="s">
        <v>3574</v>
      </c>
      <c r="G84" s="370"/>
      <c r="H84" s="370"/>
      <c r="I84" s="388"/>
      <c r="J84" s="230"/>
      <c r="K84" s="230"/>
      <c r="L84" s="384"/>
      <c r="M84" s="385"/>
      <c r="N84" s="386"/>
      <c r="O84" s="386"/>
      <c r="P84" s="385"/>
      <c r="Q84" s="385"/>
      <c r="R84" s="385"/>
      <c r="S84" s="385"/>
      <c r="T84" s="385"/>
      <c r="U84" s="386"/>
      <c r="V84" s="386"/>
      <c r="W84" s="230"/>
      <c r="X84" s="230"/>
      <c r="Y84" s="335"/>
      <c r="Z84" s="335"/>
    </row>
    <row r="85" ht="15.75" customHeight="1" spans="1:26">
      <c r="A85" s="361">
        <v>22</v>
      </c>
      <c r="B85" s="362" t="s">
        <v>3575</v>
      </c>
      <c r="C85" s="363" t="s">
        <v>2834</v>
      </c>
      <c r="D85" s="364" t="s">
        <v>3576</v>
      </c>
      <c r="E85" s="364" t="s">
        <v>3577</v>
      </c>
      <c r="F85" s="364" t="s">
        <v>3460</v>
      </c>
      <c r="G85" s="364" t="s">
        <v>3431</v>
      </c>
      <c r="H85" s="364" t="s">
        <v>3431</v>
      </c>
      <c r="I85" s="383">
        <f>MIN(D86:F86)</f>
        <v>201.21</v>
      </c>
      <c r="J85" s="230"/>
      <c r="K85" s="230"/>
      <c r="L85" s="384"/>
      <c r="M85" s="385"/>
      <c r="N85" s="386"/>
      <c r="O85" s="386"/>
      <c r="P85" s="385"/>
      <c r="Q85" s="385"/>
      <c r="R85" s="385"/>
      <c r="S85" s="385"/>
      <c r="T85" s="385"/>
      <c r="U85" s="386"/>
      <c r="V85" s="386"/>
      <c r="W85" s="230"/>
      <c r="X85" s="230"/>
      <c r="Y85" s="335"/>
      <c r="Z85" s="335"/>
    </row>
    <row r="86" ht="15.75" customHeight="1" spans="1:26">
      <c r="A86" s="365" t="s">
        <v>3432</v>
      </c>
      <c r="B86" s="213"/>
      <c r="C86" s="279"/>
      <c r="D86" s="366">
        <v>201.21</v>
      </c>
      <c r="E86" s="366">
        <v>294.89</v>
      </c>
      <c r="F86" s="366">
        <v>291.61</v>
      </c>
      <c r="G86" s="366">
        <v>0</v>
      </c>
      <c r="H86" s="366">
        <v>0</v>
      </c>
      <c r="I86" s="387"/>
      <c r="J86" s="230"/>
      <c r="K86" s="230"/>
      <c r="L86" s="384"/>
      <c r="M86" s="385"/>
      <c r="N86" s="386"/>
      <c r="O86" s="386"/>
      <c r="P86" s="385"/>
      <c r="Q86" s="385"/>
      <c r="R86" s="385"/>
      <c r="S86" s="385"/>
      <c r="T86" s="385"/>
      <c r="U86" s="386"/>
      <c r="V86" s="386"/>
      <c r="W86" s="230"/>
      <c r="X86" s="230"/>
      <c r="Y86" s="335"/>
      <c r="Z86" s="335"/>
    </row>
    <row r="87" ht="49.5" customHeight="1" spans="1:26">
      <c r="A87" s="367" t="s">
        <v>3433</v>
      </c>
      <c r="B87" s="368"/>
      <c r="C87" s="369"/>
      <c r="D87" s="374" t="s">
        <v>3578</v>
      </c>
      <c r="E87" s="374" t="s">
        <v>3579</v>
      </c>
      <c r="F87" s="374" t="s">
        <v>3580</v>
      </c>
      <c r="G87" s="370"/>
      <c r="H87" s="370"/>
      <c r="I87" s="388"/>
      <c r="J87" s="230"/>
      <c r="K87" s="230"/>
      <c r="L87" s="384"/>
      <c r="M87" s="385"/>
      <c r="N87" s="386"/>
      <c r="O87" s="386"/>
      <c r="P87" s="385"/>
      <c r="Q87" s="385"/>
      <c r="R87" s="385"/>
      <c r="S87" s="385"/>
      <c r="T87" s="385"/>
      <c r="U87" s="386"/>
      <c r="V87" s="386"/>
      <c r="W87" s="230"/>
      <c r="X87" s="230"/>
      <c r="Y87" s="335"/>
      <c r="Z87" s="335"/>
    </row>
    <row r="88" ht="15.75" customHeight="1" spans="1:26">
      <c r="A88" s="361">
        <v>23</v>
      </c>
      <c r="B88" s="362" t="s">
        <v>3581</v>
      </c>
      <c r="C88" s="363" t="s">
        <v>3582</v>
      </c>
      <c r="D88" s="364" t="s">
        <v>3583</v>
      </c>
      <c r="E88" s="364" t="s">
        <v>3584</v>
      </c>
      <c r="F88" s="364" t="s">
        <v>3585</v>
      </c>
      <c r="G88" s="364" t="s">
        <v>3431</v>
      </c>
      <c r="H88" s="364" t="s">
        <v>3431</v>
      </c>
      <c r="I88" s="383">
        <f>MIN(D89:F89)</f>
        <v>416.3</v>
      </c>
      <c r="J88" s="230"/>
      <c r="K88" s="230"/>
      <c r="L88" s="384"/>
      <c r="M88" s="385"/>
      <c r="N88" s="386"/>
      <c r="O88" s="386"/>
      <c r="P88" s="385"/>
      <c r="Q88" s="385"/>
      <c r="R88" s="385"/>
      <c r="S88" s="385"/>
      <c r="T88" s="385"/>
      <c r="U88" s="386"/>
      <c r="V88" s="386"/>
      <c r="W88" s="230"/>
      <c r="X88" s="230"/>
      <c r="Y88" s="335"/>
      <c r="Z88" s="335"/>
    </row>
    <row r="89" ht="15.75" customHeight="1" spans="1:26">
      <c r="A89" s="365" t="s">
        <v>3432</v>
      </c>
      <c r="B89" s="213"/>
      <c r="C89" s="279"/>
      <c r="D89" s="366">
        <v>988.77</v>
      </c>
      <c r="E89" s="366">
        <v>416.3</v>
      </c>
      <c r="F89" s="366">
        <v>456.89</v>
      </c>
      <c r="G89" s="366">
        <v>0</v>
      </c>
      <c r="H89" s="366">
        <v>0</v>
      </c>
      <c r="I89" s="387"/>
      <c r="J89" s="230"/>
      <c r="K89" s="230"/>
      <c r="L89" s="384"/>
      <c r="M89" s="385"/>
      <c r="N89" s="386"/>
      <c r="O89" s="386"/>
      <c r="P89" s="385"/>
      <c r="Q89" s="385"/>
      <c r="R89" s="385"/>
      <c r="S89" s="385"/>
      <c r="T89" s="385"/>
      <c r="U89" s="386"/>
      <c r="V89" s="386"/>
      <c r="W89" s="230"/>
      <c r="X89" s="230"/>
      <c r="Y89" s="335"/>
      <c r="Z89" s="335"/>
    </row>
    <row r="90" ht="47.25" customHeight="1" spans="1:26">
      <c r="A90" s="367" t="s">
        <v>3433</v>
      </c>
      <c r="B90" s="368"/>
      <c r="C90" s="369"/>
      <c r="D90" s="374" t="s">
        <v>3586</v>
      </c>
      <c r="E90" s="374" t="s">
        <v>3587</v>
      </c>
      <c r="F90" s="374" t="s">
        <v>3588</v>
      </c>
      <c r="G90" s="370"/>
      <c r="H90" s="370"/>
      <c r="I90" s="388"/>
      <c r="J90" s="230"/>
      <c r="K90" s="230"/>
      <c r="L90" s="384"/>
      <c r="M90" s="385"/>
      <c r="N90" s="386"/>
      <c r="O90" s="386"/>
      <c r="P90" s="385"/>
      <c r="Q90" s="385"/>
      <c r="R90" s="385"/>
      <c r="S90" s="385"/>
      <c r="T90" s="385"/>
      <c r="U90" s="386"/>
      <c r="V90" s="386"/>
      <c r="W90" s="230"/>
      <c r="X90" s="230"/>
      <c r="Y90" s="335"/>
      <c r="Z90" s="335"/>
    </row>
    <row r="91" ht="15.75" customHeight="1" spans="1:26">
      <c r="A91" s="399"/>
      <c r="B91" s="313"/>
      <c r="C91" s="313"/>
      <c r="D91" s="386"/>
      <c r="E91" s="386"/>
      <c r="F91" s="386"/>
      <c r="G91" s="386"/>
      <c r="H91" s="386"/>
      <c r="I91" s="389"/>
      <c r="J91" s="230"/>
      <c r="K91" s="230"/>
      <c r="L91" s="384"/>
      <c r="M91" s="385"/>
      <c r="N91" s="386"/>
      <c r="O91" s="386"/>
      <c r="P91" s="385"/>
      <c r="Q91" s="385"/>
      <c r="R91" s="385"/>
      <c r="S91" s="385"/>
      <c r="T91" s="385"/>
      <c r="U91" s="386"/>
      <c r="V91" s="386"/>
      <c r="W91" s="230"/>
      <c r="X91" s="230"/>
      <c r="Y91" s="335"/>
      <c r="Z91" s="335"/>
    </row>
    <row r="92" ht="15.75" customHeight="1" spans="1:26">
      <c r="A92" s="361">
        <v>24</v>
      </c>
      <c r="B92" s="362" t="s">
        <v>3589</v>
      </c>
      <c r="C92" s="363" t="s">
        <v>3279</v>
      </c>
      <c r="D92" s="364" t="s">
        <v>3590</v>
      </c>
      <c r="E92" s="364" t="s">
        <v>3591</v>
      </c>
      <c r="F92" s="364" t="s">
        <v>3584</v>
      </c>
      <c r="G92" s="364" t="s">
        <v>3431</v>
      </c>
      <c r="H92" s="364" t="s">
        <v>3431</v>
      </c>
      <c r="I92" s="383">
        <f>MIN(D93:F93)</f>
        <v>109.99</v>
      </c>
      <c r="J92" s="230"/>
      <c r="K92" s="230"/>
      <c r="L92" s="384"/>
      <c r="M92" s="385"/>
      <c r="N92" s="386"/>
      <c r="O92" s="386"/>
      <c r="P92" s="385"/>
      <c r="Q92" s="385"/>
      <c r="R92" s="385"/>
      <c r="S92" s="385"/>
      <c r="T92" s="385"/>
      <c r="U92" s="386"/>
      <c r="V92" s="386"/>
      <c r="W92" s="230"/>
      <c r="X92" s="230"/>
      <c r="Y92" s="335"/>
      <c r="Z92" s="335"/>
    </row>
    <row r="93" ht="15.75" customHeight="1" spans="1:26">
      <c r="A93" s="365" t="s">
        <v>3432</v>
      </c>
      <c r="B93" s="213"/>
      <c r="C93" s="279"/>
      <c r="D93" s="366">
        <v>109.99</v>
      </c>
      <c r="E93" s="366">
        <v>284.9</v>
      </c>
      <c r="F93" s="366">
        <v>234.2</v>
      </c>
      <c r="G93" s="366">
        <v>0</v>
      </c>
      <c r="H93" s="366">
        <v>0</v>
      </c>
      <c r="I93" s="387"/>
      <c r="J93" s="230"/>
      <c r="K93" s="230"/>
      <c r="L93" s="384"/>
      <c r="M93" s="385"/>
      <c r="N93" s="386"/>
      <c r="O93" s="386"/>
      <c r="P93" s="385"/>
      <c r="Q93" s="385"/>
      <c r="R93" s="385"/>
      <c r="S93" s="385"/>
      <c r="T93" s="385"/>
      <c r="U93" s="386"/>
      <c r="V93" s="386"/>
      <c r="W93" s="230"/>
      <c r="X93" s="230"/>
      <c r="Y93" s="335"/>
      <c r="Z93" s="335"/>
    </row>
    <row r="94" ht="48" customHeight="1" spans="1:26">
      <c r="A94" s="367" t="s">
        <v>3433</v>
      </c>
      <c r="B94" s="368"/>
      <c r="C94" s="369"/>
      <c r="D94" s="374" t="s">
        <v>3592</v>
      </c>
      <c r="E94" s="374" t="s">
        <v>3593</v>
      </c>
      <c r="F94" s="374" t="s">
        <v>3594</v>
      </c>
      <c r="G94" s="370"/>
      <c r="H94" s="370"/>
      <c r="I94" s="388"/>
      <c r="J94" s="230"/>
      <c r="K94" s="230"/>
      <c r="L94" s="384"/>
      <c r="M94" s="385"/>
      <c r="N94" s="386"/>
      <c r="O94" s="386"/>
      <c r="P94" s="385"/>
      <c r="Q94" s="385"/>
      <c r="R94" s="385"/>
      <c r="S94" s="385"/>
      <c r="T94" s="385"/>
      <c r="U94" s="386"/>
      <c r="V94" s="386"/>
      <c r="W94" s="230"/>
      <c r="X94" s="230"/>
      <c r="Y94" s="335"/>
      <c r="Z94" s="335"/>
    </row>
    <row r="95" ht="15.75" customHeight="1" spans="1:26">
      <c r="A95" s="400"/>
      <c r="B95" s="401"/>
      <c r="C95" s="402"/>
      <c r="D95" s="403"/>
      <c r="E95" s="403"/>
      <c r="F95" s="403"/>
      <c r="G95" s="403"/>
      <c r="H95" s="403"/>
      <c r="I95" s="405"/>
      <c r="J95" s="230"/>
      <c r="K95" s="230"/>
      <c r="L95" s="384"/>
      <c r="M95" s="385"/>
      <c r="N95" s="386"/>
      <c r="O95" s="386"/>
      <c r="P95" s="385"/>
      <c r="Q95" s="385"/>
      <c r="R95" s="385"/>
      <c r="S95" s="385"/>
      <c r="T95" s="385"/>
      <c r="U95" s="386"/>
      <c r="V95" s="386"/>
      <c r="W95" s="230"/>
      <c r="X95" s="230"/>
      <c r="Y95" s="335"/>
      <c r="Z95" s="335"/>
    </row>
    <row r="96" ht="23.25" customHeight="1" spans="1:26">
      <c r="A96" s="361">
        <v>25</v>
      </c>
      <c r="B96" s="362" t="s">
        <v>3595</v>
      </c>
      <c r="C96" s="363" t="s">
        <v>3197</v>
      </c>
      <c r="D96" s="364" t="s">
        <v>3596</v>
      </c>
      <c r="E96" s="364" t="s">
        <v>3597</v>
      </c>
      <c r="F96" s="364" t="s">
        <v>3598</v>
      </c>
      <c r="G96" s="364" t="s">
        <v>3431</v>
      </c>
      <c r="H96" s="364" t="s">
        <v>3431</v>
      </c>
      <c r="I96" s="383">
        <f>AVERAGE(D97:F97)</f>
        <v>355.871111111111</v>
      </c>
      <c r="J96" s="230"/>
      <c r="K96" s="230"/>
      <c r="L96" s="384"/>
      <c r="M96" s="385"/>
      <c r="N96" s="386"/>
      <c r="O96" s="386"/>
      <c r="P96" s="385"/>
      <c r="Q96" s="385"/>
      <c r="R96" s="385"/>
      <c r="S96" s="385"/>
      <c r="T96" s="385"/>
      <c r="U96" s="386"/>
      <c r="V96" s="386"/>
      <c r="W96" s="230"/>
      <c r="X96" s="230"/>
      <c r="Y96" s="335"/>
      <c r="Z96" s="335"/>
    </row>
    <row r="97" ht="15.75" customHeight="1" spans="1:26">
      <c r="A97" s="365" t="s">
        <v>3432</v>
      </c>
      <c r="B97" s="213"/>
      <c r="C97" s="279"/>
      <c r="D97" s="366">
        <f>515.11/2</f>
        <v>257.555</v>
      </c>
      <c r="E97" s="366">
        <f>384.14/2.4</f>
        <v>160.058333333333</v>
      </c>
      <c r="F97" s="366">
        <f>1300/2</f>
        <v>650</v>
      </c>
      <c r="G97" s="366">
        <v>0</v>
      </c>
      <c r="H97" s="366">
        <v>0</v>
      </c>
      <c r="I97" s="387"/>
      <c r="J97" s="230"/>
      <c r="K97" s="230"/>
      <c r="L97" s="384"/>
      <c r="M97" s="385"/>
      <c r="N97" s="386"/>
      <c r="O97" s="386"/>
      <c r="P97" s="385"/>
      <c r="Q97" s="385"/>
      <c r="R97" s="385"/>
      <c r="S97" s="385"/>
      <c r="T97" s="385"/>
      <c r="U97" s="386"/>
      <c r="V97" s="386"/>
      <c r="W97" s="230"/>
      <c r="X97" s="230"/>
      <c r="Y97" s="335"/>
      <c r="Z97" s="335"/>
    </row>
    <row r="98" ht="15.75" customHeight="1" spans="1:26">
      <c r="A98" s="367" t="s">
        <v>3433</v>
      </c>
      <c r="B98" s="368"/>
      <c r="C98" s="369"/>
      <c r="D98" s="374" t="s">
        <v>3599</v>
      </c>
      <c r="E98" s="374" t="s">
        <v>3600</v>
      </c>
      <c r="F98" s="374" t="s">
        <v>3601</v>
      </c>
      <c r="G98" s="370"/>
      <c r="H98" s="370"/>
      <c r="I98" s="388"/>
      <c r="J98" s="230"/>
      <c r="K98" s="230"/>
      <c r="L98" s="384"/>
      <c r="M98" s="385"/>
      <c r="N98" s="386"/>
      <c r="O98" s="386"/>
      <c r="P98" s="385"/>
      <c r="Q98" s="385"/>
      <c r="R98" s="385"/>
      <c r="S98" s="385"/>
      <c r="T98" s="385"/>
      <c r="U98" s="386"/>
      <c r="V98" s="386"/>
      <c r="W98" s="230"/>
      <c r="X98" s="230"/>
      <c r="Y98" s="335"/>
      <c r="Z98" s="335"/>
    </row>
    <row r="99" ht="15.75" customHeight="1" spans="1:26">
      <c r="A99" s="399"/>
      <c r="B99" s="313"/>
      <c r="C99" s="313"/>
      <c r="D99" s="386"/>
      <c r="E99" s="386"/>
      <c r="F99" s="386"/>
      <c r="G99" s="386"/>
      <c r="H99" s="386"/>
      <c r="I99" s="389"/>
      <c r="J99" s="230"/>
      <c r="K99" s="230"/>
      <c r="L99" s="384"/>
      <c r="M99" s="385"/>
      <c r="N99" s="386"/>
      <c r="O99" s="386"/>
      <c r="P99" s="385"/>
      <c r="Q99" s="385"/>
      <c r="R99" s="385"/>
      <c r="S99" s="385"/>
      <c r="T99" s="385"/>
      <c r="U99" s="386"/>
      <c r="V99" s="386"/>
      <c r="W99" s="230"/>
      <c r="X99" s="230"/>
      <c r="Y99" s="335"/>
      <c r="Z99" s="335"/>
    </row>
    <row r="100" ht="22.5" customHeight="1" spans="1:26">
      <c r="A100" s="361">
        <v>26</v>
      </c>
      <c r="B100" s="362" t="s">
        <v>3602</v>
      </c>
      <c r="C100" s="363" t="s">
        <v>3281</v>
      </c>
      <c r="D100" s="364" t="s">
        <v>3603</v>
      </c>
      <c r="E100" s="364" t="s">
        <v>3604</v>
      </c>
      <c r="F100" s="364" t="s">
        <v>3605</v>
      </c>
      <c r="G100" s="364" t="s">
        <v>3431</v>
      </c>
      <c r="H100" s="364" t="s">
        <v>3431</v>
      </c>
      <c r="I100" s="383">
        <f>AVERAGE(D101:F101)</f>
        <v>2746.72</v>
      </c>
      <c r="J100" s="230"/>
      <c r="K100" s="230"/>
      <c r="L100" s="384"/>
      <c r="M100" s="385"/>
      <c r="N100" s="386"/>
      <c r="O100" s="386"/>
      <c r="P100" s="385"/>
      <c r="Q100" s="385"/>
      <c r="R100" s="385"/>
      <c r="S100" s="385"/>
      <c r="T100" s="385"/>
      <c r="U100" s="386"/>
      <c r="V100" s="386"/>
      <c r="W100" s="230"/>
      <c r="X100" s="230"/>
      <c r="Y100" s="335"/>
      <c r="Z100" s="335"/>
    </row>
    <row r="101" ht="15.75" customHeight="1" spans="1:26">
      <c r="A101" s="365" t="s">
        <v>3432</v>
      </c>
      <c r="B101" s="213"/>
      <c r="C101" s="279"/>
      <c r="D101" s="366">
        <v>3950</v>
      </c>
      <c r="E101" s="366">
        <v>2659</v>
      </c>
      <c r="F101" s="366">
        <v>1631.16</v>
      </c>
      <c r="G101" s="366">
        <v>0</v>
      </c>
      <c r="H101" s="366">
        <v>0</v>
      </c>
      <c r="I101" s="387"/>
      <c r="J101" s="230"/>
      <c r="K101" s="230"/>
      <c r="L101" s="384"/>
      <c r="M101" s="385"/>
      <c r="N101" s="386"/>
      <c r="O101" s="386"/>
      <c r="P101" s="385"/>
      <c r="Q101" s="385"/>
      <c r="R101" s="385"/>
      <c r="S101" s="385"/>
      <c r="T101" s="385"/>
      <c r="U101" s="386"/>
      <c r="V101" s="386"/>
      <c r="W101" s="230"/>
      <c r="X101" s="230"/>
      <c r="Y101" s="335"/>
      <c r="Z101" s="335"/>
    </row>
    <row r="102" ht="34.5" customHeight="1" spans="1:26">
      <c r="A102" s="367" t="s">
        <v>3433</v>
      </c>
      <c r="B102" s="368"/>
      <c r="C102" s="369"/>
      <c r="D102" s="374" t="s">
        <v>3606</v>
      </c>
      <c r="E102" s="374" t="s">
        <v>3607</v>
      </c>
      <c r="F102" s="374" t="s">
        <v>3608</v>
      </c>
      <c r="G102" s="370"/>
      <c r="H102" s="370"/>
      <c r="I102" s="388"/>
      <c r="J102" s="230"/>
      <c r="K102" s="230"/>
      <c r="L102" s="384"/>
      <c r="M102" s="385"/>
      <c r="N102" s="386"/>
      <c r="O102" s="386"/>
      <c r="P102" s="385"/>
      <c r="Q102" s="385"/>
      <c r="R102" s="385"/>
      <c r="S102" s="385"/>
      <c r="T102" s="385"/>
      <c r="U102" s="386"/>
      <c r="V102" s="386"/>
      <c r="W102" s="230"/>
      <c r="X102" s="230"/>
      <c r="Y102" s="335"/>
      <c r="Z102" s="335"/>
    </row>
    <row r="103" ht="15.75" customHeight="1" spans="1:26">
      <c r="A103" s="399"/>
      <c r="B103" s="313"/>
      <c r="C103" s="313"/>
      <c r="D103" s="386"/>
      <c r="E103" s="386"/>
      <c r="F103" s="386"/>
      <c r="G103" s="386"/>
      <c r="H103" s="386"/>
      <c r="I103" s="389"/>
      <c r="J103" s="230"/>
      <c r="K103" s="230"/>
      <c r="L103" s="384"/>
      <c r="M103" s="385"/>
      <c r="N103" s="386"/>
      <c r="O103" s="386"/>
      <c r="P103" s="385"/>
      <c r="Q103" s="385"/>
      <c r="R103" s="385"/>
      <c r="S103" s="385"/>
      <c r="T103" s="385"/>
      <c r="U103" s="386"/>
      <c r="V103" s="386"/>
      <c r="W103" s="230"/>
      <c r="X103" s="230"/>
      <c r="Y103" s="335"/>
      <c r="Z103" s="335"/>
    </row>
    <row r="104" ht="25.5" customHeight="1" spans="1:26">
      <c r="A104" s="361">
        <v>27</v>
      </c>
      <c r="B104" s="362" t="s">
        <v>3609</v>
      </c>
      <c r="C104" s="363" t="s">
        <v>3293</v>
      </c>
      <c r="D104" s="364" t="s">
        <v>3610</v>
      </c>
      <c r="E104" s="364" t="s">
        <v>3611</v>
      </c>
      <c r="F104" s="364" t="s">
        <v>3612</v>
      </c>
      <c r="G104" s="364" t="s">
        <v>3431</v>
      </c>
      <c r="H104" s="364" t="s">
        <v>3431</v>
      </c>
      <c r="I104" s="383">
        <f>MIN(D105:F105)</f>
        <v>780</v>
      </c>
      <c r="J104" s="230"/>
      <c r="K104" s="230"/>
      <c r="L104" s="384"/>
      <c r="M104" s="385"/>
      <c r="N104" s="386"/>
      <c r="O104" s="386"/>
      <c r="P104" s="385"/>
      <c r="Q104" s="385"/>
      <c r="R104" s="385"/>
      <c r="S104" s="385"/>
      <c r="T104" s="385"/>
      <c r="U104" s="386"/>
      <c r="V104" s="386"/>
      <c r="W104" s="230"/>
      <c r="X104" s="230"/>
      <c r="Y104" s="335"/>
      <c r="Z104" s="335"/>
    </row>
    <row r="105" ht="15.75" customHeight="1" spans="1:26">
      <c r="A105" s="365" t="s">
        <v>3432</v>
      </c>
      <c r="B105" s="213"/>
      <c r="C105" s="279"/>
      <c r="D105" s="366">
        <v>995.75</v>
      </c>
      <c r="E105" s="366">
        <v>1162.21</v>
      </c>
      <c r="F105" s="366">
        <v>780</v>
      </c>
      <c r="G105" s="366">
        <v>0</v>
      </c>
      <c r="H105" s="366">
        <v>0</v>
      </c>
      <c r="I105" s="387"/>
      <c r="J105" s="230"/>
      <c r="K105" s="230"/>
      <c r="L105" s="384"/>
      <c r="M105" s="385"/>
      <c r="N105" s="386"/>
      <c r="O105" s="386"/>
      <c r="P105" s="385"/>
      <c r="Q105" s="385"/>
      <c r="R105" s="385"/>
      <c r="S105" s="385"/>
      <c r="T105" s="385"/>
      <c r="U105" s="386"/>
      <c r="V105" s="386"/>
      <c r="W105" s="230"/>
      <c r="X105" s="230"/>
      <c r="Y105" s="335"/>
      <c r="Z105" s="335"/>
    </row>
    <row r="106" ht="47.25" customHeight="1" spans="1:26">
      <c r="A106" s="367" t="s">
        <v>3433</v>
      </c>
      <c r="B106" s="368"/>
      <c r="C106" s="369"/>
      <c r="D106" s="374" t="s">
        <v>3613</v>
      </c>
      <c r="E106" s="374" t="s">
        <v>3614</v>
      </c>
      <c r="F106" s="374" t="s">
        <v>3615</v>
      </c>
      <c r="G106" s="370"/>
      <c r="H106" s="370"/>
      <c r="I106" s="388"/>
      <c r="J106" s="230"/>
      <c r="K106" s="230"/>
      <c r="L106" s="384"/>
      <c r="M106" s="385"/>
      <c r="N106" s="386"/>
      <c r="O106" s="386"/>
      <c r="P106" s="385"/>
      <c r="Q106" s="385"/>
      <c r="R106" s="385"/>
      <c r="S106" s="385"/>
      <c r="T106" s="385"/>
      <c r="U106" s="386"/>
      <c r="V106" s="386"/>
      <c r="W106" s="230"/>
      <c r="X106" s="230"/>
      <c r="Y106" s="335"/>
      <c r="Z106" s="335"/>
    </row>
    <row r="107" ht="15.75" customHeight="1" spans="1:26">
      <c r="A107" s="399"/>
      <c r="B107" s="313"/>
      <c r="C107" s="313"/>
      <c r="D107" s="386"/>
      <c r="E107" s="386"/>
      <c r="F107" s="386"/>
      <c r="G107" s="386"/>
      <c r="H107" s="386"/>
      <c r="I107" s="389"/>
      <c r="J107" s="230"/>
      <c r="K107" s="230"/>
      <c r="L107" s="384"/>
      <c r="M107" s="385"/>
      <c r="N107" s="386"/>
      <c r="O107" s="386"/>
      <c r="P107" s="385"/>
      <c r="Q107" s="385"/>
      <c r="R107" s="385"/>
      <c r="S107" s="385"/>
      <c r="T107" s="385"/>
      <c r="U107" s="386"/>
      <c r="V107" s="386"/>
      <c r="W107" s="230"/>
      <c r="X107" s="230"/>
      <c r="Y107" s="335"/>
      <c r="Z107" s="335"/>
    </row>
    <row r="108" ht="15.75" customHeight="1" spans="1:26">
      <c r="A108" s="361">
        <v>28</v>
      </c>
      <c r="B108" s="362" t="s">
        <v>3616</v>
      </c>
      <c r="C108" s="404"/>
      <c r="D108" s="364" t="s">
        <v>3431</v>
      </c>
      <c r="E108" s="364" t="s">
        <v>3431</v>
      </c>
      <c r="F108" s="364" t="s">
        <v>3431</v>
      </c>
      <c r="G108" s="364" t="s">
        <v>3431</v>
      </c>
      <c r="H108" s="364" t="s">
        <v>3431</v>
      </c>
      <c r="I108" s="383"/>
      <c r="J108" s="230"/>
      <c r="K108" s="230"/>
      <c r="L108" s="384"/>
      <c r="M108" s="385"/>
      <c r="N108" s="386"/>
      <c r="O108" s="386"/>
      <c r="P108" s="385"/>
      <c r="Q108" s="385"/>
      <c r="R108" s="385"/>
      <c r="S108" s="385"/>
      <c r="T108" s="385"/>
      <c r="U108" s="386"/>
      <c r="V108" s="386"/>
      <c r="W108" s="230"/>
      <c r="X108" s="230"/>
      <c r="Y108" s="335"/>
      <c r="Z108" s="335"/>
    </row>
    <row r="109" ht="15.75" customHeight="1" spans="1:26">
      <c r="A109" s="365" t="s">
        <v>3432</v>
      </c>
      <c r="B109" s="213"/>
      <c r="C109" s="279"/>
      <c r="D109" s="366">
        <v>0</v>
      </c>
      <c r="E109" s="366">
        <v>0</v>
      </c>
      <c r="F109" s="366">
        <v>0</v>
      </c>
      <c r="G109" s="366">
        <v>0</v>
      </c>
      <c r="H109" s="366">
        <v>0</v>
      </c>
      <c r="I109" s="387"/>
      <c r="J109" s="230"/>
      <c r="K109" s="230"/>
      <c r="L109" s="384"/>
      <c r="M109" s="385"/>
      <c r="N109" s="386"/>
      <c r="O109" s="386"/>
      <c r="P109" s="385"/>
      <c r="Q109" s="385"/>
      <c r="R109" s="385"/>
      <c r="S109" s="385"/>
      <c r="T109" s="385"/>
      <c r="U109" s="386"/>
      <c r="V109" s="386"/>
      <c r="W109" s="230"/>
      <c r="X109" s="230"/>
      <c r="Y109" s="335"/>
      <c r="Z109" s="335"/>
    </row>
    <row r="110" ht="15.75" customHeight="1" spans="1:26">
      <c r="A110" s="367" t="s">
        <v>3433</v>
      </c>
      <c r="B110" s="368"/>
      <c r="C110" s="369"/>
      <c r="D110" s="370"/>
      <c r="E110" s="370"/>
      <c r="F110" s="370"/>
      <c r="G110" s="370"/>
      <c r="H110" s="370"/>
      <c r="I110" s="388"/>
      <c r="J110" s="230"/>
      <c r="K110" s="230"/>
      <c r="L110" s="384"/>
      <c r="M110" s="385"/>
      <c r="N110" s="386"/>
      <c r="O110" s="386"/>
      <c r="P110" s="385"/>
      <c r="Q110" s="385"/>
      <c r="R110" s="385"/>
      <c r="S110" s="385"/>
      <c r="T110" s="385"/>
      <c r="U110" s="386"/>
      <c r="V110" s="386"/>
      <c r="W110" s="230"/>
      <c r="X110" s="230"/>
      <c r="Y110" s="335"/>
      <c r="Z110" s="335"/>
    </row>
    <row r="111" ht="15.75" customHeight="1" spans="1:26">
      <c r="A111" s="399"/>
      <c r="B111" s="313"/>
      <c r="C111" s="313"/>
      <c r="D111" s="386"/>
      <c r="E111" s="386"/>
      <c r="F111" s="386"/>
      <c r="G111" s="386"/>
      <c r="H111" s="386"/>
      <c r="I111" s="389"/>
      <c r="J111" s="230"/>
      <c r="K111" s="230"/>
      <c r="L111" s="384"/>
      <c r="M111" s="385"/>
      <c r="N111" s="386"/>
      <c r="O111" s="386"/>
      <c r="P111" s="385"/>
      <c r="Q111" s="385"/>
      <c r="R111" s="385"/>
      <c r="S111" s="385"/>
      <c r="T111" s="385"/>
      <c r="U111" s="386"/>
      <c r="V111" s="386"/>
      <c r="W111" s="230"/>
      <c r="X111" s="230"/>
      <c r="Y111" s="335"/>
      <c r="Z111" s="335"/>
    </row>
    <row r="112" ht="22.5" customHeight="1" spans="1:26">
      <c r="A112" s="361">
        <v>29</v>
      </c>
      <c r="B112" s="362" t="s">
        <v>3617</v>
      </c>
      <c r="C112" s="363" t="s">
        <v>2526</v>
      </c>
      <c r="D112" s="364" t="s">
        <v>3618</v>
      </c>
      <c r="E112" s="364" t="s">
        <v>3619</v>
      </c>
      <c r="F112" s="364" t="s">
        <v>3620</v>
      </c>
      <c r="G112" s="364" t="s">
        <v>3431</v>
      </c>
      <c r="H112" s="364" t="s">
        <v>3431</v>
      </c>
      <c r="I112" s="383">
        <f>MIN(D113:F113)</f>
        <v>114.9</v>
      </c>
      <c r="J112" s="230"/>
      <c r="K112" s="230"/>
      <c r="L112" s="384"/>
      <c r="M112" s="385"/>
      <c r="N112" s="386"/>
      <c r="O112" s="386"/>
      <c r="P112" s="385"/>
      <c r="Q112" s="385"/>
      <c r="R112" s="385"/>
      <c r="S112" s="385"/>
      <c r="T112" s="385"/>
      <c r="U112" s="386"/>
      <c r="V112" s="386"/>
      <c r="W112" s="230"/>
      <c r="X112" s="230"/>
      <c r="Y112" s="335"/>
      <c r="Z112" s="335"/>
    </row>
    <row r="113" ht="15.75" customHeight="1" spans="1:26">
      <c r="A113" s="365" t="s">
        <v>3432</v>
      </c>
      <c r="B113" s="213"/>
      <c r="C113" s="279"/>
      <c r="D113" s="366">
        <v>114.9</v>
      </c>
      <c r="E113" s="366">
        <v>118.48</v>
      </c>
      <c r="F113" s="366">
        <v>144.88</v>
      </c>
      <c r="G113" s="366">
        <v>0</v>
      </c>
      <c r="H113" s="366">
        <v>0</v>
      </c>
      <c r="I113" s="387"/>
      <c r="J113" s="230"/>
      <c r="K113" s="230"/>
      <c r="L113" s="384"/>
      <c r="M113" s="385"/>
      <c r="N113" s="386"/>
      <c r="O113" s="386"/>
      <c r="P113" s="385"/>
      <c r="Q113" s="385"/>
      <c r="R113" s="385"/>
      <c r="S113" s="385"/>
      <c r="T113" s="385"/>
      <c r="U113" s="386"/>
      <c r="V113" s="386"/>
      <c r="W113" s="230"/>
      <c r="X113" s="230"/>
      <c r="Y113" s="335"/>
      <c r="Z113" s="335"/>
    </row>
    <row r="114" ht="15.75" customHeight="1" spans="1:26">
      <c r="A114" s="367" t="s">
        <v>3433</v>
      </c>
      <c r="B114" s="368"/>
      <c r="C114" s="369"/>
      <c r="D114" s="374" t="s">
        <v>3621</v>
      </c>
      <c r="E114" s="374" t="s">
        <v>3622</v>
      </c>
      <c r="F114" s="374" t="s">
        <v>3623</v>
      </c>
      <c r="G114" s="370"/>
      <c r="H114" s="370"/>
      <c r="I114" s="388"/>
      <c r="J114" s="230"/>
      <c r="K114" s="230"/>
      <c r="L114" s="384"/>
      <c r="M114" s="385"/>
      <c r="N114" s="386"/>
      <c r="O114" s="386"/>
      <c r="P114" s="385"/>
      <c r="Q114" s="385"/>
      <c r="R114" s="385"/>
      <c r="S114" s="385"/>
      <c r="T114" s="385"/>
      <c r="U114" s="386"/>
      <c r="V114" s="386"/>
      <c r="W114" s="230"/>
      <c r="X114" s="230"/>
      <c r="Y114" s="335"/>
      <c r="Z114" s="335"/>
    </row>
    <row r="115" ht="15.75" customHeight="1" spans="1:26">
      <c r="A115" s="399"/>
      <c r="B115" s="313"/>
      <c r="C115" s="313"/>
      <c r="D115" s="386"/>
      <c r="E115" s="386"/>
      <c r="F115" s="386"/>
      <c r="G115" s="386"/>
      <c r="H115" s="386"/>
      <c r="I115" s="389"/>
      <c r="J115" s="230"/>
      <c r="K115" s="230"/>
      <c r="L115" s="384"/>
      <c r="M115" s="385"/>
      <c r="N115" s="386"/>
      <c r="O115" s="386"/>
      <c r="P115" s="385"/>
      <c r="Q115" s="385"/>
      <c r="R115" s="385"/>
      <c r="S115" s="385"/>
      <c r="T115" s="385"/>
      <c r="U115" s="386"/>
      <c r="V115" s="386"/>
      <c r="W115" s="230"/>
      <c r="X115" s="230"/>
      <c r="Y115" s="335"/>
      <c r="Z115" s="335"/>
    </row>
    <row r="116" ht="15.75" customHeight="1" spans="1:26">
      <c r="A116" s="361">
        <v>30</v>
      </c>
      <c r="B116" s="362" t="s">
        <v>3624</v>
      </c>
      <c r="C116" s="363" t="s">
        <v>2797</v>
      </c>
      <c r="D116" s="364" t="s">
        <v>3584</v>
      </c>
      <c r="E116" s="364" t="s">
        <v>3625</v>
      </c>
      <c r="F116" s="364" t="s">
        <v>3626</v>
      </c>
      <c r="G116" s="364" t="s">
        <v>3431</v>
      </c>
      <c r="H116" s="364" t="s">
        <v>3431</v>
      </c>
      <c r="I116" s="383">
        <f>MIN(D117:F117)</f>
        <v>0.52</v>
      </c>
      <c r="J116" s="230"/>
      <c r="K116" s="230"/>
      <c r="L116" s="384"/>
      <c r="M116" s="385"/>
      <c r="N116" s="386"/>
      <c r="O116" s="386"/>
      <c r="P116" s="385"/>
      <c r="Q116" s="385"/>
      <c r="R116" s="385"/>
      <c r="S116" s="385"/>
      <c r="T116" s="385"/>
      <c r="U116" s="386"/>
      <c r="V116" s="386"/>
      <c r="W116" s="230"/>
      <c r="X116" s="230"/>
      <c r="Y116" s="335"/>
      <c r="Z116" s="335"/>
    </row>
    <row r="117" ht="15.75" customHeight="1" spans="1:26">
      <c r="A117" s="365" t="s">
        <v>3432</v>
      </c>
      <c r="B117" s="213"/>
      <c r="C117" s="279"/>
      <c r="D117" s="366">
        <f>55.76/100</f>
        <v>0.5576</v>
      </c>
      <c r="E117" s="366">
        <f>52/100</f>
        <v>0.52</v>
      </c>
      <c r="F117" s="366">
        <v>0.55</v>
      </c>
      <c r="G117" s="366">
        <v>0</v>
      </c>
      <c r="H117" s="366">
        <v>0</v>
      </c>
      <c r="I117" s="387"/>
      <c r="J117" s="230"/>
      <c r="K117" s="230"/>
      <c r="L117" s="384"/>
      <c r="M117" s="385"/>
      <c r="N117" s="386"/>
      <c r="O117" s="386"/>
      <c r="P117" s="385"/>
      <c r="Q117" s="385"/>
      <c r="R117" s="385"/>
      <c r="S117" s="385"/>
      <c r="T117" s="385"/>
      <c r="U117" s="386"/>
      <c r="V117" s="386"/>
      <c r="W117" s="230"/>
      <c r="X117" s="230"/>
      <c r="Y117" s="335"/>
      <c r="Z117" s="335"/>
    </row>
    <row r="118" ht="45" customHeight="1" spans="1:26">
      <c r="A118" s="367" t="s">
        <v>3433</v>
      </c>
      <c r="B118" s="368"/>
      <c r="C118" s="369"/>
      <c r="D118" s="374" t="s">
        <v>3627</v>
      </c>
      <c r="E118" s="374" t="s">
        <v>3628</v>
      </c>
      <c r="F118" s="374" t="s">
        <v>3629</v>
      </c>
      <c r="G118" s="370"/>
      <c r="H118" s="370"/>
      <c r="I118" s="388"/>
      <c r="J118" s="230"/>
      <c r="K118" s="230"/>
      <c r="L118" s="384"/>
      <c r="M118" s="385"/>
      <c r="N118" s="386"/>
      <c r="O118" s="386"/>
      <c r="P118" s="385"/>
      <c r="Q118" s="385"/>
      <c r="R118" s="385"/>
      <c r="S118" s="385"/>
      <c r="T118" s="385"/>
      <c r="U118" s="386"/>
      <c r="V118" s="386"/>
      <c r="W118" s="230"/>
      <c r="X118" s="230"/>
      <c r="Y118" s="335"/>
      <c r="Z118" s="335"/>
    </row>
    <row r="119" ht="15.75" customHeight="1" spans="1:26">
      <c r="A119" s="399"/>
      <c r="B119" s="313"/>
      <c r="C119" s="313"/>
      <c r="D119" s="386"/>
      <c r="E119" s="386"/>
      <c r="F119" s="386"/>
      <c r="G119" s="386"/>
      <c r="H119" s="386"/>
      <c r="I119" s="389"/>
      <c r="J119" s="230"/>
      <c r="K119" s="230"/>
      <c r="L119" s="384"/>
      <c r="M119" s="385"/>
      <c r="N119" s="386"/>
      <c r="O119" s="386"/>
      <c r="P119" s="385"/>
      <c r="Q119" s="385"/>
      <c r="R119" s="385"/>
      <c r="S119" s="385"/>
      <c r="T119" s="385"/>
      <c r="U119" s="386"/>
      <c r="V119" s="386"/>
      <c r="W119" s="230"/>
      <c r="X119" s="230"/>
      <c r="Y119" s="335"/>
      <c r="Z119" s="335"/>
    </row>
    <row r="120" ht="15.75" customHeight="1" spans="1:26">
      <c r="A120" s="361">
        <v>31</v>
      </c>
      <c r="B120" s="362" t="s">
        <v>3630</v>
      </c>
      <c r="C120" s="363" t="s">
        <v>2802</v>
      </c>
      <c r="D120" s="364" t="s">
        <v>3631</v>
      </c>
      <c r="E120" s="364" t="s">
        <v>3471</v>
      </c>
      <c r="F120" s="364" t="s">
        <v>3632</v>
      </c>
      <c r="G120" s="364" t="s">
        <v>3431</v>
      </c>
      <c r="H120" s="364" t="s">
        <v>3431</v>
      </c>
      <c r="I120" s="383">
        <f>MIN(D121:F121)</f>
        <v>5.61</v>
      </c>
      <c r="J120" s="230"/>
      <c r="K120" s="230"/>
      <c r="L120" s="384"/>
      <c r="M120" s="385"/>
      <c r="N120" s="386"/>
      <c r="O120" s="386"/>
      <c r="P120" s="385"/>
      <c r="Q120" s="385"/>
      <c r="R120" s="385"/>
      <c r="S120" s="385"/>
      <c r="T120" s="385"/>
      <c r="U120" s="386"/>
      <c r="V120" s="386"/>
      <c r="W120" s="230"/>
      <c r="X120" s="230"/>
      <c r="Y120" s="335"/>
      <c r="Z120" s="335"/>
    </row>
    <row r="121" ht="15.75" customHeight="1" spans="1:26">
      <c r="A121" s="365" t="s">
        <v>3432</v>
      </c>
      <c r="B121" s="213"/>
      <c r="C121" s="279"/>
      <c r="D121" s="366">
        <v>8.44</v>
      </c>
      <c r="E121" s="366">
        <v>5.61</v>
      </c>
      <c r="F121" s="366">
        <v>8.02</v>
      </c>
      <c r="G121" s="366">
        <v>0</v>
      </c>
      <c r="H121" s="366">
        <v>0</v>
      </c>
      <c r="I121" s="387"/>
      <c r="J121" s="230"/>
      <c r="K121" s="230"/>
      <c r="L121" s="384"/>
      <c r="M121" s="385"/>
      <c r="N121" s="386"/>
      <c r="O121" s="386"/>
      <c r="P121" s="385"/>
      <c r="Q121" s="385"/>
      <c r="R121" s="385"/>
      <c r="S121" s="385"/>
      <c r="T121" s="385"/>
      <c r="U121" s="386"/>
      <c r="V121" s="386"/>
      <c r="W121" s="230"/>
      <c r="X121" s="230"/>
      <c r="Y121" s="335"/>
      <c r="Z121" s="335"/>
    </row>
    <row r="122" ht="43.5" customHeight="1" spans="1:26">
      <c r="A122" s="367" t="s">
        <v>3433</v>
      </c>
      <c r="B122" s="368"/>
      <c r="C122" s="369"/>
      <c r="D122" s="374" t="s">
        <v>3633</v>
      </c>
      <c r="E122" s="374" t="s">
        <v>3634</v>
      </c>
      <c r="F122" s="374" t="s">
        <v>3635</v>
      </c>
      <c r="G122" s="370"/>
      <c r="H122" s="370"/>
      <c r="I122" s="388"/>
      <c r="J122" s="230"/>
      <c r="K122" s="230"/>
      <c r="L122" s="384"/>
      <c r="M122" s="385"/>
      <c r="N122" s="386"/>
      <c r="O122" s="386"/>
      <c r="P122" s="385"/>
      <c r="Q122" s="385"/>
      <c r="R122" s="385"/>
      <c r="S122" s="385"/>
      <c r="T122" s="385"/>
      <c r="U122" s="386"/>
      <c r="V122" s="386"/>
      <c r="W122" s="230"/>
      <c r="X122" s="230"/>
      <c r="Y122" s="335"/>
      <c r="Z122" s="335"/>
    </row>
    <row r="123" ht="15.75" customHeight="1" spans="1:26">
      <c r="A123" s="399"/>
      <c r="B123" s="313"/>
      <c r="C123" s="313"/>
      <c r="D123" s="386"/>
      <c r="E123" s="386"/>
      <c r="F123" s="386"/>
      <c r="G123" s="386"/>
      <c r="H123" s="386"/>
      <c r="I123" s="389"/>
      <c r="J123" s="230"/>
      <c r="K123" s="230"/>
      <c r="L123" s="384"/>
      <c r="M123" s="385"/>
      <c r="N123" s="386"/>
      <c r="O123" s="386"/>
      <c r="P123" s="385"/>
      <c r="Q123" s="385"/>
      <c r="R123" s="385"/>
      <c r="S123" s="385"/>
      <c r="T123" s="385"/>
      <c r="U123" s="386"/>
      <c r="V123" s="386"/>
      <c r="W123" s="230"/>
      <c r="X123" s="230"/>
      <c r="Y123" s="335"/>
      <c r="Z123" s="335"/>
    </row>
    <row r="124" ht="15.75" customHeight="1" spans="1:26">
      <c r="A124" s="361">
        <v>32</v>
      </c>
      <c r="B124" s="362" t="s">
        <v>3636</v>
      </c>
      <c r="C124" s="363" t="s">
        <v>2652</v>
      </c>
      <c r="D124" s="364" t="s">
        <v>3637</v>
      </c>
      <c r="E124" s="364" t="s">
        <v>3460</v>
      </c>
      <c r="F124" s="364" t="s">
        <v>3638</v>
      </c>
      <c r="G124" s="364" t="s">
        <v>3431</v>
      </c>
      <c r="H124" s="364" t="s">
        <v>3431</v>
      </c>
      <c r="I124" s="383">
        <f>AVERAGE(D125:F125)</f>
        <v>73.82</v>
      </c>
      <c r="J124" s="230"/>
      <c r="K124" s="230"/>
      <c r="L124" s="384"/>
      <c r="M124" s="385"/>
      <c r="N124" s="386"/>
      <c r="O124" s="386"/>
      <c r="P124" s="385"/>
      <c r="Q124" s="385"/>
      <c r="R124" s="385"/>
      <c r="S124" s="385"/>
      <c r="T124" s="385"/>
      <c r="U124" s="386"/>
      <c r="V124" s="386"/>
      <c r="W124" s="230"/>
      <c r="X124" s="230"/>
      <c r="Y124" s="335"/>
      <c r="Z124" s="335"/>
    </row>
    <row r="125" ht="15.75" customHeight="1" spans="1:26">
      <c r="A125" s="365" t="s">
        <v>3432</v>
      </c>
      <c r="B125" s="213"/>
      <c r="C125" s="279"/>
      <c r="D125" s="366">
        <v>75.54</v>
      </c>
      <c r="E125" s="366">
        <v>59.27</v>
      </c>
      <c r="F125" s="366">
        <v>86.65</v>
      </c>
      <c r="G125" s="366">
        <v>0</v>
      </c>
      <c r="H125" s="366">
        <v>0</v>
      </c>
      <c r="I125" s="387"/>
      <c r="J125" s="230"/>
      <c r="K125" s="230"/>
      <c r="L125" s="384"/>
      <c r="M125" s="385"/>
      <c r="N125" s="386"/>
      <c r="O125" s="386"/>
      <c r="P125" s="385"/>
      <c r="Q125" s="385"/>
      <c r="R125" s="385"/>
      <c r="S125" s="385"/>
      <c r="T125" s="385"/>
      <c r="U125" s="386"/>
      <c r="V125" s="386"/>
      <c r="W125" s="230"/>
      <c r="X125" s="230"/>
      <c r="Y125" s="335"/>
      <c r="Z125" s="335"/>
    </row>
    <row r="126" ht="39" customHeight="1" spans="1:26">
      <c r="A126" s="367" t="s">
        <v>3433</v>
      </c>
      <c r="B126" s="368"/>
      <c r="C126" s="369"/>
      <c r="D126" s="374" t="s">
        <v>3639</v>
      </c>
      <c r="E126" s="374" t="s">
        <v>3640</v>
      </c>
      <c r="F126" s="374" t="s">
        <v>3641</v>
      </c>
      <c r="G126" s="370"/>
      <c r="H126" s="370"/>
      <c r="I126" s="388"/>
      <c r="J126" s="230"/>
      <c r="K126" s="230"/>
      <c r="L126" s="384"/>
      <c r="M126" s="385"/>
      <c r="N126" s="386"/>
      <c r="O126" s="386"/>
      <c r="P126" s="385"/>
      <c r="Q126" s="385"/>
      <c r="R126" s="385"/>
      <c r="S126" s="385"/>
      <c r="T126" s="385"/>
      <c r="U126" s="386"/>
      <c r="V126" s="386"/>
      <c r="W126" s="230"/>
      <c r="X126" s="230"/>
      <c r="Y126" s="335"/>
      <c r="Z126" s="335"/>
    </row>
    <row r="127" ht="15.75" customHeight="1" spans="1:26">
      <c r="A127" s="399"/>
      <c r="B127" s="313"/>
      <c r="C127" s="313"/>
      <c r="D127" s="386"/>
      <c r="E127" s="386"/>
      <c r="F127" s="386"/>
      <c r="G127" s="386"/>
      <c r="H127" s="386"/>
      <c r="I127" s="389"/>
      <c r="J127" s="230"/>
      <c r="K127" s="230"/>
      <c r="L127" s="384"/>
      <c r="M127" s="385"/>
      <c r="N127" s="386"/>
      <c r="O127" s="386"/>
      <c r="P127" s="385"/>
      <c r="Q127" s="385"/>
      <c r="R127" s="385"/>
      <c r="S127" s="385"/>
      <c r="T127" s="385"/>
      <c r="U127" s="386"/>
      <c r="V127" s="386"/>
      <c r="W127" s="230"/>
      <c r="X127" s="230"/>
      <c r="Y127" s="335"/>
      <c r="Z127" s="335"/>
    </row>
    <row r="128" ht="24.75" customHeight="1" spans="1:26">
      <c r="A128" s="361">
        <v>33</v>
      </c>
      <c r="B128" s="362" t="s">
        <v>3642</v>
      </c>
      <c r="C128" s="363" t="s">
        <v>3643</v>
      </c>
      <c r="D128" s="364" t="s">
        <v>3644</v>
      </c>
      <c r="E128" s="364" t="s">
        <v>3645</v>
      </c>
      <c r="F128" s="364" t="s">
        <v>3466</v>
      </c>
      <c r="G128" s="364" t="s">
        <v>3431</v>
      </c>
      <c r="H128" s="364" t="s">
        <v>3431</v>
      </c>
      <c r="I128" s="383">
        <f>MIN(D129:F129)</f>
        <v>3.56</v>
      </c>
      <c r="J128" s="230"/>
      <c r="K128" s="230"/>
      <c r="L128" s="384"/>
      <c r="M128" s="385"/>
      <c r="N128" s="386"/>
      <c r="O128" s="386"/>
      <c r="P128" s="385"/>
      <c r="Q128" s="385"/>
      <c r="R128" s="385"/>
      <c r="S128" s="385"/>
      <c r="T128" s="385"/>
      <c r="U128" s="386"/>
      <c r="V128" s="386"/>
      <c r="W128" s="230"/>
      <c r="X128" s="230"/>
      <c r="Y128" s="335"/>
      <c r="Z128" s="335"/>
    </row>
    <row r="129" ht="15.75" customHeight="1" spans="1:26">
      <c r="A129" s="365" t="s">
        <v>3432</v>
      </c>
      <c r="B129" s="213"/>
      <c r="C129" s="279"/>
      <c r="D129" s="366">
        <v>5.64</v>
      </c>
      <c r="E129" s="366">
        <v>3.56</v>
      </c>
      <c r="F129" s="366">
        <v>8.46</v>
      </c>
      <c r="G129" s="366">
        <v>0</v>
      </c>
      <c r="H129" s="366">
        <v>0</v>
      </c>
      <c r="I129" s="387"/>
      <c r="J129" s="230"/>
      <c r="K129" s="230"/>
      <c r="L129" s="384"/>
      <c r="M129" s="385"/>
      <c r="N129" s="386"/>
      <c r="O129" s="386"/>
      <c r="P129" s="385"/>
      <c r="Q129" s="385"/>
      <c r="R129" s="385"/>
      <c r="S129" s="385"/>
      <c r="T129" s="385"/>
      <c r="U129" s="386"/>
      <c r="V129" s="386"/>
      <c r="W129" s="230"/>
      <c r="X129" s="230"/>
      <c r="Y129" s="335"/>
      <c r="Z129" s="335"/>
    </row>
    <row r="130" ht="53.25" customHeight="1" spans="1:26">
      <c r="A130" s="367" t="s">
        <v>3433</v>
      </c>
      <c r="B130" s="368"/>
      <c r="C130" s="369"/>
      <c r="D130" s="374" t="s">
        <v>3646</v>
      </c>
      <c r="E130" s="374" t="s">
        <v>3647</v>
      </c>
      <c r="F130" s="374" t="s">
        <v>3648</v>
      </c>
      <c r="G130" s="370"/>
      <c r="H130" s="370"/>
      <c r="I130" s="388"/>
      <c r="J130" s="230"/>
      <c r="K130" s="230"/>
      <c r="L130" s="384"/>
      <c r="M130" s="385"/>
      <c r="N130" s="386"/>
      <c r="O130" s="386"/>
      <c r="P130" s="385"/>
      <c r="Q130" s="385"/>
      <c r="R130" s="385"/>
      <c r="S130" s="385"/>
      <c r="T130" s="385"/>
      <c r="U130" s="386"/>
      <c r="V130" s="386"/>
      <c r="W130" s="230"/>
      <c r="X130" s="230"/>
      <c r="Y130" s="335"/>
      <c r="Z130" s="335"/>
    </row>
    <row r="131" ht="15.75" customHeight="1" spans="1:26">
      <c r="A131" s="399"/>
      <c r="B131" s="313"/>
      <c r="C131" s="313"/>
      <c r="D131" s="386"/>
      <c r="E131" s="386"/>
      <c r="F131" s="386"/>
      <c r="G131" s="386"/>
      <c r="H131" s="386"/>
      <c r="I131" s="389"/>
      <c r="J131" s="230"/>
      <c r="K131" s="230"/>
      <c r="L131" s="384"/>
      <c r="M131" s="385"/>
      <c r="N131" s="386"/>
      <c r="O131" s="386"/>
      <c r="P131" s="385"/>
      <c r="Q131" s="385"/>
      <c r="R131" s="385"/>
      <c r="S131" s="385"/>
      <c r="T131" s="385"/>
      <c r="U131" s="386"/>
      <c r="V131" s="386"/>
      <c r="W131" s="230"/>
      <c r="X131" s="230"/>
      <c r="Y131" s="335"/>
      <c r="Z131" s="335"/>
    </row>
    <row r="132" ht="15.75" customHeight="1" spans="1:26">
      <c r="A132" s="361">
        <v>34</v>
      </c>
      <c r="B132" s="362" t="s">
        <v>3649</v>
      </c>
      <c r="C132" s="363"/>
      <c r="D132" s="364" t="s">
        <v>3431</v>
      </c>
      <c r="E132" s="364" t="s">
        <v>3431</v>
      </c>
      <c r="F132" s="364" t="s">
        <v>3431</v>
      </c>
      <c r="G132" s="364" t="s">
        <v>3431</v>
      </c>
      <c r="H132" s="364" t="s">
        <v>3431</v>
      </c>
      <c r="I132" s="383"/>
      <c r="J132" s="230"/>
      <c r="K132" s="230"/>
      <c r="L132" s="384"/>
      <c r="M132" s="385"/>
      <c r="N132" s="386"/>
      <c r="O132" s="386"/>
      <c r="P132" s="385"/>
      <c r="Q132" s="385"/>
      <c r="R132" s="385"/>
      <c r="S132" s="385"/>
      <c r="T132" s="385"/>
      <c r="U132" s="386"/>
      <c r="V132" s="386"/>
      <c r="W132" s="230"/>
      <c r="X132" s="230"/>
      <c r="Y132" s="335"/>
      <c r="Z132" s="335"/>
    </row>
    <row r="133" ht="15.75" customHeight="1" spans="1:26">
      <c r="A133" s="365" t="s">
        <v>3432</v>
      </c>
      <c r="B133" s="213"/>
      <c r="C133" s="279"/>
      <c r="D133" s="366">
        <v>0</v>
      </c>
      <c r="E133" s="366">
        <v>0</v>
      </c>
      <c r="F133" s="366">
        <v>0</v>
      </c>
      <c r="G133" s="366">
        <v>0</v>
      </c>
      <c r="H133" s="366">
        <v>0</v>
      </c>
      <c r="I133" s="387"/>
      <c r="J133" s="230"/>
      <c r="K133" s="230"/>
      <c r="L133" s="384"/>
      <c r="M133" s="385"/>
      <c r="N133" s="386"/>
      <c r="O133" s="386"/>
      <c r="P133" s="385"/>
      <c r="Q133" s="385"/>
      <c r="R133" s="385"/>
      <c r="S133" s="385"/>
      <c r="T133" s="385"/>
      <c r="U133" s="386"/>
      <c r="V133" s="386"/>
      <c r="W133" s="230"/>
      <c r="X133" s="230"/>
      <c r="Y133" s="335"/>
      <c r="Z133" s="335"/>
    </row>
    <row r="134" ht="15.75" customHeight="1" spans="1:26">
      <c r="A134" s="367" t="s">
        <v>3433</v>
      </c>
      <c r="B134" s="368"/>
      <c r="C134" s="369"/>
      <c r="D134" s="370"/>
      <c r="E134" s="370"/>
      <c r="F134" s="370"/>
      <c r="G134" s="370"/>
      <c r="H134" s="370"/>
      <c r="I134" s="388"/>
      <c r="J134" s="230"/>
      <c r="K134" s="230"/>
      <c r="L134" s="384"/>
      <c r="M134" s="385"/>
      <c r="N134" s="386"/>
      <c r="O134" s="386"/>
      <c r="P134" s="385"/>
      <c r="Q134" s="385"/>
      <c r="R134" s="385"/>
      <c r="S134" s="385"/>
      <c r="T134" s="385"/>
      <c r="U134" s="386"/>
      <c r="V134" s="386"/>
      <c r="W134" s="230"/>
      <c r="X134" s="230"/>
      <c r="Y134" s="335"/>
      <c r="Z134" s="335"/>
    </row>
    <row r="135" ht="15.75" customHeight="1" spans="1:26">
      <c r="A135" s="399"/>
      <c r="B135" s="313"/>
      <c r="C135" s="313"/>
      <c r="D135" s="386"/>
      <c r="E135" s="386"/>
      <c r="F135" s="386"/>
      <c r="G135" s="386"/>
      <c r="H135" s="386"/>
      <c r="I135" s="389"/>
      <c r="J135" s="230"/>
      <c r="K135" s="230"/>
      <c r="L135" s="384"/>
      <c r="M135" s="385"/>
      <c r="N135" s="386"/>
      <c r="O135" s="386"/>
      <c r="P135" s="385"/>
      <c r="Q135" s="385"/>
      <c r="R135" s="385"/>
      <c r="S135" s="385"/>
      <c r="T135" s="385"/>
      <c r="U135" s="386"/>
      <c r="V135" s="386"/>
      <c r="W135" s="230"/>
      <c r="X135" s="230"/>
      <c r="Y135" s="335"/>
      <c r="Z135" s="335"/>
    </row>
    <row r="136" ht="15.75" customHeight="1" spans="1:26">
      <c r="A136" s="399"/>
      <c r="B136" s="313"/>
      <c r="C136" s="313"/>
      <c r="D136" s="386"/>
      <c r="E136" s="386"/>
      <c r="F136" s="386"/>
      <c r="G136" s="386"/>
      <c r="H136" s="386"/>
      <c r="I136" s="389"/>
      <c r="J136" s="230"/>
      <c r="K136" s="230"/>
      <c r="L136" s="384"/>
      <c r="M136" s="385"/>
      <c r="N136" s="386"/>
      <c r="O136" s="386"/>
      <c r="P136" s="385"/>
      <c r="Q136" s="385"/>
      <c r="R136" s="385"/>
      <c r="S136" s="385"/>
      <c r="T136" s="385"/>
      <c r="U136" s="386"/>
      <c r="V136" s="386"/>
      <c r="W136" s="230"/>
      <c r="X136" s="230"/>
      <c r="Y136" s="335"/>
      <c r="Z136" s="335"/>
    </row>
    <row r="137" ht="15.75" customHeight="1" spans="1:26">
      <c r="A137" s="399"/>
      <c r="B137" s="313"/>
      <c r="C137" s="313"/>
      <c r="D137" s="386"/>
      <c r="E137" s="386"/>
      <c r="F137" s="386"/>
      <c r="G137" s="386"/>
      <c r="H137" s="386"/>
      <c r="I137" s="389"/>
      <c r="J137" s="230"/>
      <c r="K137" s="230"/>
      <c r="L137" s="384"/>
      <c r="M137" s="385"/>
      <c r="N137" s="386"/>
      <c r="O137" s="386"/>
      <c r="P137" s="385"/>
      <c r="Q137" s="385"/>
      <c r="R137" s="385"/>
      <c r="S137" s="385"/>
      <c r="T137" s="385"/>
      <c r="U137" s="386"/>
      <c r="V137" s="386"/>
      <c r="W137" s="230"/>
      <c r="X137" s="230"/>
      <c r="Y137" s="335"/>
      <c r="Z137" s="335"/>
    </row>
    <row r="138" ht="15.75" customHeight="1" spans="1:26">
      <c r="A138" s="399"/>
      <c r="B138" s="313"/>
      <c r="C138" s="313"/>
      <c r="D138" s="386"/>
      <c r="E138" s="386"/>
      <c r="F138" s="386"/>
      <c r="G138" s="386"/>
      <c r="H138" s="386"/>
      <c r="I138" s="389"/>
      <c r="J138" s="230"/>
      <c r="K138" s="230"/>
      <c r="L138" s="384"/>
      <c r="M138" s="385"/>
      <c r="N138" s="386"/>
      <c r="O138" s="386"/>
      <c r="P138" s="385"/>
      <c r="Q138" s="385"/>
      <c r="R138" s="385"/>
      <c r="S138" s="385"/>
      <c r="T138" s="385"/>
      <c r="U138" s="386"/>
      <c r="V138" s="386"/>
      <c r="W138" s="230"/>
      <c r="X138" s="230"/>
      <c r="Y138" s="335"/>
      <c r="Z138" s="335"/>
    </row>
    <row r="139" ht="15.75" customHeight="1" spans="1:26">
      <c r="A139" s="399"/>
      <c r="B139" s="313"/>
      <c r="C139" s="313"/>
      <c r="D139" s="386"/>
      <c r="E139" s="386"/>
      <c r="F139" s="386"/>
      <c r="G139" s="386"/>
      <c r="H139" s="386"/>
      <c r="I139" s="389"/>
      <c r="J139" s="230"/>
      <c r="K139" s="230"/>
      <c r="L139" s="384"/>
      <c r="M139" s="385"/>
      <c r="N139" s="386"/>
      <c r="O139" s="386"/>
      <c r="P139" s="385"/>
      <c r="Q139" s="385"/>
      <c r="R139" s="385"/>
      <c r="S139" s="385"/>
      <c r="T139" s="385"/>
      <c r="U139" s="386"/>
      <c r="V139" s="386"/>
      <c r="W139" s="230"/>
      <c r="X139" s="230"/>
      <c r="Y139" s="335"/>
      <c r="Z139" s="335"/>
    </row>
    <row r="140" ht="15.75" customHeight="1" spans="1:26">
      <c r="A140" s="371"/>
      <c r="B140" s="406"/>
      <c r="C140" s="406"/>
      <c r="D140" s="373"/>
      <c r="E140" s="373"/>
      <c r="F140" s="373"/>
      <c r="G140" s="373"/>
      <c r="H140" s="373"/>
      <c r="I140" s="373"/>
      <c r="J140" s="230"/>
      <c r="K140" s="230"/>
      <c r="L140" s="384"/>
      <c r="M140" s="385"/>
      <c r="N140" s="386"/>
      <c r="O140" s="386"/>
      <c r="P140" s="385"/>
      <c r="Q140" s="385"/>
      <c r="R140" s="385"/>
      <c r="S140" s="385"/>
      <c r="T140" s="385"/>
      <c r="U140" s="386"/>
      <c r="V140" s="386"/>
      <c r="W140" s="230"/>
      <c r="X140" s="230"/>
      <c r="Y140" s="335"/>
      <c r="Z140" s="335"/>
    </row>
    <row r="141" ht="15.75" customHeight="1" spans="1:26">
      <c r="A141" s="407" t="s">
        <v>3650</v>
      </c>
      <c r="B141" s="294"/>
      <c r="C141" s="294"/>
      <c r="D141" s="294"/>
      <c r="E141" s="294"/>
      <c r="F141" s="294"/>
      <c r="G141" s="294"/>
      <c r="H141" s="294"/>
      <c r="I141" s="324"/>
      <c r="J141" s="230"/>
      <c r="K141" s="230"/>
      <c r="L141" s="384"/>
      <c r="M141" s="385"/>
      <c r="N141" s="386"/>
      <c r="O141" s="386"/>
      <c r="P141" s="385"/>
      <c r="Q141" s="385"/>
      <c r="R141" s="385"/>
      <c r="S141" s="385"/>
      <c r="T141" s="385"/>
      <c r="U141" s="386"/>
      <c r="V141" s="386"/>
      <c r="W141" s="230"/>
      <c r="X141" s="230"/>
      <c r="Y141" s="335"/>
      <c r="Z141" s="335"/>
    </row>
    <row r="142" ht="15.75" customHeight="1" spans="1:26">
      <c r="A142" s="408" t="s">
        <v>3651</v>
      </c>
      <c r="B142" s="357"/>
      <c r="C142" s="357"/>
      <c r="D142" s="357"/>
      <c r="E142" s="357"/>
      <c r="F142" s="357"/>
      <c r="G142" s="357"/>
      <c r="H142" s="357"/>
      <c r="I142" s="410"/>
      <c r="J142" s="230"/>
      <c r="K142" s="230"/>
      <c r="L142" s="384"/>
      <c r="M142" s="385"/>
      <c r="N142" s="386"/>
      <c r="O142" s="386"/>
      <c r="P142" s="385"/>
      <c r="Q142" s="385"/>
      <c r="R142" s="385"/>
      <c r="S142" s="386"/>
      <c r="T142" s="386"/>
      <c r="U142" s="386"/>
      <c r="V142" s="386"/>
      <c r="W142" s="230"/>
      <c r="X142" s="230"/>
      <c r="Y142" s="335"/>
      <c r="Z142" s="335"/>
    </row>
    <row r="143" ht="15.75" customHeight="1" spans="1:26">
      <c r="A143" s="409"/>
      <c r="J143" s="230"/>
      <c r="K143" s="230"/>
      <c r="L143" s="384"/>
      <c r="M143" s="385"/>
      <c r="N143" s="386"/>
      <c r="O143" s="386"/>
      <c r="P143" s="385"/>
      <c r="Q143" s="385"/>
      <c r="R143" s="385"/>
      <c r="S143" s="385"/>
      <c r="T143" s="385"/>
      <c r="U143" s="386"/>
      <c r="V143" s="386"/>
      <c r="W143" s="230"/>
      <c r="X143" s="230"/>
      <c r="Y143" s="335"/>
      <c r="Z143" s="335"/>
    </row>
    <row r="144" ht="15.75" customHeight="1" spans="1:26">
      <c r="A144" s="371"/>
      <c r="B144" s="406"/>
      <c r="C144" s="406"/>
      <c r="D144" s="373"/>
      <c r="E144" s="373"/>
      <c r="F144" s="373"/>
      <c r="G144" s="373"/>
      <c r="H144" s="373"/>
      <c r="I144" s="373"/>
      <c r="J144" s="230"/>
      <c r="K144" s="230"/>
      <c r="L144" s="384"/>
      <c r="M144" s="385"/>
      <c r="N144" s="386"/>
      <c r="O144" s="386"/>
      <c r="P144" s="385"/>
      <c r="Q144" s="385"/>
      <c r="R144" s="385"/>
      <c r="S144" s="385"/>
      <c r="T144" s="385"/>
      <c r="U144" s="386"/>
      <c r="V144" s="386"/>
      <c r="W144" s="230"/>
      <c r="X144" s="230"/>
      <c r="Y144" s="335"/>
      <c r="Z144" s="335"/>
    </row>
    <row r="145" ht="15.75" customHeight="1" spans="1:26">
      <c r="A145" s="371"/>
      <c r="B145" s="406"/>
      <c r="C145" s="406"/>
      <c r="D145" s="373"/>
      <c r="E145" s="373"/>
      <c r="F145" s="373"/>
      <c r="G145" s="373"/>
      <c r="H145" s="373"/>
      <c r="I145" s="373"/>
      <c r="J145" s="230"/>
      <c r="K145" s="230"/>
      <c r="L145" s="384"/>
      <c r="M145" s="385"/>
      <c r="N145" s="386"/>
      <c r="O145" s="386"/>
      <c r="P145" s="385"/>
      <c r="Q145" s="385"/>
      <c r="R145" s="385"/>
      <c r="S145" s="385"/>
      <c r="T145" s="385"/>
      <c r="U145" s="386"/>
      <c r="V145" s="386"/>
      <c r="W145" s="230"/>
      <c r="X145" s="230"/>
      <c r="Y145" s="335"/>
      <c r="Z145" s="335"/>
    </row>
    <row r="146" ht="15.75" customHeight="1" spans="1:26">
      <c r="A146" s="371"/>
      <c r="B146" s="406"/>
      <c r="C146" s="406"/>
      <c r="D146" s="373"/>
      <c r="E146" s="373"/>
      <c r="F146" s="373"/>
      <c r="G146" s="373"/>
      <c r="H146" s="373"/>
      <c r="I146" s="373"/>
      <c r="J146" s="230"/>
      <c r="K146" s="230"/>
      <c r="L146" s="384"/>
      <c r="M146" s="385"/>
      <c r="N146" s="386"/>
      <c r="O146" s="386"/>
      <c r="P146" s="385"/>
      <c r="Q146" s="385"/>
      <c r="R146" s="385"/>
      <c r="S146" s="386"/>
      <c r="T146" s="386"/>
      <c r="U146" s="386"/>
      <c r="V146" s="386"/>
      <c r="W146" s="230"/>
      <c r="X146" s="230"/>
      <c r="Y146" s="335"/>
      <c r="Z146" s="335"/>
    </row>
    <row r="147" ht="15.75" customHeight="1" spans="1:26">
      <c r="A147" s="371"/>
      <c r="B147" s="406"/>
      <c r="C147" s="406"/>
      <c r="D147" s="373"/>
      <c r="E147" s="373"/>
      <c r="F147" s="373"/>
      <c r="G147" s="373"/>
      <c r="H147" s="373"/>
      <c r="I147" s="373"/>
      <c r="J147" s="230"/>
      <c r="K147" s="230"/>
      <c r="L147" s="384"/>
      <c r="M147" s="385"/>
      <c r="N147" s="386"/>
      <c r="O147" s="386"/>
      <c r="P147" s="385"/>
      <c r="Q147" s="385"/>
      <c r="R147" s="385"/>
      <c r="S147" s="385"/>
      <c r="T147" s="385"/>
      <c r="U147" s="386"/>
      <c r="V147" s="386"/>
      <c r="W147" s="230"/>
      <c r="X147" s="230"/>
      <c r="Y147" s="335"/>
      <c r="Z147" s="335"/>
    </row>
    <row r="148" ht="15.75" customHeight="1" spans="1:26">
      <c r="A148" s="384"/>
      <c r="B148" s="385"/>
      <c r="C148" s="386"/>
      <c r="D148" s="386"/>
      <c r="E148" s="385"/>
      <c r="F148" s="385"/>
      <c r="G148" s="385"/>
      <c r="H148" s="385"/>
      <c r="I148" s="385"/>
      <c r="J148" s="230"/>
      <c r="K148" s="230"/>
      <c r="L148" s="384"/>
      <c r="M148" s="385"/>
      <c r="N148" s="386"/>
      <c r="O148" s="386"/>
      <c r="P148" s="385"/>
      <c r="Q148" s="385"/>
      <c r="R148" s="385"/>
      <c r="S148" s="385"/>
      <c r="T148" s="385"/>
      <c r="U148" s="386"/>
      <c r="V148" s="386"/>
      <c r="W148" s="230"/>
      <c r="X148" s="230"/>
      <c r="Y148" s="335"/>
      <c r="Z148" s="335"/>
    </row>
    <row r="149" ht="15.75" customHeight="1" spans="1:26">
      <c r="A149" s="385"/>
      <c r="B149" s="385"/>
      <c r="C149" s="385"/>
      <c r="D149" s="230"/>
      <c r="E149" s="385"/>
      <c r="F149" s="385"/>
      <c r="G149" s="385"/>
      <c r="H149" s="385"/>
      <c r="I149" s="385"/>
      <c r="J149" s="230"/>
      <c r="K149" s="230"/>
      <c r="L149" s="230"/>
      <c r="M149" s="230"/>
      <c r="N149" s="230"/>
      <c r="O149" s="230"/>
      <c r="P149" s="230"/>
      <c r="Q149" s="230"/>
      <c r="R149" s="230"/>
      <c r="S149" s="230"/>
      <c r="T149" s="230"/>
      <c r="U149" s="230"/>
      <c r="V149" s="230"/>
      <c r="W149" s="230"/>
      <c r="X149" s="230"/>
      <c r="Y149" s="335"/>
      <c r="Z149" s="335"/>
    </row>
    <row r="150" ht="15.75" customHeight="1" spans="1:26">
      <c r="A150" s="386"/>
      <c r="B150" s="385"/>
      <c r="C150" s="385"/>
      <c r="D150" s="385"/>
      <c r="E150" s="385"/>
      <c r="F150" s="385"/>
      <c r="G150" s="385"/>
      <c r="H150" s="386"/>
      <c r="I150" s="386"/>
      <c r="J150" s="230"/>
      <c r="K150" s="230"/>
      <c r="L150" s="230"/>
      <c r="M150" s="230"/>
      <c r="N150" s="230"/>
      <c r="O150" s="230"/>
      <c r="P150" s="230"/>
      <c r="Q150" s="230"/>
      <c r="R150" s="230"/>
      <c r="S150" s="230"/>
      <c r="T150" s="230"/>
      <c r="U150" s="230"/>
      <c r="V150" s="230"/>
      <c r="W150" s="230"/>
      <c r="X150" s="230"/>
      <c r="Y150" s="335"/>
      <c r="Z150" s="335"/>
    </row>
    <row r="151" ht="15.75" customHeight="1" spans="1:26">
      <c r="A151" s="385"/>
      <c r="B151" s="385"/>
      <c r="C151" s="385"/>
      <c r="D151" s="385"/>
      <c r="E151" s="385"/>
      <c r="F151" s="385"/>
      <c r="G151" s="385"/>
      <c r="H151" s="385"/>
      <c r="I151" s="385"/>
      <c r="J151" s="230"/>
      <c r="K151" s="230"/>
      <c r="L151" s="230"/>
      <c r="M151" s="230"/>
      <c r="N151" s="230"/>
      <c r="O151" s="230"/>
      <c r="P151" s="230"/>
      <c r="Q151" s="230"/>
      <c r="R151" s="230"/>
      <c r="S151" s="230"/>
      <c r="T151" s="230"/>
      <c r="U151" s="230"/>
      <c r="V151" s="230"/>
      <c r="W151" s="230"/>
      <c r="X151" s="230"/>
      <c r="Y151" s="335"/>
      <c r="Z151" s="335"/>
    </row>
    <row r="152" ht="15.75" customHeight="1" spans="1:26">
      <c r="A152" s="385"/>
      <c r="B152" s="385"/>
      <c r="C152" s="385"/>
      <c r="D152" s="385"/>
      <c r="E152" s="385"/>
      <c r="F152" s="385"/>
      <c r="G152" s="385"/>
      <c r="H152" s="385"/>
      <c r="I152" s="385"/>
      <c r="J152" s="230"/>
      <c r="K152" s="230"/>
      <c r="L152" s="230"/>
      <c r="M152" s="230"/>
      <c r="N152" s="230"/>
      <c r="O152" s="230"/>
      <c r="P152" s="230"/>
      <c r="Q152" s="230"/>
      <c r="R152" s="230"/>
      <c r="S152" s="230"/>
      <c r="T152" s="230"/>
      <c r="U152" s="230"/>
      <c r="V152" s="230"/>
      <c r="W152" s="230"/>
      <c r="X152" s="230"/>
      <c r="Y152" s="335"/>
      <c r="Z152" s="335"/>
    </row>
    <row r="153" ht="15.75" customHeight="1" spans="1:26">
      <c r="A153" s="385"/>
      <c r="B153" s="385"/>
      <c r="C153" s="385"/>
      <c r="D153" s="385"/>
      <c r="E153" s="385"/>
      <c r="F153" s="385"/>
      <c r="G153" s="385"/>
      <c r="H153" s="385"/>
      <c r="I153" s="385"/>
      <c r="J153" s="230"/>
      <c r="K153" s="230"/>
      <c r="L153" s="230"/>
      <c r="M153" s="230"/>
      <c r="N153" s="230"/>
      <c r="O153" s="230"/>
      <c r="P153" s="230"/>
      <c r="Q153" s="230"/>
      <c r="R153" s="230"/>
      <c r="S153" s="230"/>
      <c r="T153" s="230"/>
      <c r="U153" s="230"/>
      <c r="V153" s="230"/>
      <c r="W153" s="230"/>
      <c r="X153" s="230"/>
      <c r="Y153" s="335"/>
      <c r="Z153" s="335"/>
    </row>
    <row r="154" ht="15.75" customHeight="1" spans="1:26">
      <c r="A154" s="386"/>
      <c r="B154" s="385"/>
      <c r="C154" s="385"/>
      <c r="D154" s="385"/>
      <c r="E154" s="385"/>
      <c r="F154" s="385"/>
      <c r="G154" s="385"/>
      <c r="H154" s="386"/>
      <c r="I154" s="386"/>
      <c r="J154" s="230"/>
      <c r="K154" s="230"/>
      <c r="L154" s="230"/>
      <c r="M154" s="230"/>
      <c r="N154" s="230"/>
      <c r="O154" s="230"/>
      <c r="P154" s="230"/>
      <c r="Q154" s="230"/>
      <c r="R154" s="230"/>
      <c r="S154" s="230"/>
      <c r="T154" s="230"/>
      <c r="U154" s="230"/>
      <c r="V154" s="230"/>
      <c r="W154" s="230"/>
      <c r="X154" s="230"/>
      <c r="Y154" s="335"/>
      <c r="Z154" s="335"/>
    </row>
    <row r="155" ht="15.75" customHeight="1" spans="1:26">
      <c r="A155" s="385"/>
      <c r="B155" s="385"/>
      <c r="C155" s="385"/>
      <c r="D155" s="385"/>
      <c r="E155" s="385"/>
      <c r="F155" s="385"/>
      <c r="G155" s="385"/>
      <c r="H155" s="385"/>
      <c r="I155" s="385"/>
      <c r="J155" s="230"/>
      <c r="K155" s="230"/>
      <c r="L155" s="230"/>
      <c r="M155" s="230"/>
      <c r="N155" s="230"/>
      <c r="O155" s="230"/>
      <c r="P155" s="230"/>
      <c r="Q155" s="230"/>
      <c r="R155" s="230"/>
      <c r="S155" s="230"/>
      <c r="T155" s="230"/>
      <c r="U155" s="230"/>
      <c r="V155" s="230"/>
      <c r="W155" s="230"/>
      <c r="X155" s="230"/>
      <c r="Y155" s="335"/>
      <c r="Z155" s="335"/>
    </row>
    <row r="156" ht="15.75" customHeight="1" spans="1:26">
      <c r="A156" s="385"/>
      <c r="B156" s="385"/>
      <c r="C156" s="385"/>
      <c r="D156" s="385"/>
      <c r="E156" s="385"/>
      <c r="F156" s="385"/>
      <c r="G156" s="385"/>
      <c r="H156" s="385"/>
      <c r="I156" s="385"/>
      <c r="J156" s="230"/>
      <c r="K156" s="230"/>
      <c r="L156" s="230"/>
      <c r="M156" s="230"/>
      <c r="N156" s="230"/>
      <c r="O156" s="230"/>
      <c r="P156" s="230"/>
      <c r="Q156" s="230"/>
      <c r="R156" s="230"/>
      <c r="S156" s="230"/>
      <c r="T156" s="230"/>
      <c r="U156" s="230"/>
      <c r="V156" s="230"/>
      <c r="W156" s="230"/>
      <c r="X156" s="230"/>
      <c r="Y156" s="335"/>
      <c r="Z156" s="335"/>
    </row>
    <row r="157" ht="15.75" customHeight="1" spans="1:26">
      <c r="A157" s="385"/>
      <c r="B157" s="385"/>
      <c r="C157" s="385"/>
      <c r="D157" s="385"/>
      <c r="E157" s="385"/>
      <c r="F157" s="385"/>
      <c r="G157" s="385"/>
      <c r="H157" s="385"/>
      <c r="I157" s="385"/>
      <c r="J157" s="230"/>
      <c r="K157" s="230"/>
      <c r="L157" s="230"/>
      <c r="M157" s="230"/>
      <c r="N157" s="230"/>
      <c r="O157" s="230"/>
      <c r="P157" s="230"/>
      <c r="Q157" s="230"/>
      <c r="R157" s="230"/>
      <c r="S157" s="230"/>
      <c r="T157" s="230"/>
      <c r="U157" s="230"/>
      <c r="V157" s="230"/>
      <c r="W157" s="230"/>
      <c r="X157" s="230"/>
      <c r="Y157" s="335"/>
      <c r="Z157" s="335"/>
    </row>
    <row r="158" ht="15.75" customHeight="1" spans="1:26">
      <c r="A158" s="386"/>
      <c r="B158" s="385"/>
      <c r="C158" s="385"/>
      <c r="D158" s="385"/>
      <c r="E158" s="385"/>
      <c r="F158" s="385"/>
      <c r="G158" s="385"/>
      <c r="H158" s="386"/>
      <c r="I158" s="386"/>
      <c r="J158" s="230"/>
      <c r="K158" s="230"/>
      <c r="L158" s="230"/>
      <c r="M158" s="230"/>
      <c r="N158" s="230"/>
      <c r="O158" s="230"/>
      <c r="P158" s="230"/>
      <c r="Q158" s="230"/>
      <c r="R158" s="230"/>
      <c r="S158" s="230"/>
      <c r="T158" s="230"/>
      <c r="U158" s="230"/>
      <c r="V158" s="230"/>
      <c r="W158" s="230"/>
      <c r="X158" s="230"/>
      <c r="Y158" s="335"/>
      <c r="Z158" s="335"/>
    </row>
    <row r="159" ht="15.75" customHeight="1" spans="1:26">
      <c r="A159" s="385"/>
      <c r="B159" s="385"/>
      <c r="C159" s="385"/>
      <c r="D159" s="385"/>
      <c r="E159" s="385"/>
      <c r="F159" s="385"/>
      <c r="G159" s="385"/>
      <c r="H159" s="385"/>
      <c r="I159" s="385"/>
      <c r="J159" s="230"/>
      <c r="K159" s="230"/>
      <c r="L159" s="230"/>
      <c r="M159" s="230"/>
      <c r="N159" s="230"/>
      <c r="O159" s="230"/>
      <c r="P159" s="230"/>
      <c r="Q159" s="230"/>
      <c r="R159" s="230"/>
      <c r="S159" s="230"/>
      <c r="T159" s="230"/>
      <c r="U159" s="230"/>
      <c r="V159" s="230"/>
      <c r="W159" s="230"/>
      <c r="X159" s="230"/>
      <c r="Y159" s="335"/>
      <c r="Z159" s="335"/>
    </row>
    <row r="160" ht="15.75" customHeight="1" spans="1:26">
      <c r="A160" s="385"/>
      <c r="B160" s="385"/>
      <c r="C160" s="385"/>
      <c r="D160" s="385"/>
      <c r="E160" s="385"/>
      <c r="F160" s="385"/>
      <c r="G160" s="385"/>
      <c r="H160" s="385"/>
      <c r="I160" s="385"/>
      <c r="J160" s="230"/>
      <c r="K160" s="230"/>
      <c r="L160" s="230"/>
      <c r="M160" s="230"/>
      <c r="N160" s="230"/>
      <c r="O160" s="230"/>
      <c r="P160" s="230"/>
      <c r="Q160" s="230"/>
      <c r="R160" s="230"/>
      <c r="S160" s="230"/>
      <c r="T160" s="230"/>
      <c r="U160" s="230"/>
      <c r="V160" s="230"/>
      <c r="W160" s="230"/>
      <c r="X160" s="230"/>
      <c r="Y160" s="335"/>
      <c r="Z160" s="335"/>
    </row>
    <row r="161" ht="15.75" customHeight="1" spans="1:26">
      <c r="A161" s="385"/>
      <c r="B161" s="385"/>
      <c r="C161" s="385"/>
      <c r="D161" s="385"/>
      <c r="E161" s="385"/>
      <c r="F161" s="385"/>
      <c r="G161" s="385"/>
      <c r="H161" s="385"/>
      <c r="I161" s="385"/>
      <c r="J161" s="230"/>
      <c r="K161" s="230"/>
      <c r="L161" s="230"/>
      <c r="M161" s="230"/>
      <c r="N161" s="230"/>
      <c r="O161" s="230"/>
      <c r="P161" s="230"/>
      <c r="Q161" s="230"/>
      <c r="R161" s="230"/>
      <c r="S161" s="230"/>
      <c r="T161" s="230"/>
      <c r="U161" s="230"/>
      <c r="V161" s="230"/>
      <c r="W161" s="230"/>
      <c r="X161" s="230"/>
      <c r="Y161" s="335"/>
      <c r="Z161" s="335"/>
    </row>
    <row r="162" ht="15.75" customHeight="1" spans="1:26">
      <c r="A162" s="386"/>
      <c r="B162" s="385"/>
      <c r="C162" s="385"/>
      <c r="D162" s="385"/>
      <c r="E162" s="385"/>
      <c r="F162" s="385"/>
      <c r="G162" s="385"/>
      <c r="H162" s="386"/>
      <c r="I162" s="386"/>
      <c r="J162" s="230"/>
      <c r="K162" s="230"/>
      <c r="L162" s="230"/>
      <c r="M162" s="230"/>
      <c r="N162" s="230"/>
      <c r="O162" s="230"/>
      <c r="P162" s="230"/>
      <c r="Q162" s="230"/>
      <c r="R162" s="230"/>
      <c r="S162" s="230"/>
      <c r="T162" s="230"/>
      <c r="U162" s="230"/>
      <c r="V162" s="230"/>
      <c r="W162" s="230"/>
      <c r="X162" s="230"/>
      <c r="Y162" s="335"/>
      <c r="Z162" s="335"/>
    </row>
    <row r="163" ht="15.75" customHeight="1" spans="1:26">
      <c r="A163" s="385"/>
      <c r="B163" s="385"/>
      <c r="C163" s="385"/>
      <c r="D163" s="385"/>
      <c r="E163" s="385"/>
      <c r="F163" s="385"/>
      <c r="G163" s="385"/>
      <c r="H163" s="385"/>
      <c r="I163" s="385"/>
      <c r="J163" s="230"/>
      <c r="K163" s="230"/>
      <c r="L163" s="230"/>
      <c r="M163" s="230"/>
      <c r="N163" s="230"/>
      <c r="O163" s="230"/>
      <c r="P163" s="230"/>
      <c r="Q163" s="230"/>
      <c r="R163" s="230"/>
      <c r="S163" s="230"/>
      <c r="T163" s="230"/>
      <c r="U163" s="230"/>
      <c r="V163" s="230"/>
      <c r="W163" s="230"/>
      <c r="X163" s="230"/>
      <c r="Y163" s="335"/>
      <c r="Z163" s="335"/>
    </row>
    <row r="164" ht="15.75" customHeight="1" spans="1:26">
      <c r="A164" s="385"/>
      <c r="B164" s="385"/>
      <c r="C164" s="385"/>
      <c r="D164" s="385"/>
      <c r="E164" s="385"/>
      <c r="F164" s="385"/>
      <c r="G164" s="385"/>
      <c r="H164" s="385"/>
      <c r="I164" s="385"/>
      <c r="J164" s="230"/>
      <c r="K164" s="230"/>
      <c r="L164" s="230"/>
      <c r="M164" s="230"/>
      <c r="N164" s="230"/>
      <c r="O164" s="230"/>
      <c r="P164" s="230"/>
      <c r="Q164" s="230"/>
      <c r="R164" s="230"/>
      <c r="S164" s="230"/>
      <c r="T164" s="230"/>
      <c r="U164" s="230"/>
      <c r="V164" s="230"/>
      <c r="W164" s="230"/>
      <c r="X164" s="230"/>
      <c r="Y164" s="335"/>
      <c r="Z164" s="335"/>
    </row>
    <row r="165" ht="15.75" customHeight="1" spans="1:26">
      <c r="A165" s="385"/>
      <c r="B165" s="385"/>
      <c r="C165" s="385"/>
      <c r="D165" s="385"/>
      <c r="E165" s="385"/>
      <c r="F165" s="385"/>
      <c r="G165" s="385"/>
      <c r="H165" s="385"/>
      <c r="I165" s="385"/>
      <c r="J165" s="230"/>
      <c r="K165" s="230"/>
      <c r="L165" s="230"/>
      <c r="M165" s="230"/>
      <c r="N165" s="230"/>
      <c r="O165" s="230"/>
      <c r="P165" s="230"/>
      <c r="Q165" s="230"/>
      <c r="R165" s="230"/>
      <c r="S165" s="230"/>
      <c r="T165" s="230"/>
      <c r="U165" s="230"/>
      <c r="V165" s="230"/>
      <c r="W165" s="230"/>
      <c r="X165" s="230"/>
      <c r="Y165" s="335"/>
      <c r="Z165" s="335"/>
    </row>
    <row r="166" ht="15.75" customHeight="1" spans="1:26">
      <c r="A166" s="386"/>
      <c r="B166" s="385"/>
      <c r="C166" s="385"/>
      <c r="D166" s="385"/>
      <c r="E166" s="385"/>
      <c r="F166" s="385"/>
      <c r="G166" s="385"/>
      <c r="H166" s="386"/>
      <c r="I166" s="386"/>
      <c r="J166" s="230"/>
      <c r="K166" s="230"/>
      <c r="L166" s="230"/>
      <c r="M166" s="230"/>
      <c r="N166" s="230"/>
      <c r="O166" s="230"/>
      <c r="P166" s="230"/>
      <c r="Q166" s="230"/>
      <c r="R166" s="230"/>
      <c r="S166" s="230"/>
      <c r="T166" s="230"/>
      <c r="U166" s="230"/>
      <c r="V166" s="230"/>
      <c r="W166" s="230"/>
      <c r="X166" s="230"/>
      <c r="Y166" s="335"/>
      <c r="Z166" s="335"/>
    </row>
    <row r="167" ht="15.75" customHeight="1" spans="1:26">
      <c r="A167" s="385"/>
      <c r="B167" s="385"/>
      <c r="C167" s="385"/>
      <c r="D167" s="385"/>
      <c r="E167" s="385"/>
      <c r="F167" s="385"/>
      <c r="G167" s="385"/>
      <c r="H167" s="385"/>
      <c r="I167" s="385"/>
      <c r="J167" s="230"/>
      <c r="K167" s="230"/>
      <c r="L167" s="230"/>
      <c r="M167" s="230"/>
      <c r="N167" s="230"/>
      <c r="O167" s="230"/>
      <c r="P167" s="230"/>
      <c r="Q167" s="230"/>
      <c r="R167" s="230"/>
      <c r="S167" s="230"/>
      <c r="T167" s="230"/>
      <c r="U167" s="230"/>
      <c r="V167" s="230"/>
      <c r="W167" s="230"/>
      <c r="X167" s="230"/>
      <c r="Y167" s="335"/>
      <c r="Z167" s="335"/>
    </row>
    <row r="168" ht="15.75" customHeight="1" spans="1:26">
      <c r="A168" s="385"/>
      <c r="B168" s="385"/>
      <c r="C168" s="385"/>
      <c r="D168" s="385"/>
      <c r="E168" s="385"/>
      <c r="F168" s="385"/>
      <c r="G168" s="385"/>
      <c r="H168" s="385"/>
      <c r="I168" s="385"/>
      <c r="J168" s="230"/>
      <c r="K168" s="230"/>
      <c r="L168" s="230"/>
      <c r="M168" s="230"/>
      <c r="N168" s="230"/>
      <c r="O168" s="230"/>
      <c r="P168" s="230"/>
      <c r="Q168" s="230"/>
      <c r="R168" s="230"/>
      <c r="S168" s="230"/>
      <c r="T168" s="230"/>
      <c r="U168" s="230"/>
      <c r="V168" s="230"/>
      <c r="W168" s="230"/>
      <c r="X168" s="230"/>
      <c r="Y168" s="335"/>
      <c r="Z168" s="335"/>
    </row>
    <row r="169" ht="15.75" customHeight="1" spans="1:26">
      <c r="A169" s="385"/>
      <c r="B169" s="385"/>
      <c r="C169" s="385"/>
      <c r="D169" s="385"/>
      <c r="E169" s="385"/>
      <c r="F169" s="385"/>
      <c r="G169" s="385"/>
      <c r="H169" s="385"/>
      <c r="I169" s="385"/>
      <c r="J169" s="230"/>
      <c r="K169" s="230"/>
      <c r="L169" s="230"/>
      <c r="M169" s="230"/>
      <c r="N169" s="230"/>
      <c r="O169" s="230"/>
      <c r="P169" s="230"/>
      <c r="Q169" s="230"/>
      <c r="R169" s="230"/>
      <c r="S169" s="230"/>
      <c r="T169" s="230"/>
      <c r="U169" s="230"/>
      <c r="V169" s="230"/>
      <c r="W169" s="230"/>
      <c r="X169" s="230"/>
      <c r="Y169" s="335"/>
      <c r="Z169" s="335"/>
    </row>
    <row r="170" ht="15.75" customHeight="1" spans="1:26">
      <c r="A170" s="386"/>
      <c r="B170" s="385"/>
      <c r="C170" s="385"/>
      <c r="D170" s="385"/>
      <c r="E170" s="385"/>
      <c r="F170" s="385"/>
      <c r="G170" s="385"/>
      <c r="H170" s="386"/>
      <c r="I170" s="386"/>
      <c r="J170" s="230"/>
      <c r="K170" s="230"/>
      <c r="L170" s="230"/>
      <c r="M170" s="230"/>
      <c r="N170" s="230"/>
      <c r="O170" s="230"/>
      <c r="P170" s="230"/>
      <c r="Q170" s="230"/>
      <c r="R170" s="230"/>
      <c r="S170" s="230"/>
      <c r="T170" s="230"/>
      <c r="U170" s="230"/>
      <c r="V170" s="230"/>
      <c r="W170" s="230"/>
      <c r="X170" s="230"/>
      <c r="Y170" s="335"/>
      <c r="Z170" s="335"/>
    </row>
    <row r="171" ht="15.75" customHeight="1" spans="1:26">
      <c r="A171" s="385"/>
      <c r="B171" s="385"/>
      <c r="C171" s="385"/>
      <c r="D171" s="385"/>
      <c r="E171" s="385"/>
      <c r="F171" s="385"/>
      <c r="G171" s="385"/>
      <c r="H171" s="385"/>
      <c r="I171" s="385"/>
      <c r="J171" s="230"/>
      <c r="K171" s="230"/>
      <c r="L171" s="230"/>
      <c r="M171" s="230"/>
      <c r="N171" s="230"/>
      <c r="O171" s="230"/>
      <c r="P171" s="230"/>
      <c r="Q171" s="230"/>
      <c r="R171" s="230"/>
      <c r="S171" s="230"/>
      <c r="T171" s="230"/>
      <c r="U171" s="230"/>
      <c r="V171" s="230"/>
      <c r="W171" s="230"/>
      <c r="X171" s="230"/>
      <c r="Y171" s="335"/>
      <c r="Z171" s="335"/>
    </row>
    <row r="172" ht="15.75" customHeight="1" spans="1:26">
      <c r="A172" s="385"/>
      <c r="B172" s="385"/>
      <c r="C172" s="385"/>
      <c r="D172" s="385"/>
      <c r="E172" s="385"/>
      <c r="F172" s="385"/>
      <c r="G172" s="385"/>
      <c r="H172" s="385"/>
      <c r="I172" s="385"/>
      <c r="J172" s="230"/>
      <c r="K172" s="230"/>
      <c r="L172" s="230"/>
      <c r="M172" s="230"/>
      <c r="N172" s="230"/>
      <c r="O172" s="230"/>
      <c r="P172" s="230"/>
      <c r="Q172" s="230"/>
      <c r="R172" s="230"/>
      <c r="S172" s="230"/>
      <c r="T172" s="230"/>
      <c r="U172" s="230"/>
      <c r="V172" s="230"/>
      <c r="W172" s="230"/>
      <c r="X172" s="230"/>
      <c r="Y172" s="335"/>
      <c r="Z172" s="335"/>
    </row>
    <row r="173" ht="15.75" customHeight="1" spans="1:26">
      <c r="A173" s="385"/>
      <c r="B173" s="385"/>
      <c r="C173" s="385"/>
      <c r="D173" s="385"/>
      <c r="E173" s="385"/>
      <c r="F173" s="385"/>
      <c r="G173" s="385"/>
      <c r="H173" s="385"/>
      <c r="I173" s="385"/>
      <c r="J173" s="230"/>
      <c r="K173" s="230"/>
      <c r="L173" s="230"/>
      <c r="M173" s="230"/>
      <c r="N173" s="230"/>
      <c r="O173" s="230"/>
      <c r="P173" s="230"/>
      <c r="Q173" s="230"/>
      <c r="R173" s="230"/>
      <c r="S173" s="230"/>
      <c r="T173" s="230"/>
      <c r="U173" s="230"/>
      <c r="V173" s="230"/>
      <c r="W173" s="230"/>
      <c r="X173" s="230"/>
      <c r="Y173" s="335"/>
      <c r="Z173" s="335"/>
    </row>
    <row r="174" ht="15.75" customHeight="1" spans="1:26">
      <c r="A174" s="386"/>
      <c r="B174" s="385"/>
      <c r="C174" s="385"/>
      <c r="D174" s="385"/>
      <c r="E174" s="385"/>
      <c r="F174" s="385"/>
      <c r="G174" s="385"/>
      <c r="H174" s="386"/>
      <c r="I174" s="386"/>
      <c r="J174" s="230"/>
      <c r="K174" s="230"/>
      <c r="L174" s="230"/>
      <c r="M174" s="230"/>
      <c r="N174" s="230"/>
      <c r="O174" s="230"/>
      <c r="P174" s="230"/>
      <c r="Q174" s="230"/>
      <c r="R174" s="230"/>
      <c r="S174" s="230"/>
      <c r="T174" s="230"/>
      <c r="U174" s="230"/>
      <c r="V174" s="230"/>
      <c r="W174" s="230"/>
      <c r="X174" s="230"/>
      <c r="Y174" s="335"/>
      <c r="Z174" s="335"/>
    </row>
    <row r="175" ht="15.75" customHeight="1" spans="1:26">
      <c r="A175" s="385"/>
      <c r="B175" s="385"/>
      <c r="C175" s="385"/>
      <c r="D175" s="385"/>
      <c r="E175" s="385"/>
      <c r="F175" s="385"/>
      <c r="G175" s="385"/>
      <c r="H175" s="385"/>
      <c r="I175" s="385"/>
      <c r="J175" s="230"/>
      <c r="K175" s="230"/>
      <c r="L175" s="230"/>
      <c r="M175" s="230"/>
      <c r="N175" s="230"/>
      <c r="O175" s="230"/>
      <c r="P175" s="230"/>
      <c r="Q175" s="230"/>
      <c r="R175" s="230"/>
      <c r="S175" s="230"/>
      <c r="T175" s="230"/>
      <c r="U175" s="230"/>
      <c r="V175" s="230"/>
      <c r="W175" s="230"/>
      <c r="X175" s="230"/>
      <c r="Y175" s="335"/>
      <c r="Z175" s="335"/>
    </row>
    <row r="176" ht="15.75" customHeight="1" spans="1:26">
      <c r="A176" s="385"/>
      <c r="B176" s="385"/>
      <c r="C176" s="385"/>
      <c r="D176" s="385"/>
      <c r="E176" s="385"/>
      <c r="F176" s="385"/>
      <c r="G176" s="385"/>
      <c r="H176" s="385"/>
      <c r="I176" s="385"/>
      <c r="J176" s="230"/>
      <c r="K176" s="230"/>
      <c r="L176" s="230"/>
      <c r="M176" s="230"/>
      <c r="N176" s="230"/>
      <c r="O176" s="230"/>
      <c r="P176" s="230"/>
      <c r="Q176" s="230"/>
      <c r="R176" s="230"/>
      <c r="S176" s="230"/>
      <c r="T176" s="230"/>
      <c r="U176" s="230"/>
      <c r="V176" s="230"/>
      <c r="W176" s="230"/>
      <c r="X176" s="230"/>
      <c r="Y176" s="335"/>
      <c r="Z176" s="335"/>
    </row>
    <row r="177" ht="15.75" customHeight="1" spans="1:26">
      <c r="A177" s="385"/>
      <c r="B177" s="385"/>
      <c r="C177" s="385"/>
      <c r="D177" s="385"/>
      <c r="E177" s="385"/>
      <c r="F177" s="385"/>
      <c r="G177" s="385"/>
      <c r="H177" s="385"/>
      <c r="I177" s="385"/>
      <c r="J177" s="230"/>
      <c r="K177" s="230"/>
      <c r="L177" s="230"/>
      <c r="M177" s="230"/>
      <c r="N177" s="230"/>
      <c r="O177" s="230"/>
      <c r="P177" s="230"/>
      <c r="Q177" s="230"/>
      <c r="R177" s="230"/>
      <c r="S177" s="230"/>
      <c r="T177" s="230"/>
      <c r="U177" s="230"/>
      <c r="V177" s="230"/>
      <c r="W177" s="230"/>
      <c r="X177" s="230"/>
      <c r="Y177" s="335"/>
      <c r="Z177" s="335"/>
    </row>
    <row r="178" ht="15.75" customHeight="1" spans="1:26">
      <c r="A178" s="386"/>
      <c r="B178" s="385"/>
      <c r="C178" s="385"/>
      <c r="D178" s="385"/>
      <c r="E178" s="385"/>
      <c r="F178" s="385"/>
      <c r="G178" s="385"/>
      <c r="H178" s="386"/>
      <c r="I178" s="386"/>
      <c r="J178" s="230"/>
      <c r="K178" s="230"/>
      <c r="L178" s="230"/>
      <c r="M178" s="230"/>
      <c r="N178" s="230"/>
      <c r="O178" s="230"/>
      <c r="P178" s="230"/>
      <c r="Q178" s="230"/>
      <c r="R178" s="230"/>
      <c r="S178" s="230"/>
      <c r="T178" s="230"/>
      <c r="U178" s="230"/>
      <c r="V178" s="230"/>
      <c r="W178" s="230"/>
      <c r="X178" s="230"/>
      <c r="Y178" s="335"/>
      <c r="Z178" s="335"/>
    </row>
    <row r="179" ht="15.75" customHeight="1" spans="1:26">
      <c r="A179" s="385"/>
      <c r="B179" s="385"/>
      <c r="C179" s="385"/>
      <c r="D179" s="385"/>
      <c r="E179" s="385"/>
      <c r="F179" s="385"/>
      <c r="G179" s="385"/>
      <c r="H179" s="385"/>
      <c r="I179" s="385"/>
      <c r="J179" s="230"/>
      <c r="K179" s="230"/>
      <c r="L179" s="230"/>
      <c r="M179" s="230"/>
      <c r="N179" s="230"/>
      <c r="O179" s="230"/>
      <c r="P179" s="230"/>
      <c r="Q179" s="230"/>
      <c r="R179" s="230"/>
      <c r="S179" s="230"/>
      <c r="T179" s="230"/>
      <c r="U179" s="230"/>
      <c r="V179" s="230"/>
      <c r="W179" s="230"/>
      <c r="X179" s="230"/>
      <c r="Y179" s="335"/>
      <c r="Z179" s="335"/>
    </row>
    <row r="180" ht="15.75" customHeight="1" spans="1:26">
      <c r="A180" s="385"/>
      <c r="B180" s="385"/>
      <c r="C180" s="385"/>
      <c r="D180" s="385"/>
      <c r="E180" s="385"/>
      <c r="F180" s="385"/>
      <c r="G180" s="385"/>
      <c r="H180" s="385"/>
      <c r="I180" s="385"/>
      <c r="J180" s="230"/>
      <c r="K180" s="230"/>
      <c r="L180" s="230"/>
      <c r="M180" s="230"/>
      <c r="N180" s="230"/>
      <c r="O180" s="230"/>
      <c r="P180" s="230"/>
      <c r="Q180" s="230"/>
      <c r="R180" s="230"/>
      <c r="S180" s="230"/>
      <c r="T180" s="230"/>
      <c r="U180" s="230"/>
      <c r="V180" s="230"/>
      <c r="W180" s="230"/>
      <c r="X180" s="230"/>
      <c r="Y180" s="335"/>
      <c r="Z180" s="335"/>
    </row>
    <row r="181" ht="15.75" customHeight="1" spans="1:26">
      <c r="A181" s="385"/>
      <c r="B181" s="385"/>
      <c r="C181" s="385"/>
      <c r="D181" s="385"/>
      <c r="E181" s="385"/>
      <c r="F181" s="385"/>
      <c r="G181" s="385"/>
      <c r="H181" s="385"/>
      <c r="I181" s="385"/>
      <c r="J181" s="230"/>
      <c r="K181" s="230"/>
      <c r="L181" s="230"/>
      <c r="M181" s="230"/>
      <c r="N181" s="230"/>
      <c r="O181" s="230"/>
      <c r="P181" s="230"/>
      <c r="Q181" s="230"/>
      <c r="R181" s="230"/>
      <c r="S181" s="230"/>
      <c r="T181" s="230"/>
      <c r="U181" s="230"/>
      <c r="V181" s="230"/>
      <c r="W181" s="230"/>
      <c r="X181" s="230"/>
      <c r="Y181" s="335"/>
      <c r="Z181" s="335"/>
    </row>
    <row r="182" ht="15.75" customHeight="1" spans="1:26">
      <c r="A182" s="386"/>
      <c r="B182" s="385"/>
      <c r="C182" s="385"/>
      <c r="D182" s="385"/>
      <c r="E182" s="385"/>
      <c r="F182" s="385"/>
      <c r="G182" s="385"/>
      <c r="H182" s="386"/>
      <c r="I182" s="386"/>
      <c r="J182" s="230"/>
      <c r="K182" s="230"/>
      <c r="L182" s="230"/>
      <c r="M182" s="230"/>
      <c r="N182" s="230"/>
      <c r="O182" s="230"/>
      <c r="P182" s="230"/>
      <c r="Q182" s="230"/>
      <c r="R182" s="230"/>
      <c r="S182" s="230"/>
      <c r="T182" s="230"/>
      <c r="U182" s="230"/>
      <c r="V182" s="230"/>
      <c r="W182" s="230"/>
      <c r="X182" s="230"/>
      <c r="Y182" s="335"/>
      <c r="Z182" s="335"/>
    </row>
    <row r="183" ht="15.75" customHeight="1" spans="1:26">
      <c r="A183" s="385"/>
      <c r="B183" s="385"/>
      <c r="C183" s="385"/>
      <c r="D183" s="385"/>
      <c r="E183" s="385"/>
      <c r="F183" s="385"/>
      <c r="G183" s="385"/>
      <c r="H183" s="385"/>
      <c r="I183" s="385"/>
      <c r="J183" s="230"/>
      <c r="K183" s="230"/>
      <c r="L183" s="230"/>
      <c r="M183" s="230"/>
      <c r="N183" s="230"/>
      <c r="O183" s="230"/>
      <c r="P183" s="230"/>
      <c r="Q183" s="230"/>
      <c r="R183" s="230"/>
      <c r="S183" s="230"/>
      <c r="T183" s="230"/>
      <c r="U183" s="230"/>
      <c r="V183" s="230"/>
      <c r="W183" s="230"/>
      <c r="X183" s="230"/>
      <c r="Y183" s="335"/>
      <c r="Z183" s="335"/>
    </row>
    <row r="184" ht="15.75" customHeight="1" spans="1:26">
      <c r="A184" s="385"/>
      <c r="B184" s="385"/>
      <c r="C184" s="385"/>
      <c r="D184" s="385"/>
      <c r="E184" s="385"/>
      <c r="F184" s="385"/>
      <c r="G184" s="385"/>
      <c r="H184" s="385"/>
      <c r="I184" s="385"/>
      <c r="J184" s="230"/>
      <c r="K184" s="230"/>
      <c r="L184" s="230"/>
      <c r="M184" s="230"/>
      <c r="N184" s="230"/>
      <c r="O184" s="230"/>
      <c r="P184" s="230"/>
      <c r="Q184" s="230"/>
      <c r="R184" s="230"/>
      <c r="S184" s="230"/>
      <c r="T184" s="230"/>
      <c r="U184" s="230"/>
      <c r="V184" s="230"/>
      <c r="W184" s="230"/>
      <c r="X184" s="230"/>
      <c r="Y184" s="335"/>
      <c r="Z184" s="335"/>
    </row>
    <row r="185" ht="15.75" customHeight="1" spans="1:26">
      <c r="A185" s="385"/>
      <c r="B185" s="385"/>
      <c r="C185" s="385"/>
      <c r="D185" s="385"/>
      <c r="E185" s="385"/>
      <c r="F185" s="385"/>
      <c r="G185" s="385"/>
      <c r="H185" s="385"/>
      <c r="I185" s="385"/>
      <c r="J185" s="230"/>
      <c r="K185" s="230"/>
      <c r="L185" s="230"/>
      <c r="M185" s="230"/>
      <c r="N185" s="230"/>
      <c r="O185" s="230"/>
      <c r="P185" s="230"/>
      <c r="Q185" s="230"/>
      <c r="R185" s="230"/>
      <c r="S185" s="230"/>
      <c r="T185" s="230"/>
      <c r="U185" s="230"/>
      <c r="V185" s="230"/>
      <c r="W185" s="230"/>
      <c r="X185" s="230"/>
      <c r="Y185" s="335"/>
      <c r="Z185" s="335"/>
    </row>
    <row r="186" ht="15.75" customHeight="1" spans="1:26">
      <c r="A186" s="386"/>
      <c r="B186" s="385"/>
      <c r="C186" s="385"/>
      <c r="D186" s="385"/>
      <c r="E186" s="385"/>
      <c r="F186" s="385"/>
      <c r="G186" s="385"/>
      <c r="H186" s="386"/>
      <c r="I186" s="386"/>
      <c r="J186" s="230"/>
      <c r="K186" s="230"/>
      <c r="L186" s="230"/>
      <c r="M186" s="230"/>
      <c r="N186" s="230"/>
      <c r="O186" s="230"/>
      <c r="P186" s="230"/>
      <c r="Q186" s="230"/>
      <c r="R186" s="230"/>
      <c r="S186" s="230"/>
      <c r="T186" s="230"/>
      <c r="U186" s="230"/>
      <c r="V186" s="230"/>
      <c r="W186" s="230"/>
      <c r="X186" s="230"/>
      <c r="Y186" s="335"/>
      <c r="Z186" s="335"/>
    </row>
    <row r="187" ht="15.75" customHeight="1" spans="1:26">
      <c r="A187" s="385"/>
      <c r="B187" s="385"/>
      <c r="C187" s="385"/>
      <c r="D187" s="385"/>
      <c r="E187" s="385"/>
      <c r="F187" s="385"/>
      <c r="G187" s="385"/>
      <c r="H187" s="385"/>
      <c r="I187" s="385"/>
      <c r="J187" s="230"/>
      <c r="K187" s="230"/>
      <c r="L187" s="230"/>
      <c r="M187" s="230"/>
      <c r="N187" s="230"/>
      <c r="O187" s="230"/>
      <c r="P187" s="230"/>
      <c r="Q187" s="230"/>
      <c r="R187" s="230"/>
      <c r="S187" s="230"/>
      <c r="T187" s="230"/>
      <c r="U187" s="230"/>
      <c r="V187" s="230"/>
      <c r="W187" s="230"/>
      <c r="X187" s="230"/>
      <c r="Y187" s="335"/>
      <c r="Z187" s="335"/>
    </row>
    <row r="188" ht="15.75" customHeight="1" spans="1:26">
      <c r="A188" s="385"/>
      <c r="B188" s="385"/>
      <c r="C188" s="385"/>
      <c r="D188" s="385"/>
      <c r="E188" s="385"/>
      <c r="F188" s="385"/>
      <c r="G188" s="385"/>
      <c r="H188" s="385"/>
      <c r="I188" s="385"/>
      <c r="J188" s="230"/>
      <c r="K188" s="230"/>
      <c r="L188" s="230"/>
      <c r="M188" s="230"/>
      <c r="N188" s="230"/>
      <c r="O188" s="230"/>
      <c r="P188" s="230"/>
      <c r="Q188" s="230"/>
      <c r="R188" s="230"/>
      <c r="S188" s="230"/>
      <c r="T188" s="230"/>
      <c r="U188" s="230"/>
      <c r="V188" s="230"/>
      <c r="W188" s="230"/>
      <c r="X188" s="230"/>
      <c r="Y188" s="335"/>
      <c r="Z188" s="335"/>
    </row>
    <row r="189" ht="15.75" customHeight="1" spans="1:26">
      <c r="A189" s="385"/>
      <c r="B189" s="385"/>
      <c r="C189" s="385"/>
      <c r="D189" s="385"/>
      <c r="E189" s="385"/>
      <c r="F189" s="385"/>
      <c r="G189" s="385"/>
      <c r="H189" s="385"/>
      <c r="I189" s="385"/>
      <c r="J189" s="230"/>
      <c r="K189" s="230"/>
      <c r="L189" s="230"/>
      <c r="M189" s="230"/>
      <c r="N189" s="230"/>
      <c r="O189" s="230"/>
      <c r="P189" s="230"/>
      <c r="Q189" s="230"/>
      <c r="R189" s="230"/>
      <c r="S189" s="230"/>
      <c r="T189" s="230"/>
      <c r="U189" s="230"/>
      <c r="V189" s="230"/>
      <c r="W189" s="230"/>
      <c r="X189" s="230"/>
      <c r="Y189" s="335"/>
      <c r="Z189" s="335"/>
    </row>
    <row r="190" ht="15.75" customHeight="1" spans="1:26">
      <c r="A190" s="386"/>
      <c r="B190" s="385"/>
      <c r="C190" s="385"/>
      <c r="D190" s="385"/>
      <c r="E190" s="385"/>
      <c r="F190" s="385"/>
      <c r="G190" s="385"/>
      <c r="H190" s="386"/>
      <c r="I190" s="386"/>
      <c r="J190" s="230"/>
      <c r="K190" s="230"/>
      <c r="L190" s="230"/>
      <c r="M190" s="230"/>
      <c r="N190" s="230"/>
      <c r="O190" s="230"/>
      <c r="P190" s="230"/>
      <c r="Q190" s="230"/>
      <c r="R190" s="230"/>
      <c r="S190" s="230"/>
      <c r="T190" s="230"/>
      <c r="U190" s="230"/>
      <c r="V190" s="230"/>
      <c r="W190" s="230"/>
      <c r="X190" s="230"/>
      <c r="Y190" s="335"/>
      <c r="Z190" s="335"/>
    </row>
    <row r="191" ht="15.75" customHeight="1" spans="1:26">
      <c r="A191" s="385"/>
      <c r="B191" s="385"/>
      <c r="C191" s="385"/>
      <c r="D191" s="385"/>
      <c r="E191" s="385"/>
      <c r="F191" s="385"/>
      <c r="G191" s="385"/>
      <c r="H191" s="385"/>
      <c r="I191" s="385"/>
      <c r="J191" s="230"/>
      <c r="K191" s="230"/>
      <c r="L191" s="230"/>
      <c r="M191" s="230"/>
      <c r="N191" s="230"/>
      <c r="O191" s="230"/>
      <c r="P191" s="230"/>
      <c r="Q191" s="230"/>
      <c r="R191" s="230"/>
      <c r="S191" s="230"/>
      <c r="T191" s="230"/>
      <c r="U191" s="230"/>
      <c r="V191" s="230"/>
      <c r="W191" s="230"/>
      <c r="X191" s="230"/>
      <c r="Y191" s="335"/>
      <c r="Z191" s="335"/>
    </row>
    <row r="192" ht="15.75" customHeight="1" spans="1:26">
      <c r="A192" s="385"/>
      <c r="B192" s="385"/>
      <c r="C192" s="385"/>
      <c r="D192" s="385"/>
      <c r="E192" s="385"/>
      <c r="F192" s="385"/>
      <c r="G192" s="385"/>
      <c r="H192" s="385"/>
      <c r="I192" s="385"/>
      <c r="J192" s="230"/>
      <c r="K192" s="230"/>
      <c r="L192" s="230"/>
      <c r="M192" s="230"/>
      <c r="N192" s="230"/>
      <c r="O192" s="230"/>
      <c r="P192" s="230"/>
      <c r="Q192" s="230"/>
      <c r="R192" s="230"/>
      <c r="S192" s="230"/>
      <c r="T192" s="230"/>
      <c r="U192" s="230"/>
      <c r="V192" s="230"/>
      <c r="W192" s="230"/>
      <c r="X192" s="230"/>
      <c r="Y192" s="335"/>
      <c r="Z192" s="335"/>
    </row>
    <row r="193" ht="15.75" customHeight="1" spans="1:26">
      <c r="A193" s="385"/>
      <c r="B193" s="385"/>
      <c r="C193" s="385"/>
      <c r="D193" s="385"/>
      <c r="E193" s="385"/>
      <c r="F193" s="385"/>
      <c r="G193" s="385"/>
      <c r="H193" s="385"/>
      <c r="I193" s="385"/>
      <c r="J193" s="230"/>
      <c r="K193" s="230"/>
      <c r="L193" s="230"/>
      <c r="M193" s="230"/>
      <c r="N193" s="230"/>
      <c r="O193" s="230"/>
      <c r="P193" s="230"/>
      <c r="Q193" s="230"/>
      <c r="R193" s="230"/>
      <c r="S193" s="230"/>
      <c r="T193" s="230"/>
      <c r="U193" s="230"/>
      <c r="V193" s="230"/>
      <c r="W193" s="230"/>
      <c r="X193" s="230"/>
      <c r="Y193" s="335"/>
      <c r="Z193" s="335"/>
    </row>
    <row r="194" ht="15.75" customHeight="1" spans="1:26">
      <c r="A194" s="230"/>
      <c r="B194" s="230"/>
      <c r="C194" s="230"/>
      <c r="D194" s="230"/>
      <c r="E194" s="230"/>
      <c r="F194" s="230"/>
      <c r="G194" s="230"/>
      <c r="H194" s="230"/>
      <c r="I194" s="230"/>
      <c r="J194" s="230"/>
      <c r="K194" s="230"/>
      <c r="L194" s="230"/>
      <c r="M194" s="230"/>
      <c r="N194" s="230"/>
      <c r="O194" s="230"/>
      <c r="P194" s="230"/>
      <c r="Q194" s="230"/>
      <c r="R194" s="230"/>
      <c r="S194" s="230"/>
      <c r="T194" s="230"/>
      <c r="U194" s="230"/>
      <c r="V194" s="230"/>
      <c r="W194" s="230"/>
      <c r="X194" s="230"/>
      <c r="Y194" s="335"/>
      <c r="Z194" s="335"/>
    </row>
    <row r="195" ht="15.75" customHeight="1" spans="1:26">
      <c r="A195" s="230"/>
      <c r="B195" s="230"/>
      <c r="C195" s="230"/>
      <c r="D195" s="230"/>
      <c r="E195" s="230"/>
      <c r="F195" s="230"/>
      <c r="G195" s="230"/>
      <c r="H195" s="230"/>
      <c r="I195" s="230"/>
      <c r="J195" s="230"/>
      <c r="K195" s="230"/>
      <c r="L195" s="230"/>
      <c r="M195" s="230"/>
      <c r="N195" s="230"/>
      <c r="O195" s="230"/>
      <c r="P195" s="230"/>
      <c r="Q195" s="230"/>
      <c r="R195" s="230"/>
      <c r="S195" s="230"/>
      <c r="T195" s="230"/>
      <c r="U195" s="230"/>
      <c r="V195" s="230"/>
      <c r="W195" s="230"/>
      <c r="X195" s="230"/>
      <c r="Y195" s="335"/>
      <c r="Z195" s="335"/>
    </row>
    <row r="196" ht="15.75" customHeight="1" spans="1:26">
      <c r="A196" s="230"/>
      <c r="B196" s="230"/>
      <c r="C196" s="230"/>
      <c r="D196" s="230"/>
      <c r="E196" s="230"/>
      <c r="F196" s="230"/>
      <c r="G196" s="230"/>
      <c r="H196" s="230"/>
      <c r="I196" s="230"/>
      <c r="J196" s="230"/>
      <c r="K196" s="230"/>
      <c r="L196" s="230"/>
      <c r="M196" s="230"/>
      <c r="N196" s="230"/>
      <c r="O196" s="230"/>
      <c r="P196" s="230"/>
      <c r="Q196" s="230"/>
      <c r="R196" s="230"/>
      <c r="S196" s="230"/>
      <c r="T196" s="230"/>
      <c r="U196" s="230"/>
      <c r="V196" s="230"/>
      <c r="W196" s="230"/>
      <c r="X196" s="230"/>
      <c r="Y196" s="335"/>
      <c r="Z196" s="335"/>
    </row>
    <row r="197" ht="15.75" customHeight="1" spans="1:26">
      <c r="A197" s="230"/>
      <c r="B197" s="230"/>
      <c r="C197" s="230"/>
      <c r="D197" s="230"/>
      <c r="E197" s="230"/>
      <c r="F197" s="230"/>
      <c r="G197" s="230"/>
      <c r="H197" s="230"/>
      <c r="I197" s="230"/>
      <c r="J197" s="230"/>
      <c r="K197" s="230"/>
      <c r="L197" s="230"/>
      <c r="M197" s="230"/>
      <c r="N197" s="230"/>
      <c r="O197" s="230"/>
      <c r="P197" s="230"/>
      <c r="Q197" s="230"/>
      <c r="R197" s="230"/>
      <c r="S197" s="230"/>
      <c r="T197" s="230"/>
      <c r="U197" s="230"/>
      <c r="V197" s="230"/>
      <c r="W197" s="230"/>
      <c r="X197" s="230"/>
      <c r="Y197" s="335"/>
      <c r="Z197" s="335"/>
    </row>
    <row r="198" ht="15.75" customHeight="1" spans="1:26">
      <c r="A198" s="230"/>
      <c r="B198" s="230"/>
      <c r="C198" s="230"/>
      <c r="D198" s="230"/>
      <c r="E198" s="230"/>
      <c r="F198" s="230"/>
      <c r="G198" s="230"/>
      <c r="H198" s="230"/>
      <c r="I198" s="230"/>
      <c r="J198" s="230"/>
      <c r="K198" s="230"/>
      <c r="L198" s="230"/>
      <c r="M198" s="230"/>
      <c r="N198" s="230"/>
      <c r="O198" s="230"/>
      <c r="P198" s="230"/>
      <c r="Q198" s="230"/>
      <c r="R198" s="230"/>
      <c r="S198" s="230"/>
      <c r="T198" s="230"/>
      <c r="U198" s="230"/>
      <c r="V198" s="230"/>
      <c r="W198" s="230"/>
      <c r="X198" s="230"/>
      <c r="Y198" s="335"/>
      <c r="Z198" s="335"/>
    </row>
    <row r="199" ht="15.75" customHeight="1" spans="1:26">
      <c r="A199" s="230"/>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335"/>
      <c r="Z199" s="335"/>
    </row>
    <row r="200" ht="15.75" customHeight="1" spans="1:26">
      <c r="A200" s="230"/>
      <c r="B200" s="230"/>
      <c r="C200" s="230"/>
      <c r="D200" s="230"/>
      <c r="E200" s="230"/>
      <c r="F200" s="230"/>
      <c r="G200" s="230"/>
      <c r="H200" s="230"/>
      <c r="I200" s="230"/>
      <c r="J200" s="230"/>
      <c r="K200" s="230"/>
      <c r="L200" s="230"/>
      <c r="M200" s="230"/>
      <c r="N200" s="230"/>
      <c r="O200" s="230"/>
      <c r="P200" s="230"/>
      <c r="Q200" s="230"/>
      <c r="R200" s="230"/>
      <c r="S200" s="230"/>
      <c r="T200" s="230"/>
      <c r="U200" s="230"/>
      <c r="V200" s="230"/>
      <c r="W200" s="230"/>
      <c r="X200" s="230"/>
      <c r="Y200" s="335"/>
      <c r="Z200" s="335"/>
    </row>
    <row r="201" ht="15.75" customHeight="1" spans="1:26">
      <c r="A201" s="230"/>
      <c r="B201" s="230"/>
      <c r="C201" s="230"/>
      <c r="D201" s="230"/>
      <c r="E201" s="230"/>
      <c r="F201" s="230"/>
      <c r="G201" s="230"/>
      <c r="H201" s="230"/>
      <c r="I201" s="230"/>
      <c r="J201" s="230"/>
      <c r="K201" s="230"/>
      <c r="L201" s="230"/>
      <c r="M201" s="230"/>
      <c r="N201" s="230"/>
      <c r="O201" s="230"/>
      <c r="P201" s="230"/>
      <c r="Q201" s="230"/>
      <c r="R201" s="230"/>
      <c r="S201" s="230"/>
      <c r="T201" s="230"/>
      <c r="U201" s="230"/>
      <c r="V201" s="230"/>
      <c r="W201" s="230"/>
      <c r="X201" s="230"/>
      <c r="Y201" s="335"/>
      <c r="Z201" s="335"/>
    </row>
    <row r="202" ht="15.75" customHeight="1" spans="1:26">
      <c r="A202" s="230"/>
      <c r="B202" s="230"/>
      <c r="C202" s="230"/>
      <c r="D202" s="230"/>
      <c r="E202" s="230"/>
      <c r="F202" s="230"/>
      <c r="G202" s="230"/>
      <c r="H202" s="230"/>
      <c r="I202" s="230"/>
      <c r="J202" s="230"/>
      <c r="K202" s="230"/>
      <c r="L202" s="230"/>
      <c r="M202" s="230"/>
      <c r="N202" s="230"/>
      <c r="O202" s="230"/>
      <c r="P202" s="230"/>
      <c r="Q202" s="230"/>
      <c r="R202" s="230"/>
      <c r="S202" s="230"/>
      <c r="T202" s="230"/>
      <c r="U202" s="230"/>
      <c r="V202" s="230"/>
      <c r="W202" s="230"/>
      <c r="X202" s="230"/>
      <c r="Y202" s="335"/>
      <c r="Z202" s="335"/>
    </row>
    <row r="203" ht="15.75" customHeight="1" spans="1:26">
      <c r="A203" s="230"/>
      <c r="B203" s="230"/>
      <c r="C203" s="230"/>
      <c r="D203" s="230"/>
      <c r="E203" s="230"/>
      <c r="F203" s="230"/>
      <c r="G203" s="230"/>
      <c r="H203" s="230"/>
      <c r="I203" s="230"/>
      <c r="J203" s="230"/>
      <c r="K203" s="230"/>
      <c r="L203" s="230"/>
      <c r="M203" s="230"/>
      <c r="N203" s="230"/>
      <c r="O203" s="230"/>
      <c r="P203" s="230"/>
      <c r="Q203" s="230"/>
      <c r="R203" s="230"/>
      <c r="S203" s="230"/>
      <c r="T203" s="230"/>
      <c r="U203" s="230"/>
      <c r="V203" s="230"/>
      <c r="W203" s="230"/>
      <c r="X203" s="230"/>
      <c r="Y203" s="335"/>
      <c r="Z203" s="335"/>
    </row>
    <row r="204" ht="15.75" customHeight="1" spans="1:26">
      <c r="A204" s="230"/>
      <c r="B204" s="230"/>
      <c r="C204" s="230"/>
      <c r="D204" s="230"/>
      <c r="E204" s="230"/>
      <c r="F204" s="230"/>
      <c r="G204" s="230"/>
      <c r="H204" s="230"/>
      <c r="I204" s="230"/>
      <c r="J204" s="230"/>
      <c r="K204" s="230"/>
      <c r="L204" s="230"/>
      <c r="M204" s="230"/>
      <c r="N204" s="230"/>
      <c r="O204" s="230"/>
      <c r="P204" s="230"/>
      <c r="Q204" s="230"/>
      <c r="R204" s="230"/>
      <c r="S204" s="230"/>
      <c r="T204" s="230"/>
      <c r="U204" s="230"/>
      <c r="V204" s="230"/>
      <c r="W204" s="230"/>
      <c r="X204" s="230"/>
      <c r="Y204" s="335"/>
      <c r="Z204" s="335"/>
    </row>
    <row r="205" ht="15.75" customHeight="1" spans="1:26">
      <c r="A205" s="230"/>
      <c r="B205" s="230"/>
      <c r="C205" s="230"/>
      <c r="D205" s="230"/>
      <c r="E205" s="230"/>
      <c r="F205" s="230"/>
      <c r="G205" s="230"/>
      <c r="H205" s="230"/>
      <c r="I205" s="230"/>
      <c r="J205" s="230"/>
      <c r="K205" s="230"/>
      <c r="L205" s="230"/>
      <c r="M205" s="230"/>
      <c r="N205" s="230"/>
      <c r="O205" s="230"/>
      <c r="P205" s="230"/>
      <c r="Q205" s="230"/>
      <c r="R205" s="230"/>
      <c r="S205" s="230"/>
      <c r="T205" s="230"/>
      <c r="U205" s="230"/>
      <c r="V205" s="230"/>
      <c r="W205" s="230"/>
      <c r="X205" s="230"/>
      <c r="Y205" s="335"/>
      <c r="Z205" s="335"/>
    </row>
    <row r="206" ht="15.75" customHeight="1" spans="1:26">
      <c r="A206" s="230"/>
      <c r="B206" s="230"/>
      <c r="C206" s="230"/>
      <c r="D206" s="230"/>
      <c r="E206" s="230"/>
      <c r="F206" s="230"/>
      <c r="G206" s="230"/>
      <c r="H206" s="230"/>
      <c r="I206" s="230"/>
      <c r="J206" s="230"/>
      <c r="K206" s="230"/>
      <c r="L206" s="230"/>
      <c r="M206" s="230"/>
      <c r="N206" s="230"/>
      <c r="O206" s="230"/>
      <c r="P206" s="230"/>
      <c r="Q206" s="230"/>
      <c r="R206" s="230"/>
      <c r="S206" s="230"/>
      <c r="T206" s="230"/>
      <c r="U206" s="230"/>
      <c r="V206" s="230"/>
      <c r="W206" s="230"/>
      <c r="X206" s="230"/>
      <c r="Y206" s="335"/>
      <c r="Z206" s="335"/>
    </row>
    <row r="207" ht="15.75" customHeight="1" spans="1:26">
      <c r="A207" s="230"/>
      <c r="B207" s="230"/>
      <c r="C207" s="230"/>
      <c r="D207" s="230"/>
      <c r="E207" s="230"/>
      <c r="F207" s="230"/>
      <c r="G207" s="230"/>
      <c r="H207" s="230"/>
      <c r="I207" s="230"/>
      <c r="J207" s="230"/>
      <c r="K207" s="230"/>
      <c r="L207" s="230"/>
      <c r="M207" s="230"/>
      <c r="N207" s="230"/>
      <c r="O207" s="230"/>
      <c r="P207" s="230"/>
      <c r="Q207" s="230"/>
      <c r="R207" s="230"/>
      <c r="S207" s="230"/>
      <c r="T207" s="230"/>
      <c r="U207" s="230"/>
      <c r="V207" s="230"/>
      <c r="W207" s="230"/>
      <c r="X207" s="230"/>
      <c r="Y207" s="335"/>
      <c r="Z207" s="335"/>
    </row>
    <row r="208" ht="15.75" customHeight="1" spans="1:26">
      <c r="A208" s="230"/>
      <c r="B208" s="230"/>
      <c r="C208" s="230"/>
      <c r="D208" s="230"/>
      <c r="E208" s="230"/>
      <c r="F208" s="230"/>
      <c r="G208" s="230"/>
      <c r="H208" s="230"/>
      <c r="I208" s="230"/>
      <c r="J208" s="230"/>
      <c r="K208" s="230"/>
      <c r="L208" s="230"/>
      <c r="M208" s="230"/>
      <c r="N208" s="230"/>
      <c r="O208" s="230"/>
      <c r="P208" s="230"/>
      <c r="Q208" s="230"/>
      <c r="R208" s="230"/>
      <c r="S208" s="230"/>
      <c r="T208" s="230"/>
      <c r="U208" s="230"/>
      <c r="V208" s="230"/>
      <c r="W208" s="230"/>
      <c r="X208" s="230"/>
      <c r="Y208" s="335"/>
      <c r="Z208" s="335"/>
    </row>
    <row r="209" ht="15.75" customHeight="1" spans="1:26">
      <c r="A209" s="230"/>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335"/>
      <c r="Z209" s="335"/>
    </row>
    <row r="210" ht="15.75" customHeight="1" spans="1:26">
      <c r="A210" s="230"/>
      <c r="B210" s="230"/>
      <c r="C210" s="230"/>
      <c r="D210" s="230"/>
      <c r="E210" s="230"/>
      <c r="F210" s="230"/>
      <c r="G210" s="230"/>
      <c r="H210" s="230"/>
      <c r="I210" s="230"/>
      <c r="J210" s="230"/>
      <c r="K210" s="230"/>
      <c r="L210" s="230"/>
      <c r="M210" s="230"/>
      <c r="N210" s="230"/>
      <c r="O210" s="230"/>
      <c r="P210" s="230"/>
      <c r="Q210" s="230"/>
      <c r="R210" s="230"/>
      <c r="S210" s="230"/>
      <c r="T210" s="230"/>
      <c r="U210" s="230"/>
      <c r="V210" s="230"/>
      <c r="W210" s="230"/>
      <c r="X210" s="230"/>
      <c r="Y210" s="335"/>
      <c r="Z210" s="335"/>
    </row>
    <row r="211" ht="15.75" customHeight="1" spans="1:26">
      <c r="A211" s="230"/>
      <c r="B211" s="230"/>
      <c r="C211" s="230"/>
      <c r="D211" s="230"/>
      <c r="E211" s="230"/>
      <c r="F211" s="230"/>
      <c r="G211" s="230"/>
      <c r="H211" s="230"/>
      <c r="I211" s="230"/>
      <c r="J211" s="230"/>
      <c r="K211" s="230"/>
      <c r="L211" s="230"/>
      <c r="M211" s="230"/>
      <c r="N211" s="230"/>
      <c r="O211" s="230"/>
      <c r="P211" s="230"/>
      <c r="Q211" s="230"/>
      <c r="R211" s="230"/>
      <c r="S211" s="230"/>
      <c r="T211" s="230"/>
      <c r="U211" s="230"/>
      <c r="V211" s="230"/>
      <c r="W211" s="230"/>
      <c r="X211" s="230"/>
      <c r="Y211" s="335"/>
      <c r="Z211" s="335"/>
    </row>
    <row r="212" ht="15.75" customHeight="1" spans="1:26">
      <c r="A212" s="230"/>
      <c r="B212" s="230"/>
      <c r="C212" s="230"/>
      <c r="D212" s="230"/>
      <c r="E212" s="230"/>
      <c r="F212" s="230"/>
      <c r="G212" s="230"/>
      <c r="H212" s="230"/>
      <c r="I212" s="230"/>
      <c r="J212" s="230"/>
      <c r="K212" s="230"/>
      <c r="L212" s="230"/>
      <c r="M212" s="230"/>
      <c r="N212" s="230"/>
      <c r="O212" s="230"/>
      <c r="P212" s="230"/>
      <c r="Q212" s="230"/>
      <c r="R212" s="230"/>
      <c r="S212" s="230"/>
      <c r="T212" s="230"/>
      <c r="U212" s="230"/>
      <c r="V212" s="230"/>
      <c r="W212" s="230"/>
      <c r="X212" s="230"/>
      <c r="Y212" s="335"/>
      <c r="Z212" s="335"/>
    </row>
    <row r="213" ht="15.75" customHeight="1" spans="1:26">
      <c r="A213" s="230"/>
      <c r="B213" s="230"/>
      <c r="C213" s="230"/>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335"/>
      <c r="Z213" s="335"/>
    </row>
    <row r="214" ht="15.75" customHeight="1" spans="1:26">
      <c r="A214" s="230"/>
      <c r="B214" s="230"/>
      <c r="C214" s="230"/>
      <c r="D214" s="230"/>
      <c r="E214" s="230"/>
      <c r="F214" s="230"/>
      <c r="G214" s="230"/>
      <c r="H214" s="230"/>
      <c r="I214" s="230"/>
      <c r="J214" s="230"/>
      <c r="K214" s="230"/>
      <c r="L214" s="230"/>
      <c r="M214" s="230"/>
      <c r="N214" s="230"/>
      <c r="O214" s="230"/>
      <c r="P214" s="230"/>
      <c r="Q214" s="230"/>
      <c r="R214" s="230"/>
      <c r="S214" s="230"/>
      <c r="T214" s="230"/>
      <c r="U214" s="230"/>
      <c r="V214" s="230"/>
      <c r="W214" s="230"/>
      <c r="X214" s="230"/>
      <c r="Y214" s="335"/>
      <c r="Z214" s="335"/>
    </row>
    <row r="215" ht="15.75" customHeight="1" spans="1:26">
      <c r="A215" s="230"/>
      <c r="B215" s="230"/>
      <c r="C215" s="230"/>
      <c r="D215" s="230"/>
      <c r="E215" s="230"/>
      <c r="F215" s="230"/>
      <c r="G215" s="230"/>
      <c r="H215" s="230"/>
      <c r="I215" s="230"/>
      <c r="J215" s="230"/>
      <c r="K215" s="230"/>
      <c r="L215" s="230"/>
      <c r="M215" s="230"/>
      <c r="N215" s="230"/>
      <c r="O215" s="230"/>
      <c r="P215" s="230"/>
      <c r="Q215" s="230"/>
      <c r="R215" s="230"/>
      <c r="S215" s="230"/>
      <c r="T215" s="230"/>
      <c r="U215" s="230"/>
      <c r="V215" s="230"/>
      <c r="W215" s="230"/>
      <c r="X215" s="230"/>
      <c r="Y215" s="335"/>
      <c r="Z215" s="335"/>
    </row>
    <row r="216" ht="15.75" customHeight="1" spans="1:26">
      <c r="A216" s="230"/>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335"/>
      <c r="Z216" s="335"/>
    </row>
    <row r="217" ht="15.75" customHeight="1" spans="1:26">
      <c r="A217" s="230"/>
      <c r="B217" s="230"/>
      <c r="C217" s="230"/>
      <c r="D217" s="230"/>
      <c r="E217" s="230"/>
      <c r="F217" s="230"/>
      <c r="G217" s="230"/>
      <c r="H217" s="230"/>
      <c r="I217" s="230"/>
      <c r="J217" s="230"/>
      <c r="K217" s="230"/>
      <c r="L217" s="230"/>
      <c r="M217" s="230"/>
      <c r="N217" s="230"/>
      <c r="O217" s="230"/>
      <c r="P217" s="230"/>
      <c r="Q217" s="230"/>
      <c r="R217" s="230"/>
      <c r="S217" s="230"/>
      <c r="T217" s="230"/>
      <c r="U217" s="230"/>
      <c r="V217" s="230"/>
      <c r="W217" s="230"/>
      <c r="X217" s="230"/>
      <c r="Y217" s="335"/>
      <c r="Z217" s="335"/>
    </row>
    <row r="218" ht="15.75" customHeight="1" spans="1:26">
      <c r="A218" s="230"/>
      <c r="B218" s="230"/>
      <c r="C218" s="230"/>
      <c r="D218" s="230"/>
      <c r="E218" s="230"/>
      <c r="F218" s="230"/>
      <c r="G218" s="230"/>
      <c r="H218" s="230"/>
      <c r="I218" s="230"/>
      <c r="J218" s="230"/>
      <c r="K218" s="230"/>
      <c r="L218" s="230"/>
      <c r="M218" s="230"/>
      <c r="N218" s="230"/>
      <c r="O218" s="230"/>
      <c r="P218" s="230"/>
      <c r="Q218" s="230"/>
      <c r="R218" s="230"/>
      <c r="S218" s="230"/>
      <c r="T218" s="230"/>
      <c r="U218" s="230"/>
      <c r="V218" s="230"/>
      <c r="W218" s="230"/>
      <c r="X218" s="230"/>
      <c r="Y218" s="335"/>
      <c r="Z218" s="335"/>
    </row>
    <row r="219" ht="15.75" customHeight="1" spans="1:26">
      <c r="A219" s="230"/>
      <c r="B219" s="230"/>
      <c r="C219" s="230"/>
      <c r="D219" s="230"/>
      <c r="E219" s="230"/>
      <c r="F219" s="230"/>
      <c r="G219" s="230"/>
      <c r="H219" s="230"/>
      <c r="I219" s="230"/>
      <c r="J219" s="230"/>
      <c r="K219" s="230"/>
      <c r="L219" s="230"/>
      <c r="M219" s="230"/>
      <c r="N219" s="230"/>
      <c r="O219" s="230"/>
      <c r="P219" s="230"/>
      <c r="Q219" s="230"/>
      <c r="R219" s="230"/>
      <c r="S219" s="230"/>
      <c r="T219" s="230"/>
      <c r="U219" s="230"/>
      <c r="V219" s="230"/>
      <c r="W219" s="230"/>
      <c r="X219" s="230"/>
      <c r="Y219" s="335"/>
      <c r="Z219" s="335"/>
    </row>
    <row r="220" ht="15.75" customHeight="1" spans="1:26">
      <c r="A220" s="230"/>
      <c r="B220" s="230"/>
      <c r="C220" s="230"/>
      <c r="D220" s="230"/>
      <c r="E220" s="230"/>
      <c r="F220" s="230"/>
      <c r="G220" s="230"/>
      <c r="H220" s="230"/>
      <c r="I220" s="230"/>
      <c r="J220" s="230"/>
      <c r="K220" s="230"/>
      <c r="L220" s="230"/>
      <c r="M220" s="230"/>
      <c r="N220" s="230"/>
      <c r="O220" s="230"/>
      <c r="P220" s="230"/>
      <c r="Q220" s="230"/>
      <c r="R220" s="230"/>
      <c r="S220" s="230"/>
      <c r="T220" s="230"/>
      <c r="U220" s="230"/>
      <c r="V220" s="230"/>
      <c r="W220" s="230"/>
      <c r="X220" s="230"/>
      <c r="Y220" s="335"/>
      <c r="Z220" s="335"/>
    </row>
    <row r="221" ht="15.75" customHeight="1" spans="1:26">
      <c r="A221" s="230"/>
      <c r="B221" s="230"/>
      <c r="C221" s="230"/>
      <c r="D221" s="230"/>
      <c r="E221" s="230"/>
      <c r="F221" s="230"/>
      <c r="G221" s="230"/>
      <c r="H221" s="230"/>
      <c r="I221" s="230"/>
      <c r="J221" s="230"/>
      <c r="K221" s="230"/>
      <c r="L221" s="230"/>
      <c r="M221" s="230"/>
      <c r="N221" s="230"/>
      <c r="O221" s="230"/>
      <c r="P221" s="230"/>
      <c r="Q221" s="230"/>
      <c r="R221" s="230"/>
      <c r="S221" s="230"/>
      <c r="T221" s="230"/>
      <c r="U221" s="230"/>
      <c r="V221" s="230"/>
      <c r="W221" s="230"/>
      <c r="X221" s="230"/>
      <c r="Y221" s="335"/>
      <c r="Z221" s="335"/>
    </row>
    <row r="222" ht="15.75" customHeight="1" spans="1:26">
      <c r="A222" s="230"/>
      <c r="B222" s="230"/>
      <c r="C222" s="230"/>
      <c r="D222" s="230"/>
      <c r="E222" s="230"/>
      <c r="F222" s="230"/>
      <c r="G222" s="230"/>
      <c r="H222" s="230"/>
      <c r="I222" s="230"/>
      <c r="J222" s="230"/>
      <c r="K222" s="230"/>
      <c r="L222" s="230"/>
      <c r="M222" s="230"/>
      <c r="N222" s="230"/>
      <c r="O222" s="230"/>
      <c r="P222" s="230"/>
      <c r="Q222" s="230"/>
      <c r="R222" s="230"/>
      <c r="S222" s="230"/>
      <c r="T222" s="230"/>
      <c r="U222" s="230"/>
      <c r="V222" s="230"/>
      <c r="W222" s="230"/>
      <c r="X222" s="230"/>
      <c r="Y222" s="335"/>
      <c r="Z222" s="335"/>
    </row>
    <row r="223" ht="15.75" customHeight="1" spans="1:26">
      <c r="A223" s="230"/>
      <c r="B223" s="230"/>
      <c r="C223" s="230"/>
      <c r="D223" s="230"/>
      <c r="E223" s="230"/>
      <c r="F223" s="230"/>
      <c r="G223" s="230"/>
      <c r="H223" s="230"/>
      <c r="I223" s="230"/>
      <c r="J223" s="230"/>
      <c r="K223" s="230"/>
      <c r="L223" s="230"/>
      <c r="M223" s="230"/>
      <c r="N223" s="230"/>
      <c r="O223" s="230"/>
      <c r="P223" s="230"/>
      <c r="Q223" s="230"/>
      <c r="R223" s="230"/>
      <c r="S223" s="230"/>
      <c r="T223" s="230"/>
      <c r="U223" s="230"/>
      <c r="V223" s="230"/>
      <c r="W223" s="230"/>
      <c r="X223" s="230"/>
      <c r="Y223" s="335"/>
      <c r="Z223" s="335"/>
    </row>
    <row r="224" ht="15.75" customHeight="1" spans="1:26">
      <c r="A224" s="230"/>
      <c r="B224" s="230"/>
      <c r="C224" s="230"/>
      <c r="D224" s="230"/>
      <c r="E224" s="230"/>
      <c r="F224" s="230"/>
      <c r="G224" s="230"/>
      <c r="H224" s="230"/>
      <c r="I224" s="230"/>
      <c r="J224" s="230"/>
      <c r="K224" s="230"/>
      <c r="L224" s="230"/>
      <c r="M224" s="230"/>
      <c r="N224" s="230"/>
      <c r="O224" s="230"/>
      <c r="P224" s="230"/>
      <c r="Q224" s="230"/>
      <c r="R224" s="230"/>
      <c r="S224" s="230"/>
      <c r="T224" s="230"/>
      <c r="U224" s="230"/>
      <c r="V224" s="230"/>
      <c r="W224" s="230"/>
      <c r="X224" s="230"/>
      <c r="Y224" s="335"/>
      <c r="Z224" s="335"/>
    </row>
    <row r="225" ht="15.75" customHeight="1" spans="1:26">
      <c r="A225" s="230"/>
      <c r="B225" s="230"/>
      <c r="C225" s="230"/>
      <c r="D225" s="230"/>
      <c r="E225" s="230"/>
      <c r="F225" s="230"/>
      <c r="G225" s="230"/>
      <c r="H225" s="230"/>
      <c r="I225" s="230"/>
      <c r="J225" s="230"/>
      <c r="K225" s="230"/>
      <c r="L225" s="230"/>
      <c r="M225" s="230"/>
      <c r="N225" s="230"/>
      <c r="O225" s="230"/>
      <c r="P225" s="230"/>
      <c r="Q225" s="230"/>
      <c r="R225" s="230"/>
      <c r="S225" s="230"/>
      <c r="T225" s="230"/>
      <c r="U225" s="230"/>
      <c r="V225" s="230"/>
      <c r="W225" s="230"/>
      <c r="X225" s="230"/>
      <c r="Y225" s="335"/>
      <c r="Z225" s="335"/>
    </row>
    <row r="226" ht="15.75" customHeight="1" spans="1:26">
      <c r="A226" s="230"/>
      <c r="B226" s="230"/>
      <c r="C226" s="230"/>
      <c r="D226" s="230"/>
      <c r="E226" s="230"/>
      <c r="F226" s="230"/>
      <c r="G226" s="230"/>
      <c r="H226" s="230"/>
      <c r="I226" s="230"/>
      <c r="J226" s="230"/>
      <c r="K226" s="230"/>
      <c r="L226" s="230"/>
      <c r="M226" s="230"/>
      <c r="N226" s="230"/>
      <c r="O226" s="230"/>
      <c r="P226" s="230"/>
      <c r="Q226" s="230"/>
      <c r="R226" s="230"/>
      <c r="S226" s="230"/>
      <c r="T226" s="230"/>
      <c r="U226" s="230"/>
      <c r="V226" s="230"/>
      <c r="W226" s="230"/>
      <c r="X226" s="230"/>
      <c r="Y226" s="335"/>
      <c r="Z226" s="335"/>
    </row>
    <row r="227" ht="15.75" customHeight="1" spans="1:26">
      <c r="A227" s="230"/>
      <c r="B227" s="230"/>
      <c r="C227" s="230"/>
      <c r="D227" s="230"/>
      <c r="E227" s="230"/>
      <c r="F227" s="230"/>
      <c r="G227" s="230"/>
      <c r="H227" s="230"/>
      <c r="I227" s="230"/>
      <c r="J227" s="230"/>
      <c r="K227" s="230"/>
      <c r="L227" s="230"/>
      <c r="M227" s="230"/>
      <c r="N227" s="230"/>
      <c r="O227" s="230"/>
      <c r="P227" s="230"/>
      <c r="Q227" s="230"/>
      <c r="R227" s="230"/>
      <c r="S227" s="230"/>
      <c r="T227" s="230"/>
      <c r="U227" s="230"/>
      <c r="V227" s="230"/>
      <c r="W227" s="230"/>
      <c r="X227" s="230"/>
      <c r="Y227" s="335"/>
      <c r="Z227" s="335"/>
    </row>
    <row r="228" ht="15.75" customHeight="1" spans="1:26">
      <c r="A228" s="230"/>
      <c r="B228" s="230"/>
      <c r="C228" s="230"/>
      <c r="D228" s="230"/>
      <c r="E228" s="230"/>
      <c r="F228" s="230"/>
      <c r="G228" s="230"/>
      <c r="H228" s="230"/>
      <c r="I228" s="230"/>
      <c r="J228" s="230"/>
      <c r="K228" s="230"/>
      <c r="L228" s="230"/>
      <c r="M228" s="230"/>
      <c r="N228" s="230"/>
      <c r="O228" s="230"/>
      <c r="P228" s="230"/>
      <c r="Q228" s="230"/>
      <c r="R228" s="230"/>
      <c r="S228" s="230"/>
      <c r="T228" s="230"/>
      <c r="U228" s="230"/>
      <c r="V228" s="230"/>
      <c r="W228" s="230"/>
      <c r="X228" s="230"/>
      <c r="Y228" s="335"/>
      <c r="Z228" s="335"/>
    </row>
    <row r="229" ht="15.75" customHeight="1" spans="1:26">
      <c r="A229" s="230"/>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335"/>
      <c r="Z229" s="335"/>
    </row>
    <row r="230" ht="15.75" customHeight="1" spans="1:26">
      <c r="A230" s="230"/>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335"/>
      <c r="Z230" s="335"/>
    </row>
    <row r="231" ht="15.75" customHeight="1" spans="1:26">
      <c r="A231" s="230"/>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335"/>
      <c r="Z231" s="335"/>
    </row>
    <row r="232" ht="15.75" customHeight="1" spans="1:26">
      <c r="A232" s="230"/>
      <c r="B232" s="230"/>
      <c r="C232" s="230"/>
      <c r="D232" s="230"/>
      <c r="E232" s="230"/>
      <c r="F232" s="230"/>
      <c r="G232" s="230"/>
      <c r="H232" s="230"/>
      <c r="I232" s="230"/>
      <c r="J232" s="230"/>
      <c r="K232" s="230"/>
      <c r="L232" s="230"/>
      <c r="M232" s="230"/>
      <c r="N232" s="230"/>
      <c r="O232" s="230"/>
      <c r="P232" s="230"/>
      <c r="Q232" s="230"/>
      <c r="R232" s="230"/>
      <c r="S232" s="230"/>
      <c r="T232" s="230"/>
      <c r="U232" s="230"/>
      <c r="V232" s="230"/>
      <c r="W232" s="230"/>
      <c r="X232" s="230"/>
      <c r="Y232" s="335"/>
      <c r="Z232" s="335"/>
    </row>
    <row r="233" ht="15.75" customHeight="1" spans="1:26">
      <c r="A233" s="230"/>
      <c r="B233" s="230"/>
      <c r="C233" s="230"/>
      <c r="D233" s="230"/>
      <c r="E233" s="230"/>
      <c r="F233" s="230"/>
      <c r="G233" s="230"/>
      <c r="H233" s="230"/>
      <c r="I233" s="230"/>
      <c r="J233" s="230"/>
      <c r="K233" s="230"/>
      <c r="L233" s="230"/>
      <c r="M233" s="230"/>
      <c r="N233" s="230"/>
      <c r="O233" s="230"/>
      <c r="P233" s="230"/>
      <c r="Q233" s="230"/>
      <c r="R233" s="230"/>
      <c r="S233" s="230"/>
      <c r="T233" s="230"/>
      <c r="U233" s="230"/>
      <c r="V233" s="230"/>
      <c r="W233" s="230"/>
      <c r="X233" s="230"/>
      <c r="Y233" s="335"/>
      <c r="Z233" s="335"/>
    </row>
    <row r="234" ht="15.75" customHeight="1" spans="1:26">
      <c r="A234" s="230"/>
      <c r="B234" s="230"/>
      <c r="C234" s="230"/>
      <c r="D234" s="230"/>
      <c r="E234" s="230"/>
      <c r="F234" s="230"/>
      <c r="G234" s="230"/>
      <c r="H234" s="230"/>
      <c r="I234" s="230"/>
      <c r="J234" s="230"/>
      <c r="K234" s="230"/>
      <c r="L234" s="230"/>
      <c r="M234" s="230"/>
      <c r="N234" s="230"/>
      <c r="O234" s="230"/>
      <c r="P234" s="230"/>
      <c r="Q234" s="230"/>
      <c r="R234" s="230"/>
      <c r="S234" s="230"/>
      <c r="T234" s="230"/>
      <c r="U234" s="230"/>
      <c r="V234" s="230"/>
      <c r="W234" s="230"/>
      <c r="X234" s="230"/>
      <c r="Y234" s="335"/>
      <c r="Z234" s="335"/>
    </row>
    <row r="235" ht="15.75" customHeight="1" spans="1:26">
      <c r="A235" s="230"/>
      <c r="B235" s="230"/>
      <c r="C235" s="230"/>
      <c r="D235" s="230"/>
      <c r="E235" s="230"/>
      <c r="F235" s="230"/>
      <c r="G235" s="230"/>
      <c r="H235" s="230"/>
      <c r="I235" s="230"/>
      <c r="J235" s="230"/>
      <c r="K235" s="230"/>
      <c r="L235" s="230"/>
      <c r="M235" s="230"/>
      <c r="N235" s="230"/>
      <c r="O235" s="230"/>
      <c r="P235" s="230"/>
      <c r="Q235" s="230"/>
      <c r="R235" s="230"/>
      <c r="S235" s="230"/>
      <c r="T235" s="230"/>
      <c r="U235" s="230"/>
      <c r="V235" s="230"/>
      <c r="W235" s="230"/>
      <c r="X235" s="230"/>
      <c r="Y235" s="335"/>
      <c r="Z235" s="335"/>
    </row>
    <row r="236" ht="15.75" customHeight="1" spans="1:26">
      <c r="A236" s="230"/>
      <c r="B236" s="230"/>
      <c r="C236" s="230"/>
      <c r="D236" s="230"/>
      <c r="E236" s="230"/>
      <c r="F236" s="230"/>
      <c r="G236" s="230"/>
      <c r="H236" s="230"/>
      <c r="I236" s="230"/>
      <c r="J236" s="230"/>
      <c r="K236" s="230"/>
      <c r="L236" s="230"/>
      <c r="M236" s="230"/>
      <c r="N236" s="230"/>
      <c r="O236" s="230"/>
      <c r="P236" s="230"/>
      <c r="Q236" s="230"/>
      <c r="R236" s="230"/>
      <c r="S236" s="230"/>
      <c r="T236" s="230"/>
      <c r="U236" s="230"/>
      <c r="V236" s="230"/>
      <c r="W236" s="230"/>
      <c r="X236" s="230"/>
      <c r="Y236" s="335"/>
      <c r="Z236" s="335"/>
    </row>
    <row r="237" ht="15.75" customHeight="1" spans="1:26">
      <c r="A237" s="230"/>
      <c r="B237" s="230"/>
      <c r="C237" s="230"/>
      <c r="D237" s="230"/>
      <c r="E237" s="230"/>
      <c r="F237" s="230"/>
      <c r="G237" s="230"/>
      <c r="H237" s="230"/>
      <c r="I237" s="230"/>
      <c r="J237" s="230"/>
      <c r="K237" s="230"/>
      <c r="L237" s="230"/>
      <c r="M237" s="230"/>
      <c r="N237" s="230"/>
      <c r="O237" s="230"/>
      <c r="P237" s="230"/>
      <c r="Q237" s="230"/>
      <c r="R237" s="230"/>
      <c r="S237" s="230"/>
      <c r="T237" s="230"/>
      <c r="U237" s="230"/>
      <c r="V237" s="230"/>
      <c r="W237" s="230"/>
      <c r="X237" s="230"/>
      <c r="Y237" s="335"/>
      <c r="Z237" s="335"/>
    </row>
    <row r="238" ht="15.75" customHeight="1" spans="1:26">
      <c r="A238" s="230"/>
      <c r="B238" s="230"/>
      <c r="C238" s="230"/>
      <c r="D238" s="230"/>
      <c r="E238" s="230"/>
      <c r="F238" s="230"/>
      <c r="G238" s="230"/>
      <c r="H238" s="230"/>
      <c r="I238" s="230"/>
      <c r="J238" s="230"/>
      <c r="K238" s="230"/>
      <c r="L238" s="230"/>
      <c r="M238" s="230"/>
      <c r="N238" s="230"/>
      <c r="O238" s="230"/>
      <c r="P238" s="230"/>
      <c r="Q238" s="230"/>
      <c r="R238" s="230"/>
      <c r="S238" s="230"/>
      <c r="T238" s="230"/>
      <c r="U238" s="230"/>
      <c r="V238" s="230"/>
      <c r="W238" s="230"/>
      <c r="X238" s="230"/>
      <c r="Y238" s="335"/>
      <c r="Z238" s="335"/>
    </row>
    <row r="239" ht="15.75" customHeight="1" spans="1:26">
      <c r="A239" s="230"/>
      <c r="B239" s="230"/>
      <c r="C239" s="230"/>
      <c r="D239" s="230"/>
      <c r="E239" s="230"/>
      <c r="F239" s="230"/>
      <c r="G239" s="230"/>
      <c r="H239" s="230"/>
      <c r="I239" s="230"/>
      <c r="J239" s="230"/>
      <c r="K239" s="230"/>
      <c r="L239" s="230"/>
      <c r="M239" s="230"/>
      <c r="N239" s="230"/>
      <c r="O239" s="230"/>
      <c r="P239" s="230"/>
      <c r="Q239" s="230"/>
      <c r="R239" s="230"/>
      <c r="S239" s="230"/>
      <c r="T239" s="230"/>
      <c r="U239" s="230"/>
      <c r="V239" s="230"/>
      <c r="W239" s="230"/>
      <c r="X239" s="230"/>
      <c r="Y239" s="335"/>
      <c r="Z239" s="335"/>
    </row>
    <row r="240" ht="15.75" customHeight="1" spans="1:26">
      <c r="A240" s="230"/>
      <c r="B240" s="230"/>
      <c r="C240" s="230"/>
      <c r="D240" s="230"/>
      <c r="E240" s="230"/>
      <c r="F240" s="230"/>
      <c r="G240" s="230"/>
      <c r="H240" s="230"/>
      <c r="I240" s="230"/>
      <c r="J240" s="230"/>
      <c r="K240" s="230"/>
      <c r="L240" s="230"/>
      <c r="M240" s="230"/>
      <c r="N240" s="230"/>
      <c r="O240" s="230"/>
      <c r="P240" s="230"/>
      <c r="Q240" s="230"/>
      <c r="R240" s="230"/>
      <c r="S240" s="230"/>
      <c r="T240" s="230"/>
      <c r="U240" s="230"/>
      <c r="V240" s="230"/>
      <c r="W240" s="230"/>
      <c r="X240" s="230"/>
      <c r="Y240" s="335"/>
      <c r="Z240" s="335"/>
    </row>
    <row r="241" ht="15.75" customHeight="1" spans="1:26">
      <c r="A241" s="230"/>
      <c r="B241" s="230"/>
      <c r="C241" s="230"/>
      <c r="D241" s="230"/>
      <c r="E241" s="230"/>
      <c r="F241" s="230"/>
      <c r="G241" s="230"/>
      <c r="H241" s="230"/>
      <c r="I241" s="230"/>
      <c r="J241" s="230"/>
      <c r="K241" s="230"/>
      <c r="L241" s="230"/>
      <c r="M241" s="230"/>
      <c r="N241" s="230"/>
      <c r="O241" s="230"/>
      <c r="P241" s="230"/>
      <c r="Q241" s="230"/>
      <c r="R241" s="230"/>
      <c r="S241" s="230"/>
      <c r="T241" s="230"/>
      <c r="U241" s="230"/>
      <c r="V241" s="230"/>
      <c r="W241" s="230"/>
      <c r="X241" s="230"/>
      <c r="Y241" s="335"/>
      <c r="Z241" s="335"/>
    </row>
    <row r="242" ht="15.75" customHeight="1" spans="1:26">
      <c r="A242" s="230"/>
      <c r="B242" s="230"/>
      <c r="C242" s="230"/>
      <c r="D242" s="230"/>
      <c r="E242" s="230"/>
      <c r="F242" s="230"/>
      <c r="G242" s="230"/>
      <c r="H242" s="230"/>
      <c r="I242" s="230"/>
      <c r="J242" s="230"/>
      <c r="K242" s="230"/>
      <c r="L242" s="230"/>
      <c r="M242" s="230"/>
      <c r="N242" s="230"/>
      <c r="O242" s="230"/>
      <c r="P242" s="230"/>
      <c r="Q242" s="230"/>
      <c r="R242" s="230"/>
      <c r="S242" s="230"/>
      <c r="T242" s="230"/>
      <c r="U242" s="230"/>
      <c r="V242" s="230"/>
      <c r="W242" s="230"/>
      <c r="X242" s="230"/>
      <c r="Y242" s="335"/>
      <c r="Z242" s="335"/>
    </row>
    <row r="243" ht="15.75" customHeight="1" spans="1:26">
      <c r="A243" s="230"/>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335"/>
      <c r="Z243" s="335"/>
    </row>
    <row r="244" ht="15.75" customHeight="1" spans="1:26">
      <c r="A244" s="230"/>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335"/>
      <c r="Z244" s="335"/>
    </row>
    <row r="245" ht="15.75" customHeight="1" spans="1:26">
      <c r="A245" s="230"/>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335"/>
      <c r="Z245" s="335"/>
    </row>
    <row r="246" ht="15.75" customHeight="1" spans="1:26">
      <c r="A246" s="230"/>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335"/>
      <c r="Z246" s="335"/>
    </row>
    <row r="247" ht="15.75" customHeight="1" spans="1:26">
      <c r="A247" s="230"/>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335"/>
      <c r="Z247" s="335"/>
    </row>
    <row r="248" ht="15.75" customHeight="1" spans="1:26">
      <c r="A248" s="230"/>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335"/>
      <c r="Z248" s="335"/>
    </row>
    <row r="249" ht="15.75" customHeight="1" spans="1:26">
      <c r="A249" s="230"/>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335"/>
      <c r="Z249" s="335"/>
    </row>
    <row r="250" ht="15.75" customHeight="1" spans="1:26">
      <c r="A250" s="230"/>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335"/>
      <c r="Z250" s="335"/>
    </row>
    <row r="251" ht="15.75" customHeight="1" spans="1:26">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335"/>
      <c r="Z251" s="335"/>
    </row>
    <row r="252" ht="15.75" customHeight="1" spans="1:26">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335"/>
      <c r="Z252" s="335"/>
    </row>
    <row r="253" ht="15.75" customHeight="1" spans="1:26">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335"/>
      <c r="Z253" s="335"/>
    </row>
    <row r="254" ht="15.75" customHeight="1" spans="1:26">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335"/>
      <c r="Z254" s="335"/>
    </row>
    <row r="255" ht="15.75" customHeight="1" spans="1:26">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335"/>
      <c r="Z255" s="335"/>
    </row>
    <row r="256" ht="15.75" customHeight="1" spans="1:26">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335"/>
      <c r="Z256" s="335"/>
    </row>
    <row r="257" ht="15.75" customHeight="1" spans="1:26">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335"/>
      <c r="Z257" s="335"/>
    </row>
    <row r="258" ht="15.75" customHeight="1" spans="1:26">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335"/>
      <c r="Z258" s="335"/>
    </row>
    <row r="259" ht="15.75" customHeight="1" spans="1:26">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335"/>
      <c r="Z259" s="335"/>
    </row>
    <row r="260" ht="15.75" customHeight="1" spans="1:26">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335"/>
      <c r="Z260" s="335"/>
    </row>
    <row r="261" ht="15.75" customHeight="1" spans="1:26">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335"/>
      <c r="Z261" s="335"/>
    </row>
    <row r="262" ht="15.75" customHeight="1" spans="1:26">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335"/>
      <c r="Z262" s="335"/>
    </row>
    <row r="263" ht="15.75" customHeight="1" spans="1:26">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335"/>
      <c r="Z263" s="335"/>
    </row>
    <row r="264" ht="15.75" customHeight="1" spans="1:26">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335"/>
      <c r="Z264" s="335"/>
    </row>
    <row r="265" ht="15.75" customHeight="1" spans="1:26">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335"/>
      <c r="Z265" s="335"/>
    </row>
    <row r="266" ht="15.75" customHeight="1" spans="1:26">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335"/>
      <c r="Z266" s="335"/>
    </row>
    <row r="267" ht="15.75" customHeight="1" spans="1:26">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335"/>
      <c r="Z267" s="335"/>
    </row>
    <row r="268" ht="15.75" customHeight="1" spans="1:26">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335"/>
      <c r="Z268" s="335"/>
    </row>
    <row r="269" ht="15.75" customHeight="1" spans="1:26">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335"/>
      <c r="Z269" s="335"/>
    </row>
    <row r="270" ht="15.75" customHeight="1" spans="1:26">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335"/>
      <c r="Z270" s="335"/>
    </row>
    <row r="271" ht="15.75" customHeight="1" spans="1:26">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335"/>
      <c r="Z271" s="335"/>
    </row>
    <row r="272" ht="15.75" customHeight="1" spans="1:26">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335"/>
      <c r="Z272" s="335"/>
    </row>
    <row r="273" ht="15.75" customHeight="1" spans="1:26">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335"/>
      <c r="Z273" s="335"/>
    </row>
    <row r="274" ht="15.75" customHeight="1" spans="1:26">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335"/>
      <c r="Z274" s="335"/>
    </row>
    <row r="275" ht="15.75" customHeight="1" spans="1:26">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335"/>
      <c r="Z275" s="335"/>
    </row>
    <row r="276" ht="15.75" customHeight="1" spans="1:26">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335"/>
      <c r="Z276" s="335"/>
    </row>
    <row r="277" ht="15.75" customHeight="1" spans="1:26">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335"/>
      <c r="Z277" s="335"/>
    </row>
    <row r="278" ht="15.75" customHeight="1" spans="1:26">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335"/>
      <c r="Z278" s="335"/>
    </row>
    <row r="279" ht="15.75" customHeight="1" spans="1:26">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335"/>
      <c r="Z279" s="335"/>
    </row>
    <row r="280" ht="15.75" customHeight="1" spans="1:26">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335"/>
      <c r="Z280" s="335"/>
    </row>
    <row r="281" ht="15.75" customHeight="1" spans="1:26">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335"/>
      <c r="Z281" s="335"/>
    </row>
    <row r="282" ht="15.75" customHeight="1" spans="1:26">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335"/>
      <c r="Z282" s="335"/>
    </row>
    <row r="283" ht="15.75" customHeight="1" spans="1:26">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335"/>
      <c r="Z283" s="335"/>
    </row>
    <row r="284" ht="15.75" customHeight="1" spans="1:26">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335"/>
      <c r="Z284" s="335"/>
    </row>
    <row r="285" ht="15.75" customHeight="1" spans="1:26">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335"/>
      <c r="Z285" s="335"/>
    </row>
    <row r="286" ht="15.75" customHeight="1" spans="1:26">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335"/>
      <c r="Z286" s="335"/>
    </row>
    <row r="287" ht="15.75" customHeight="1" spans="1:26">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335"/>
      <c r="Z287" s="335"/>
    </row>
    <row r="288" ht="15.75" customHeight="1" spans="1:26">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335"/>
      <c r="Z288" s="335"/>
    </row>
    <row r="289" ht="15.75" customHeight="1" spans="1:26">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335"/>
      <c r="Z289" s="335"/>
    </row>
    <row r="290" ht="15.75" customHeight="1" spans="1:26">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335"/>
      <c r="Z290" s="335"/>
    </row>
    <row r="291" ht="15.75" customHeight="1" spans="1:26">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335"/>
      <c r="Z291" s="335"/>
    </row>
    <row r="292" ht="15.75" customHeight="1" spans="1:26">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335"/>
      <c r="Z292" s="335"/>
    </row>
    <row r="293" ht="15.75" customHeight="1" spans="1:26">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335"/>
      <c r="Z293" s="335"/>
    </row>
    <row r="294" ht="15.75" customHeight="1" spans="1:26">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335"/>
      <c r="Z294" s="335"/>
    </row>
    <row r="295" ht="15.75" customHeight="1" spans="1:26">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335"/>
      <c r="Z295" s="335"/>
    </row>
    <row r="296" ht="15.75" customHeight="1" spans="1:26">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335"/>
      <c r="Z296" s="335"/>
    </row>
    <row r="297" ht="15.75" customHeight="1" spans="1:26">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335"/>
      <c r="Z297" s="335"/>
    </row>
    <row r="298" ht="15.75" customHeight="1" spans="1:26">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335"/>
      <c r="Z298" s="335"/>
    </row>
    <row r="299" ht="15.75" customHeight="1" spans="1:26">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335"/>
      <c r="Z299" s="335"/>
    </row>
    <row r="300" ht="15.75" customHeight="1" spans="1:26">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335"/>
      <c r="Z300" s="335"/>
    </row>
    <row r="301" ht="15.75" customHeight="1" spans="1:26">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335"/>
      <c r="Z301" s="335"/>
    </row>
    <row r="302" ht="15.75" customHeight="1" spans="1:26">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335"/>
      <c r="Z302" s="335"/>
    </row>
    <row r="303" ht="15.75" customHeight="1" spans="1:26">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335"/>
      <c r="Z303" s="335"/>
    </row>
    <row r="304" ht="15.75" customHeight="1" spans="1:26">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335"/>
      <c r="Z304" s="335"/>
    </row>
    <row r="305" ht="15.75" customHeight="1" spans="1:26">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335"/>
      <c r="Z305" s="335"/>
    </row>
    <row r="306" ht="15.75" customHeight="1" spans="1:26">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335"/>
      <c r="Z306" s="335"/>
    </row>
    <row r="307" ht="15.75" customHeight="1" spans="1:26">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335"/>
      <c r="Z307" s="335"/>
    </row>
    <row r="308" ht="15.75" customHeight="1" spans="1:26">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335"/>
      <c r="Z308" s="335"/>
    </row>
    <row r="309" ht="15.75" customHeight="1" spans="1:26">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335"/>
      <c r="Z309" s="335"/>
    </row>
    <row r="310" ht="15.75" customHeight="1" spans="1:26">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335"/>
      <c r="Z310" s="335"/>
    </row>
    <row r="311" ht="15.75" customHeight="1" spans="1:26">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335"/>
      <c r="Z311" s="335"/>
    </row>
    <row r="312" ht="15.75" customHeight="1" spans="1:26">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335"/>
      <c r="Z312" s="335"/>
    </row>
    <row r="313" ht="15.75" customHeight="1" spans="1:26">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335"/>
      <c r="Z313" s="335"/>
    </row>
    <row r="314" ht="15.75" customHeight="1" spans="1:26">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335"/>
      <c r="Z314" s="335"/>
    </row>
    <row r="315" ht="15.75" customHeight="1" spans="1:26">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335"/>
      <c r="Z315" s="335"/>
    </row>
    <row r="316" ht="15.75" customHeight="1" spans="1:26">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335"/>
      <c r="Z316" s="335"/>
    </row>
    <row r="317" ht="15.75" customHeight="1" spans="1:26">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335"/>
      <c r="Z317" s="335"/>
    </row>
    <row r="318" ht="15.75" customHeight="1" spans="1:26">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335"/>
      <c r="Z318" s="335"/>
    </row>
    <row r="319" ht="15.75" customHeight="1" spans="1:26">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335"/>
      <c r="Z319" s="335"/>
    </row>
    <row r="320" ht="15.75" customHeight="1" spans="1:26">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335"/>
      <c r="Z320" s="335"/>
    </row>
    <row r="321" ht="15.75" customHeight="1" spans="1:26">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335"/>
      <c r="Z321" s="335"/>
    </row>
    <row r="322" ht="15.75" customHeight="1" spans="1:26">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335"/>
      <c r="Z322" s="335"/>
    </row>
    <row r="323" ht="15.75" customHeight="1" spans="1:26">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335"/>
      <c r="Z323" s="335"/>
    </row>
    <row r="324" ht="15.75" customHeight="1" spans="1:26">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335"/>
      <c r="Z324" s="335"/>
    </row>
    <row r="325" ht="15.75" customHeight="1" spans="1:26">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335"/>
      <c r="Z325" s="335"/>
    </row>
    <row r="326" ht="15.75" customHeight="1" spans="1:26">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335"/>
      <c r="Z326" s="335"/>
    </row>
    <row r="327" ht="15.75" customHeight="1" spans="1:26">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335"/>
      <c r="Z327" s="335"/>
    </row>
    <row r="328" ht="15.75" customHeight="1" spans="1:26">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335"/>
      <c r="Z328" s="335"/>
    </row>
    <row r="329" ht="15.75" customHeight="1" spans="1:26">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335"/>
      <c r="Z329" s="335"/>
    </row>
    <row r="330" ht="15.75" customHeight="1" spans="1:26">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335"/>
      <c r="Z330" s="335"/>
    </row>
    <row r="331" ht="15.75" customHeight="1" spans="1:26">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335"/>
      <c r="Z331" s="335"/>
    </row>
    <row r="332" ht="15.75" customHeight="1" spans="1:26">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335"/>
      <c r="Z332" s="335"/>
    </row>
    <row r="333" ht="15.75" customHeight="1" spans="1:26">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335"/>
      <c r="Z333" s="335"/>
    </row>
    <row r="334" ht="15.75" customHeight="1" spans="1:26">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335"/>
      <c r="Z334" s="335"/>
    </row>
    <row r="335" ht="15.75" customHeight="1" spans="1:26">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335"/>
      <c r="Z335" s="335"/>
    </row>
    <row r="336" ht="15.75" customHeight="1" spans="1:26">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335"/>
      <c r="Z336" s="335"/>
    </row>
    <row r="337" ht="15.75" customHeight="1" spans="1:26">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335"/>
      <c r="Z337" s="335"/>
    </row>
    <row r="338" ht="15.75" customHeight="1" spans="1:26">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335"/>
      <c r="Z338" s="335"/>
    </row>
    <row r="339" ht="15.75" customHeight="1" spans="1:26">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335"/>
      <c r="Z339" s="335"/>
    </row>
    <row r="340" ht="15.75" customHeight="1" spans="1:26">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335"/>
      <c r="Z340" s="335"/>
    </row>
    <row r="341" ht="15.75" customHeight="1" spans="1:26">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335"/>
      <c r="Z341" s="335"/>
    </row>
    <row r="342" ht="15.75" customHeight="1" spans="1:26">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335"/>
      <c r="Z342" s="335"/>
    </row>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1">
    <mergeCell ref="A11:I11"/>
    <mergeCell ref="A12:D12"/>
    <mergeCell ref="E12:G12"/>
    <mergeCell ref="H12:I12"/>
    <mergeCell ref="A13:D13"/>
    <mergeCell ref="E13:G13"/>
    <mergeCell ref="H13:I13"/>
    <mergeCell ref="A14:D14"/>
    <mergeCell ref="A15:D15"/>
    <mergeCell ref="A18:C18"/>
    <mergeCell ref="A19:C19"/>
    <mergeCell ref="A22:C22"/>
    <mergeCell ref="A23:C23"/>
    <mergeCell ref="A26:C26"/>
    <mergeCell ref="A27:C27"/>
    <mergeCell ref="A30:C30"/>
    <mergeCell ref="A31:C31"/>
    <mergeCell ref="A34:C34"/>
    <mergeCell ref="A35:C35"/>
    <mergeCell ref="A38:C38"/>
    <mergeCell ref="A39:C39"/>
    <mergeCell ref="A41:C41"/>
    <mergeCell ref="A42:C42"/>
    <mergeCell ref="A44:C44"/>
    <mergeCell ref="A45:C45"/>
    <mergeCell ref="A47:C47"/>
    <mergeCell ref="A48:C48"/>
    <mergeCell ref="A50:C50"/>
    <mergeCell ref="A51:C51"/>
    <mergeCell ref="A53:C53"/>
    <mergeCell ref="A54:C54"/>
    <mergeCell ref="A56:C56"/>
    <mergeCell ref="A57:C57"/>
    <mergeCell ref="A59:C59"/>
    <mergeCell ref="A60:C60"/>
    <mergeCell ref="A62:C62"/>
    <mergeCell ref="A63:C63"/>
    <mergeCell ref="A65:C65"/>
    <mergeCell ref="A66:C66"/>
    <mergeCell ref="A68:C68"/>
    <mergeCell ref="A69:C69"/>
    <mergeCell ref="A71:C71"/>
    <mergeCell ref="A72:C72"/>
    <mergeCell ref="A74:C74"/>
    <mergeCell ref="A75:C75"/>
    <mergeCell ref="A77:C77"/>
    <mergeCell ref="A78:C78"/>
    <mergeCell ref="A80:C80"/>
    <mergeCell ref="A81:C81"/>
    <mergeCell ref="A83:C83"/>
    <mergeCell ref="A84:C84"/>
    <mergeCell ref="A86:C86"/>
    <mergeCell ref="A87:C87"/>
    <mergeCell ref="A89:C89"/>
    <mergeCell ref="A90:C90"/>
    <mergeCell ref="A93:C93"/>
    <mergeCell ref="A94:C94"/>
    <mergeCell ref="A97:C97"/>
    <mergeCell ref="A98:C98"/>
    <mergeCell ref="A101:C101"/>
    <mergeCell ref="A102:C102"/>
    <mergeCell ref="A105:C105"/>
    <mergeCell ref="A106:C106"/>
    <mergeCell ref="A109:C109"/>
    <mergeCell ref="A110:C110"/>
    <mergeCell ref="A113:C113"/>
    <mergeCell ref="A114:C114"/>
    <mergeCell ref="A117:C117"/>
    <mergeCell ref="A118:C118"/>
    <mergeCell ref="A121:C121"/>
    <mergeCell ref="A122:C122"/>
    <mergeCell ref="A125:C125"/>
    <mergeCell ref="A126:C126"/>
    <mergeCell ref="A129:C129"/>
    <mergeCell ref="A130:C130"/>
    <mergeCell ref="A133:C133"/>
    <mergeCell ref="A134:C134"/>
    <mergeCell ref="A141:I141"/>
    <mergeCell ref="A142:I142"/>
    <mergeCell ref="A143:I143"/>
    <mergeCell ref="A1:I10"/>
  </mergeCells>
  <hyperlinks>
    <hyperlink ref="D23" r:id="rId2" display="https://www.riofrost.com.br/ar-condicionado/tubos-de-cobre/tubo-cano-de-cobre-flexivel-78-panqueca-15-metros"/>
    <hyperlink ref="G23" r:id="rId3" display="https://www.eletrofrigor.com.br/produto/tubo-de-cobre-7-8-x-1-32-panqueca-15-metros-5608?gad_source=1&amp;gclid=Cj0KCQjwiOy1BhDCARIsADGvQnAMklXLUv1AQzDh0fQ7ZzK7dPWYnT3q66F4oLqnKxSyyVc-iNSHBEYaAt_HEALw_wcB"/>
    <hyperlink ref="D27" r:id="rId4" display="https://www.meritocomercial.com.br/pressurizador-de-agua-komeco-tp40-ferro-120-w-monofasico-220v-5001001004434-p1082836?tsid=75&amp;gad_source=1&amp;gclid=Cj0KCQjwiOy1BhDCARIsADGvQnA-3Yt108XtxHTHW4MKn01ZQi8OxjPvbDkqIS4iC3GDbg3OzKW2SZUaAhOKEALw_wcB"/>
    <hyperlink ref="E27" r:id="rId5" display="https://www.climatherm.com.br/bomba-pressurizadora-de-agua-inova-gp-120-ppa-120w-220-v"/>
    <hyperlink ref="F27" r:id="rId6" display="https://www.bombashopping.com.br/pressurizador-thebe-tpa-15-9-160-monofasica-120w-127v-0000000006880/p"/>
    <hyperlink ref="D31" r:id="rId7" display="https://www.eletroluz.net/barra-chata-aluminio-78-x-18-x-6m?srsltid=AfmBOopF5axlQ7TywOIP7f3GXuNVXZ3Xe0g8IvrBp63Hbju08uEoz-18"/>
    <hyperlink ref="E31" r:id="rId8" display="https://www.ilumisul.com.br/ProdutoId_2752,98/Para-Raio/Barra-Chata-Aluminio-78-X-18-Barra-Com-6-Metros---Alubar.html?srsltid=AfmBOopHGGf_MNOKF9NB3Mex7L-zealfIRYy18KKrXu-xjXcZXsmbAj0"/>
    <hyperlink ref="F31" r:id="rId9" display="https://www.eletrofm.com.br/todos-produtos-do-site/barra-chata-aluminio-7-8-x-1-8-x-6-metros/"/>
    <hyperlink ref="D35" r:id="rId10" display="https://www.multiseg.com.br/3906/re-bar-barra-redonda-de-ao-galvanizado-a-fogo-3-8-x-3-metros-?gad_source=1&amp;gclid=Cj0KCQjwiOy1BhDCARIsADGvQnA3ENUA3jwjjZgnGMHAOKGBrvARgkzT_G1g_Ixwp0XSK-xPPyTkEPkaAsCgEALw_wcB"/>
    <hyperlink ref="E35" r:id="rId11" display="https://www.a3eletro.com.br/eletrica/sistemas-de-aterramento-e-para-raio/p-raio-vergalhao-liso-re-bar-38-3-4mt-galv-a-fogo?gad_source=1&amp;gclid=Cj0KCQjwiOy1BhDCARIsADGvQnDxNfNJEfayGT7TUGFUgO1M6N0aCWRpcAvccN1chfjPgEu5nUzl8wwaAtyKEALw_wcB"/>
    <hyperlink ref="F35" r:id="rId12" display="https://www.plenobras.com.br/646a5ae6d496504d21dfd0d8/vergalhao-re-bar-galvanizado-a-fogo-38%22x3m-raycon?gad_source=1&amp;gclid=Cj0KCQjwiOy1BhDCARIsADGvQnB-Kklj2yYVa6vngYBvs3qCxcgBlYaWBWlEtYH-j2Bdq9yLCqyRWlIaAt_QEALw_wcB"/>
    <hyperlink ref="D39" r:id="rId13" display="https://www.multiseg.com.br/718/caixa-de-equalizao-equipotencializao-20-x-20-x-12-sobrepor-9-terminais?srsltid=AfmBOopwk8fjA9ew8Lyb1F6BWt9pf1BQyBer9V9nKEbReyHLg9cs6vFX"/>
    <hyperlink ref="E39" r:id="rId14" display="https://www.eletricabichuette.com.br/caixa-equalizacao-emb-20x20-cbarr-e-9-term/p?srsltid=AfmBOoo85d-tpf52nJWt2lQrIvSOxYaewNIl4VwZrdWyxSNu1kh96FK4"/>
    <hyperlink ref="F39" r:id="rId15" display="https://www.lojacentraleletrica.com.br/produto/caixa-equalizadora-20x20x12cm-para-spda-tel0901-termotecnica?gad_source=1&amp;gclid=Cj0KCQjwiOy1BhDCARIsADGvQnDV6vVLeibGdH3O-Y3AzpQf199KRXCZ6w9-1Anq6soWCF1g1-7TATMaAjM-EALw_wcB"/>
    <hyperlink ref="D42" r:id="rId16" display="https://www.andra.com.br/saida-horizontal-para-eletroduto-3-4-pre-zincado-18-cke553-b-kennedy/p?idsku=13326&amp;gad_source=1&amp;gclid=Cj0KCQjwq_G1BhCSARIsACc7NxoKSYkqzVl-R01oPvMgpx2JF8Q5tlR4fqItT2SZ5x9PakCr9CDUodEaAlU2EALw_wcB"/>
    <hyperlink ref="E42" r:id="rId17" display="https://www.lojacentraleletrica.com.br/produto/saida-horizontal-de-3-4-para-eletrocalha?gad_source=1&amp;gclid=Cj0KCQjwq_G1BhCSARIsACc7Nxpm_IBs48jb9JEE7TOSjXi3LaaAIM7b1a2aJvS4saSLs5NvODcl_OkaAvU1EALw_wcB"/>
    <hyperlink ref="F42" r:id="rId18" display="https://www.eletrotrafo.com.br/eletrocalha-galv-38x38-saida-horizontal-p-eletroduto-1-2--bd-2051-1-19820014/p?idsku=17889&amp;gad_source=1&amp;gclid=Cj0KCQjwq_G1BhCSARIsACc7NxqeMqXW04ct2_DpwXu0iGRozhh3P2wQj_vZP2SZ_IrGrpnxQ1UjD2MaAnoBEALw_wcB"/>
    <hyperlink ref="D45" r:id="rId19" display="https://www.fourserv.com.br/produto/switch-hpe-1420-24g-24-portas-gigabit-2x-sfp-layer-2-nao-gerenciavel-52-gbps-mpn-jh017a/368136?gad_source=1&amp;gclid=Cj0KCQjwq_G1BhCSARIsACc7NxqKstl-zK5YiuajU96ZmW8y8VsNmbPS8vm1AoZbtOIMqSOu8aN5cvMaAoYdEALw_wcB"/>
    <hyperlink ref="F45" r:id="rId20" display="https://www.tekdistribuidor.com.br/switch-24-portas-hpe-aruba-1420-24g-2sfp-24-portas-gigabit-2-portas-sfp-jh017a?parceiro=4158&amp;gad_source=1&amp;gclid=Cj0KCQjwq_G1BhCSARIsACc7NxoitCJxoKQye6n0qRUkiiBf7dTGXk-KzWvQ--0WRzowdY7L0rkb7foaAjUxEALw_wcB"/>
    <hyperlink ref="D48" r:id="rId21" display="https://www.tekdistribuidor.com.br/regua-de-tomada-19-6-tomadas-10a-preta-p/rack-wj-moreira?parceiro=4158&amp;gad_source=1&amp;gclid=Cj0KCQjwq_G1BhCSARIsACc7NxoBBD4leDU0tedUiLkT3esaI6Uln-rwzDHkkHDALd-JJc-04ZdE8A0aAk6kEALw_wcB"/>
    <hyperlink ref="E48" r:id="rId22" display="https://www.unicaserv.com.br/regua-de-tomadas-10-amperes-rack-c-6-saidas-padrao-novo-nbr?parceiro=3738&amp;gad_source=1&amp;gclid=Cj0KCQjwq_G1BhCSARIsACc7NxofnUHwZSFGMxknArg8-jLCljVufivVW93Yxhrv8JCKxWsShXtOr88aAgPbEALw_wcB"/>
    <hyperlink ref="F48" r:id="rId23" display="https://www.solucaocabos.com.br/regua-padrao-19-com-6-tomadas-10a/p?idsku=11846&amp;gad_source=1&amp;gclid=Cj0KCQjwq_G1BhCSARIsACc7NxrOIX66P-fqXustKGqDVNs_GE1E-E3_4thn_ugTXvXWojZSqsXWDlgaAktzEALw_wcB"/>
    <hyperlink ref="D51" r:id="rId24" display="https://www.compracampea.com.br/produto/piso-vinilico-em-manta-tarkett-decode-fiber-2mm-x-2m-25104087-grey-50-m%C2%B2/"/>
    <hyperlink ref="E51" r:id="rId25" display="https://www.afrel.com.br/piso-vinilico-em-manta-decode-fiber-25104087.html?srsltid=AfmBOooptR0KsUmtsXt4woeGS36uwt0E-RYlao4YkQA_pkWQoF6oEEGe"/>
    <hyperlink ref="F51" r:id="rId26" display="https://www.pisotech.com.br/produto/manta-heterogenea-decode-fiber-grey-ref-25104087-26716"/>
    <hyperlink ref="D54" r:id="rId27" display="https://www.compracampea.com.br/produto/piso-vinilico-em-manta-tarkett-decode-fiber-2mm-x-2m-25104088-grege-50-m%C2%B2/"/>
    <hyperlink ref="E54" r:id="rId28" display="https://www.afrel.com.br/piso-vinilico-em-manta-decode-fiber-25104088.html?srsltid=AfmBOooCbwgc_luHXvMpsyVFouHCPJ-G6gBMtdF4ToDz51xVYOCsP90T"/>
    <hyperlink ref="F54" r:id="rId29" display="https://www.pisotech.com.br/produto/manta-heterogenea-decode-fiber-grege-ref-25104088-26717"/>
    <hyperlink ref="D60" r:id="rId30" display="https://www.essenciabrasileira.com.br/produto/rw-1-painel-acustico-120x60x05-fundo-mdf-64kgm3/"/>
    <hyperlink ref="E60" r:id="rId31" display="https://www.sonaracusticos.com.br/products/painel-acustico-high-mid-120x60x05-cm?variant=46034428002607"/>
    <hyperlink ref="F60" r:id="rId32" display="https://www.portaldaacustica.com/produto/painel-acustico-absorvedor-de-ruidos-tratamento-acustico-1200-x-600-mm-70584?gad_source=1&amp;gclid=CjwKCAjw8fu1BhBsEiwAwDrsjPdhXnvyFKpY4uz1hT7NG1PGoD4si3q6ERsinIzN-zK5pi6XvX_yzBoCDXgQAvD_BwE"/>
    <hyperlink ref="D63" r:id="rId33" display="https://www.espacosmart.com.br/v-la-de-pet-50-x-1200-x-12500-mm-15-m2/p"/>
    <hyperlink ref="E63" r:id="rId34" display="https://www.vibrashop.com.br/drywall/la-pet-preta-50mm"/>
    <hyperlink ref="F63" r:id="rId35" display="https://www.portaldaacustica.com/produto/placa-la-de-pet-branco-1200-x-600-x-50-30kg-m3-6-unidades-70502?gad_source=1&amp;gclid=Cj0KCQjw2ou2BhCCARIsANAwM2FcZqdqiTDqZV8VmCyrE0kuAqOBofBaqc2tcoP_b5BSuL3rIHE5eHoaAjXyEALw_wcB"/>
    <hyperlink ref="D66" r:id="rId36" display="https://www.shopbiovis.com.br/porta-papel-higienico-rolao-inox-visium-biovis"/>
    <hyperlink ref="E66" r:id="rId37" display="https://www.solucenter.com.br/dispenser-de-papel-higienico-inox-de-ate-400-metros-tamanho-ideal-115-001?gad_source=1&amp;gclid=Cj0KCQjw2ou2BhCCARIsANAwM2FafC2bD-_YoktrAdTl5UWQZC_vqQUEEZg27sR3D038mLkvlLwOzB4aAtvMEALw_wcB"/>
    <hyperlink ref="F66" r:id="rId38" display="https://www.elastobor.com.br/porta-papel-higienico-jsn-com-porta-cadeado-em-aco-inox-800m/p?idsku=161644016&amp;gad_source=4&amp;gclid=Cj0KCQjw2ou2BhCCARIsANAwM2Ehl7WV38673-rr_MFVlmYkYQc8xmHhmmEems9jmdq5Hon7kk-j1CMaAr8jEALw_wcB"/>
    <hyperlink ref="D69" r:id="rId39" display="https://www.artmosferabrasil.com.br/difusao-de-ar/grelhas/010-grelha-ar-a-225-x-125-trox?srsltid=AfmBOoouhFvlgP47HNzRtbWmdSTKA_fqCCt3mEdnkhq2D30JtfFBYrm5"/>
    <hyperlink ref="E69" r:id="rId40" display="https://www.frioshopping.com/difusao-de-ar/grelhas/grelha-de-retorno/grelha-de-retorno-horizontal-em-aluminio-200x100mm"/>
    <hyperlink ref="F69" r:id="rId41" display="https://loja.multivac.com.br/grelha-horizontal-movel-com-registro-anodizado-at-ag-225x125?utm_source=Site&amp;utm_medium=GoogleShopping&amp;utm_campaign=IntegracaoGoogle"/>
    <hyperlink ref="D72" r:id="rId42" display="https://www.hidrantex.com.br/placas/placa-m1-modelo-4"/>
    <hyperlink ref="E72" r:id="rId43" display="https://enfoquevisual.com.br/products/m1-sinalizacao-de-emergencia-sistemas-de-seguranca-contra-incendio-fotoluminescente-elx-082?variant=32363701993538"/>
    <hyperlink ref="F72" r:id="rId44" display="https://contraincendio.com.br/produto/sinalizacao-de-emergencia/mensagens-escritas/placa-de-sinalizacao-edificacao-m1/"/>
    <hyperlink ref="D75" r:id="rId45" display="https://www.hidrantex.com.br/placas/placa-m2-lotacao-maxima"/>
    <hyperlink ref="F75" r:id="rId46" display="https://visart-sinalizacao.lojaintegrada.com.br/lotacao-maxima-m2-mod-2?utm_source=Site&amp;utm_medium=GoogleShopping&amp;utm_campaign=IntegracaoGoogle"/>
    <hyperlink ref="D78" r:id="rId47" display="https://enfoquevisual.com.br/products/p1-sinalizacao-de-emergencia-proibicao-proibido-fumar-elx-070?variant=32363680464962"/>
    <hyperlink ref="E78" r:id="rId48" display="https://www.sinalcenter.com.br/placa-proibido-fumar-p1?utm_source=Site&amp;utm_medium=GoogleMerchant&amp;utm_campaign=GoogleMerchant&amp;sku=38L6HKCPA-pvc-expandido-2-mm-com-vinil-20x20-cm&amp;srsltid=AfmBOoriILGdHk-lY1GCwwQFaEs13xbRLRkKHHBsGCv-MVa5MYdH2waStQg"/>
    <hyperlink ref="F78" r:id="rId49" display="https://www.isinaliza.com/placa-proibido-fumar-p1/p?gad_source=1&amp;gclid=Cj0KCQjwrp-3BhDgARIsAEWJ6Sz8_sybh3p7qi4Pn7tJJE3_FyAxKEkXR1o2_bfNPVoCfK7gq-1tsvkaArZREALw_wcB&amp;idsku=66202&amp;skuId=66201&amp;utm_campaign=shopping&amp;utm_medium=shopping&amp;utm_source=google%20ads"/>
    <hyperlink ref="D81" r:id="rId50" display="https://www.lojabrasilfire.com.br/extintores/extintor-de-incendio-4kg-de-po-abc-com-validade-de-5-anos"/>
    <hyperlink ref="E81" r:id="rId51" display="https://www.protecaoextintor.com.br/extintor-pqs-4kg-abc-validade-da-carga-3-anos"/>
    <hyperlink ref="F81" r:id="rId52" display="https://contraincendio.com.br/produto/extintores-de-incendio/po-quimico-classe-abc/extintor-de-po-quimico-seco-pqs-abc-4-kg/"/>
    <hyperlink ref="D84" r:id="rId53" display="https://www.ficonereis.com.br/MLB-1611714130-ralo-linear-15x150-aluminio-reforcado-com-tela-3-15x50-_JM"/>
    <hyperlink ref="E84" r:id="rId54" display="https://www.znubigrelhas.com.br/grelha-pluvial-15x150-com-suporte-aluminio-escovado-znubi-grelhas-cia"/>
    <hyperlink ref="F84" r:id="rId55" display="https://www.leroymerlin.com.br/ralo-grelha-linear-15x150cm-elite-reforcado-em-aluminio-com-aro-de-fixacao--kit-3-pecas-de-15x50-_1567591644"/>
    <hyperlink ref="D87" r:id="rId56" display="https://www.monerettoluzhome.com.br/cruzeta-de-fibra-90x112x2300mm-300-dan-indafibras?srsltid=AfmBOooatskuQxW3oFPpJbhSQAPq-EwSG_4InY4urKqG3ryuEF_OYV3gObg"/>
    <hyperlink ref="E87" r:id="rId57" display="https://www.pooleletrica.com.br/eletrica/cruzeta-de-fibra-de-vidro-90-x-112-5-x-2000mm-400-dan-115"/>
    <hyperlink ref="F87" r:id="rId58" display="https://www.plenobras.com.br/646a5ab5d496504d21df8b60/cruzeta-polimerica-reta-oca-pposte-90x90x2000mm-tecfibras"/>
    <hyperlink ref="D90" r:id="rId59" display="https://www.abcmetal.com.br/chao-10-bicicletas?variant_id=21383&amp;parceiro=7695&amp;gad_source=1&amp;gclid=CjwKCAiA6t-6BhA3EiwAltRFGBWwazYwVnGppMOrLyj_jKiSLw1vjrT9Li8LdsCRkhYY5D6Voct7MBoCVw0QAvD_BwE"/>
    <hyperlink ref="D94" r:id="rId60" display="https://www.ajsom.com.br/produtos/extensorsuportepedestal-p-projetor43-65-cmtetobranco/?variant=711457645&amp;pf=mc&amp;gad_source=1&amp;gclid=CjwKCAiAjeW6BhBAEiwAdKltMhgHi-r9Et-gEGFJ-H4eASAbFmQqpciGKNMJTb-YeE7uOAme7atEWxoCAGoQAvD_BwE"/>
    <hyperlink ref="D98" r:id="rId61" display="https://www.gravia.com/chapa-perfurada-18-quadrado-6-00mm-ec-9mm-1000-2000mm/p?srsltid=AfmBOoos-0Gf_RvDhC093FH9JMDDyO8PqEbbwqASiaXo5rwh3Dh5cQP8"/>
    <hyperlink ref="E98" r:id="rId62" display="https://acos.dominik.com.br/product/chapa-perfurada-galvanizada-0-80mm-1-20-x-2-furo-quadrado-5mm/"/>
    <hyperlink ref="F98" r:id="rId63" display="https://telaodacadeg.lojavirtualnuvem.com.br/produtos/chapa-ferfurada-fq-5x5mm-ec9mm-esp-09mm-ac-peca-200x100m/"/>
    <hyperlink ref="D102" r:id="rId64" display="https://www.schoolcentershop.com.br/escritorio/auditorio/sc-270-poltrona-de-auditorio-especial"/>
    <hyperlink ref="E102" r:id="rId65" display="https://www.imaginemoveis.com.br/poltrona-esibire-com-braco-fixo"/>
    <hyperlink ref="F102" r:id="rId66" display="https://www.importmoveis.com.br/auditorios/poltronas-de-auditorio/poltrona-ty-93?parceiro=6145&amp;srsltid=AfmBOooqzHVo9h5_vlUgsGKXWGQenBS0bGI-IzlalVXVlZD3MC3CPPIOq1M"/>
    <hyperlink ref="D106" r:id="rId67" display="https://www.grupomoveisoffice.com.br/moveis-para-escritorio/balcao-atendimento-25mm-madrid-direita"/>
    <hyperlink ref="E106" r:id="rId68" display="https://www.grapol.com.br/produto/337015025/balcao-de-atendimento-madri-esquerdo"/>
    <hyperlink ref="F106" r:id="rId69" display="https://www.maxmoveisbh.com.br/moveis-escritorio/balcao-de-atendimento-madrid-maranello-lado-esquerdo-cod-9991"/>
    <hyperlink ref="D114" r:id="rId70" display="https://www.abcdaconstrucao.com.br/produto/cuba-de-embutir-retangular-l375-branco-deca-48x36cm-86752?keyword=&amp;creative=&amp;gad_source=1&amp;gclid=Cj0KCQiAsOq6BhDuARIsAGQ4-zhEpQ_kDdFsQRq_gEr8iQ0I309vESTHJzNA8TOH0GruKTXwdV-6pqgaAiJ_EALw_wcB"/>
    <hyperlink ref="E118" r:id="rId71" display="https://www.abmaquinaseferramentas.com.br/materiais-eletricos/acessorios-para-sistemas-eletricos/kit-100-pecas-suporte-abracadeira-plastica-para-lampada-tubular-t8-led-ou-fluorescente"/>
    <hyperlink ref="F118" r:id="rId72" display="https://www.lojasolar.com.br/abracadeira-de-plastico-para-lampada-fluorescente-branco-190-2-perlex/p?srsltid=AfmBOoq9Z7KzxXFeA5C2mtQs24Ou3lMd_GaWIXPRyFRhncH8pFMnEe33"/>
    <hyperlink ref="D122" r:id="rId73" display="https://www.eletrorastro.com.br/produto/plug-de-sobrepor-2p-t-10a-macho-preto-fame-79858?utm_source=google&amp;utm_medium=cpc&amp;gad_source=1&amp;gclid=Cj0KCQiAsOq6BhDuARIsAGQ4-zg7_yoEERa7iml6Mlip3kr0E4sgkBVcOdKeYgHjrN3t1vYW2FgJ7z4aAlkSEALw_wcB"/>
    <hyperlink ref="E122" r:id="rId74" display="https://www.andra.com.br/plug-10a-250v-pb-preto-transmobil/p?idsku=968&amp;gad_source=1&amp;gclid=Cj0KCQiAsOq6BhDuARIsAGQ4-zjRMiXk2lJ2IFMMiwnzGnTeM8npiFHs2EHGbR0UtoPdXT8EKfx2HGYaAi8UEALw_wcB"/>
    <hyperlink ref="D126" r:id="rId75" display="https://www.dimensional.com.br/54371-cabo-media-tensao-12-20kv-105g-epr-25mm2-preto-3706010144x-induscabos/p?srsltid=AfmBOooh3GvJdhT8HP5EpedeZHARUi0r8C5SDQb_fehegqj66rjhholp"/>
    <hyperlink ref="E126" r:id="rId76" display="https://www.plenobras.com.br/666149e0753bfc753e8389f4/cabo-cobre-isolado-eprpvc-105g-1220kv-1x-2500-mm2-slim-preto-nbr-7286-classe-2?srsltid=AfmBOopWngOIVFqAKVva-oxqg8ik0eAdX8M7332brKJoKitJ-MWtCYg8FEo"/>
    <hyperlink ref="F126" r:id="rId77" display="https://www.eletrofm.com.br/cabos-eletricos/cabo-pp-flex-4-x-25mm2-cobre-1kv-90o-hepr-vendido-por-metro/"/>
    <hyperlink ref="D130" r:id="rId78" display="https://loja.conduscamp.com.br/produto/cabo-aluminio-dupla-isolacao-xlpepvc-061kv-2500-mm2-preto/5470903?idSku=5979169"/>
    <hyperlink ref="F130" r:id="rId79" display="https://www.lojacentraleletrica.com.br/produto/cabo-de-aluminio-duplex-25mm-0-6-1kv-2-fases-isoladas-?gad_source=1&amp;gclid=Cj0KCQiAsOq6BhDuARIsAGQ4-zguWO7w_CUl3Zfs3G_BkWpXTv5M4mmHLFxgM2NQA55SQMUU7YQlLp4aArFJEALw_wcB"/>
  </hyperlinks>
  <pageMargins left="0.7" right="0.7" top="0.75" bottom="0.75" header="0" footer="0"/>
  <pageSetup paperSize="9" scale="45" fitToHeight="0"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1000"/>
  <sheetViews>
    <sheetView topLeftCell="A12" workbookViewId="0">
      <selection activeCell="B29" sqref="B29:F29"/>
    </sheetView>
  </sheetViews>
  <sheetFormatPr defaultColWidth="14.4380952380952" defaultRowHeight="15" customHeight="1"/>
  <cols>
    <col min="1" max="2" width="15.6666666666667" customWidth="1"/>
    <col min="3" max="3" width="47.3333333333333" customWidth="1"/>
    <col min="4" max="5" width="15.6666666666667" customWidth="1"/>
    <col min="6" max="7" width="13.6666666666667" customWidth="1"/>
    <col min="8" max="12" width="10.6666666666667" customWidth="1"/>
    <col min="13" max="13" width="8" customWidth="1"/>
    <col min="14" max="14" width="7.43809523809524" customWidth="1"/>
    <col min="15" max="15" width="33" customWidth="1"/>
    <col min="16" max="29" width="8" customWidth="1"/>
  </cols>
  <sheetData>
    <row r="1" spans="1:29">
      <c r="A1" s="292"/>
      <c r="B1" s="202"/>
      <c r="C1" s="202"/>
      <c r="D1" s="202"/>
      <c r="E1" s="202"/>
      <c r="F1" s="202"/>
      <c r="G1" s="202"/>
      <c r="H1" s="202"/>
      <c r="I1" s="256"/>
      <c r="J1" s="313"/>
      <c r="K1" s="313"/>
      <c r="L1" s="313"/>
      <c r="M1" s="230"/>
      <c r="N1" s="230"/>
      <c r="O1" s="230"/>
      <c r="P1" s="230"/>
      <c r="Q1" s="230"/>
      <c r="R1" s="230"/>
      <c r="S1" s="230"/>
      <c r="T1" s="230"/>
      <c r="U1" s="230"/>
      <c r="V1" s="230"/>
      <c r="W1" s="230"/>
      <c r="X1" s="230"/>
      <c r="Y1" s="230"/>
      <c r="Z1" s="230"/>
      <c r="AA1" s="230"/>
      <c r="AB1" s="335"/>
      <c r="AC1" s="335"/>
    </row>
    <row r="2" spans="1:29">
      <c r="A2" s="203"/>
      <c r="I2" s="257"/>
      <c r="J2" s="313"/>
      <c r="K2" s="313"/>
      <c r="L2" s="313"/>
      <c r="M2" s="230"/>
      <c r="N2" s="230"/>
      <c r="O2" s="230"/>
      <c r="P2" s="230"/>
      <c r="Q2" s="230"/>
      <c r="R2" s="230"/>
      <c r="S2" s="230"/>
      <c r="T2" s="230"/>
      <c r="U2" s="230"/>
      <c r="V2" s="230"/>
      <c r="W2" s="230"/>
      <c r="X2" s="230"/>
      <c r="Y2" s="230"/>
      <c r="Z2" s="230"/>
      <c r="AA2" s="230"/>
      <c r="AB2" s="335"/>
      <c r="AC2" s="335"/>
    </row>
    <row r="3" spans="1:29">
      <c r="A3" s="203"/>
      <c r="I3" s="257"/>
      <c r="J3" s="313"/>
      <c r="K3" s="313"/>
      <c r="L3" s="313"/>
      <c r="M3" s="230"/>
      <c r="N3" s="230"/>
      <c r="O3" s="230"/>
      <c r="P3" s="230"/>
      <c r="Q3" s="230"/>
      <c r="R3" s="230"/>
      <c r="S3" s="230"/>
      <c r="T3" s="230"/>
      <c r="U3" s="230"/>
      <c r="V3" s="230"/>
      <c r="W3" s="230"/>
      <c r="X3" s="230"/>
      <c r="Y3" s="230"/>
      <c r="Z3" s="230"/>
      <c r="AA3" s="230"/>
      <c r="AB3" s="335"/>
      <c r="AC3" s="335"/>
    </row>
    <row r="4" spans="1:29">
      <c r="A4" s="203"/>
      <c r="I4" s="257"/>
      <c r="J4" s="313"/>
      <c r="K4" s="313"/>
      <c r="L4" s="313"/>
      <c r="M4" s="230"/>
      <c r="N4" s="230"/>
      <c r="O4" s="230"/>
      <c r="P4" s="230"/>
      <c r="Q4" s="230"/>
      <c r="R4" s="230"/>
      <c r="S4" s="230"/>
      <c r="T4" s="230"/>
      <c r="U4" s="230"/>
      <c r="V4" s="230"/>
      <c r="W4" s="230"/>
      <c r="X4" s="230"/>
      <c r="Y4" s="230"/>
      <c r="Z4" s="230"/>
      <c r="AA4" s="230"/>
      <c r="AB4" s="335"/>
      <c r="AC4" s="335"/>
    </row>
    <row r="5" spans="1:29">
      <c r="A5" s="203"/>
      <c r="I5" s="257"/>
      <c r="J5" s="313"/>
      <c r="K5" s="313"/>
      <c r="L5" s="313"/>
      <c r="M5" s="230"/>
      <c r="N5" s="230"/>
      <c r="O5" s="230"/>
      <c r="P5" s="230"/>
      <c r="Q5" s="230"/>
      <c r="R5" s="230"/>
      <c r="S5" s="230"/>
      <c r="T5" s="230"/>
      <c r="U5" s="230"/>
      <c r="V5" s="230"/>
      <c r="W5" s="230"/>
      <c r="X5" s="230"/>
      <c r="Y5" s="230"/>
      <c r="Z5" s="230"/>
      <c r="AA5" s="230"/>
      <c r="AB5" s="336"/>
      <c r="AC5" s="336"/>
    </row>
    <row r="6" spans="1:29">
      <c r="A6" s="203"/>
      <c r="I6" s="257"/>
      <c r="J6" s="313"/>
      <c r="K6" s="313"/>
      <c r="L6" s="313"/>
      <c r="M6" s="230"/>
      <c r="N6" s="230"/>
      <c r="O6" s="230"/>
      <c r="P6" s="230"/>
      <c r="Q6" s="230"/>
      <c r="R6" s="230"/>
      <c r="S6" s="230"/>
      <c r="T6" s="230"/>
      <c r="U6" s="230"/>
      <c r="V6" s="230"/>
      <c r="W6" s="230"/>
      <c r="X6" s="230"/>
      <c r="Y6" s="230"/>
      <c r="Z6" s="230"/>
      <c r="AA6" s="230"/>
      <c r="AB6" s="336"/>
      <c r="AC6" s="336"/>
    </row>
    <row r="7" spans="1:29">
      <c r="A7" s="203"/>
      <c r="I7" s="257"/>
      <c r="J7" s="313"/>
      <c r="K7" s="313"/>
      <c r="L7" s="313"/>
      <c r="M7" s="230"/>
      <c r="N7" s="230"/>
      <c r="O7" s="230"/>
      <c r="P7" s="230"/>
      <c r="Q7" s="230"/>
      <c r="R7" s="230"/>
      <c r="S7" s="230"/>
      <c r="T7" s="230"/>
      <c r="U7" s="230"/>
      <c r="V7" s="230"/>
      <c r="W7" s="230"/>
      <c r="X7" s="230"/>
      <c r="Y7" s="230"/>
      <c r="Z7" s="230"/>
      <c r="AA7" s="230"/>
      <c r="AB7" s="336"/>
      <c r="AC7" s="336"/>
    </row>
    <row r="8" spans="1:29">
      <c r="A8" s="203"/>
      <c r="I8" s="257"/>
      <c r="J8" s="313"/>
      <c r="K8" s="313"/>
      <c r="L8" s="313"/>
      <c r="M8" s="230"/>
      <c r="N8" s="230"/>
      <c r="O8" s="230"/>
      <c r="P8" s="230"/>
      <c r="Q8" s="230"/>
      <c r="R8" s="230"/>
      <c r="S8" s="230"/>
      <c r="T8" s="230"/>
      <c r="U8" s="230"/>
      <c r="V8" s="230"/>
      <c r="W8" s="230"/>
      <c r="X8" s="230"/>
      <c r="Y8" s="230"/>
      <c r="Z8" s="230"/>
      <c r="AA8" s="230"/>
      <c r="AB8" s="336"/>
      <c r="AC8" s="336"/>
    </row>
    <row r="9" spans="1:29">
      <c r="A9" s="203"/>
      <c r="I9" s="257"/>
      <c r="J9" s="313"/>
      <c r="K9" s="313"/>
      <c r="L9" s="313"/>
      <c r="M9" s="230"/>
      <c r="N9" s="230"/>
      <c r="O9" s="230"/>
      <c r="P9" s="230"/>
      <c r="Q9" s="230"/>
      <c r="R9" s="230"/>
      <c r="S9" s="230"/>
      <c r="T9" s="230"/>
      <c r="U9" s="230"/>
      <c r="V9" s="230"/>
      <c r="W9" s="230"/>
      <c r="X9" s="230"/>
      <c r="Y9" s="230"/>
      <c r="Z9" s="230"/>
      <c r="AA9" s="230"/>
      <c r="AB9" s="336"/>
      <c r="AC9" s="336"/>
    </row>
    <row r="10" ht="15.75" spans="1:29">
      <c r="A10" s="204"/>
      <c r="B10" s="205"/>
      <c r="C10" s="205"/>
      <c r="D10" s="205"/>
      <c r="E10" s="205"/>
      <c r="F10" s="205"/>
      <c r="G10" s="205"/>
      <c r="H10" s="205"/>
      <c r="I10" s="258"/>
      <c r="J10" s="313"/>
      <c r="K10" s="313"/>
      <c r="L10" s="313"/>
      <c r="M10" s="230"/>
      <c r="N10" s="230"/>
      <c r="O10" s="230"/>
      <c r="P10" s="230"/>
      <c r="Q10" s="230"/>
      <c r="R10" s="230"/>
      <c r="S10" s="230"/>
      <c r="T10" s="230"/>
      <c r="U10" s="230"/>
      <c r="V10" s="230"/>
      <c r="W10" s="230"/>
      <c r="X10" s="230"/>
      <c r="Y10" s="230"/>
      <c r="Z10" s="230"/>
      <c r="AA10" s="230"/>
      <c r="AB10" s="335"/>
      <c r="AC10" s="335"/>
    </row>
    <row r="11" ht="15.75" spans="1:29">
      <c r="A11" s="206" t="s">
        <v>3652</v>
      </c>
      <c r="B11" s="207"/>
      <c r="C11" s="207"/>
      <c r="D11" s="207"/>
      <c r="E11" s="207"/>
      <c r="F11" s="207"/>
      <c r="G11" s="207"/>
      <c r="H11" s="207"/>
      <c r="I11" s="259"/>
      <c r="J11" s="313"/>
      <c r="K11" s="313"/>
      <c r="L11" s="313"/>
      <c r="M11" s="230"/>
      <c r="N11" s="230"/>
      <c r="O11" s="230"/>
      <c r="P11" s="230"/>
      <c r="Q11" s="230"/>
      <c r="R11" s="230"/>
      <c r="S11" s="230"/>
      <c r="T11" s="230"/>
      <c r="U11" s="230"/>
      <c r="V11" s="230"/>
      <c r="W11" s="230"/>
      <c r="X11" s="230"/>
      <c r="Y11" s="230"/>
      <c r="Z11" s="230"/>
      <c r="AA11" s="230"/>
      <c r="AB11" s="335"/>
      <c r="AC11" s="335"/>
    </row>
    <row r="12" spans="1:29">
      <c r="A12" s="208" t="str">
        <f>Planilha!A12</f>
        <v>UFF- CAMPUS NITERÓI</v>
      </c>
      <c r="B12" s="209"/>
      <c r="C12" s="209"/>
      <c r="D12" s="209"/>
      <c r="E12" s="293" t="str">
        <f>Planilha!E12</f>
        <v>AUTOR:</v>
      </c>
      <c r="F12" s="294"/>
      <c r="G12" s="295"/>
      <c r="H12" s="296" t="str">
        <f>Planilha!H12</f>
        <v>FUNÇÃO:</v>
      </c>
      <c r="I12" s="324"/>
      <c r="J12" s="313"/>
      <c r="K12" s="313"/>
      <c r="L12" s="313"/>
      <c r="M12" s="230"/>
      <c r="N12" s="325">
        <f>ROUND(((((1+(F18+F19+F20))*(1+F21)*(1+F22))/(1-(F28+F27+F26+F29))-1)),5)</f>
        <v>0.24657</v>
      </c>
      <c r="O12" s="230"/>
      <c r="P12" s="230"/>
      <c r="Q12" s="230"/>
      <c r="R12" s="230"/>
      <c r="S12" s="230"/>
      <c r="T12" s="230"/>
      <c r="U12" s="230"/>
      <c r="V12" s="230"/>
      <c r="W12" s="230"/>
      <c r="X12" s="230"/>
      <c r="Y12" s="230"/>
      <c r="Z12" s="230"/>
      <c r="AA12" s="230"/>
      <c r="AB12" s="335"/>
      <c r="AC12" s="335"/>
    </row>
    <row r="13" ht="15.75" spans="1:29">
      <c r="A13" s="212" t="str">
        <f>Planilha!A13</f>
        <v>LOCAL: RUA VERA CRISPINO DE FREITAS, 190-2 - BOA VIAGEM, NITERÓI-RJ</v>
      </c>
      <c r="B13" s="213"/>
      <c r="C13" s="213"/>
      <c r="D13" s="213"/>
      <c r="E13" s="214" t="str">
        <f>Planilha!E13</f>
        <v>PROCESSO: </v>
      </c>
      <c r="F13" s="215"/>
      <c r="G13" s="216"/>
      <c r="H13" s="297" t="str">
        <f>Planilha!H13</f>
        <v>ART/RRT:</v>
      </c>
      <c r="I13" s="261"/>
      <c r="J13" s="313"/>
      <c r="K13" s="313"/>
      <c r="L13" s="313"/>
      <c r="M13" s="230"/>
      <c r="N13" s="230"/>
      <c r="O13" s="230"/>
      <c r="P13" s="230"/>
      <c r="Q13" s="230"/>
      <c r="R13" s="230"/>
      <c r="S13" s="230"/>
      <c r="T13" s="230"/>
      <c r="U13" s="230"/>
      <c r="V13" s="230"/>
      <c r="W13" s="230"/>
      <c r="X13" s="230"/>
      <c r="Y13" s="230"/>
      <c r="Z13" s="230"/>
      <c r="AA13" s="230"/>
      <c r="AB13" s="335"/>
      <c r="AC13" s="335"/>
    </row>
    <row r="14" ht="15.75" spans="1:29">
      <c r="A14" s="212" t="str">
        <f>Planilha!A14</f>
        <v>NOME DA OBRA: AGÊNCIA DE INOVAÇÃO DA UFF</v>
      </c>
      <c r="B14" s="213"/>
      <c r="C14" s="213"/>
      <c r="D14" s="213"/>
      <c r="E14" s="218" t="str">
        <f>Planilha!E14</f>
        <v>BDI</v>
      </c>
      <c r="F14" s="218" t="str">
        <f>Planilha!F14</f>
        <v>BDI EQUIP.</v>
      </c>
      <c r="G14" s="218" t="str">
        <f>Planilha!G14</f>
        <v>SIAPE</v>
      </c>
      <c r="H14" s="218" t="str">
        <f>Planilha!H14</f>
        <v>DATA</v>
      </c>
      <c r="I14" s="218" t="str">
        <f>Planilha!I14</f>
        <v>REVISÃO</v>
      </c>
      <c r="J14" s="313"/>
      <c r="K14" s="313"/>
      <c r="L14" s="313"/>
      <c r="M14" s="230"/>
      <c r="N14" s="230"/>
      <c r="O14" s="230"/>
      <c r="P14" s="230"/>
      <c r="Q14" s="230"/>
      <c r="R14" s="230"/>
      <c r="S14" s="230"/>
      <c r="T14" s="230"/>
      <c r="U14" s="230"/>
      <c r="V14" s="230"/>
      <c r="W14" s="230"/>
      <c r="X14" s="230"/>
      <c r="Y14" s="230"/>
      <c r="Z14" s="230"/>
      <c r="AA14" s="230"/>
      <c r="AB14" s="335"/>
      <c r="AC14" s="335"/>
    </row>
    <row r="15" ht="15.75" spans="1:29">
      <c r="A15" s="214" t="str">
        <f>Planilha!A15</f>
        <v>BASE DE DADOS: SINAPI/2025.7 - EMOP/2025.7 - SCO/2025.7 - SBC/2025.7</v>
      </c>
      <c r="B15" s="215"/>
      <c r="C15" s="215"/>
      <c r="D15" s="215"/>
      <c r="E15" s="298">
        <f>Planilha!E15</f>
        <v>0.24657</v>
      </c>
      <c r="F15" s="299">
        <f>Planilha!F15</f>
        <v>0</v>
      </c>
      <c r="G15" s="300" t="str">
        <f>Planilha!G15</f>
        <v>0000000</v>
      </c>
      <c r="H15" s="301">
        <f>Planilha!H15</f>
        <v>45957</v>
      </c>
      <c r="I15" s="326" t="str">
        <f>Planilha!I15</f>
        <v>R03</v>
      </c>
      <c r="J15" s="313"/>
      <c r="K15" s="313"/>
      <c r="L15" s="313"/>
      <c r="M15" s="230"/>
      <c r="N15" s="230"/>
      <c r="O15" s="230"/>
      <c r="P15" s="230"/>
      <c r="Q15" s="230"/>
      <c r="R15" s="230"/>
      <c r="S15" s="230"/>
      <c r="T15" s="230"/>
      <c r="U15" s="230"/>
      <c r="V15" s="230"/>
      <c r="W15" s="230"/>
      <c r="X15" s="230"/>
      <c r="Y15" s="230"/>
      <c r="Z15" s="230"/>
      <c r="AA15" s="230"/>
      <c r="AB15" s="335"/>
      <c r="AC15" s="335"/>
    </row>
    <row r="16" spans="1:29">
      <c r="A16" s="302"/>
      <c r="B16" s="303"/>
      <c r="C16" s="303"/>
      <c r="D16" s="303"/>
      <c r="E16" s="303"/>
      <c r="F16" s="303"/>
      <c r="G16" s="303"/>
      <c r="H16" s="303"/>
      <c r="I16" s="327"/>
      <c r="J16" s="313"/>
      <c r="K16" s="313"/>
      <c r="L16" s="313"/>
      <c r="M16" s="230"/>
      <c r="N16" s="230"/>
      <c r="O16" s="230"/>
      <c r="P16" s="230"/>
      <c r="Q16" s="230"/>
      <c r="R16" s="230"/>
      <c r="S16" s="230"/>
      <c r="T16" s="230"/>
      <c r="U16" s="230"/>
      <c r="V16" s="230"/>
      <c r="W16" s="230"/>
      <c r="X16" s="230"/>
      <c r="Y16" s="230"/>
      <c r="Z16" s="230"/>
      <c r="AA16" s="230"/>
      <c r="AB16" s="335"/>
      <c r="AC16" s="335"/>
    </row>
    <row r="17" spans="1:29">
      <c r="A17" s="304"/>
      <c r="B17" s="305"/>
      <c r="C17" s="305"/>
      <c r="D17" s="305" t="s">
        <v>3653</v>
      </c>
      <c r="E17" s="305"/>
      <c r="F17" s="305"/>
      <c r="G17" s="305"/>
      <c r="H17" s="305"/>
      <c r="I17" s="328"/>
      <c r="J17" s="313"/>
      <c r="K17" s="313"/>
      <c r="L17" s="313"/>
      <c r="M17" s="230"/>
      <c r="N17" s="230"/>
      <c r="O17" s="230"/>
      <c r="P17" s="230"/>
      <c r="Q17" s="230"/>
      <c r="R17" s="230"/>
      <c r="S17" s="230"/>
      <c r="T17" s="230"/>
      <c r="U17" s="230"/>
      <c r="V17" s="230"/>
      <c r="W17" s="230"/>
      <c r="X17" s="230"/>
      <c r="Y17" s="230"/>
      <c r="Z17" s="230"/>
      <c r="AA17" s="230"/>
      <c r="AB17" s="335"/>
      <c r="AC17" s="335"/>
    </row>
    <row r="18" spans="1:29">
      <c r="A18" s="304"/>
      <c r="B18" s="306" t="s">
        <v>3654</v>
      </c>
      <c r="C18" s="306"/>
      <c r="D18" s="307">
        <v>0.03</v>
      </c>
      <c r="E18" s="305"/>
      <c r="F18" s="308">
        <f>D18</f>
        <v>0.03</v>
      </c>
      <c r="G18" s="306"/>
      <c r="H18" s="307"/>
      <c r="I18" s="328"/>
      <c r="J18" s="305"/>
      <c r="K18" s="305"/>
      <c r="L18" s="305"/>
      <c r="M18" s="230"/>
      <c r="N18" s="230"/>
      <c r="O18" s="230"/>
      <c r="P18" s="230"/>
      <c r="Q18" s="230"/>
      <c r="R18" s="230"/>
      <c r="S18" s="230"/>
      <c r="T18" s="230"/>
      <c r="U18" s="230"/>
      <c r="V18" s="230"/>
      <c r="W18" s="230"/>
      <c r="X18" s="230"/>
      <c r="Y18" s="230"/>
      <c r="Z18" s="230"/>
      <c r="AA18" s="230"/>
      <c r="AB18" s="335"/>
      <c r="AC18" s="335"/>
    </row>
    <row r="19" spans="1:29">
      <c r="A19" s="304"/>
      <c r="B19" s="306" t="s">
        <v>3655</v>
      </c>
      <c r="C19" s="306"/>
      <c r="D19" s="307">
        <v>0.0097</v>
      </c>
      <c r="E19" s="307"/>
      <c r="F19" s="308">
        <f>D19</f>
        <v>0.0097</v>
      </c>
      <c r="G19" s="306"/>
      <c r="H19" s="307"/>
      <c r="I19" s="329"/>
      <c r="J19" s="307"/>
      <c r="K19" s="307"/>
      <c r="L19" s="307"/>
      <c r="M19" s="230"/>
      <c r="N19" s="230"/>
      <c r="O19" s="230"/>
      <c r="P19" s="230"/>
      <c r="Q19" s="230"/>
      <c r="R19" s="230"/>
      <c r="S19" s="230"/>
      <c r="T19" s="230"/>
      <c r="U19" s="230"/>
      <c r="V19" s="230"/>
      <c r="W19" s="230"/>
      <c r="X19" s="230"/>
      <c r="Y19" s="230"/>
      <c r="Z19" s="230"/>
      <c r="AA19" s="230"/>
      <c r="AB19" s="335"/>
      <c r="AC19" s="335"/>
    </row>
    <row r="20" spans="1:29">
      <c r="A20" s="304"/>
      <c r="B20" s="306" t="s">
        <v>3656</v>
      </c>
      <c r="C20" s="306"/>
      <c r="D20" s="307">
        <v>0.008</v>
      </c>
      <c r="E20" s="307"/>
      <c r="F20" s="308">
        <f>D20</f>
        <v>0.008</v>
      </c>
      <c r="G20" s="306"/>
      <c r="H20" s="307"/>
      <c r="I20" s="329"/>
      <c r="J20" s="307"/>
      <c r="K20" s="307"/>
      <c r="L20" s="307"/>
      <c r="M20" s="230"/>
      <c r="N20" s="230"/>
      <c r="O20" s="230"/>
      <c r="P20" s="230"/>
      <c r="Q20" s="230"/>
      <c r="R20" s="230"/>
      <c r="S20" s="230"/>
      <c r="T20" s="230"/>
      <c r="U20" s="230"/>
      <c r="V20" s="230"/>
      <c r="W20" s="230"/>
      <c r="X20" s="230"/>
      <c r="Y20" s="230"/>
      <c r="Z20" s="230"/>
      <c r="AA20" s="230"/>
      <c r="AB20" s="335"/>
      <c r="AC20" s="335"/>
    </row>
    <row r="21" ht="15.75" customHeight="1" spans="1:29">
      <c r="A21" s="304"/>
      <c r="B21" s="306" t="s">
        <v>3657</v>
      </c>
      <c r="C21" s="306"/>
      <c r="D21" s="307">
        <v>0.0059</v>
      </c>
      <c r="E21" s="305"/>
      <c r="F21" s="308">
        <f>D21</f>
        <v>0.0059</v>
      </c>
      <c r="G21" s="306"/>
      <c r="H21" s="307"/>
      <c r="I21" s="328"/>
      <c r="J21" s="305"/>
      <c r="K21" s="305"/>
      <c r="L21" s="305"/>
      <c r="M21" s="230"/>
      <c r="N21" s="230"/>
      <c r="O21" s="230"/>
      <c r="P21" s="230"/>
      <c r="Q21" s="230"/>
      <c r="R21" s="230"/>
      <c r="S21" s="230"/>
      <c r="T21" s="230"/>
      <c r="U21" s="230"/>
      <c r="V21" s="230"/>
      <c r="W21" s="230"/>
      <c r="X21" s="230"/>
      <c r="Y21" s="230"/>
      <c r="Z21" s="230"/>
      <c r="AA21" s="230"/>
      <c r="AB21" s="335"/>
      <c r="AC21" s="335"/>
    </row>
    <row r="22" ht="15.75" customHeight="1" spans="1:29">
      <c r="A22" s="309"/>
      <c r="B22" s="306" t="s">
        <v>3658</v>
      </c>
      <c r="C22" s="306"/>
      <c r="D22" s="307">
        <v>0.0616</v>
      </c>
      <c r="E22" s="305"/>
      <c r="F22" s="308">
        <f>D22</f>
        <v>0.0616</v>
      </c>
      <c r="G22" s="306"/>
      <c r="H22" s="307"/>
      <c r="I22" s="328"/>
      <c r="J22" s="305"/>
      <c r="K22" s="305"/>
      <c r="L22" s="305"/>
      <c r="M22" s="230"/>
      <c r="N22" s="315"/>
      <c r="O22" s="315"/>
      <c r="P22" s="315"/>
      <c r="Q22" s="315"/>
      <c r="R22" s="315"/>
      <c r="S22" s="315"/>
      <c r="T22" s="315"/>
      <c r="U22" s="315"/>
      <c r="V22" s="315"/>
      <c r="W22" s="315"/>
      <c r="X22" s="315"/>
      <c r="Y22" s="315"/>
      <c r="Z22" s="315"/>
      <c r="AA22" s="315"/>
      <c r="AB22" s="335"/>
      <c r="AC22" s="335"/>
    </row>
    <row r="23" ht="15.75" customHeight="1" spans="1:29">
      <c r="A23" s="309"/>
      <c r="B23" s="306" t="s">
        <v>3659</v>
      </c>
      <c r="C23" s="306"/>
      <c r="D23" s="305"/>
      <c r="E23" s="305"/>
      <c r="F23" s="307"/>
      <c r="G23" s="306"/>
      <c r="H23" s="305"/>
      <c r="I23" s="328"/>
      <c r="J23" s="305"/>
      <c r="K23" s="305"/>
      <c r="L23" s="305"/>
      <c r="M23" s="230"/>
      <c r="N23" s="315"/>
      <c r="O23" s="315"/>
      <c r="P23" s="315"/>
      <c r="Q23" s="315"/>
      <c r="R23" s="315"/>
      <c r="S23" s="315"/>
      <c r="T23" s="315"/>
      <c r="U23" s="315"/>
      <c r="V23" s="315"/>
      <c r="W23" s="315"/>
      <c r="X23" s="315"/>
      <c r="Y23" s="315"/>
      <c r="Z23" s="315"/>
      <c r="AA23" s="315"/>
      <c r="AB23" s="335"/>
      <c r="AC23" s="335"/>
    </row>
    <row r="24" ht="15.75" customHeight="1" spans="1:29">
      <c r="A24" s="309"/>
      <c r="B24" s="305"/>
      <c r="C24" s="305"/>
      <c r="D24" s="305"/>
      <c r="E24" s="305"/>
      <c r="F24" s="307"/>
      <c r="G24" s="305"/>
      <c r="H24" s="305"/>
      <c r="I24" s="328"/>
      <c r="J24" s="305"/>
      <c r="K24" s="305"/>
      <c r="L24" s="305"/>
      <c r="M24" s="230"/>
      <c r="N24" s="315"/>
      <c r="O24" s="315"/>
      <c r="P24" s="315"/>
      <c r="Q24" s="315"/>
      <c r="R24" s="315"/>
      <c r="S24" s="315"/>
      <c r="T24" s="315"/>
      <c r="U24" s="315"/>
      <c r="V24" s="315"/>
      <c r="W24" s="315"/>
      <c r="X24" s="315"/>
      <c r="Y24" s="315"/>
      <c r="Z24" s="315"/>
      <c r="AA24" s="315"/>
      <c r="AB24" s="336"/>
      <c r="AC24" s="336"/>
    </row>
    <row r="25" ht="15.75" customHeight="1" spans="1:29">
      <c r="A25" s="309"/>
      <c r="B25" s="310" t="s">
        <v>3660</v>
      </c>
      <c r="C25" s="310"/>
      <c r="D25" s="310"/>
      <c r="E25" s="310"/>
      <c r="F25" s="311"/>
      <c r="G25" s="310"/>
      <c r="H25" s="310"/>
      <c r="I25" s="330"/>
      <c r="J25" s="310"/>
      <c r="K25" s="310"/>
      <c r="L25" s="310"/>
      <c r="M25" s="230"/>
      <c r="N25" s="315"/>
      <c r="O25" s="315"/>
      <c r="P25" s="315"/>
      <c r="Q25" s="315"/>
      <c r="R25" s="315"/>
      <c r="S25" s="315"/>
      <c r="T25" s="315"/>
      <c r="U25" s="315"/>
      <c r="V25" s="315"/>
      <c r="W25" s="315"/>
      <c r="X25" s="315"/>
      <c r="Y25" s="315"/>
      <c r="Z25" s="315"/>
      <c r="AA25" s="315"/>
      <c r="AB25" s="336"/>
      <c r="AC25" s="336"/>
    </row>
    <row r="26" ht="15.75" customHeight="1" spans="1:29">
      <c r="A26" s="309"/>
      <c r="B26" s="310" t="s">
        <v>3661</v>
      </c>
      <c r="C26" s="310"/>
      <c r="D26" s="310"/>
      <c r="E26" s="310"/>
      <c r="F26" s="308">
        <v>0.0065</v>
      </c>
      <c r="G26" s="310"/>
      <c r="H26" s="310"/>
      <c r="I26" s="330"/>
      <c r="J26" s="310"/>
      <c r="K26" s="310"/>
      <c r="L26" s="310"/>
      <c r="M26" s="230"/>
      <c r="N26" s="315"/>
      <c r="O26" s="315"/>
      <c r="P26" s="315"/>
      <c r="Q26" s="315"/>
      <c r="R26" s="315"/>
      <c r="S26" s="315"/>
      <c r="T26" s="315"/>
      <c r="U26" s="315"/>
      <c r="V26" s="315"/>
      <c r="W26" s="315"/>
      <c r="X26" s="315"/>
      <c r="Y26" s="315"/>
      <c r="Z26" s="315"/>
      <c r="AA26" s="315"/>
      <c r="AB26" s="336"/>
      <c r="AC26" s="336"/>
    </row>
    <row r="27" ht="15.75" customHeight="1" spans="1:29">
      <c r="A27" s="309"/>
      <c r="B27" s="310" t="s">
        <v>3662</v>
      </c>
      <c r="C27" s="310"/>
      <c r="D27" s="310"/>
      <c r="E27" s="310"/>
      <c r="F27" s="308">
        <v>0.03</v>
      </c>
      <c r="G27" s="310"/>
      <c r="H27" s="310"/>
      <c r="I27" s="330"/>
      <c r="J27" s="310"/>
      <c r="K27" s="310"/>
      <c r="L27" s="310"/>
      <c r="M27" s="230"/>
      <c r="N27" s="315"/>
      <c r="O27" s="315"/>
      <c r="P27" s="315"/>
      <c r="Q27" s="315"/>
      <c r="R27" s="315"/>
      <c r="S27" s="315"/>
      <c r="T27" s="315"/>
      <c r="U27" s="315"/>
      <c r="V27" s="315"/>
      <c r="W27" s="315"/>
      <c r="X27" s="315"/>
      <c r="Y27" s="315"/>
      <c r="Z27" s="315"/>
      <c r="AA27" s="315"/>
      <c r="AB27" s="336"/>
      <c r="AC27" s="336"/>
    </row>
    <row r="28" ht="15.75" customHeight="1" spans="1:29">
      <c r="A28" s="309"/>
      <c r="B28" s="310" t="s">
        <v>3663</v>
      </c>
      <c r="C28" s="310"/>
      <c r="D28" s="310"/>
      <c r="E28" s="310"/>
      <c r="F28" s="308">
        <v>0.03</v>
      </c>
      <c r="G28" s="310"/>
      <c r="H28" s="310"/>
      <c r="I28" s="330"/>
      <c r="J28" s="310"/>
      <c r="K28" s="310"/>
      <c r="L28" s="310"/>
      <c r="M28" s="230"/>
      <c r="N28" s="315"/>
      <c r="O28" s="315"/>
      <c r="P28" s="315"/>
      <c r="Q28" s="315"/>
      <c r="R28" s="315"/>
      <c r="S28" s="315"/>
      <c r="T28" s="315"/>
      <c r="U28" s="315"/>
      <c r="V28" s="315"/>
      <c r="W28" s="315"/>
      <c r="X28" s="315"/>
      <c r="Y28" s="315"/>
      <c r="Z28" s="315"/>
      <c r="AA28" s="315"/>
      <c r="AB28" s="336"/>
      <c r="AC28" s="336"/>
    </row>
    <row r="29" ht="15.75" customHeight="1" spans="1:29">
      <c r="A29" s="309"/>
      <c r="B29" s="312" t="s">
        <v>3664</v>
      </c>
      <c r="C29" s="310"/>
      <c r="D29" s="310"/>
      <c r="E29" s="310"/>
      <c r="F29" s="308">
        <v>0.036</v>
      </c>
      <c r="G29" s="310"/>
      <c r="H29" s="310"/>
      <c r="I29" s="330"/>
      <c r="J29" s="310"/>
      <c r="K29" s="310"/>
      <c r="L29" s="310"/>
      <c r="M29" s="230"/>
      <c r="N29" s="315"/>
      <c r="O29" s="315"/>
      <c r="P29" s="315"/>
      <c r="Q29" s="315"/>
      <c r="R29" s="315"/>
      <c r="S29" s="315"/>
      <c r="T29" s="315"/>
      <c r="U29" s="315"/>
      <c r="V29" s="315"/>
      <c r="W29" s="315"/>
      <c r="X29" s="315"/>
      <c r="Y29" s="315"/>
      <c r="Z29" s="315"/>
      <c r="AA29" s="315"/>
      <c r="AB29" s="336"/>
      <c r="AC29" s="336"/>
    </row>
    <row r="30" ht="15.75" customHeight="1" spans="1:29">
      <c r="A30" s="309"/>
      <c r="B30" s="313"/>
      <c r="C30" s="314"/>
      <c r="D30" s="314"/>
      <c r="E30" s="314"/>
      <c r="F30" s="313"/>
      <c r="G30" s="315"/>
      <c r="H30" s="315"/>
      <c r="I30" s="331"/>
      <c r="J30" s="315"/>
      <c r="K30" s="315"/>
      <c r="L30" s="315"/>
      <c r="M30" s="230"/>
      <c r="N30" s="315"/>
      <c r="O30" s="315"/>
      <c r="P30" s="315"/>
      <c r="Q30" s="315"/>
      <c r="R30" s="315"/>
      <c r="S30" s="315"/>
      <c r="T30" s="315"/>
      <c r="U30" s="315"/>
      <c r="V30" s="315"/>
      <c r="W30" s="315"/>
      <c r="X30" s="315"/>
      <c r="Y30" s="315"/>
      <c r="Z30" s="315"/>
      <c r="AA30" s="315"/>
      <c r="AB30" s="336"/>
      <c r="AC30" s="336"/>
    </row>
    <row r="31" ht="15.75" customHeight="1" spans="1:29">
      <c r="A31" s="316"/>
      <c r="B31" s="306"/>
      <c r="C31" s="306"/>
      <c r="D31" s="306"/>
      <c r="E31" s="306"/>
      <c r="F31" s="306"/>
      <c r="G31" s="306"/>
      <c r="H31" s="306"/>
      <c r="I31" s="330"/>
      <c r="J31" s="310"/>
      <c r="K31" s="310"/>
      <c r="L31" s="310"/>
      <c r="M31" s="313"/>
      <c r="N31" s="313"/>
      <c r="O31" s="313"/>
      <c r="P31" s="313"/>
      <c r="Q31" s="313"/>
      <c r="R31" s="313"/>
      <c r="S31" s="313"/>
      <c r="T31" s="313"/>
      <c r="U31" s="313"/>
      <c r="V31" s="313"/>
      <c r="W31" s="313"/>
      <c r="X31" s="313"/>
      <c r="Y31" s="313"/>
      <c r="Z31" s="313"/>
      <c r="AA31" s="313"/>
      <c r="AB31" s="313"/>
      <c r="AC31" s="313"/>
    </row>
    <row r="32" ht="15.75" customHeight="1" spans="1:29">
      <c r="A32" s="317"/>
      <c r="B32" s="310"/>
      <c r="C32" s="310"/>
      <c r="D32" s="310"/>
      <c r="E32" s="310"/>
      <c r="F32" s="318">
        <f>N12</f>
        <v>0.24657</v>
      </c>
      <c r="G32" s="310"/>
      <c r="H32" s="310"/>
      <c r="I32" s="332"/>
      <c r="J32" s="313"/>
      <c r="K32" s="313"/>
      <c r="L32" s="313"/>
      <c r="M32" s="313"/>
      <c r="N32" s="313"/>
      <c r="O32" s="313"/>
      <c r="P32" s="313"/>
      <c r="Q32" s="313"/>
      <c r="R32" s="313"/>
      <c r="S32" s="313"/>
      <c r="T32" s="313"/>
      <c r="U32" s="313"/>
      <c r="V32" s="313"/>
      <c r="W32" s="313"/>
      <c r="X32" s="313"/>
      <c r="Y32" s="313"/>
      <c r="Z32" s="313"/>
      <c r="AA32" s="313"/>
      <c r="AB32" s="313"/>
      <c r="AC32" s="313"/>
    </row>
    <row r="33" ht="15.75" customHeight="1" spans="1:29">
      <c r="A33" s="317"/>
      <c r="B33" s="310"/>
      <c r="C33" s="310"/>
      <c r="D33" s="310"/>
      <c r="E33" s="310"/>
      <c r="G33" s="310"/>
      <c r="H33" s="310"/>
      <c r="I33" s="332"/>
      <c r="J33" s="313"/>
      <c r="K33" s="313"/>
      <c r="L33" s="313"/>
      <c r="M33" s="313"/>
      <c r="N33" s="313"/>
      <c r="O33" s="313"/>
      <c r="P33" s="313"/>
      <c r="Q33" s="313"/>
      <c r="R33" s="313"/>
      <c r="S33" s="313"/>
      <c r="T33" s="313"/>
      <c r="U33" s="313"/>
      <c r="V33" s="313"/>
      <c r="W33" s="313"/>
      <c r="X33" s="313"/>
      <c r="Y33" s="313"/>
      <c r="Z33" s="313"/>
      <c r="AA33" s="313"/>
      <c r="AB33" s="313"/>
      <c r="AC33" s="313"/>
    </row>
    <row r="34" ht="15.75" customHeight="1" spans="1:29">
      <c r="A34" s="317"/>
      <c r="B34" s="310"/>
      <c r="C34" s="310"/>
      <c r="D34" s="310"/>
      <c r="E34" s="310"/>
      <c r="G34" s="310"/>
      <c r="H34" s="310"/>
      <c r="I34" s="332"/>
      <c r="J34" s="313"/>
      <c r="K34" s="313"/>
      <c r="L34" s="313"/>
      <c r="M34" s="313"/>
      <c r="N34" s="313"/>
      <c r="O34" s="313"/>
      <c r="P34" s="313"/>
      <c r="Q34" s="313"/>
      <c r="R34" s="313"/>
      <c r="S34" s="313"/>
      <c r="T34" s="313"/>
      <c r="U34" s="313"/>
      <c r="V34" s="313"/>
      <c r="W34" s="313"/>
      <c r="X34" s="313"/>
      <c r="Y34" s="313"/>
      <c r="Z34" s="313"/>
      <c r="AA34" s="313"/>
      <c r="AB34" s="313"/>
      <c r="AC34" s="313"/>
    </row>
    <row r="35" ht="15.75" customHeight="1" spans="1:29">
      <c r="A35" s="317"/>
      <c r="B35" s="310"/>
      <c r="C35" s="310"/>
      <c r="D35" s="310"/>
      <c r="E35" s="310"/>
      <c r="G35" s="310"/>
      <c r="H35" s="310"/>
      <c r="I35" s="332"/>
      <c r="J35" s="313"/>
      <c r="K35" s="313"/>
      <c r="L35" s="313"/>
      <c r="M35" s="313"/>
      <c r="N35" s="313"/>
      <c r="O35" s="313"/>
      <c r="P35" s="313"/>
      <c r="Q35" s="313"/>
      <c r="R35" s="313"/>
      <c r="S35" s="313"/>
      <c r="T35" s="313"/>
      <c r="U35" s="313"/>
      <c r="V35" s="313"/>
      <c r="W35" s="313"/>
      <c r="X35" s="313"/>
      <c r="Y35" s="313"/>
      <c r="Z35" s="313"/>
      <c r="AA35" s="313"/>
      <c r="AB35" s="313"/>
      <c r="AC35" s="313"/>
    </row>
    <row r="36" ht="15.75" customHeight="1" spans="1:29">
      <c r="A36" s="317"/>
      <c r="B36" s="310"/>
      <c r="C36" s="310"/>
      <c r="D36" s="310"/>
      <c r="E36" s="310"/>
      <c r="F36" s="310"/>
      <c r="G36" s="310"/>
      <c r="H36" s="310"/>
      <c r="I36" s="330"/>
      <c r="J36" s="310"/>
      <c r="K36" s="310"/>
      <c r="L36" s="310"/>
      <c r="M36" s="313"/>
      <c r="N36" s="313"/>
      <c r="O36" s="313"/>
      <c r="P36" s="313"/>
      <c r="Q36" s="313"/>
      <c r="R36" s="313"/>
      <c r="S36" s="313"/>
      <c r="T36" s="313"/>
      <c r="U36" s="313"/>
      <c r="V36" s="313"/>
      <c r="W36" s="313"/>
      <c r="X36" s="313"/>
      <c r="Y36" s="313"/>
      <c r="Z36" s="313"/>
      <c r="AA36" s="313"/>
      <c r="AB36" s="313"/>
      <c r="AC36" s="313"/>
    </row>
    <row r="37" ht="15.75" customHeight="1" spans="1:29">
      <c r="A37" s="317"/>
      <c r="B37" s="310"/>
      <c r="C37" s="310"/>
      <c r="D37" s="310"/>
      <c r="E37" s="310"/>
      <c r="F37" s="310"/>
      <c r="G37" s="310"/>
      <c r="H37" s="310"/>
      <c r="I37" s="330"/>
      <c r="J37" s="310"/>
      <c r="K37" s="310"/>
      <c r="L37" s="310"/>
      <c r="M37" s="313"/>
      <c r="N37" s="313"/>
      <c r="O37" s="313"/>
      <c r="P37" s="313"/>
      <c r="Q37" s="313"/>
      <c r="R37" s="313"/>
      <c r="S37" s="313"/>
      <c r="T37" s="313"/>
      <c r="U37" s="313"/>
      <c r="V37" s="313"/>
      <c r="W37" s="313"/>
      <c r="X37" s="313"/>
      <c r="Y37" s="313"/>
      <c r="Z37" s="313"/>
      <c r="AA37" s="313"/>
      <c r="AB37" s="313"/>
      <c r="AC37" s="313"/>
    </row>
    <row r="38" ht="15.75" customHeight="1" spans="1:29">
      <c r="A38" s="317"/>
      <c r="B38" s="310"/>
      <c r="C38" s="310"/>
      <c r="D38" s="310"/>
      <c r="E38" s="310"/>
      <c r="F38" s="310"/>
      <c r="G38" s="310"/>
      <c r="H38" s="310"/>
      <c r="I38" s="330"/>
      <c r="J38" s="310"/>
      <c r="K38" s="310"/>
      <c r="L38" s="310"/>
      <c r="M38" s="313"/>
      <c r="N38" s="313"/>
      <c r="O38" s="313"/>
      <c r="P38" s="313"/>
      <c r="Q38" s="313"/>
      <c r="R38" s="313"/>
      <c r="S38" s="313"/>
      <c r="T38" s="313"/>
      <c r="U38" s="313"/>
      <c r="V38" s="313"/>
      <c r="W38" s="313"/>
      <c r="X38" s="313"/>
      <c r="Y38" s="313"/>
      <c r="Z38" s="313"/>
      <c r="AA38" s="313"/>
      <c r="AB38" s="313"/>
      <c r="AC38" s="313"/>
    </row>
    <row r="39" ht="15.75" customHeight="1" spans="1:29">
      <c r="A39" s="317"/>
      <c r="B39" s="310"/>
      <c r="C39" s="310"/>
      <c r="D39" s="310"/>
      <c r="E39" s="310"/>
      <c r="F39" s="310"/>
      <c r="G39" s="310"/>
      <c r="H39" s="310"/>
      <c r="I39" s="330"/>
      <c r="J39" s="310"/>
      <c r="K39" s="310"/>
      <c r="L39" s="310"/>
      <c r="M39" s="313"/>
      <c r="N39" s="313"/>
      <c r="O39" s="313"/>
      <c r="P39" s="313"/>
      <c r="Q39" s="313"/>
      <c r="R39" s="313"/>
      <c r="S39" s="313"/>
      <c r="T39" s="313"/>
      <c r="U39" s="313"/>
      <c r="V39" s="313"/>
      <c r="W39" s="313"/>
      <c r="X39" s="313"/>
      <c r="Y39" s="313"/>
      <c r="Z39" s="313"/>
      <c r="AA39" s="313"/>
      <c r="AB39" s="313"/>
      <c r="AC39" s="313"/>
    </row>
    <row r="40" ht="15.75" customHeight="1" spans="1:29">
      <c r="A40" s="319"/>
      <c r="B40" s="320"/>
      <c r="C40" s="320"/>
      <c r="D40" s="320"/>
      <c r="E40" s="320"/>
      <c r="F40" s="320"/>
      <c r="G40" s="320"/>
      <c r="H40" s="320"/>
      <c r="I40" s="333"/>
      <c r="J40" s="310"/>
      <c r="K40" s="310"/>
      <c r="L40" s="310"/>
      <c r="M40" s="313"/>
      <c r="N40" s="313"/>
      <c r="O40" s="313"/>
      <c r="P40" s="313"/>
      <c r="Q40" s="313"/>
      <c r="R40" s="313"/>
      <c r="S40" s="313"/>
      <c r="T40" s="313"/>
      <c r="U40" s="313"/>
      <c r="V40" s="313"/>
      <c r="W40" s="313"/>
      <c r="X40" s="313"/>
      <c r="Y40" s="313"/>
      <c r="Z40" s="313"/>
      <c r="AA40" s="313"/>
      <c r="AB40" s="313"/>
      <c r="AC40" s="313"/>
    </row>
    <row r="41" ht="15.75" customHeight="1" spans="1:29">
      <c r="A41" s="310"/>
      <c r="B41" s="310"/>
      <c r="C41" s="310"/>
      <c r="D41" s="310"/>
      <c r="E41" s="310"/>
      <c r="F41" s="310"/>
      <c r="G41" s="310"/>
      <c r="H41" s="310"/>
      <c r="I41" s="310"/>
      <c r="J41" s="310"/>
      <c r="K41" s="310"/>
      <c r="L41" s="310"/>
      <c r="M41" s="313"/>
      <c r="N41" s="313"/>
      <c r="O41" s="313"/>
      <c r="P41" s="313"/>
      <c r="Q41" s="313"/>
      <c r="R41" s="313"/>
      <c r="S41" s="313"/>
      <c r="T41" s="313"/>
      <c r="U41" s="313"/>
      <c r="V41" s="313"/>
      <c r="W41" s="313"/>
      <c r="X41" s="313"/>
      <c r="Y41" s="313"/>
      <c r="Z41" s="313"/>
      <c r="AA41" s="313"/>
      <c r="AB41" s="313"/>
      <c r="AC41" s="313"/>
    </row>
    <row r="42" ht="15.75" customHeight="1" spans="1:29">
      <c r="A42" s="310"/>
      <c r="B42" s="310"/>
      <c r="C42" s="310"/>
      <c r="D42" s="310"/>
      <c r="E42" s="310"/>
      <c r="F42" s="310"/>
      <c r="G42" s="310"/>
      <c r="H42" s="310"/>
      <c r="I42" s="310"/>
      <c r="J42" s="310"/>
      <c r="K42" s="310"/>
      <c r="L42" s="310"/>
      <c r="M42" s="313"/>
      <c r="N42" s="313"/>
      <c r="O42" s="313"/>
      <c r="P42" s="313"/>
      <c r="Q42" s="313"/>
      <c r="R42" s="313"/>
      <c r="S42" s="313"/>
      <c r="T42" s="313"/>
      <c r="U42" s="313"/>
      <c r="V42" s="313"/>
      <c r="W42" s="313"/>
      <c r="X42" s="313"/>
      <c r="Y42" s="313"/>
      <c r="Z42" s="313"/>
      <c r="AA42" s="313"/>
      <c r="AB42" s="313"/>
      <c r="AC42" s="313"/>
    </row>
    <row r="43" ht="15.75" customHeight="1" spans="1:29">
      <c r="A43" s="310"/>
      <c r="B43" s="310"/>
      <c r="C43" s="310"/>
      <c r="D43" s="310"/>
      <c r="E43" s="310"/>
      <c r="F43" s="310"/>
      <c r="G43" s="310"/>
      <c r="H43" s="310"/>
      <c r="I43" s="310"/>
      <c r="J43" s="310"/>
      <c r="K43" s="310"/>
      <c r="L43" s="310"/>
      <c r="M43" s="313"/>
      <c r="N43" s="313"/>
      <c r="O43" s="313"/>
      <c r="P43" s="313"/>
      <c r="Q43" s="313"/>
      <c r="R43" s="313"/>
      <c r="S43" s="313"/>
      <c r="T43" s="313"/>
      <c r="U43" s="313"/>
      <c r="V43" s="313"/>
      <c r="W43" s="313"/>
      <c r="X43" s="313"/>
      <c r="Y43" s="313"/>
      <c r="Z43" s="313"/>
      <c r="AA43" s="313"/>
      <c r="AB43" s="313"/>
      <c r="AC43" s="313"/>
    </row>
    <row r="44" ht="15.75" customHeight="1" spans="1:29">
      <c r="A44" s="310"/>
      <c r="B44" s="310"/>
      <c r="C44" s="310"/>
      <c r="D44" s="310"/>
      <c r="E44" s="310"/>
      <c r="F44" s="310"/>
      <c r="G44" s="310"/>
      <c r="H44" s="310"/>
      <c r="I44" s="310"/>
      <c r="J44" s="310"/>
      <c r="K44" s="310"/>
      <c r="L44" s="310"/>
      <c r="M44" s="313"/>
      <c r="N44" s="313"/>
      <c r="O44" s="313"/>
      <c r="P44" s="313"/>
      <c r="Q44" s="313"/>
      <c r="R44" s="313"/>
      <c r="S44" s="313"/>
      <c r="T44" s="313"/>
      <c r="U44" s="313"/>
      <c r="V44" s="313"/>
      <c r="W44" s="313"/>
      <c r="X44" s="313"/>
      <c r="Y44" s="313"/>
      <c r="Z44" s="313"/>
      <c r="AA44" s="313"/>
      <c r="AB44" s="313"/>
      <c r="AC44" s="313"/>
    </row>
    <row r="45" ht="15.75" customHeight="1" spans="1:29">
      <c r="A45" s="310"/>
      <c r="B45" s="310"/>
      <c r="C45" s="310"/>
      <c r="D45" s="310"/>
      <c r="E45" s="310"/>
      <c r="F45" s="310"/>
      <c r="G45" s="310"/>
      <c r="H45" s="310"/>
      <c r="I45" s="310"/>
      <c r="J45" s="310"/>
      <c r="K45" s="310"/>
      <c r="L45" s="310"/>
      <c r="M45" s="313"/>
      <c r="N45" s="313"/>
      <c r="O45" s="313"/>
      <c r="P45" s="313"/>
      <c r="Q45" s="313"/>
      <c r="R45" s="313"/>
      <c r="S45" s="313"/>
      <c r="T45" s="313"/>
      <c r="U45" s="313"/>
      <c r="V45" s="313"/>
      <c r="W45" s="313"/>
      <c r="X45" s="313"/>
      <c r="Y45" s="313"/>
      <c r="Z45" s="313"/>
      <c r="AA45" s="313"/>
      <c r="AB45" s="313"/>
      <c r="AC45" s="313"/>
    </row>
    <row r="46" ht="15.75" customHeight="1" spans="1:29">
      <c r="A46" s="310"/>
      <c r="B46" s="310"/>
      <c r="C46" s="310"/>
      <c r="D46" s="310"/>
      <c r="E46" s="310"/>
      <c r="F46" s="310"/>
      <c r="G46" s="310"/>
      <c r="H46" s="310"/>
      <c r="I46" s="310"/>
      <c r="J46" s="310"/>
      <c r="K46" s="310"/>
      <c r="L46" s="310"/>
      <c r="M46" s="313"/>
      <c r="N46" s="313"/>
      <c r="O46" s="313"/>
      <c r="P46" s="313"/>
      <c r="Q46" s="313"/>
      <c r="R46" s="313"/>
      <c r="S46" s="313"/>
      <c r="T46" s="313"/>
      <c r="U46" s="313"/>
      <c r="V46" s="313"/>
      <c r="W46" s="313"/>
      <c r="X46" s="313"/>
      <c r="Y46" s="313"/>
      <c r="Z46" s="313"/>
      <c r="AA46" s="313"/>
      <c r="AB46" s="313"/>
      <c r="AC46" s="313"/>
    </row>
    <row r="47" ht="15.75" customHeight="1" spans="1:29">
      <c r="A47" s="310"/>
      <c r="B47" s="310"/>
      <c r="C47" s="310"/>
      <c r="D47" s="310"/>
      <c r="E47" s="310"/>
      <c r="F47" s="310"/>
      <c r="G47" s="310"/>
      <c r="H47" s="310"/>
      <c r="I47" s="310"/>
      <c r="J47" s="310"/>
      <c r="K47" s="310"/>
      <c r="L47" s="310"/>
      <c r="M47" s="313"/>
      <c r="N47" s="313"/>
      <c r="O47" s="313"/>
      <c r="P47" s="313"/>
      <c r="Q47" s="313"/>
      <c r="R47" s="313"/>
      <c r="S47" s="313"/>
      <c r="T47" s="313"/>
      <c r="U47" s="313"/>
      <c r="V47" s="313"/>
      <c r="W47" s="313"/>
      <c r="X47" s="313"/>
      <c r="Y47" s="313"/>
      <c r="Z47" s="313"/>
      <c r="AA47" s="313"/>
      <c r="AB47" s="313"/>
      <c r="AC47" s="313"/>
    </row>
    <row r="48" ht="15.75" customHeight="1" spans="1:29">
      <c r="A48" s="304"/>
      <c r="B48" s="235" t="s">
        <v>3665</v>
      </c>
      <c r="C48" s="235"/>
      <c r="D48" s="235"/>
      <c r="E48" s="235"/>
      <c r="F48" s="235"/>
      <c r="G48" s="235"/>
      <c r="H48" s="235"/>
      <c r="I48" s="334"/>
      <c r="J48" s="235"/>
      <c r="K48" s="235"/>
      <c r="L48" s="235"/>
      <c r="M48" s="230"/>
      <c r="N48" s="230"/>
      <c r="O48" s="230"/>
      <c r="P48" s="230"/>
      <c r="Q48" s="230"/>
      <c r="R48" s="230"/>
      <c r="S48" s="230"/>
      <c r="T48" s="230"/>
      <c r="U48" s="230"/>
      <c r="V48" s="230"/>
      <c r="W48" s="230"/>
      <c r="X48" s="230"/>
      <c r="Y48" s="230"/>
      <c r="Z48" s="230"/>
      <c r="AA48" s="230"/>
      <c r="AB48" s="335"/>
      <c r="AC48" s="335"/>
    </row>
    <row r="49" ht="15.75" customHeight="1" spans="1:29">
      <c r="A49" s="304"/>
      <c r="B49" s="235" t="s">
        <v>3666</v>
      </c>
      <c r="F49" s="235"/>
      <c r="G49" s="235"/>
      <c r="H49" s="235"/>
      <c r="I49" s="334"/>
      <c r="J49" s="235"/>
      <c r="K49" s="235"/>
      <c r="L49" s="235"/>
      <c r="M49" s="230"/>
      <c r="N49" s="230"/>
      <c r="O49" s="230"/>
      <c r="P49" s="230"/>
      <c r="Q49" s="230"/>
      <c r="R49" s="230"/>
      <c r="S49" s="230"/>
      <c r="T49" s="230"/>
      <c r="U49" s="230"/>
      <c r="V49" s="230"/>
      <c r="W49" s="230"/>
      <c r="X49" s="230"/>
      <c r="Y49" s="230"/>
      <c r="Z49" s="230"/>
      <c r="AA49" s="230"/>
      <c r="AB49" s="335"/>
      <c r="AC49" s="335"/>
    </row>
    <row r="50" ht="15.75" customHeight="1" spans="1:29">
      <c r="A50" s="304"/>
      <c r="B50" s="235" t="s">
        <v>3667</v>
      </c>
      <c r="C50" s="235"/>
      <c r="D50" s="235"/>
      <c r="E50" s="235"/>
      <c r="F50" s="235"/>
      <c r="G50" s="235"/>
      <c r="H50" s="235"/>
      <c r="I50" s="334"/>
      <c r="J50" s="235"/>
      <c r="K50" s="235"/>
      <c r="L50" s="235"/>
      <c r="M50" s="230"/>
      <c r="N50" s="230"/>
      <c r="O50" s="230"/>
      <c r="P50" s="230"/>
      <c r="Q50" s="230"/>
      <c r="R50" s="230"/>
      <c r="S50" s="230"/>
      <c r="T50" s="230"/>
      <c r="U50" s="230"/>
      <c r="V50" s="230"/>
      <c r="W50" s="230"/>
      <c r="X50" s="230"/>
      <c r="Y50" s="230"/>
      <c r="Z50" s="230"/>
      <c r="AA50" s="230"/>
      <c r="AB50" s="335"/>
      <c r="AC50" s="335"/>
    </row>
    <row r="51" ht="15.75" customHeight="1" spans="1:29">
      <c r="A51" s="304"/>
      <c r="B51" s="235" t="s">
        <v>3668</v>
      </c>
      <c r="C51" s="235"/>
      <c r="D51" s="235"/>
      <c r="E51" s="235"/>
      <c r="F51" s="235"/>
      <c r="G51" s="235"/>
      <c r="H51" s="235"/>
      <c r="I51" s="334"/>
      <c r="J51" s="235"/>
      <c r="K51" s="235"/>
      <c r="L51" s="235"/>
      <c r="M51" s="230"/>
      <c r="N51" s="230"/>
      <c r="O51" s="230"/>
      <c r="P51" s="230"/>
      <c r="Q51" s="230"/>
      <c r="R51" s="230"/>
      <c r="S51" s="230"/>
      <c r="T51" s="230"/>
      <c r="U51" s="230"/>
      <c r="V51" s="230"/>
      <c r="W51" s="230"/>
      <c r="X51" s="230"/>
      <c r="Y51" s="230"/>
      <c r="Z51" s="230"/>
      <c r="AA51" s="230"/>
      <c r="AB51" s="335"/>
      <c r="AC51" s="335"/>
    </row>
    <row r="52" ht="15.75" customHeight="1" spans="1:29">
      <c r="A52" s="304"/>
      <c r="B52" s="235" t="s">
        <v>3669</v>
      </c>
      <c r="C52" s="235"/>
      <c r="D52" s="235"/>
      <c r="E52" s="235"/>
      <c r="F52" s="235"/>
      <c r="G52" s="235"/>
      <c r="H52" s="235"/>
      <c r="I52" s="334"/>
      <c r="J52" s="235"/>
      <c r="K52" s="235"/>
      <c r="L52" s="235"/>
      <c r="M52" s="230"/>
      <c r="N52" s="230"/>
      <c r="O52" s="230"/>
      <c r="P52" s="230"/>
      <c r="Q52" s="230"/>
      <c r="R52" s="230"/>
      <c r="S52" s="230"/>
      <c r="T52" s="230"/>
      <c r="U52" s="230"/>
      <c r="V52" s="230"/>
      <c r="W52" s="230"/>
      <c r="X52" s="230"/>
      <c r="Y52" s="230"/>
      <c r="Z52" s="230"/>
      <c r="AA52" s="230"/>
      <c r="AB52" s="335"/>
      <c r="AC52" s="335"/>
    </row>
    <row r="53" ht="15.75" customHeight="1" spans="1:29">
      <c r="A53" s="304"/>
      <c r="B53" s="235" t="s">
        <v>3670</v>
      </c>
      <c r="C53" s="235"/>
      <c r="D53" s="235"/>
      <c r="E53" s="235"/>
      <c r="F53" s="235"/>
      <c r="G53" s="235"/>
      <c r="H53" s="235"/>
      <c r="I53" s="334"/>
      <c r="J53" s="235"/>
      <c r="K53" s="235"/>
      <c r="L53" s="235"/>
      <c r="M53" s="230"/>
      <c r="N53" s="230"/>
      <c r="O53" s="230"/>
      <c r="P53" s="230"/>
      <c r="Q53" s="230"/>
      <c r="R53" s="230"/>
      <c r="S53" s="230"/>
      <c r="T53" s="230"/>
      <c r="U53" s="230"/>
      <c r="V53" s="230"/>
      <c r="W53" s="230"/>
      <c r="X53" s="230"/>
      <c r="Y53" s="230"/>
      <c r="Z53" s="230"/>
      <c r="AA53" s="230"/>
      <c r="AB53" s="335"/>
      <c r="AC53" s="335"/>
    </row>
    <row r="54" ht="15.75" customHeight="1" spans="1:29">
      <c r="A54" s="304"/>
      <c r="B54" s="235" t="s">
        <v>3671</v>
      </c>
      <c r="F54" s="235"/>
      <c r="G54" s="235"/>
      <c r="H54" s="235"/>
      <c r="I54" s="334"/>
      <c r="J54" s="235"/>
      <c r="K54" s="235"/>
      <c r="L54" s="235"/>
      <c r="M54" s="230"/>
      <c r="N54" s="230"/>
      <c r="O54" s="230"/>
      <c r="P54" s="230"/>
      <c r="Q54" s="230"/>
      <c r="R54" s="230"/>
      <c r="S54" s="230"/>
      <c r="T54" s="230"/>
      <c r="U54" s="230"/>
      <c r="V54" s="230"/>
      <c r="W54" s="230"/>
      <c r="X54" s="230"/>
      <c r="Y54" s="230"/>
      <c r="Z54" s="230"/>
      <c r="AA54" s="230"/>
      <c r="AB54" s="335"/>
      <c r="AC54" s="335"/>
    </row>
    <row r="55" ht="15.75" customHeight="1" spans="1:29">
      <c r="A55" s="304"/>
      <c r="B55" s="235" t="s">
        <v>3672</v>
      </c>
      <c r="C55" s="235"/>
      <c r="D55" s="235"/>
      <c r="E55" s="235"/>
      <c r="F55" s="235"/>
      <c r="G55" s="235"/>
      <c r="H55" s="235"/>
      <c r="I55" s="334"/>
      <c r="J55" s="235"/>
      <c r="K55" s="235"/>
      <c r="L55" s="235"/>
      <c r="M55" s="230"/>
      <c r="N55" s="230"/>
      <c r="O55" s="230"/>
      <c r="P55" s="230"/>
      <c r="Q55" s="230"/>
      <c r="R55" s="230"/>
      <c r="S55" s="230"/>
      <c r="T55" s="230"/>
      <c r="U55" s="230"/>
      <c r="V55" s="230"/>
      <c r="W55" s="230"/>
      <c r="X55" s="230"/>
      <c r="Y55" s="230"/>
      <c r="Z55" s="230"/>
      <c r="AA55" s="230"/>
      <c r="AB55" s="335"/>
      <c r="AC55" s="335"/>
    </row>
    <row r="56" ht="15.75" customHeight="1" spans="1:29">
      <c r="A56" s="304"/>
      <c r="B56" s="235" t="s">
        <v>61</v>
      </c>
      <c r="C56" s="235"/>
      <c r="D56" s="235"/>
      <c r="E56" s="235"/>
      <c r="F56" s="235"/>
      <c r="G56" s="235"/>
      <c r="H56" s="235"/>
      <c r="I56" s="334"/>
      <c r="J56" s="235"/>
      <c r="K56" s="235"/>
      <c r="L56" s="235"/>
      <c r="M56" s="230"/>
      <c r="N56" s="230"/>
      <c r="O56" s="230"/>
      <c r="P56" s="230"/>
      <c r="Q56" s="230"/>
      <c r="R56" s="230"/>
      <c r="S56" s="230"/>
      <c r="T56" s="230"/>
      <c r="U56" s="230"/>
      <c r="V56" s="230"/>
      <c r="W56" s="230"/>
      <c r="X56" s="230"/>
      <c r="Y56" s="230"/>
      <c r="Z56" s="230"/>
      <c r="AA56" s="230"/>
      <c r="AB56" s="335"/>
      <c r="AC56" s="335"/>
    </row>
    <row r="57" ht="15.75" customHeight="1" spans="1:29">
      <c r="A57" s="304"/>
      <c r="B57" s="321" t="s">
        <v>3673</v>
      </c>
      <c r="I57" s="257"/>
      <c r="J57" s="313"/>
      <c r="K57" s="313"/>
      <c r="L57" s="313"/>
      <c r="M57" s="230"/>
      <c r="N57" s="230"/>
      <c r="O57" s="230"/>
      <c r="P57" s="230"/>
      <c r="Q57" s="230"/>
      <c r="R57" s="230"/>
      <c r="S57" s="230"/>
      <c r="T57" s="230"/>
      <c r="U57" s="230"/>
      <c r="V57" s="230"/>
      <c r="W57" s="230"/>
      <c r="X57" s="230"/>
      <c r="Y57" s="230"/>
      <c r="Z57" s="230"/>
      <c r="AA57" s="230"/>
      <c r="AB57" s="335"/>
      <c r="AC57" s="335"/>
    </row>
    <row r="58" ht="15.75" customHeight="1" spans="1:29">
      <c r="A58" s="304"/>
      <c r="B58" s="230" t="s">
        <v>3674</v>
      </c>
      <c r="I58" s="257"/>
      <c r="J58" s="313"/>
      <c r="K58" s="313"/>
      <c r="L58" s="313"/>
      <c r="M58" s="230"/>
      <c r="N58" s="230"/>
      <c r="O58" s="230"/>
      <c r="P58" s="230"/>
      <c r="Q58" s="230"/>
      <c r="R58" s="230"/>
      <c r="S58" s="230"/>
      <c r="T58" s="230"/>
      <c r="U58" s="230"/>
      <c r="V58" s="230"/>
      <c r="W58" s="230"/>
      <c r="X58" s="230"/>
      <c r="Y58" s="230"/>
      <c r="Z58" s="230"/>
      <c r="AA58" s="230"/>
      <c r="AB58" s="335"/>
      <c r="AC58" s="335"/>
    </row>
    <row r="59" ht="15.75" customHeight="1" spans="1:29">
      <c r="A59" s="304"/>
      <c r="B59" s="322"/>
      <c r="C59" s="323"/>
      <c r="D59" s="235"/>
      <c r="E59" s="235"/>
      <c r="F59" s="235"/>
      <c r="G59" s="235"/>
      <c r="H59" s="235"/>
      <c r="I59" s="334"/>
      <c r="J59" s="235"/>
      <c r="K59" s="235"/>
      <c r="L59" s="235"/>
      <c r="M59" s="230"/>
      <c r="N59" s="230"/>
      <c r="O59" s="230"/>
      <c r="P59" s="230"/>
      <c r="Q59" s="230"/>
      <c r="R59" s="230"/>
      <c r="S59" s="230"/>
      <c r="T59" s="230"/>
      <c r="U59" s="230"/>
      <c r="V59" s="230"/>
      <c r="W59" s="230"/>
      <c r="X59" s="230"/>
      <c r="Y59" s="230"/>
      <c r="Z59" s="230"/>
      <c r="AA59" s="230"/>
      <c r="AB59" s="335"/>
      <c r="AC59" s="335"/>
    </row>
    <row r="60" ht="15.75" customHeight="1" spans="1:29">
      <c r="A60" s="304"/>
      <c r="B60" s="321" t="s">
        <v>3675</v>
      </c>
      <c r="I60" s="257"/>
      <c r="J60" s="313"/>
      <c r="K60" s="313"/>
      <c r="L60" s="313"/>
      <c r="M60" s="230"/>
      <c r="N60" s="230"/>
      <c r="O60" s="230"/>
      <c r="P60" s="230"/>
      <c r="Q60" s="230"/>
      <c r="R60" s="230"/>
      <c r="S60" s="230"/>
      <c r="T60" s="230"/>
      <c r="U60" s="230"/>
      <c r="V60" s="230"/>
      <c r="W60" s="230"/>
      <c r="X60" s="230"/>
      <c r="Y60" s="230"/>
      <c r="Z60" s="230"/>
      <c r="AA60" s="230"/>
      <c r="AB60" s="335"/>
      <c r="AC60" s="335"/>
    </row>
    <row r="61" ht="15.75" customHeight="1" spans="1:29">
      <c r="A61" s="304"/>
      <c r="B61" s="230" t="s">
        <v>3676</v>
      </c>
      <c r="I61" s="257"/>
      <c r="J61" s="313"/>
      <c r="K61" s="313"/>
      <c r="L61" s="313"/>
      <c r="M61" s="230"/>
      <c r="N61" s="230"/>
      <c r="O61" s="230"/>
      <c r="P61" s="230"/>
      <c r="Q61" s="230"/>
      <c r="R61" s="230"/>
      <c r="S61" s="230"/>
      <c r="T61" s="230"/>
      <c r="U61" s="230"/>
      <c r="V61" s="230"/>
      <c r="W61" s="230"/>
      <c r="X61" s="230"/>
      <c r="Y61" s="230"/>
      <c r="Z61" s="230"/>
      <c r="AA61" s="230"/>
      <c r="AB61" s="335"/>
      <c r="AC61" s="335"/>
    </row>
    <row r="62" ht="15.75" customHeight="1" spans="1:29">
      <c r="A62" s="304"/>
      <c r="B62" s="230"/>
      <c r="C62" s="230"/>
      <c r="D62" s="235"/>
      <c r="E62" s="235"/>
      <c r="F62" s="235"/>
      <c r="G62" s="235"/>
      <c r="H62" s="235"/>
      <c r="I62" s="334"/>
      <c r="J62" s="235"/>
      <c r="K62" s="235"/>
      <c r="L62" s="235"/>
      <c r="M62" s="230"/>
      <c r="N62" s="230"/>
      <c r="O62" s="230"/>
      <c r="P62" s="230"/>
      <c r="Q62" s="230"/>
      <c r="R62" s="230"/>
      <c r="S62" s="230"/>
      <c r="T62" s="230"/>
      <c r="U62" s="230"/>
      <c r="V62" s="230"/>
      <c r="W62" s="230"/>
      <c r="X62" s="230"/>
      <c r="Y62" s="230"/>
      <c r="Z62" s="230"/>
      <c r="AA62" s="230"/>
      <c r="AB62" s="335"/>
      <c r="AC62" s="335"/>
    </row>
    <row r="63" ht="15.75" customHeight="1" spans="1:29">
      <c r="A63" s="304"/>
      <c r="B63" s="321" t="s">
        <v>3677</v>
      </c>
      <c r="I63" s="257"/>
      <c r="J63" s="313"/>
      <c r="K63" s="313"/>
      <c r="L63" s="313"/>
      <c r="M63" s="230"/>
      <c r="N63" s="230"/>
      <c r="O63" s="230"/>
      <c r="P63" s="230"/>
      <c r="Q63" s="230"/>
      <c r="R63" s="230"/>
      <c r="S63" s="230"/>
      <c r="T63" s="230"/>
      <c r="U63" s="230"/>
      <c r="V63" s="230"/>
      <c r="W63" s="230"/>
      <c r="X63" s="230"/>
      <c r="Y63" s="230"/>
      <c r="Z63" s="230"/>
      <c r="AA63" s="230"/>
      <c r="AB63" s="335"/>
      <c r="AC63" s="335"/>
    </row>
    <row r="64" ht="15.75" customHeight="1" spans="1:29">
      <c r="A64" s="304"/>
      <c r="B64" s="230" t="s">
        <v>3678</v>
      </c>
      <c r="I64" s="257"/>
      <c r="J64" s="313"/>
      <c r="K64" s="313"/>
      <c r="L64" s="313"/>
      <c r="M64" s="230"/>
      <c r="N64" s="230"/>
      <c r="O64" s="230"/>
      <c r="P64" s="230"/>
      <c r="Q64" s="230"/>
      <c r="R64" s="230"/>
      <c r="S64" s="230"/>
      <c r="T64" s="230"/>
      <c r="U64" s="230"/>
      <c r="V64" s="230"/>
      <c r="W64" s="230"/>
      <c r="X64" s="230"/>
      <c r="Y64" s="230"/>
      <c r="Z64" s="230"/>
      <c r="AA64" s="230"/>
      <c r="AB64" s="335"/>
      <c r="AC64" s="335"/>
    </row>
    <row r="65" ht="15.75" customHeight="1" spans="1:29">
      <c r="A65" s="304"/>
      <c r="B65" s="322"/>
      <c r="C65" s="323"/>
      <c r="D65" s="235"/>
      <c r="E65" s="235"/>
      <c r="F65" s="235"/>
      <c r="G65" s="235"/>
      <c r="H65" s="235"/>
      <c r="I65" s="334"/>
      <c r="J65" s="235"/>
      <c r="K65" s="235"/>
      <c r="L65" s="235"/>
      <c r="M65" s="230"/>
      <c r="N65" s="230"/>
      <c r="O65" s="230"/>
      <c r="P65" s="230"/>
      <c r="Q65" s="230"/>
      <c r="R65" s="230"/>
      <c r="S65" s="230"/>
      <c r="T65" s="230"/>
      <c r="U65" s="230"/>
      <c r="V65" s="230"/>
      <c r="W65" s="230"/>
      <c r="X65" s="230"/>
      <c r="Y65" s="230"/>
      <c r="Z65" s="230"/>
      <c r="AA65" s="230"/>
      <c r="AB65" s="335"/>
      <c r="AC65" s="335"/>
    </row>
    <row r="66" ht="15.75" customHeight="1" spans="1:29">
      <c r="A66" s="304"/>
      <c r="B66" s="321" t="s">
        <v>3679</v>
      </c>
      <c r="I66" s="257"/>
      <c r="J66" s="313"/>
      <c r="K66" s="313"/>
      <c r="L66" s="313"/>
      <c r="M66" s="230"/>
      <c r="N66" s="230"/>
      <c r="O66" s="230"/>
      <c r="P66" s="230"/>
      <c r="Q66" s="230"/>
      <c r="R66" s="230"/>
      <c r="S66" s="230"/>
      <c r="T66" s="230"/>
      <c r="U66" s="230"/>
      <c r="V66" s="230"/>
      <c r="W66" s="230"/>
      <c r="X66" s="230"/>
      <c r="Y66" s="230"/>
      <c r="Z66" s="230"/>
      <c r="AA66" s="230"/>
      <c r="AB66" s="335"/>
      <c r="AC66" s="335"/>
    </row>
    <row r="67" ht="15.75" customHeight="1" spans="1:29">
      <c r="A67" s="304"/>
      <c r="B67" s="230" t="s">
        <v>3680</v>
      </c>
      <c r="I67" s="257"/>
      <c r="J67" s="313"/>
      <c r="K67" s="313"/>
      <c r="L67" s="313"/>
      <c r="M67" s="230"/>
      <c r="N67" s="230"/>
      <c r="O67" s="230"/>
      <c r="P67" s="230"/>
      <c r="Q67" s="230"/>
      <c r="R67" s="230"/>
      <c r="S67" s="230"/>
      <c r="T67" s="230"/>
      <c r="U67" s="230"/>
      <c r="V67" s="230"/>
      <c r="W67" s="230"/>
      <c r="X67" s="230"/>
      <c r="Y67" s="230"/>
      <c r="Z67" s="230"/>
      <c r="AA67" s="230"/>
      <c r="AB67" s="335"/>
      <c r="AC67" s="335"/>
    </row>
    <row r="68" ht="15.75" customHeight="1" spans="1:29">
      <c r="A68" s="304"/>
      <c r="B68" s="230"/>
      <c r="C68" s="230"/>
      <c r="D68" s="235"/>
      <c r="E68" s="235"/>
      <c r="F68" s="235"/>
      <c r="G68" s="235"/>
      <c r="H68" s="235"/>
      <c r="I68" s="334"/>
      <c r="J68" s="235"/>
      <c r="K68" s="235"/>
      <c r="L68" s="235"/>
      <c r="M68" s="230"/>
      <c r="N68" s="230"/>
      <c r="O68" s="230"/>
      <c r="P68" s="230"/>
      <c r="Q68" s="230"/>
      <c r="R68" s="230"/>
      <c r="S68" s="230"/>
      <c r="T68" s="230"/>
      <c r="U68" s="230"/>
      <c r="V68" s="230"/>
      <c r="W68" s="230"/>
      <c r="X68" s="230"/>
      <c r="Y68" s="230"/>
      <c r="Z68" s="230"/>
      <c r="AA68" s="230"/>
      <c r="AB68" s="335"/>
      <c r="AC68" s="335"/>
    </row>
    <row r="69" ht="15.75" customHeight="1" spans="1:29">
      <c r="A69" s="304"/>
      <c r="B69" s="321" t="s">
        <v>3681</v>
      </c>
      <c r="I69" s="257"/>
      <c r="J69" s="313"/>
      <c r="K69" s="313"/>
      <c r="L69" s="313"/>
      <c r="M69" s="230"/>
      <c r="N69" s="230"/>
      <c r="O69" s="230"/>
      <c r="P69" s="230"/>
      <c r="Q69" s="230"/>
      <c r="R69" s="230"/>
      <c r="S69" s="230"/>
      <c r="T69" s="230"/>
      <c r="U69" s="230"/>
      <c r="V69" s="230"/>
      <c r="W69" s="230"/>
      <c r="X69" s="230"/>
      <c r="Y69" s="230"/>
      <c r="Z69" s="230"/>
      <c r="AA69" s="230"/>
      <c r="AB69" s="335"/>
      <c r="AC69" s="335"/>
    </row>
    <row r="70" ht="15.75" customHeight="1" spans="1:29">
      <c r="A70" s="304"/>
      <c r="B70" s="230" t="s">
        <v>3682</v>
      </c>
      <c r="I70" s="257"/>
      <c r="J70" s="313"/>
      <c r="K70" s="313"/>
      <c r="L70" s="313"/>
      <c r="M70" s="230"/>
      <c r="N70" s="230"/>
      <c r="O70" s="230"/>
      <c r="P70" s="230"/>
      <c r="Q70" s="230"/>
      <c r="R70" s="230"/>
      <c r="S70" s="230"/>
      <c r="T70" s="230"/>
      <c r="U70" s="230"/>
      <c r="V70" s="230"/>
      <c r="W70" s="230"/>
      <c r="X70" s="230"/>
      <c r="Y70" s="230"/>
      <c r="Z70" s="230"/>
      <c r="AA70" s="230"/>
      <c r="AB70" s="335"/>
      <c r="AC70" s="335"/>
    </row>
    <row r="71" ht="15.75" customHeight="1" spans="1:29">
      <c r="A71" s="304"/>
      <c r="B71" s="322"/>
      <c r="C71" s="323"/>
      <c r="D71" s="235"/>
      <c r="E71" s="235"/>
      <c r="F71" s="235"/>
      <c r="G71" s="235"/>
      <c r="H71" s="235"/>
      <c r="I71" s="334"/>
      <c r="J71" s="235"/>
      <c r="K71" s="235"/>
      <c r="L71" s="235"/>
      <c r="M71" s="230"/>
      <c r="N71" s="230"/>
      <c r="O71" s="230"/>
      <c r="P71" s="230"/>
      <c r="Q71" s="230"/>
      <c r="R71" s="230"/>
      <c r="S71" s="230"/>
      <c r="T71" s="230"/>
      <c r="U71" s="230"/>
      <c r="V71" s="230"/>
      <c r="W71" s="230"/>
      <c r="X71" s="230"/>
      <c r="Y71" s="230"/>
      <c r="Z71" s="230"/>
      <c r="AA71" s="230"/>
      <c r="AB71" s="335"/>
      <c r="AC71" s="335"/>
    </row>
    <row r="72" ht="15.75" customHeight="1" spans="1:29">
      <c r="A72" s="304"/>
      <c r="B72" s="321" t="s">
        <v>3683</v>
      </c>
      <c r="I72" s="257"/>
      <c r="J72" s="313"/>
      <c r="K72" s="313"/>
      <c r="L72" s="313"/>
      <c r="M72" s="230"/>
      <c r="N72" s="230"/>
      <c r="O72" s="230"/>
      <c r="P72" s="230"/>
      <c r="Q72" s="230"/>
      <c r="R72" s="230"/>
      <c r="S72" s="230"/>
      <c r="T72" s="230"/>
      <c r="U72" s="230"/>
      <c r="V72" s="230"/>
      <c r="W72" s="230"/>
      <c r="X72" s="230"/>
      <c r="Y72" s="230"/>
      <c r="Z72" s="230"/>
      <c r="AA72" s="230"/>
      <c r="AB72" s="335"/>
      <c r="AC72" s="335"/>
    </row>
    <row r="73" ht="15.75" customHeight="1" spans="1:29">
      <c r="A73" s="304"/>
      <c r="B73" s="322"/>
      <c r="C73" s="323"/>
      <c r="D73" s="235"/>
      <c r="E73" s="235"/>
      <c r="F73" s="235"/>
      <c r="G73" s="235"/>
      <c r="H73" s="235"/>
      <c r="I73" s="334"/>
      <c r="J73" s="235"/>
      <c r="K73" s="235"/>
      <c r="L73" s="235"/>
      <c r="M73" s="230"/>
      <c r="N73" s="230"/>
      <c r="O73" s="230"/>
      <c r="P73" s="230"/>
      <c r="Q73" s="230"/>
      <c r="R73" s="230"/>
      <c r="S73" s="230"/>
      <c r="T73" s="230"/>
      <c r="U73" s="230"/>
      <c r="V73" s="230"/>
      <c r="W73" s="230"/>
      <c r="X73" s="230"/>
      <c r="Y73" s="230"/>
      <c r="Z73" s="230"/>
      <c r="AA73" s="230"/>
      <c r="AB73" s="335"/>
      <c r="AC73" s="335"/>
    </row>
    <row r="74" ht="15.75" customHeight="1" spans="1:29">
      <c r="A74" s="304"/>
      <c r="B74" s="245" t="s">
        <v>3684</v>
      </c>
      <c r="D74" s="245" t="s">
        <v>3685</v>
      </c>
      <c r="F74" s="245"/>
      <c r="G74" s="245"/>
      <c r="I74" s="257"/>
      <c r="J74" s="313"/>
      <c r="K74" s="313"/>
      <c r="L74" s="313"/>
      <c r="M74" s="230"/>
      <c r="N74" s="230"/>
      <c r="O74" s="230"/>
      <c r="P74" s="230"/>
      <c r="Q74" s="230"/>
      <c r="R74" s="230"/>
      <c r="S74" s="230"/>
      <c r="T74" s="230"/>
      <c r="U74" s="230"/>
      <c r="V74" s="230"/>
      <c r="W74" s="230"/>
      <c r="X74" s="230"/>
      <c r="Y74" s="230"/>
      <c r="Z74" s="230"/>
      <c r="AA74" s="230"/>
      <c r="AB74" s="335"/>
      <c r="AC74" s="335"/>
    </row>
    <row r="75" ht="15.75" customHeight="1" spans="1:29">
      <c r="A75" s="304"/>
      <c r="B75" s="241" t="s">
        <v>3686</v>
      </c>
      <c r="D75" s="247">
        <v>0.03</v>
      </c>
      <c r="F75" s="241"/>
      <c r="G75" s="247"/>
      <c r="I75" s="257"/>
      <c r="J75" s="313"/>
      <c r="K75" s="313"/>
      <c r="L75" s="313"/>
      <c r="M75" s="230"/>
      <c r="N75" s="230"/>
      <c r="O75" s="230"/>
      <c r="P75" s="230"/>
      <c r="Q75" s="230"/>
      <c r="R75" s="230"/>
      <c r="S75" s="230"/>
      <c r="T75" s="230"/>
      <c r="U75" s="230"/>
      <c r="V75" s="230"/>
      <c r="W75" s="230"/>
      <c r="X75" s="230"/>
      <c r="Y75" s="230"/>
      <c r="Z75" s="230"/>
      <c r="AA75" s="230"/>
      <c r="AB75" s="335"/>
      <c r="AC75" s="335"/>
    </row>
    <row r="76" ht="15.75" customHeight="1" spans="1:29">
      <c r="A76" s="304"/>
      <c r="B76" s="241" t="s">
        <v>3687</v>
      </c>
      <c r="D76" s="247">
        <v>0.0065</v>
      </c>
      <c r="F76" s="241"/>
      <c r="G76" s="247"/>
      <c r="I76" s="257"/>
      <c r="J76" s="313"/>
      <c r="K76" s="313"/>
      <c r="L76" s="313"/>
      <c r="M76" s="230"/>
      <c r="N76" s="230"/>
      <c r="O76" s="230"/>
      <c r="P76" s="230"/>
      <c r="Q76" s="230"/>
      <c r="R76" s="230"/>
      <c r="S76" s="230"/>
      <c r="T76" s="230"/>
      <c r="U76" s="230"/>
      <c r="V76" s="230"/>
      <c r="W76" s="230"/>
      <c r="X76" s="230"/>
      <c r="Y76" s="230"/>
      <c r="Z76" s="230"/>
      <c r="AA76" s="230"/>
      <c r="AB76" s="335"/>
      <c r="AC76" s="335"/>
    </row>
    <row r="77" ht="15.75" customHeight="1" spans="1:29">
      <c r="A77" s="304"/>
      <c r="B77" s="337" t="s">
        <v>3688</v>
      </c>
      <c r="D77" s="247">
        <v>0.03</v>
      </c>
      <c r="F77" s="241"/>
      <c r="G77" s="247"/>
      <c r="I77" s="257"/>
      <c r="J77" s="313"/>
      <c r="K77" s="313"/>
      <c r="L77" s="313"/>
      <c r="M77" s="230"/>
      <c r="N77" s="230"/>
      <c r="O77" s="230"/>
      <c r="P77" s="230"/>
      <c r="Q77" s="230"/>
      <c r="R77" s="230"/>
      <c r="S77" s="230"/>
      <c r="T77" s="230"/>
      <c r="U77" s="230"/>
      <c r="V77" s="230"/>
      <c r="W77" s="230"/>
      <c r="X77" s="230"/>
      <c r="Y77" s="230"/>
      <c r="Z77" s="230"/>
      <c r="AA77" s="230"/>
      <c r="AB77" s="335"/>
      <c r="AC77" s="335"/>
    </row>
    <row r="78" ht="15.75" customHeight="1" spans="1:29">
      <c r="A78" s="304"/>
      <c r="B78" s="245" t="s">
        <v>3689</v>
      </c>
      <c r="D78" s="252">
        <f>SUM(D75:D77)</f>
        <v>0.0665</v>
      </c>
      <c r="F78" s="252"/>
      <c r="G78" s="252"/>
      <c r="H78" s="230"/>
      <c r="I78" s="347"/>
      <c r="J78" s="230"/>
      <c r="K78" s="230"/>
      <c r="L78" s="230"/>
      <c r="M78" s="230"/>
      <c r="N78" s="230"/>
      <c r="O78" s="230"/>
      <c r="P78" s="230"/>
      <c r="Q78" s="230"/>
      <c r="R78" s="230"/>
      <c r="S78" s="230"/>
      <c r="T78" s="230"/>
      <c r="U78" s="230"/>
      <c r="V78" s="230"/>
      <c r="W78" s="230"/>
      <c r="X78" s="230"/>
      <c r="Y78" s="230"/>
      <c r="Z78" s="230"/>
      <c r="AA78" s="230"/>
      <c r="AB78" s="335"/>
      <c r="AC78" s="335"/>
    </row>
    <row r="79" ht="15.75" customHeight="1" spans="1:29">
      <c r="A79" s="304"/>
      <c r="B79" s="230"/>
      <c r="C79" s="230"/>
      <c r="D79" s="230"/>
      <c r="E79" s="230"/>
      <c r="F79" s="230"/>
      <c r="G79" s="230"/>
      <c r="H79" s="230"/>
      <c r="I79" s="347"/>
      <c r="J79" s="230"/>
      <c r="K79" s="230"/>
      <c r="L79" s="230"/>
      <c r="M79" s="230"/>
      <c r="N79" s="230"/>
      <c r="O79" s="230"/>
      <c r="P79" s="230"/>
      <c r="Q79" s="230"/>
      <c r="R79" s="230"/>
      <c r="S79" s="230"/>
      <c r="T79" s="230"/>
      <c r="U79" s="230"/>
      <c r="V79" s="230"/>
      <c r="W79" s="230"/>
      <c r="X79" s="230"/>
      <c r="Y79" s="230"/>
      <c r="Z79" s="230"/>
      <c r="AA79" s="230"/>
      <c r="AB79" s="335"/>
      <c r="AC79" s="335"/>
    </row>
    <row r="80" ht="15.75" customHeight="1" spans="1:29">
      <c r="A80" s="304"/>
      <c r="B80" s="241" t="s">
        <v>3690</v>
      </c>
      <c r="D80" s="247">
        <v>0.045</v>
      </c>
      <c r="F80" s="230"/>
      <c r="G80" s="230"/>
      <c r="H80" s="230"/>
      <c r="I80" s="347"/>
      <c r="J80" s="230"/>
      <c r="K80" s="230"/>
      <c r="L80" s="230"/>
      <c r="M80" s="230"/>
      <c r="N80" s="230"/>
      <c r="O80" s="230"/>
      <c r="P80" s="230"/>
      <c r="Q80" s="230"/>
      <c r="R80" s="230"/>
      <c r="S80" s="230"/>
      <c r="T80" s="230"/>
      <c r="U80" s="230"/>
      <c r="V80" s="230"/>
      <c r="W80" s="230"/>
      <c r="X80" s="230"/>
      <c r="Y80" s="230"/>
      <c r="Z80" s="230"/>
      <c r="AA80" s="230"/>
      <c r="AB80" s="335"/>
      <c r="AC80" s="335"/>
    </row>
    <row r="81" ht="15.75" customHeight="1" spans="1:29">
      <c r="A81" s="304"/>
      <c r="B81" s="230"/>
      <c r="C81" s="230"/>
      <c r="D81" s="230"/>
      <c r="E81" s="230"/>
      <c r="F81" s="230"/>
      <c r="G81" s="230"/>
      <c r="H81" s="230"/>
      <c r="I81" s="347"/>
      <c r="J81" s="230"/>
      <c r="K81" s="230"/>
      <c r="L81" s="230"/>
      <c r="M81" s="321"/>
      <c r="N81" s="321"/>
      <c r="O81" s="321"/>
      <c r="P81" s="230"/>
      <c r="Q81" s="230"/>
      <c r="R81" s="230"/>
      <c r="S81" s="230"/>
      <c r="T81" s="230"/>
      <c r="U81" s="230"/>
      <c r="V81" s="230"/>
      <c r="W81" s="230"/>
      <c r="X81" s="230"/>
      <c r="Y81" s="230"/>
      <c r="Z81" s="230"/>
      <c r="AA81" s="230"/>
      <c r="AB81" s="335"/>
      <c r="AC81" s="335"/>
    </row>
    <row r="82" ht="15.75" customHeight="1" spans="1:29">
      <c r="A82" s="304"/>
      <c r="B82" s="230"/>
      <c r="C82" s="230"/>
      <c r="D82" s="230"/>
      <c r="E82" s="230"/>
      <c r="F82" s="321" t="s">
        <v>3691</v>
      </c>
      <c r="I82" s="347"/>
      <c r="J82" s="230"/>
      <c r="K82" s="230"/>
      <c r="L82" s="230"/>
      <c r="M82" s="321"/>
      <c r="N82" s="348"/>
      <c r="O82" s="349"/>
      <c r="P82" s="230"/>
      <c r="Q82" s="230"/>
      <c r="R82" s="230"/>
      <c r="S82" s="230"/>
      <c r="T82" s="230"/>
      <c r="U82" s="230"/>
      <c r="V82" s="230"/>
      <c r="W82" s="230"/>
      <c r="X82" s="230"/>
      <c r="Y82" s="230"/>
      <c r="Z82" s="230"/>
      <c r="AA82" s="230"/>
      <c r="AB82" s="335"/>
      <c r="AC82" s="335"/>
    </row>
    <row r="83" ht="15.75" customHeight="1" spans="1:29">
      <c r="A83" s="304"/>
      <c r="B83" s="230"/>
      <c r="C83" s="230"/>
      <c r="D83" s="230"/>
      <c r="E83" s="230"/>
      <c r="F83" s="338" t="s">
        <v>3692</v>
      </c>
      <c r="G83" s="339" t="s">
        <v>3693</v>
      </c>
      <c r="H83" s="340" t="s">
        <v>3694</v>
      </c>
      <c r="I83" s="259"/>
      <c r="J83" s="313"/>
      <c r="K83" s="313"/>
      <c r="L83" s="313"/>
      <c r="M83" s="350"/>
      <c r="N83" s="243"/>
      <c r="O83" s="235"/>
      <c r="P83" s="230"/>
      <c r="Q83" s="230"/>
      <c r="R83" s="230"/>
      <c r="S83" s="230"/>
      <c r="T83" s="230"/>
      <c r="U83" s="230"/>
      <c r="V83" s="230"/>
      <c r="W83" s="230"/>
      <c r="X83" s="230"/>
      <c r="Y83" s="230"/>
      <c r="Z83" s="230"/>
      <c r="AA83" s="230"/>
      <c r="AB83" s="335"/>
      <c r="AC83" s="335"/>
    </row>
    <row r="84" ht="15.75" customHeight="1" spans="1:29">
      <c r="A84" s="304"/>
      <c r="B84" s="230"/>
      <c r="C84" s="230"/>
      <c r="D84" s="230"/>
      <c r="E84" s="230"/>
      <c r="F84" s="341">
        <v>3</v>
      </c>
      <c r="G84" s="342" t="s">
        <v>3695</v>
      </c>
      <c r="H84" s="343" t="s">
        <v>3696</v>
      </c>
      <c r="I84" s="260"/>
      <c r="J84" s="313"/>
      <c r="K84" s="313"/>
      <c r="L84" s="313"/>
      <c r="M84" s="235"/>
      <c r="N84" s="243"/>
      <c r="O84" s="235"/>
      <c r="P84" s="230"/>
      <c r="Q84" s="230"/>
      <c r="R84" s="230"/>
      <c r="S84" s="230"/>
      <c r="T84" s="230"/>
      <c r="U84" s="230"/>
      <c r="V84" s="230"/>
      <c r="W84" s="230"/>
      <c r="X84" s="230"/>
      <c r="Y84" s="230"/>
      <c r="Z84" s="230"/>
      <c r="AA84" s="230"/>
      <c r="AB84" s="335"/>
      <c r="AC84" s="335"/>
    </row>
    <row r="85" ht="15.75" customHeight="1" spans="1:29">
      <c r="A85" s="304"/>
      <c r="B85" s="230"/>
      <c r="C85" s="230"/>
      <c r="D85" s="230"/>
      <c r="E85" s="230"/>
      <c r="F85" s="344">
        <v>5</v>
      </c>
      <c r="G85" s="345" t="s">
        <v>3695</v>
      </c>
      <c r="H85" s="346" t="s">
        <v>3697</v>
      </c>
      <c r="I85" s="351"/>
      <c r="J85" s="313"/>
      <c r="K85" s="313"/>
      <c r="L85" s="313"/>
      <c r="M85" s="235"/>
      <c r="N85" s="243"/>
      <c r="O85" s="235"/>
      <c r="P85" s="230"/>
      <c r="Q85" s="230"/>
      <c r="R85" s="230"/>
      <c r="S85" s="230"/>
      <c r="T85" s="230"/>
      <c r="U85" s="230"/>
      <c r="V85" s="230"/>
      <c r="W85" s="230"/>
      <c r="X85" s="230"/>
      <c r="Y85" s="230"/>
      <c r="Z85" s="230"/>
      <c r="AA85" s="230"/>
      <c r="AB85" s="335"/>
      <c r="AC85" s="335"/>
    </row>
    <row r="86" ht="15.75" customHeight="1" spans="1:29">
      <c r="A86" s="304"/>
      <c r="B86" s="230"/>
      <c r="C86" s="230"/>
      <c r="D86" s="230"/>
      <c r="E86" s="230"/>
      <c r="F86" s="344">
        <v>5</v>
      </c>
      <c r="G86" s="345" t="s">
        <v>3695</v>
      </c>
      <c r="H86" s="346" t="s">
        <v>3698</v>
      </c>
      <c r="I86" s="351"/>
      <c r="J86" s="313"/>
      <c r="K86" s="313"/>
      <c r="L86" s="313"/>
      <c r="M86" s="235"/>
      <c r="N86" s="243"/>
      <c r="O86" s="235"/>
      <c r="P86" s="230"/>
      <c r="Q86" s="230"/>
      <c r="R86" s="230"/>
      <c r="S86" s="230"/>
      <c r="T86" s="230"/>
      <c r="U86" s="230"/>
      <c r="V86" s="230"/>
      <c r="W86" s="230"/>
      <c r="X86" s="230"/>
      <c r="Y86" s="230"/>
      <c r="Z86" s="230"/>
      <c r="AA86" s="230"/>
      <c r="AB86" s="335"/>
      <c r="AC86" s="335"/>
    </row>
    <row r="87" ht="15.75" customHeight="1" spans="1:29">
      <c r="A87" s="304"/>
      <c r="B87" s="230"/>
      <c r="C87" s="230"/>
      <c r="D87" s="230"/>
      <c r="E87" s="230"/>
      <c r="F87" s="344">
        <v>2</v>
      </c>
      <c r="G87" s="345" t="s">
        <v>3695</v>
      </c>
      <c r="H87" s="346" t="s">
        <v>3699</v>
      </c>
      <c r="I87" s="351"/>
      <c r="J87" s="313"/>
      <c r="K87" s="313"/>
      <c r="L87" s="313"/>
      <c r="M87" s="235"/>
      <c r="N87" s="243"/>
      <c r="O87" s="235"/>
      <c r="P87" s="230"/>
      <c r="Q87" s="230"/>
      <c r="R87" s="230"/>
      <c r="S87" s="230"/>
      <c r="T87" s="230"/>
      <c r="U87" s="230"/>
      <c r="V87" s="230"/>
      <c r="W87" s="230"/>
      <c r="X87" s="230"/>
      <c r="Y87" s="230"/>
      <c r="Z87" s="230"/>
      <c r="AA87" s="230"/>
      <c r="AB87" s="335"/>
      <c r="AC87" s="335"/>
    </row>
    <row r="88" ht="15.75" customHeight="1" spans="1:29">
      <c r="A88" s="304"/>
      <c r="B88" s="230"/>
      <c r="C88" s="230"/>
      <c r="D88" s="230"/>
      <c r="E88" s="230"/>
      <c r="F88" s="344">
        <v>5</v>
      </c>
      <c r="G88" s="345" t="s">
        <v>3695</v>
      </c>
      <c r="H88" s="346" t="s">
        <v>3700</v>
      </c>
      <c r="I88" s="351"/>
      <c r="J88" s="313"/>
      <c r="K88" s="313"/>
      <c r="L88" s="313"/>
      <c r="M88" s="230"/>
      <c r="N88" s="243"/>
      <c r="O88" s="235"/>
      <c r="P88" s="230"/>
      <c r="Q88" s="230"/>
      <c r="R88" s="230"/>
      <c r="S88" s="230"/>
      <c r="T88" s="230"/>
      <c r="U88" s="230"/>
      <c r="V88" s="230"/>
      <c r="W88" s="230"/>
      <c r="X88" s="230"/>
      <c r="Y88" s="230"/>
      <c r="Z88" s="230"/>
      <c r="AA88" s="230"/>
      <c r="AB88" s="335"/>
      <c r="AC88" s="335"/>
    </row>
    <row r="89" ht="15.75" customHeight="1" spans="1:29">
      <c r="A89" s="304"/>
      <c r="B89" s="230"/>
      <c r="C89" s="230"/>
      <c r="D89" s="230"/>
      <c r="E89" s="230"/>
      <c r="F89" s="345">
        <v>2</v>
      </c>
      <c r="G89" s="345" t="s">
        <v>3695</v>
      </c>
      <c r="H89" s="346" t="s">
        <v>3701</v>
      </c>
      <c r="I89" s="351"/>
      <c r="J89" s="313"/>
      <c r="K89" s="313"/>
      <c r="L89" s="313"/>
      <c r="M89" s="230"/>
      <c r="N89" s="243"/>
      <c r="O89" s="235"/>
      <c r="P89" s="230"/>
      <c r="Q89" s="230"/>
      <c r="R89" s="230"/>
      <c r="S89" s="230"/>
      <c r="T89" s="230"/>
      <c r="U89" s="230"/>
      <c r="V89" s="230"/>
      <c r="W89" s="230"/>
      <c r="X89" s="230"/>
      <c r="Y89" s="230"/>
      <c r="Z89" s="230"/>
      <c r="AA89" s="230"/>
      <c r="AB89" s="335"/>
      <c r="AC89" s="335"/>
    </row>
    <row r="90" ht="15.75" customHeight="1" spans="1:29">
      <c r="A90" s="304"/>
      <c r="B90" s="230"/>
      <c r="C90" s="230"/>
      <c r="D90" s="230"/>
      <c r="E90" s="230"/>
      <c r="F90" s="345">
        <v>5</v>
      </c>
      <c r="G90" s="345" t="s">
        <v>3695</v>
      </c>
      <c r="H90" s="346" t="s">
        <v>3702</v>
      </c>
      <c r="I90" s="351"/>
      <c r="J90" s="313"/>
      <c r="K90" s="313"/>
      <c r="L90" s="313"/>
      <c r="M90" s="230"/>
      <c r="N90" s="243"/>
      <c r="O90" s="235"/>
      <c r="P90" s="230"/>
      <c r="Q90" s="230"/>
      <c r="R90" s="230"/>
      <c r="S90" s="230"/>
      <c r="T90" s="230"/>
      <c r="U90" s="230"/>
      <c r="V90" s="230"/>
      <c r="W90" s="230"/>
      <c r="X90" s="230"/>
      <c r="Y90" s="230"/>
      <c r="Z90" s="230"/>
      <c r="AA90" s="230"/>
      <c r="AB90" s="335"/>
      <c r="AC90" s="335"/>
    </row>
    <row r="91" ht="15.75" customHeight="1" spans="1:29">
      <c r="A91" s="304"/>
      <c r="B91" s="230"/>
      <c r="C91" s="230"/>
      <c r="D91" s="230"/>
      <c r="E91" s="230"/>
      <c r="F91" s="345">
        <v>2.5</v>
      </c>
      <c r="G91" s="345" t="s">
        <v>3695</v>
      </c>
      <c r="H91" s="346" t="s">
        <v>3703</v>
      </c>
      <c r="I91" s="351"/>
      <c r="J91" s="313"/>
      <c r="K91" s="313"/>
      <c r="L91" s="313"/>
      <c r="M91" s="230"/>
      <c r="N91" s="243"/>
      <c r="O91" s="235"/>
      <c r="P91" s="230"/>
      <c r="Q91" s="230"/>
      <c r="R91" s="230"/>
      <c r="S91" s="230"/>
      <c r="T91" s="230"/>
      <c r="U91" s="230"/>
      <c r="V91" s="230"/>
      <c r="W91" s="230"/>
      <c r="X91" s="230"/>
      <c r="Y91" s="230"/>
      <c r="Z91" s="230"/>
      <c r="AA91" s="230"/>
      <c r="AB91" s="335"/>
      <c r="AC91" s="335"/>
    </row>
    <row r="92" ht="15.75" customHeight="1" spans="1:29">
      <c r="A92" s="304"/>
      <c r="B92" s="230"/>
      <c r="C92" s="230"/>
      <c r="D92" s="230"/>
      <c r="E92" s="230"/>
      <c r="F92" s="345">
        <v>3</v>
      </c>
      <c r="G92" s="345" t="s">
        <v>3695</v>
      </c>
      <c r="H92" s="346" t="s">
        <v>3704</v>
      </c>
      <c r="I92" s="351"/>
      <c r="J92" s="313"/>
      <c r="K92" s="313"/>
      <c r="L92" s="313"/>
      <c r="M92" s="230"/>
      <c r="N92" s="243"/>
      <c r="O92" s="235"/>
      <c r="P92" s="230"/>
      <c r="Q92" s="230"/>
      <c r="R92" s="230"/>
      <c r="S92" s="230"/>
      <c r="T92" s="230"/>
      <c r="U92" s="230"/>
      <c r="V92" s="230"/>
      <c r="W92" s="230"/>
      <c r="X92" s="230"/>
      <c r="Y92" s="230"/>
      <c r="Z92" s="230"/>
      <c r="AA92" s="230"/>
      <c r="AB92" s="335"/>
      <c r="AC92" s="335"/>
    </row>
    <row r="93" ht="15.75" customHeight="1" spans="1:29">
      <c r="A93" s="304"/>
      <c r="B93" s="230"/>
      <c r="C93" s="230"/>
      <c r="D93" s="230"/>
      <c r="E93" s="230"/>
      <c r="F93" s="345">
        <v>3</v>
      </c>
      <c r="G93" s="345" t="s">
        <v>3695</v>
      </c>
      <c r="H93" s="346" t="s">
        <v>3705</v>
      </c>
      <c r="I93" s="351"/>
      <c r="J93" s="313"/>
      <c r="K93" s="313"/>
      <c r="L93" s="313"/>
      <c r="M93" s="230"/>
      <c r="N93" s="243"/>
      <c r="O93" s="235"/>
      <c r="P93" s="230"/>
      <c r="Q93" s="230"/>
      <c r="R93" s="230"/>
      <c r="S93" s="230"/>
      <c r="T93" s="230"/>
      <c r="U93" s="230"/>
      <c r="V93" s="230"/>
      <c r="W93" s="230"/>
      <c r="X93" s="230"/>
      <c r="Y93" s="230"/>
      <c r="Z93" s="230"/>
      <c r="AA93" s="230"/>
      <c r="AB93" s="335"/>
      <c r="AC93" s="335"/>
    </row>
    <row r="94" ht="15.75" customHeight="1" spans="1:29">
      <c r="A94" s="304"/>
      <c r="B94" s="230"/>
      <c r="C94" s="230"/>
      <c r="D94" s="230"/>
      <c r="E94" s="230"/>
      <c r="F94" s="345">
        <v>5</v>
      </c>
      <c r="G94" s="345" t="s">
        <v>3706</v>
      </c>
      <c r="H94" s="346" t="s">
        <v>3707</v>
      </c>
      <c r="I94" s="351"/>
      <c r="J94" s="313"/>
      <c r="K94" s="313"/>
      <c r="L94" s="313"/>
      <c r="M94" s="230"/>
      <c r="N94" s="243"/>
      <c r="O94" s="230"/>
      <c r="P94" s="230"/>
      <c r="Q94" s="230"/>
      <c r="R94" s="230"/>
      <c r="S94" s="230"/>
      <c r="T94" s="230"/>
      <c r="U94" s="230"/>
      <c r="V94" s="230"/>
      <c r="W94" s="230"/>
      <c r="X94" s="230"/>
      <c r="Y94" s="230"/>
      <c r="Z94" s="230"/>
      <c r="AA94" s="230"/>
      <c r="AB94" s="335"/>
      <c r="AC94" s="335"/>
    </row>
    <row r="95" ht="15.75" customHeight="1" spans="1:29">
      <c r="A95" s="304"/>
      <c r="B95" s="230"/>
      <c r="C95" s="230"/>
      <c r="D95" s="230"/>
      <c r="E95" s="230"/>
      <c r="F95" s="230"/>
      <c r="G95" s="230"/>
      <c r="H95" s="230"/>
      <c r="I95" s="347"/>
      <c r="J95" s="230"/>
      <c r="K95" s="230"/>
      <c r="L95" s="230"/>
      <c r="M95" s="230"/>
      <c r="N95" s="243"/>
      <c r="O95" s="230"/>
      <c r="P95" s="230"/>
      <c r="Q95" s="230"/>
      <c r="R95" s="230"/>
      <c r="S95" s="230"/>
      <c r="T95" s="230"/>
      <c r="U95" s="230"/>
      <c r="V95" s="230"/>
      <c r="W95" s="230"/>
      <c r="X95" s="230"/>
      <c r="Y95" s="230"/>
      <c r="Z95" s="230"/>
      <c r="AA95" s="230"/>
      <c r="AB95" s="335"/>
      <c r="AC95" s="335"/>
    </row>
    <row r="96" ht="15.75" customHeight="1" spans="1:29">
      <c r="A96" s="304"/>
      <c r="B96" s="230"/>
      <c r="C96" s="230"/>
      <c r="D96" s="230"/>
      <c r="E96" s="230"/>
      <c r="F96" s="230"/>
      <c r="G96" s="230"/>
      <c r="H96" s="230"/>
      <c r="I96" s="347"/>
      <c r="J96" s="230"/>
      <c r="K96" s="230"/>
      <c r="L96" s="230"/>
      <c r="M96" s="230"/>
      <c r="N96" s="243"/>
      <c r="O96" s="230"/>
      <c r="P96" s="230"/>
      <c r="Q96" s="230"/>
      <c r="R96" s="230"/>
      <c r="S96" s="230"/>
      <c r="T96" s="230"/>
      <c r="U96" s="230"/>
      <c r="V96" s="230"/>
      <c r="W96" s="230"/>
      <c r="X96" s="230"/>
      <c r="Y96" s="230"/>
      <c r="Z96" s="230"/>
      <c r="AA96" s="230"/>
      <c r="AB96" s="335"/>
      <c r="AC96" s="335"/>
    </row>
    <row r="97" ht="15.75" customHeight="1" spans="1:29">
      <c r="A97" s="304"/>
      <c r="B97" s="230"/>
      <c r="C97" s="230"/>
      <c r="D97" s="230"/>
      <c r="E97" s="230"/>
      <c r="F97" s="230"/>
      <c r="G97" s="230"/>
      <c r="H97" s="230"/>
      <c r="I97" s="347"/>
      <c r="J97" s="230"/>
      <c r="K97" s="230"/>
      <c r="L97" s="230"/>
      <c r="M97" s="230"/>
      <c r="N97" s="243"/>
      <c r="O97" s="230"/>
      <c r="P97" s="230"/>
      <c r="Q97" s="230"/>
      <c r="R97" s="230"/>
      <c r="S97" s="230"/>
      <c r="T97" s="230"/>
      <c r="U97" s="230"/>
      <c r="V97" s="230"/>
      <c r="W97" s="230"/>
      <c r="X97" s="230"/>
      <c r="Y97" s="230"/>
      <c r="Z97" s="230"/>
      <c r="AA97" s="230"/>
      <c r="AB97" s="335"/>
      <c r="AC97" s="335"/>
    </row>
    <row r="98" ht="15.75" customHeight="1" spans="1:29">
      <c r="A98" s="304"/>
      <c r="B98" s="230"/>
      <c r="C98" s="230"/>
      <c r="D98" s="230"/>
      <c r="E98" s="230"/>
      <c r="F98" s="230"/>
      <c r="G98" s="230"/>
      <c r="H98" s="230"/>
      <c r="I98" s="347"/>
      <c r="J98" s="230"/>
      <c r="K98" s="230"/>
      <c r="L98" s="230"/>
      <c r="M98" s="230"/>
      <c r="N98" s="243"/>
      <c r="O98" s="230"/>
      <c r="P98" s="230"/>
      <c r="Q98" s="230"/>
      <c r="R98" s="230"/>
      <c r="S98" s="230"/>
      <c r="T98" s="230"/>
      <c r="U98" s="230"/>
      <c r="V98" s="230"/>
      <c r="W98" s="230"/>
      <c r="X98" s="230"/>
      <c r="Y98" s="230"/>
      <c r="Z98" s="230"/>
      <c r="AA98" s="230"/>
      <c r="AB98" s="335"/>
      <c r="AC98" s="335"/>
    </row>
    <row r="99" ht="15.75" customHeight="1" spans="1:29">
      <c r="A99" s="304"/>
      <c r="B99" s="230"/>
      <c r="C99" s="230"/>
      <c r="D99" s="230"/>
      <c r="E99" s="230"/>
      <c r="F99" s="230"/>
      <c r="G99" s="230"/>
      <c r="H99" s="230"/>
      <c r="I99" s="347"/>
      <c r="J99" s="230"/>
      <c r="K99" s="230"/>
      <c r="L99" s="230"/>
      <c r="M99" s="230"/>
      <c r="N99" s="243"/>
      <c r="O99" s="230"/>
      <c r="P99" s="230"/>
      <c r="Q99" s="230"/>
      <c r="R99" s="230"/>
      <c r="S99" s="230"/>
      <c r="T99" s="230"/>
      <c r="U99" s="230"/>
      <c r="V99" s="230"/>
      <c r="W99" s="230"/>
      <c r="X99" s="230"/>
      <c r="Y99" s="230"/>
      <c r="Z99" s="230"/>
      <c r="AA99" s="230"/>
      <c r="AB99" s="335"/>
      <c r="AC99" s="335"/>
    </row>
    <row r="100" ht="15.75" customHeight="1" spans="1:29">
      <c r="A100" s="304"/>
      <c r="B100" s="230"/>
      <c r="C100" s="230"/>
      <c r="D100" s="230"/>
      <c r="E100" s="230"/>
      <c r="F100" s="230"/>
      <c r="G100" s="230"/>
      <c r="H100" s="230"/>
      <c r="I100" s="347"/>
      <c r="J100" s="230"/>
      <c r="K100" s="230"/>
      <c r="L100" s="230"/>
      <c r="M100" s="230"/>
      <c r="N100" s="243"/>
      <c r="O100" s="230"/>
      <c r="P100" s="230"/>
      <c r="Q100" s="230"/>
      <c r="R100" s="230"/>
      <c r="S100" s="230"/>
      <c r="T100" s="230"/>
      <c r="U100" s="230"/>
      <c r="V100" s="230"/>
      <c r="W100" s="230"/>
      <c r="X100" s="230"/>
      <c r="Y100" s="230"/>
      <c r="Z100" s="230"/>
      <c r="AA100" s="230"/>
      <c r="AB100" s="335"/>
      <c r="AC100" s="335"/>
    </row>
    <row r="101" ht="15.75" customHeight="1" spans="1:29">
      <c r="A101" s="304"/>
      <c r="B101" s="230"/>
      <c r="C101" s="230"/>
      <c r="D101" s="230"/>
      <c r="E101" s="230"/>
      <c r="F101" s="230"/>
      <c r="G101" s="230"/>
      <c r="H101" s="230"/>
      <c r="I101" s="347"/>
      <c r="J101" s="230"/>
      <c r="K101" s="230"/>
      <c r="L101" s="230"/>
      <c r="M101" s="230"/>
      <c r="N101" s="243"/>
      <c r="O101" s="230"/>
      <c r="P101" s="230"/>
      <c r="Q101" s="230"/>
      <c r="R101" s="230"/>
      <c r="S101" s="230"/>
      <c r="T101" s="230"/>
      <c r="U101" s="230"/>
      <c r="V101" s="230"/>
      <c r="W101" s="230"/>
      <c r="X101" s="230"/>
      <c r="Y101" s="230"/>
      <c r="Z101" s="230"/>
      <c r="AA101" s="230"/>
      <c r="AB101" s="335"/>
      <c r="AC101" s="335"/>
    </row>
    <row r="102" ht="15.75" customHeight="1" spans="1:29">
      <c r="A102" s="304"/>
      <c r="B102" s="230"/>
      <c r="C102" s="230"/>
      <c r="D102" s="230"/>
      <c r="E102" s="230"/>
      <c r="F102" s="230"/>
      <c r="G102" s="230"/>
      <c r="H102" s="230"/>
      <c r="I102" s="347"/>
      <c r="J102" s="230"/>
      <c r="K102" s="230"/>
      <c r="L102" s="230"/>
      <c r="M102" s="230"/>
      <c r="N102" s="230"/>
      <c r="O102" s="230"/>
      <c r="P102" s="230"/>
      <c r="Q102" s="230"/>
      <c r="R102" s="230"/>
      <c r="S102" s="230"/>
      <c r="T102" s="230"/>
      <c r="U102" s="230"/>
      <c r="V102" s="230"/>
      <c r="W102" s="230"/>
      <c r="X102" s="230"/>
      <c r="Y102" s="230"/>
      <c r="Z102" s="230"/>
      <c r="AA102" s="230"/>
      <c r="AB102" s="335"/>
      <c r="AC102" s="335"/>
    </row>
    <row r="103" ht="15.75" customHeight="1" spans="1:29">
      <c r="A103" s="304"/>
      <c r="B103" s="230"/>
      <c r="C103" s="230"/>
      <c r="D103" s="230"/>
      <c r="E103" s="230"/>
      <c r="F103" s="230"/>
      <c r="G103" s="230"/>
      <c r="H103" s="230"/>
      <c r="I103" s="347"/>
      <c r="J103" s="230"/>
      <c r="K103" s="230"/>
      <c r="L103" s="230"/>
      <c r="M103" s="230"/>
      <c r="N103" s="230"/>
      <c r="O103" s="230"/>
      <c r="P103" s="230"/>
      <c r="Q103" s="230"/>
      <c r="R103" s="230"/>
      <c r="S103" s="230"/>
      <c r="T103" s="230"/>
      <c r="U103" s="230"/>
      <c r="V103" s="230"/>
      <c r="W103" s="230"/>
      <c r="X103" s="230"/>
      <c r="Y103" s="230"/>
      <c r="Z103" s="230"/>
      <c r="AA103" s="230"/>
      <c r="AB103" s="335"/>
      <c r="AC103" s="335"/>
    </row>
    <row r="104" ht="15.75" customHeight="1" spans="1:29">
      <c r="A104" s="304"/>
      <c r="B104" s="230"/>
      <c r="C104" s="230"/>
      <c r="D104" s="230"/>
      <c r="E104" s="230"/>
      <c r="F104" s="230"/>
      <c r="G104" s="230"/>
      <c r="H104" s="230"/>
      <c r="I104" s="347"/>
      <c r="J104" s="230"/>
      <c r="K104" s="230"/>
      <c r="L104" s="230"/>
      <c r="M104" s="230"/>
      <c r="N104" s="230"/>
      <c r="O104" s="230"/>
      <c r="P104" s="230"/>
      <c r="Q104" s="230"/>
      <c r="R104" s="230"/>
      <c r="S104" s="230"/>
      <c r="T104" s="230"/>
      <c r="U104" s="230"/>
      <c r="V104" s="230"/>
      <c r="W104" s="230"/>
      <c r="X104" s="230"/>
      <c r="Y104" s="230"/>
      <c r="Z104" s="230"/>
      <c r="AA104" s="230"/>
      <c r="AB104" s="335"/>
      <c r="AC104" s="335"/>
    </row>
    <row r="105" ht="15.75" customHeight="1" spans="1:29">
      <c r="A105" s="304"/>
      <c r="B105" s="230"/>
      <c r="C105" s="230"/>
      <c r="D105" s="230"/>
      <c r="E105" s="230"/>
      <c r="F105" s="230"/>
      <c r="G105" s="230"/>
      <c r="H105" s="230"/>
      <c r="I105" s="347"/>
      <c r="J105" s="230"/>
      <c r="K105" s="230"/>
      <c r="L105" s="230"/>
      <c r="M105" s="230"/>
      <c r="N105" s="230"/>
      <c r="O105" s="230"/>
      <c r="P105" s="230"/>
      <c r="Q105" s="230"/>
      <c r="R105" s="230"/>
      <c r="S105" s="230"/>
      <c r="T105" s="230"/>
      <c r="U105" s="230"/>
      <c r="V105" s="230"/>
      <c r="W105" s="230"/>
      <c r="X105" s="230"/>
      <c r="Y105" s="230"/>
      <c r="Z105" s="230"/>
      <c r="AA105" s="230"/>
      <c r="AB105" s="335"/>
      <c r="AC105" s="335"/>
    </row>
    <row r="106" ht="15.75" customHeight="1" spans="1:29">
      <c r="A106" s="304"/>
      <c r="B106" s="230"/>
      <c r="C106" s="230"/>
      <c r="D106" s="230"/>
      <c r="E106" s="230"/>
      <c r="F106" s="230"/>
      <c r="G106" s="230"/>
      <c r="H106" s="230"/>
      <c r="I106" s="347"/>
      <c r="J106" s="230"/>
      <c r="K106" s="230"/>
      <c r="L106" s="230"/>
      <c r="M106" s="230"/>
      <c r="N106" s="230"/>
      <c r="O106" s="230"/>
      <c r="P106" s="230"/>
      <c r="Q106" s="230"/>
      <c r="R106" s="230"/>
      <c r="S106" s="230"/>
      <c r="T106" s="230"/>
      <c r="U106" s="230"/>
      <c r="V106" s="230"/>
      <c r="W106" s="230"/>
      <c r="X106" s="230"/>
      <c r="Y106" s="230"/>
      <c r="Z106" s="230"/>
      <c r="AA106" s="230"/>
      <c r="AB106" s="335"/>
      <c r="AC106" s="335"/>
    </row>
    <row r="107" ht="15.75" customHeight="1" spans="1:29">
      <c r="A107" s="304"/>
      <c r="B107" s="230"/>
      <c r="C107" s="230"/>
      <c r="D107" s="230"/>
      <c r="E107" s="230"/>
      <c r="F107" s="230"/>
      <c r="G107" s="230"/>
      <c r="H107" s="230"/>
      <c r="I107" s="347"/>
      <c r="J107" s="230"/>
      <c r="K107" s="230"/>
      <c r="L107" s="230"/>
      <c r="M107" s="230"/>
      <c r="N107" s="230"/>
      <c r="O107" s="230"/>
      <c r="P107" s="230"/>
      <c r="Q107" s="230"/>
      <c r="R107" s="230"/>
      <c r="S107" s="230"/>
      <c r="T107" s="230"/>
      <c r="U107" s="230"/>
      <c r="V107" s="230"/>
      <c r="W107" s="230"/>
      <c r="X107" s="230"/>
      <c r="Y107" s="230"/>
      <c r="Z107" s="230"/>
      <c r="AA107" s="230"/>
      <c r="AB107" s="335"/>
      <c r="AC107" s="335"/>
    </row>
    <row r="108" ht="15.75" customHeight="1" spans="1:29">
      <c r="A108" s="304"/>
      <c r="B108" s="230"/>
      <c r="C108" s="230"/>
      <c r="D108" s="230"/>
      <c r="E108" s="230"/>
      <c r="F108" s="230"/>
      <c r="G108" s="230"/>
      <c r="H108" s="230"/>
      <c r="I108" s="347"/>
      <c r="J108" s="230"/>
      <c r="K108" s="230"/>
      <c r="L108" s="230"/>
      <c r="M108" s="230"/>
      <c r="N108" s="230"/>
      <c r="O108" s="230"/>
      <c r="P108" s="230"/>
      <c r="Q108" s="230"/>
      <c r="R108" s="230"/>
      <c r="S108" s="230"/>
      <c r="T108" s="230"/>
      <c r="U108" s="230"/>
      <c r="V108" s="230"/>
      <c r="W108" s="230"/>
      <c r="X108" s="230"/>
      <c r="Y108" s="230"/>
      <c r="Z108" s="230"/>
      <c r="AA108" s="230"/>
      <c r="AB108" s="335"/>
      <c r="AC108" s="335"/>
    </row>
    <row r="109" ht="15.75" customHeight="1" spans="1:29">
      <c r="A109" s="304"/>
      <c r="B109" s="230"/>
      <c r="C109" s="230"/>
      <c r="D109" s="230"/>
      <c r="E109" s="230"/>
      <c r="F109" s="230"/>
      <c r="G109" s="230"/>
      <c r="H109" s="230"/>
      <c r="I109" s="347"/>
      <c r="J109" s="230"/>
      <c r="K109" s="230"/>
      <c r="L109" s="230"/>
      <c r="M109" s="230"/>
      <c r="N109" s="230"/>
      <c r="O109" s="230"/>
      <c r="P109" s="230"/>
      <c r="Q109" s="230"/>
      <c r="R109" s="230"/>
      <c r="S109" s="230"/>
      <c r="T109" s="230"/>
      <c r="U109" s="230"/>
      <c r="V109" s="230"/>
      <c r="W109" s="230"/>
      <c r="X109" s="230"/>
      <c r="Y109" s="230"/>
      <c r="Z109" s="230"/>
      <c r="AA109" s="230"/>
      <c r="AB109" s="335"/>
      <c r="AC109" s="335"/>
    </row>
    <row r="110" ht="15.75" customHeight="1" spans="1:29">
      <c r="A110" s="304"/>
      <c r="B110" s="230"/>
      <c r="C110" s="230"/>
      <c r="D110" s="230"/>
      <c r="E110" s="230"/>
      <c r="F110" s="230"/>
      <c r="G110" s="230"/>
      <c r="H110" s="230"/>
      <c r="I110" s="347"/>
      <c r="J110" s="230"/>
      <c r="K110" s="230"/>
      <c r="L110" s="230"/>
      <c r="M110" s="230"/>
      <c r="N110" s="230"/>
      <c r="O110" s="230"/>
      <c r="P110" s="230"/>
      <c r="Q110" s="230"/>
      <c r="R110" s="230"/>
      <c r="S110" s="230"/>
      <c r="T110" s="230"/>
      <c r="U110" s="230"/>
      <c r="V110" s="230"/>
      <c r="W110" s="230"/>
      <c r="X110" s="230"/>
      <c r="Y110" s="230"/>
      <c r="Z110" s="230"/>
      <c r="AA110" s="230"/>
      <c r="AB110" s="335"/>
      <c r="AC110" s="335"/>
    </row>
    <row r="111" ht="15.75" customHeight="1" spans="1:29">
      <c r="A111" s="304"/>
      <c r="B111" s="230"/>
      <c r="C111" s="230"/>
      <c r="D111" s="230"/>
      <c r="E111" s="230"/>
      <c r="F111" s="230"/>
      <c r="G111" s="230"/>
      <c r="H111" s="230"/>
      <c r="I111" s="347"/>
      <c r="J111" s="230"/>
      <c r="K111" s="230"/>
      <c r="L111" s="230"/>
      <c r="M111" s="230"/>
      <c r="N111" s="230"/>
      <c r="O111" s="230"/>
      <c r="P111" s="230"/>
      <c r="Q111" s="230"/>
      <c r="R111" s="230"/>
      <c r="S111" s="230"/>
      <c r="T111" s="230"/>
      <c r="U111" s="230"/>
      <c r="V111" s="230"/>
      <c r="W111" s="230"/>
      <c r="X111" s="230"/>
      <c r="Y111" s="230"/>
      <c r="Z111" s="230"/>
      <c r="AA111" s="230"/>
      <c r="AB111" s="335"/>
      <c r="AC111" s="335"/>
    </row>
    <row r="112" ht="15.75" customHeight="1" spans="1:29">
      <c r="A112" s="304"/>
      <c r="B112" s="230"/>
      <c r="C112" s="230"/>
      <c r="D112" s="230"/>
      <c r="E112" s="230"/>
      <c r="F112" s="230"/>
      <c r="G112" s="230"/>
      <c r="H112" s="230"/>
      <c r="I112" s="347"/>
      <c r="J112" s="230"/>
      <c r="K112" s="230"/>
      <c r="L112" s="230"/>
      <c r="M112" s="230"/>
      <c r="N112" s="230"/>
      <c r="O112" s="230"/>
      <c r="P112" s="230"/>
      <c r="Q112" s="230"/>
      <c r="R112" s="230"/>
      <c r="S112" s="230"/>
      <c r="T112" s="230"/>
      <c r="U112" s="230"/>
      <c r="V112" s="230"/>
      <c r="W112" s="230"/>
      <c r="X112" s="230"/>
      <c r="Y112" s="230"/>
      <c r="Z112" s="230"/>
      <c r="AA112" s="230"/>
      <c r="AB112" s="335"/>
      <c r="AC112" s="335"/>
    </row>
    <row r="113" ht="15.75" customHeight="1" spans="1:29">
      <c r="A113" s="304"/>
      <c r="B113" s="230"/>
      <c r="C113" s="230"/>
      <c r="D113" s="230"/>
      <c r="E113" s="230"/>
      <c r="F113" s="230"/>
      <c r="G113" s="230"/>
      <c r="H113" s="230"/>
      <c r="I113" s="347"/>
      <c r="J113" s="230"/>
      <c r="K113" s="230"/>
      <c r="L113" s="230"/>
      <c r="M113" s="230"/>
      <c r="N113" s="230"/>
      <c r="O113" s="230"/>
      <c r="P113" s="230"/>
      <c r="Q113" s="230"/>
      <c r="R113" s="230"/>
      <c r="S113" s="230"/>
      <c r="T113" s="230"/>
      <c r="U113" s="230"/>
      <c r="V113" s="230"/>
      <c r="W113" s="230"/>
      <c r="X113" s="230"/>
      <c r="Y113" s="230"/>
      <c r="Z113" s="230"/>
      <c r="AA113" s="230"/>
      <c r="AB113" s="335"/>
      <c r="AC113" s="335"/>
    </row>
    <row r="114" ht="15.75" customHeight="1" spans="1:29">
      <c r="A114" s="304"/>
      <c r="B114" s="230"/>
      <c r="C114" s="230"/>
      <c r="D114" s="230"/>
      <c r="E114" s="230"/>
      <c r="F114" s="230"/>
      <c r="G114" s="230"/>
      <c r="H114" s="230"/>
      <c r="I114" s="347"/>
      <c r="J114" s="230"/>
      <c r="K114" s="230"/>
      <c r="L114" s="230"/>
      <c r="M114" s="230"/>
      <c r="N114" s="230"/>
      <c r="O114" s="230"/>
      <c r="P114" s="230"/>
      <c r="Q114" s="230"/>
      <c r="R114" s="230"/>
      <c r="S114" s="230"/>
      <c r="T114" s="230"/>
      <c r="U114" s="230"/>
      <c r="V114" s="230"/>
      <c r="W114" s="230"/>
      <c r="X114" s="230"/>
      <c r="Y114" s="230"/>
      <c r="Z114" s="230"/>
      <c r="AA114" s="230"/>
      <c r="AB114" s="335"/>
      <c r="AC114" s="335"/>
    </row>
    <row r="115" ht="15.75" customHeight="1" spans="1:29">
      <c r="A115" s="304"/>
      <c r="B115" s="230"/>
      <c r="C115" s="230"/>
      <c r="D115" s="230"/>
      <c r="E115" s="230"/>
      <c r="F115" s="230"/>
      <c r="G115" s="230"/>
      <c r="H115" s="230"/>
      <c r="I115" s="347"/>
      <c r="J115" s="230"/>
      <c r="K115" s="230"/>
      <c r="L115" s="230"/>
      <c r="M115" s="230"/>
      <c r="N115" s="230"/>
      <c r="O115" s="230"/>
      <c r="P115" s="230"/>
      <c r="Q115" s="230"/>
      <c r="R115" s="230"/>
      <c r="S115" s="230"/>
      <c r="T115" s="230"/>
      <c r="U115" s="230"/>
      <c r="V115" s="230"/>
      <c r="W115" s="230"/>
      <c r="X115" s="230"/>
      <c r="Y115" s="230"/>
      <c r="Z115" s="230"/>
      <c r="AA115" s="230"/>
      <c r="AB115" s="335"/>
      <c r="AC115" s="335"/>
    </row>
    <row r="116" ht="15.75" customHeight="1" spans="1:29">
      <c r="A116" s="304"/>
      <c r="B116" s="230"/>
      <c r="C116" s="230"/>
      <c r="D116" s="230"/>
      <c r="E116" s="230"/>
      <c r="F116" s="230"/>
      <c r="G116" s="230"/>
      <c r="H116" s="230"/>
      <c r="I116" s="347"/>
      <c r="J116" s="230"/>
      <c r="K116" s="230"/>
      <c r="L116" s="230"/>
      <c r="M116" s="230"/>
      <c r="N116" s="230"/>
      <c r="O116" s="230"/>
      <c r="P116" s="230"/>
      <c r="Q116" s="230"/>
      <c r="R116" s="230"/>
      <c r="S116" s="230"/>
      <c r="T116" s="230"/>
      <c r="U116" s="230"/>
      <c r="V116" s="230"/>
      <c r="W116" s="230"/>
      <c r="X116" s="230"/>
      <c r="Y116" s="230"/>
      <c r="Z116" s="230"/>
      <c r="AA116" s="230"/>
      <c r="AB116" s="335"/>
      <c r="AC116" s="335"/>
    </row>
    <row r="117" ht="15.75" customHeight="1" spans="1:29">
      <c r="A117" s="304"/>
      <c r="B117" s="230"/>
      <c r="C117" s="230"/>
      <c r="D117" s="230"/>
      <c r="E117" s="230"/>
      <c r="F117" s="230"/>
      <c r="G117" s="230"/>
      <c r="H117" s="230"/>
      <c r="I117" s="347"/>
      <c r="J117" s="230"/>
      <c r="K117" s="230"/>
      <c r="L117" s="230"/>
      <c r="M117" s="230"/>
      <c r="N117" s="230"/>
      <c r="O117" s="230"/>
      <c r="P117" s="230"/>
      <c r="Q117" s="230"/>
      <c r="R117" s="230"/>
      <c r="S117" s="230"/>
      <c r="T117" s="230"/>
      <c r="U117" s="230"/>
      <c r="V117" s="230"/>
      <c r="W117" s="230"/>
      <c r="X117" s="230"/>
      <c r="Y117" s="230"/>
      <c r="Z117" s="230"/>
      <c r="AA117" s="230"/>
      <c r="AB117" s="335"/>
      <c r="AC117" s="335"/>
    </row>
    <row r="118" ht="15.75" customHeight="1" spans="1:29">
      <c r="A118" s="304"/>
      <c r="B118" s="230"/>
      <c r="C118" s="230"/>
      <c r="D118" s="230"/>
      <c r="E118" s="230"/>
      <c r="F118" s="230"/>
      <c r="G118" s="230"/>
      <c r="H118" s="230"/>
      <c r="I118" s="347"/>
      <c r="J118" s="230"/>
      <c r="K118" s="230"/>
      <c r="L118" s="230"/>
      <c r="M118" s="230"/>
      <c r="N118" s="230"/>
      <c r="O118" s="230"/>
      <c r="P118" s="230"/>
      <c r="Q118" s="230"/>
      <c r="R118" s="230"/>
      <c r="S118" s="230"/>
      <c r="T118" s="230"/>
      <c r="U118" s="230"/>
      <c r="V118" s="230"/>
      <c r="W118" s="230"/>
      <c r="X118" s="230"/>
      <c r="Y118" s="230"/>
      <c r="Z118" s="230"/>
      <c r="AA118" s="230"/>
      <c r="AB118" s="335"/>
      <c r="AC118" s="335"/>
    </row>
    <row r="119" ht="15.75" customHeight="1" spans="1:29">
      <c r="A119" s="304"/>
      <c r="B119" s="230"/>
      <c r="C119" s="230"/>
      <c r="D119" s="230"/>
      <c r="E119" s="230"/>
      <c r="F119" s="230"/>
      <c r="G119" s="230"/>
      <c r="H119" s="230"/>
      <c r="I119" s="347"/>
      <c r="J119" s="230"/>
      <c r="K119" s="230"/>
      <c r="L119" s="230"/>
      <c r="M119" s="230"/>
      <c r="N119" s="230"/>
      <c r="O119" s="230"/>
      <c r="P119" s="230"/>
      <c r="Q119" s="230"/>
      <c r="R119" s="230"/>
      <c r="S119" s="230"/>
      <c r="T119" s="230"/>
      <c r="U119" s="230"/>
      <c r="V119" s="230"/>
      <c r="W119" s="230"/>
      <c r="X119" s="230"/>
      <c r="Y119" s="230"/>
      <c r="Z119" s="230"/>
      <c r="AA119" s="230"/>
      <c r="AB119" s="335"/>
      <c r="AC119" s="335"/>
    </row>
    <row r="120" ht="15.75" customHeight="1" spans="1:29">
      <c r="A120" s="304"/>
      <c r="B120" s="230"/>
      <c r="C120" s="230"/>
      <c r="D120" s="230"/>
      <c r="E120" s="230"/>
      <c r="F120" s="230"/>
      <c r="G120" s="230"/>
      <c r="H120" s="230"/>
      <c r="I120" s="347"/>
      <c r="J120" s="230"/>
      <c r="K120" s="230"/>
      <c r="L120" s="230"/>
      <c r="M120" s="230"/>
      <c r="N120" s="230"/>
      <c r="O120" s="230"/>
      <c r="P120" s="230"/>
      <c r="Q120" s="230"/>
      <c r="R120" s="230"/>
      <c r="S120" s="230"/>
      <c r="T120" s="230"/>
      <c r="U120" s="230"/>
      <c r="V120" s="230"/>
      <c r="W120" s="230"/>
      <c r="X120" s="230"/>
      <c r="Y120" s="230"/>
      <c r="Z120" s="230"/>
      <c r="AA120" s="230"/>
      <c r="AB120" s="335"/>
      <c r="AC120" s="335"/>
    </row>
    <row r="121" ht="15.75" customHeight="1" spans="1:29">
      <c r="A121" s="304"/>
      <c r="B121" s="230"/>
      <c r="C121" s="230"/>
      <c r="D121" s="230"/>
      <c r="E121" s="230"/>
      <c r="F121" s="230"/>
      <c r="G121" s="230"/>
      <c r="H121" s="230"/>
      <c r="I121" s="347"/>
      <c r="J121" s="230"/>
      <c r="K121" s="230"/>
      <c r="L121" s="230"/>
      <c r="M121" s="230"/>
      <c r="N121" s="230"/>
      <c r="O121" s="230"/>
      <c r="P121" s="230"/>
      <c r="Q121" s="230"/>
      <c r="R121" s="230"/>
      <c r="S121" s="230"/>
      <c r="T121" s="230"/>
      <c r="U121" s="230"/>
      <c r="V121" s="230"/>
      <c r="W121" s="230"/>
      <c r="X121" s="230"/>
      <c r="Y121" s="230"/>
      <c r="Z121" s="230"/>
      <c r="AA121" s="230"/>
      <c r="AB121" s="335"/>
      <c r="AC121" s="335"/>
    </row>
    <row r="122" ht="15.75" customHeight="1" spans="1:29">
      <c r="A122" s="304"/>
      <c r="B122" s="230"/>
      <c r="C122" s="230"/>
      <c r="D122" s="230"/>
      <c r="E122" s="230"/>
      <c r="F122" s="230"/>
      <c r="G122" s="230"/>
      <c r="H122" s="230"/>
      <c r="I122" s="347"/>
      <c r="J122" s="230"/>
      <c r="K122" s="230"/>
      <c r="L122" s="230"/>
      <c r="M122" s="230"/>
      <c r="N122" s="230"/>
      <c r="O122" s="230"/>
      <c r="P122" s="230"/>
      <c r="Q122" s="230"/>
      <c r="R122" s="230"/>
      <c r="S122" s="230"/>
      <c r="T122" s="230"/>
      <c r="U122" s="230"/>
      <c r="V122" s="230"/>
      <c r="W122" s="230"/>
      <c r="X122" s="230"/>
      <c r="Y122" s="230"/>
      <c r="Z122" s="230"/>
      <c r="AA122" s="230"/>
      <c r="AB122" s="335"/>
      <c r="AC122" s="335"/>
    </row>
    <row r="123" ht="15.75" customHeight="1" spans="1:29">
      <c r="A123" s="304"/>
      <c r="B123" s="230"/>
      <c r="C123" s="230"/>
      <c r="D123" s="230"/>
      <c r="E123" s="230"/>
      <c r="F123" s="230"/>
      <c r="G123" s="230"/>
      <c r="H123" s="230"/>
      <c r="I123" s="347"/>
      <c r="J123" s="230"/>
      <c r="K123" s="230"/>
      <c r="L123" s="230"/>
      <c r="M123" s="230"/>
      <c r="N123" s="230"/>
      <c r="O123" s="230"/>
      <c r="P123" s="230"/>
      <c r="Q123" s="230"/>
      <c r="R123" s="230"/>
      <c r="S123" s="230"/>
      <c r="T123" s="230"/>
      <c r="U123" s="230"/>
      <c r="V123" s="230"/>
      <c r="W123" s="230"/>
      <c r="X123" s="230"/>
      <c r="Y123" s="230"/>
      <c r="Z123" s="230"/>
      <c r="AA123" s="230"/>
      <c r="AB123" s="335"/>
      <c r="AC123" s="335"/>
    </row>
    <row r="124" ht="15.75" customHeight="1" spans="1:29">
      <c r="A124" s="304"/>
      <c r="B124" s="230"/>
      <c r="C124" s="230"/>
      <c r="D124" s="230"/>
      <c r="E124" s="230"/>
      <c r="F124" s="230"/>
      <c r="G124" s="230"/>
      <c r="H124" s="230"/>
      <c r="I124" s="347"/>
      <c r="J124" s="230"/>
      <c r="K124" s="230"/>
      <c r="L124" s="230"/>
      <c r="M124" s="230"/>
      <c r="N124" s="230"/>
      <c r="O124" s="230"/>
      <c r="P124" s="230"/>
      <c r="Q124" s="230"/>
      <c r="R124" s="230"/>
      <c r="S124" s="230"/>
      <c r="T124" s="230"/>
      <c r="U124" s="230"/>
      <c r="V124" s="230"/>
      <c r="W124" s="230"/>
      <c r="X124" s="230"/>
      <c r="Y124" s="230"/>
      <c r="Z124" s="230"/>
      <c r="AA124" s="230"/>
      <c r="AB124" s="335"/>
      <c r="AC124" s="335"/>
    </row>
    <row r="125" ht="15.75" customHeight="1" spans="1:29">
      <c r="A125" s="304"/>
      <c r="B125" s="230"/>
      <c r="C125" s="230"/>
      <c r="D125" s="230"/>
      <c r="E125" s="230"/>
      <c r="F125" s="230"/>
      <c r="G125" s="230"/>
      <c r="H125" s="230"/>
      <c r="I125" s="347"/>
      <c r="J125" s="230"/>
      <c r="K125" s="230"/>
      <c r="L125" s="230"/>
      <c r="M125" s="230"/>
      <c r="N125" s="230"/>
      <c r="O125" s="230"/>
      <c r="P125" s="230"/>
      <c r="Q125" s="230"/>
      <c r="R125" s="230"/>
      <c r="S125" s="230"/>
      <c r="T125" s="230"/>
      <c r="U125" s="230"/>
      <c r="V125" s="230"/>
      <c r="W125" s="230"/>
      <c r="X125" s="230"/>
      <c r="Y125" s="230"/>
      <c r="Z125" s="230"/>
      <c r="AA125" s="230"/>
      <c r="AB125" s="335"/>
      <c r="AC125" s="335"/>
    </row>
    <row r="126" ht="15.75" customHeight="1" spans="1:29">
      <c r="A126" s="304"/>
      <c r="B126" s="230"/>
      <c r="C126" s="230"/>
      <c r="D126" s="230"/>
      <c r="E126" s="230"/>
      <c r="F126" s="230"/>
      <c r="G126" s="230"/>
      <c r="H126" s="230"/>
      <c r="I126" s="347"/>
      <c r="J126" s="230"/>
      <c r="K126" s="230"/>
      <c r="L126" s="230"/>
      <c r="M126" s="230"/>
      <c r="N126" s="230"/>
      <c r="O126" s="230"/>
      <c r="P126" s="230"/>
      <c r="Q126" s="230"/>
      <c r="R126" s="230"/>
      <c r="S126" s="230"/>
      <c r="T126" s="230"/>
      <c r="U126" s="230"/>
      <c r="V126" s="230"/>
      <c r="W126" s="230"/>
      <c r="X126" s="230"/>
      <c r="Y126" s="230"/>
      <c r="Z126" s="230"/>
      <c r="AA126" s="230"/>
      <c r="AB126" s="335"/>
      <c r="AC126" s="335"/>
    </row>
    <row r="127" ht="15.75" customHeight="1" spans="1:29">
      <c r="A127" s="304"/>
      <c r="B127" s="230"/>
      <c r="C127" s="230"/>
      <c r="D127" s="230"/>
      <c r="E127" s="230"/>
      <c r="F127" s="230"/>
      <c r="G127" s="230"/>
      <c r="H127" s="230"/>
      <c r="I127" s="347"/>
      <c r="J127" s="230"/>
      <c r="K127" s="230"/>
      <c r="L127" s="230"/>
      <c r="M127" s="230"/>
      <c r="N127" s="230"/>
      <c r="O127" s="230"/>
      <c r="P127" s="230"/>
      <c r="Q127" s="230"/>
      <c r="R127" s="230"/>
      <c r="S127" s="230"/>
      <c r="T127" s="230"/>
      <c r="U127" s="230"/>
      <c r="V127" s="230"/>
      <c r="W127" s="230"/>
      <c r="X127" s="230"/>
      <c r="Y127" s="230"/>
      <c r="Z127" s="230"/>
      <c r="AA127" s="230"/>
      <c r="AB127" s="335"/>
      <c r="AC127" s="335"/>
    </row>
    <row r="128" ht="15.75" customHeight="1" spans="1:29">
      <c r="A128" s="304"/>
      <c r="B128" s="230"/>
      <c r="C128" s="230"/>
      <c r="D128" s="230"/>
      <c r="E128" s="230"/>
      <c r="F128" s="230"/>
      <c r="G128" s="230"/>
      <c r="H128" s="230"/>
      <c r="I128" s="347"/>
      <c r="J128" s="230"/>
      <c r="K128" s="230"/>
      <c r="L128" s="230"/>
      <c r="M128" s="230"/>
      <c r="N128" s="230"/>
      <c r="O128" s="230"/>
      <c r="P128" s="230"/>
      <c r="Q128" s="230"/>
      <c r="R128" s="230"/>
      <c r="S128" s="230"/>
      <c r="T128" s="230"/>
      <c r="U128" s="230"/>
      <c r="V128" s="230"/>
      <c r="W128" s="230"/>
      <c r="X128" s="230"/>
      <c r="Y128" s="230"/>
      <c r="Z128" s="230"/>
      <c r="AA128" s="230"/>
      <c r="AB128" s="335"/>
      <c r="AC128" s="335"/>
    </row>
    <row r="129" ht="15.75" customHeight="1" spans="1:29">
      <c r="A129" s="304"/>
      <c r="B129" s="230"/>
      <c r="C129" s="230"/>
      <c r="D129" s="230"/>
      <c r="E129" s="230"/>
      <c r="F129" s="230"/>
      <c r="G129" s="230"/>
      <c r="H129" s="230"/>
      <c r="I129" s="347"/>
      <c r="J129" s="230"/>
      <c r="K129" s="230"/>
      <c r="L129" s="230"/>
      <c r="M129" s="230"/>
      <c r="N129" s="230"/>
      <c r="O129" s="230"/>
      <c r="P129" s="230"/>
      <c r="Q129" s="230"/>
      <c r="R129" s="230"/>
      <c r="S129" s="230"/>
      <c r="T129" s="230"/>
      <c r="U129" s="230"/>
      <c r="V129" s="230"/>
      <c r="W129" s="230"/>
      <c r="X129" s="230"/>
      <c r="Y129" s="230"/>
      <c r="Z129" s="230"/>
      <c r="AA129" s="230"/>
      <c r="AB129" s="335"/>
      <c r="AC129" s="335"/>
    </row>
    <row r="130" ht="15.75" customHeight="1" spans="1:29">
      <c r="A130" s="304"/>
      <c r="B130" s="230"/>
      <c r="C130" s="230"/>
      <c r="D130" s="230"/>
      <c r="E130" s="230"/>
      <c r="F130" s="230"/>
      <c r="G130" s="230"/>
      <c r="H130" s="230"/>
      <c r="I130" s="347"/>
      <c r="J130" s="230"/>
      <c r="K130" s="230"/>
      <c r="L130" s="230"/>
      <c r="M130" s="230"/>
      <c r="N130" s="230"/>
      <c r="O130" s="230"/>
      <c r="P130" s="230"/>
      <c r="Q130" s="230"/>
      <c r="R130" s="230"/>
      <c r="S130" s="230"/>
      <c r="T130" s="230"/>
      <c r="U130" s="230"/>
      <c r="V130" s="230"/>
      <c r="W130" s="230"/>
      <c r="X130" s="230"/>
      <c r="Y130" s="230"/>
      <c r="Z130" s="230"/>
      <c r="AA130" s="230"/>
      <c r="AB130" s="335"/>
      <c r="AC130" s="335"/>
    </row>
    <row r="131" ht="15.75" customHeight="1" spans="1:29">
      <c r="A131" s="352"/>
      <c r="B131" s="353"/>
      <c r="C131" s="353"/>
      <c r="D131" s="353"/>
      <c r="E131" s="353"/>
      <c r="F131" s="353"/>
      <c r="G131" s="353"/>
      <c r="H131" s="353"/>
      <c r="I131" s="354"/>
      <c r="J131" s="230"/>
      <c r="K131" s="230"/>
      <c r="L131" s="230"/>
      <c r="M131" s="230"/>
      <c r="N131" s="230"/>
      <c r="O131" s="230"/>
      <c r="P131" s="230"/>
      <c r="Q131" s="230"/>
      <c r="R131" s="230"/>
      <c r="S131" s="230"/>
      <c r="T131" s="230"/>
      <c r="U131" s="230"/>
      <c r="V131" s="230"/>
      <c r="W131" s="230"/>
      <c r="X131" s="230"/>
      <c r="Y131" s="230"/>
      <c r="Z131" s="230"/>
      <c r="AA131" s="230"/>
      <c r="AB131" s="335"/>
      <c r="AC131" s="335"/>
    </row>
    <row r="132" ht="15.75" customHeight="1" spans="1:29">
      <c r="A132" s="230"/>
      <c r="B132" s="230"/>
      <c r="C132" s="230"/>
      <c r="D132" s="230"/>
      <c r="E132" s="230"/>
      <c r="F132" s="230"/>
      <c r="G132" s="230"/>
      <c r="H132" s="230"/>
      <c r="I132" s="230"/>
      <c r="J132" s="230"/>
      <c r="K132" s="230"/>
      <c r="L132" s="230"/>
      <c r="M132" s="230"/>
      <c r="N132" s="230"/>
      <c r="O132" s="230"/>
      <c r="P132" s="230"/>
      <c r="Q132" s="230"/>
      <c r="R132" s="230"/>
      <c r="S132" s="230"/>
      <c r="T132" s="230"/>
      <c r="U132" s="230"/>
      <c r="V132" s="230"/>
      <c r="W132" s="230"/>
      <c r="X132" s="230"/>
      <c r="Y132" s="230"/>
      <c r="Z132" s="230"/>
      <c r="AA132" s="230"/>
      <c r="AB132" s="335"/>
      <c r="AC132" s="335"/>
    </row>
    <row r="133" ht="15.75" customHeight="1" spans="1:29">
      <c r="A133" s="230"/>
      <c r="B133" s="230"/>
      <c r="C133" s="230"/>
      <c r="D133" s="230"/>
      <c r="E133" s="230"/>
      <c r="F133" s="230"/>
      <c r="G133" s="230"/>
      <c r="H133" s="230"/>
      <c r="I133" s="230"/>
      <c r="J133" s="230"/>
      <c r="K133" s="230"/>
      <c r="L133" s="230"/>
      <c r="M133" s="230"/>
      <c r="N133" s="230"/>
      <c r="O133" s="230"/>
      <c r="P133" s="230"/>
      <c r="Q133" s="230"/>
      <c r="R133" s="230"/>
      <c r="S133" s="230"/>
      <c r="T133" s="230"/>
      <c r="U133" s="230"/>
      <c r="V133" s="230"/>
      <c r="W133" s="230"/>
      <c r="X133" s="230"/>
      <c r="Y133" s="230"/>
      <c r="Z133" s="230"/>
      <c r="AA133" s="230"/>
      <c r="AB133" s="335"/>
      <c r="AC133" s="335"/>
    </row>
    <row r="134" ht="15.75" customHeight="1" spans="1:29">
      <c r="A134" s="230"/>
      <c r="B134" s="230"/>
      <c r="C134" s="230"/>
      <c r="D134" s="230"/>
      <c r="E134" s="230"/>
      <c r="F134" s="230"/>
      <c r="G134" s="230"/>
      <c r="H134" s="230"/>
      <c r="I134" s="230"/>
      <c r="J134" s="230"/>
      <c r="K134" s="230"/>
      <c r="L134" s="230"/>
      <c r="M134" s="230"/>
      <c r="N134" s="230"/>
      <c r="O134" s="230"/>
      <c r="P134" s="230"/>
      <c r="Q134" s="230"/>
      <c r="R134" s="230"/>
      <c r="S134" s="230"/>
      <c r="T134" s="230"/>
      <c r="U134" s="230"/>
      <c r="V134" s="230"/>
      <c r="W134" s="230"/>
      <c r="X134" s="230"/>
      <c r="Y134" s="230"/>
      <c r="Z134" s="230"/>
      <c r="AA134" s="230"/>
      <c r="AB134" s="335"/>
      <c r="AC134" s="335"/>
    </row>
    <row r="135" ht="15.75" customHeight="1" spans="1:29">
      <c r="A135" s="230"/>
      <c r="B135" s="230"/>
      <c r="C135" s="230"/>
      <c r="D135" s="230"/>
      <c r="E135" s="230"/>
      <c r="F135" s="230"/>
      <c r="G135" s="230"/>
      <c r="H135" s="230"/>
      <c r="I135" s="230"/>
      <c r="J135" s="230"/>
      <c r="K135" s="230"/>
      <c r="L135" s="230"/>
      <c r="M135" s="230"/>
      <c r="N135" s="230"/>
      <c r="O135" s="230"/>
      <c r="P135" s="230"/>
      <c r="Q135" s="230"/>
      <c r="R135" s="230"/>
      <c r="S135" s="230"/>
      <c r="T135" s="230"/>
      <c r="U135" s="230"/>
      <c r="V135" s="230"/>
      <c r="W135" s="230"/>
      <c r="X135" s="230"/>
      <c r="Y135" s="230"/>
      <c r="Z135" s="230"/>
      <c r="AA135" s="230"/>
      <c r="AB135" s="335"/>
      <c r="AC135" s="335"/>
    </row>
    <row r="136" ht="15.75" customHeight="1" spans="1:29">
      <c r="A136" s="230"/>
      <c r="B136" s="230"/>
      <c r="C136" s="230"/>
      <c r="D136" s="230"/>
      <c r="E136" s="230"/>
      <c r="F136" s="230"/>
      <c r="G136" s="230"/>
      <c r="H136" s="230"/>
      <c r="I136" s="230"/>
      <c r="J136" s="230"/>
      <c r="K136" s="230"/>
      <c r="L136" s="230"/>
      <c r="M136" s="230"/>
      <c r="N136" s="230"/>
      <c r="O136" s="230"/>
      <c r="P136" s="230"/>
      <c r="Q136" s="230"/>
      <c r="R136" s="230"/>
      <c r="S136" s="230"/>
      <c r="T136" s="230"/>
      <c r="U136" s="230"/>
      <c r="V136" s="230"/>
      <c r="W136" s="230"/>
      <c r="X136" s="230"/>
      <c r="Y136" s="230"/>
      <c r="Z136" s="230"/>
      <c r="AA136" s="230"/>
      <c r="AB136" s="335"/>
      <c r="AC136" s="335"/>
    </row>
    <row r="137" ht="15.75" customHeight="1" spans="1:29">
      <c r="A137" s="230"/>
      <c r="B137" s="230"/>
      <c r="C137" s="230"/>
      <c r="D137" s="230"/>
      <c r="E137" s="230"/>
      <c r="F137" s="230"/>
      <c r="G137" s="230"/>
      <c r="H137" s="230"/>
      <c r="I137" s="230"/>
      <c r="J137" s="230"/>
      <c r="K137" s="230"/>
      <c r="L137" s="230"/>
      <c r="M137" s="230"/>
      <c r="N137" s="230"/>
      <c r="O137" s="230"/>
      <c r="P137" s="230"/>
      <c r="Q137" s="230"/>
      <c r="R137" s="230"/>
      <c r="S137" s="230"/>
      <c r="T137" s="230"/>
      <c r="U137" s="230"/>
      <c r="V137" s="230"/>
      <c r="W137" s="230"/>
      <c r="X137" s="230"/>
      <c r="Y137" s="230"/>
      <c r="Z137" s="230"/>
      <c r="AA137" s="230"/>
      <c r="AB137" s="335"/>
      <c r="AC137" s="335"/>
    </row>
    <row r="138" ht="15.75" customHeight="1" spans="1:29">
      <c r="A138" s="230"/>
      <c r="B138" s="230"/>
      <c r="C138" s="230"/>
      <c r="D138" s="230"/>
      <c r="E138" s="230"/>
      <c r="F138" s="230"/>
      <c r="G138" s="230"/>
      <c r="H138" s="230"/>
      <c r="I138" s="230"/>
      <c r="J138" s="230"/>
      <c r="K138" s="230"/>
      <c r="L138" s="230"/>
      <c r="M138" s="230"/>
      <c r="N138" s="230"/>
      <c r="O138" s="230"/>
      <c r="P138" s="230"/>
      <c r="Q138" s="230"/>
      <c r="R138" s="230"/>
      <c r="S138" s="230"/>
      <c r="T138" s="230"/>
      <c r="U138" s="230"/>
      <c r="V138" s="230"/>
      <c r="W138" s="230"/>
      <c r="X138" s="230"/>
      <c r="Y138" s="230"/>
      <c r="Z138" s="230"/>
      <c r="AA138" s="230"/>
      <c r="AB138" s="335"/>
      <c r="AC138" s="335"/>
    </row>
    <row r="139" ht="15.75" customHeight="1" spans="1:29">
      <c r="A139" s="230"/>
      <c r="B139" s="230"/>
      <c r="C139" s="230"/>
      <c r="D139" s="230"/>
      <c r="E139" s="230"/>
      <c r="F139" s="230"/>
      <c r="G139" s="230"/>
      <c r="H139" s="230"/>
      <c r="I139" s="230"/>
      <c r="J139" s="230"/>
      <c r="K139" s="230"/>
      <c r="L139" s="230"/>
      <c r="M139" s="230"/>
      <c r="N139" s="230"/>
      <c r="O139" s="230"/>
      <c r="P139" s="230"/>
      <c r="Q139" s="230"/>
      <c r="R139" s="230"/>
      <c r="S139" s="230"/>
      <c r="T139" s="230"/>
      <c r="U139" s="230"/>
      <c r="V139" s="230"/>
      <c r="W139" s="230"/>
      <c r="X139" s="230"/>
      <c r="Y139" s="230"/>
      <c r="Z139" s="230"/>
      <c r="AA139" s="230"/>
      <c r="AB139" s="335"/>
      <c r="AC139" s="335"/>
    </row>
    <row r="140" ht="15.75" customHeight="1" spans="1:29">
      <c r="A140" s="230"/>
      <c r="B140" s="230"/>
      <c r="C140" s="230"/>
      <c r="D140" s="230"/>
      <c r="E140" s="230"/>
      <c r="F140" s="230"/>
      <c r="G140" s="230"/>
      <c r="H140" s="230"/>
      <c r="I140" s="230"/>
      <c r="J140" s="230"/>
      <c r="K140" s="230"/>
      <c r="L140" s="230"/>
      <c r="M140" s="230"/>
      <c r="N140" s="230"/>
      <c r="O140" s="230"/>
      <c r="P140" s="230"/>
      <c r="Q140" s="230"/>
      <c r="R140" s="230"/>
      <c r="S140" s="230"/>
      <c r="T140" s="230"/>
      <c r="U140" s="230"/>
      <c r="V140" s="230"/>
      <c r="W140" s="230"/>
      <c r="X140" s="230"/>
      <c r="Y140" s="230"/>
      <c r="Z140" s="230"/>
      <c r="AA140" s="230"/>
      <c r="AB140" s="335"/>
      <c r="AC140" s="335"/>
    </row>
    <row r="141" ht="15.75" customHeight="1" spans="1:29">
      <c r="A141" s="230"/>
      <c r="B141" s="230"/>
      <c r="C141" s="230"/>
      <c r="D141" s="230"/>
      <c r="E141" s="230"/>
      <c r="F141" s="230"/>
      <c r="G141" s="230"/>
      <c r="H141" s="230"/>
      <c r="I141" s="230"/>
      <c r="J141" s="230"/>
      <c r="K141" s="230"/>
      <c r="L141" s="230"/>
      <c r="M141" s="230"/>
      <c r="N141" s="230"/>
      <c r="O141" s="230"/>
      <c r="P141" s="230"/>
      <c r="Q141" s="230"/>
      <c r="R141" s="230"/>
      <c r="S141" s="230"/>
      <c r="T141" s="230"/>
      <c r="U141" s="230"/>
      <c r="V141" s="230"/>
      <c r="W141" s="230"/>
      <c r="X141" s="230"/>
      <c r="Y141" s="230"/>
      <c r="Z141" s="230"/>
      <c r="AA141" s="230"/>
      <c r="AB141" s="335"/>
      <c r="AC141" s="335"/>
    </row>
    <row r="142" ht="15.75" customHeight="1" spans="1:29">
      <c r="A142" s="230"/>
      <c r="B142" s="230"/>
      <c r="C142" s="230"/>
      <c r="D142" s="230"/>
      <c r="E142" s="230"/>
      <c r="F142" s="230"/>
      <c r="G142" s="230"/>
      <c r="H142" s="230"/>
      <c r="I142" s="230"/>
      <c r="J142" s="230"/>
      <c r="K142" s="230"/>
      <c r="L142" s="230"/>
      <c r="M142" s="230"/>
      <c r="N142" s="230"/>
      <c r="O142" s="230"/>
      <c r="P142" s="230"/>
      <c r="Q142" s="230"/>
      <c r="R142" s="230"/>
      <c r="S142" s="230"/>
      <c r="T142" s="230"/>
      <c r="U142" s="230"/>
      <c r="V142" s="230"/>
      <c r="W142" s="230"/>
      <c r="X142" s="230"/>
      <c r="Y142" s="230"/>
      <c r="Z142" s="230"/>
      <c r="AA142" s="230"/>
      <c r="AB142" s="335"/>
      <c r="AC142" s="335"/>
    </row>
    <row r="143" ht="15.75" customHeight="1" spans="1:29">
      <c r="A143" s="230"/>
      <c r="B143" s="230"/>
      <c r="C143" s="230"/>
      <c r="D143" s="230"/>
      <c r="E143" s="230"/>
      <c r="F143" s="230"/>
      <c r="G143" s="230"/>
      <c r="H143" s="230"/>
      <c r="I143" s="230"/>
      <c r="J143" s="230"/>
      <c r="K143" s="230"/>
      <c r="L143" s="230"/>
      <c r="M143" s="230"/>
      <c r="N143" s="230"/>
      <c r="O143" s="230"/>
      <c r="P143" s="230"/>
      <c r="Q143" s="230"/>
      <c r="R143" s="230"/>
      <c r="S143" s="230"/>
      <c r="T143" s="230"/>
      <c r="U143" s="230"/>
      <c r="V143" s="230"/>
      <c r="W143" s="230"/>
      <c r="X143" s="230"/>
      <c r="Y143" s="230"/>
      <c r="Z143" s="230"/>
      <c r="AA143" s="230"/>
      <c r="AB143" s="335"/>
      <c r="AC143" s="335"/>
    </row>
    <row r="144" ht="15.75" customHeight="1" spans="1:29">
      <c r="A144" s="230"/>
      <c r="B144" s="230"/>
      <c r="C144" s="230"/>
      <c r="D144" s="230"/>
      <c r="E144" s="230"/>
      <c r="F144" s="230"/>
      <c r="G144" s="230"/>
      <c r="H144" s="230"/>
      <c r="I144" s="230"/>
      <c r="J144" s="230"/>
      <c r="K144" s="230"/>
      <c r="L144" s="230"/>
      <c r="M144" s="230"/>
      <c r="N144" s="230"/>
      <c r="O144" s="230"/>
      <c r="P144" s="230"/>
      <c r="Q144" s="230"/>
      <c r="R144" s="230"/>
      <c r="S144" s="230"/>
      <c r="T144" s="230"/>
      <c r="U144" s="230"/>
      <c r="V144" s="230"/>
      <c r="W144" s="230"/>
      <c r="X144" s="230"/>
      <c r="Y144" s="230"/>
      <c r="Z144" s="230"/>
      <c r="AA144" s="230"/>
      <c r="AB144" s="335"/>
      <c r="AC144" s="335"/>
    </row>
    <row r="145" ht="15.75" customHeight="1" spans="1:29">
      <c r="A145" s="230"/>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c r="AA145" s="230"/>
      <c r="AB145" s="335"/>
      <c r="AC145" s="335"/>
    </row>
    <row r="146" ht="15.75" customHeight="1" spans="1:29">
      <c r="A146" s="230"/>
      <c r="B146" s="230"/>
      <c r="C146" s="230"/>
      <c r="D146" s="230"/>
      <c r="E146" s="230"/>
      <c r="F146" s="230"/>
      <c r="G146" s="230"/>
      <c r="H146" s="230"/>
      <c r="I146" s="230"/>
      <c r="J146" s="230"/>
      <c r="K146" s="230"/>
      <c r="L146" s="230"/>
      <c r="M146" s="230"/>
      <c r="N146" s="230"/>
      <c r="O146" s="230"/>
      <c r="P146" s="230"/>
      <c r="Q146" s="230"/>
      <c r="R146" s="230"/>
      <c r="S146" s="230"/>
      <c r="T146" s="230"/>
      <c r="U146" s="230"/>
      <c r="V146" s="230"/>
      <c r="W146" s="230"/>
      <c r="X146" s="230"/>
      <c r="Y146" s="230"/>
      <c r="Z146" s="230"/>
      <c r="AA146" s="230"/>
      <c r="AB146" s="335"/>
      <c r="AC146" s="335"/>
    </row>
    <row r="147" ht="15.75" customHeight="1" spans="1:29">
      <c r="A147" s="230"/>
      <c r="B147" s="230"/>
      <c r="C147" s="230"/>
      <c r="D147" s="230"/>
      <c r="E147" s="230"/>
      <c r="F147" s="230"/>
      <c r="G147" s="230"/>
      <c r="H147" s="230"/>
      <c r="I147" s="230"/>
      <c r="J147" s="230"/>
      <c r="K147" s="230"/>
      <c r="L147" s="230"/>
      <c r="M147" s="230"/>
      <c r="N147" s="230"/>
      <c r="O147" s="230"/>
      <c r="P147" s="230"/>
      <c r="Q147" s="230"/>
      <c r="R147" s="230"/>
      <c r="S147" s="230"/>
      <c r="T147" s="230"/>
      <c r="U147" s="230"/>
      <c r="V147" s="230"/>
      <c r="W147" s="230"/>
      <c r="X147" s="230"/>
      <c r="Y147" s="230"/>
      <c r="Z147" s="230"/>
      <c r="AA147" s="230"/>
      <c r="AB147" s="335"/>
      <c r="AC147" s="335"/>
    </row>
    <row r="148" ht="15.75" customHeight="1" spans="1:29">
      <c r="A148" s="230"/>
      <c r="B148" s="230"/>
      <c r="C148" s="230"/>
      <c r="D148" s="230"/>
      <c r="E148" s="230"/>
      <c r="F148" s="230"/>
      <c r="G148" s="230"/>
      <c r="H148" s="230"/>
      <c r="I148" s="230"/>
      <c r="J148" s="230"/>
      <c r="K148" s="230"/>
      <c r="L148" s="230"/>
      <c r="M148" s="230"/>
      <c r="N148" s="230"/>
      <c r="O148" s="230"/>
      <c r="P148" s="230"/>
      <c r="Q148" s="230"/>
      <c r="R148" s="230"/>
      <c r="S148" s="230"/>
      <c r="T148" s="230"/>
      <c r="U148" s="230"/>
      <c r="V148" s="230"/>
      <c r="W148" s="230"/>
      <c r="X148" s="230"/>
      <c r="Y148" s="230"/>
      <c r="Z148" s="230"/>
      <c r="AA148" s="230"/>
      <c r="AB148" s="335"/>
      <c r="AC148" s="335"/>
    </row>
    <row r="149" ht="15.75" customHeight="1" spans="1:29">
      <c r="A149" s="230"/>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c r="AA149" s="230"/>
      <c r="AB149" s="335"/>
      <c r="AC149" s="335"/>
    </row>
    <row r="150" ht="15.75" customHeight="1" spans="1:29">
      <c r="A150" s="230"/>
      <c r="B150" s="230"/>
      <c r="C150" s="230"/>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c r="AA150" s="230"/>
      <c r="AB150" s="335"/>
      <c r="AC150" s="335"/>
    </row>
    <row r="151" ht="15.75" customHeight="1" spans="1:29">
      <c r="A151" s="230"/>
      <c r="B151" s="230"/>
      <c r="C151" s="230"/>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c r="AA151" s="230"/>
      <c r="AB151" s="335"/>
      <c r="AC151" s="335"/>
    </row>
    <row r="152" ht="15.75" customHeight="1" spans="1:29">
      <c r="A152" s="230"/>
      <c r="B152" s="230"/>
      <c r="C152" s="230"/>
      <c r="D152" s="230"/>
      <c r="E152" s="230"/>
      <c r="F152" s="230"/>
      <c r="G152" s="230"/>
      <c r="H152" s="230"/>
      <c r="I152" s="230"/>
      <c r="J152" s="230"/>
      <c r="K152" s="230"/>
      <c r="L152" s="230"/>
      <c r="M152" s="230"/>
      <c r="N152" s="230"/>
      <c r="O152" s="230"/>
      <c r="P152" s="230"/>
      <c r="Q152" s="230"/>
      <c r="R152" s="230"/>
      <c r="S152" s="230"/>
      <c r="T152" s="230"/>
      <c r="U152" s="230"/>
      <c r="V152" s="230"/>
      <c r="W152" s="230"/>
      <c r="X152" s="230"/>
      <c r="Y152" s="230"/>
      <c r="Z152" s="230"/>
      <c r="AA152" s="230"/>
      <c r="AB152" s="335"/>
      <c r="AC152" s="335"/>
    </row>
    <row r="153" ht="15.75" customHeight="1" spans="1:29">
      <c r="A153" s="230"/>
      <c r="B153" s="230"/>
      <c r="C153" s="230"/>
      <c r="D153" s="230"/>
      <c r="E153" s="230"/>
      <c r="F153" s="230"/>
      <c r="G153" s="230"/>
      <c r="H153" s="230"/>
      <c r="I153" s="230"/>
      <c r="J153" s="230"/>
      <c r="K153" s="230"/>
      <c r="L153" s="230"/>
      <c r="M153" s="230"/>
      <c r="N153" s="230"/>
      <c r="O153" s="230"/>
      <c r="P153" s="230"/>
      <c r="Q153" s="230"/>
      <c r="R153" s="230"/>
      <c r="S153" s="230"/>
      <c r="T153" s="230"/>
      <c r="U153" s="230"/>
      <c r="V153" s="230"/>
      <c r="W153" s="230"/>
      <c r="X153" s="230"/>
      <c r="Y153" s="230"/>
      <c r="Z153" s="230"/>
      <c r="AA153" s="230"/>
      <c r="AB153" s="335"/>
      <c r="AC153" s="335"/>
    </row>
    <row r="154" ht="15.75" customHeight="1" spans="1:29">
      <c r="A154" s="230"/>
      <c r="B154" s="230"/>
      <c r="C154" s="230"/>
      <c r="D154" s="230"/>
      <c r="E154" s="230"/>
      <c r="F154" s="230"/>
      <c r="G154" s="230"/>
      <c r="H154" s="230"/>
      <c r="I154" s="230"/>
      <c r="J154" s="230"/>
      <c r="K154" s="230"/>
      <c r="L154" s="230"/>
      <c r="M154" s="230"/>
      <c r="N154" s="230"/>
      <c r="O154" s="230"/>
      <c r="P154" s="230"/>
      <c r="Q154" s="230"/>
      <c r="R154" s="230"/>
      <c r="S154" s="230"/>
      <c r="T154" s="230"/>
      <c r="U154" s="230"/>
      <c r="V154" s="230"/>
      <c r="W154" s="230"/>
      <c r="X154" s="230"/>
      <c r="Y154" s="230"/>
      <c r="Z154" s="230"/>
      <c r="AA154" s="230"/>
      <c r="AB154" s="335"/>
      <c r="AC154" s="335"/>
    </row>
    <row r="155" ht="15.75" customHeight="1" spans="1:29">
      <c r="A155" s="230"/>
      <c r="B155" s="230"/>
      <c r="C155" s="230"/>
      <c r="D155" s="230"/>
      <c r="E155" s="230"/>
      <c r="F155" s="230"/>
      <c r="G155" s="230"/>
      <c r="H155" s="230"/>
      <c r="I155" s="230"/>
      <c r="J155" s="230"/>
      <c r="K155" s="230"/>
      <c r="L155" s="230"/>
      <c r="M155" s="230"/>
      <c r="N155" s="230"/>
      <c r="O155" s="230"/>
      <c r="P155" s="230"/>
      <c r="Q155" s="230"/>
      <c r="R155" s="230"/>
      <c r="S155" s="230"/>
      <c r="T155" s="230"/>
      <c r="U155" s="230"/>
      <c r="V155" s="230"/>
      <c r="W155" s="230"/>
      <c r="X155" s="230"/>
      <c r="Y155" s="230"/>
      <c r="Z155" s="230"/>
      <c r="AA155" s="230"/>
      <c r="AB155" s="335"/>
      <c r="AC155" s="335"/>
    </row>
    <row r="156" ht="15.75" customHeight="1" spans="1:29">
      <c r="A156" s="230"/>
      <c r="B156" s="230"/>
      <c r="C156" s="230"/>
      <c r="D156" s="230"/>
      <c r="E156" s="230"/>
      <c r="F156" s="230"/>
      <c r="G156" s="230"/>
      <c r="H156" s="230"/>
      <c r="I156" s="230"/>
      <c r="J156" s="230"/>
      <c r="K156" s="230"/>
      <c r="L156" s="230"/>
      <c r="M156" s="230"/>
      <c r="N156" s="230"/>
      <c r="O156" s="230"/>
      <c r="P156" s="230"/>
      <c r="Q156" s="230"/>
      <c r="R156" s="230"/>
      <c r="S156" s="230"/>
      <c r="T156" s="230"/>
      <c r="U156" s="230"/>
      <c r="V156" s="230"/>
      <c r="W156" s="230"/>
      <c r="X156" s="230"/>
      <c r="Y156" s="230"/>
      <c r="Z156" s="230"/>
      <c r="AA156" s="230"/>
      <c r="AB156" s="335"/>
      <c r="AC156" s="335"/>
    </row>
    <row r="157" ht="15.75" customHeight="1" spans="1:29">
      <c r="A157" s="230"/>
      <c r="B157" s="230"/>
      <c r="C157" s="230"/>
      <c r="D157" s="230"/>
      <c r="E157" s="230"/>
      <c r="F157" s="230"/>
      <c r="G157" s="230"/>
      <c r="H157" s="230"/>
      <c r="I157" s="230"/>
      <c r="J157" s="230"/>
      <c r="K157" s="230"/>
      <c r="L157" s="230"/>
      <c r="M157" s="230"/>
      <c r="N157" s="230"/>
      <c r="O157" s="230"/>
      <c r="P157" s="230"/>
      <c r="Q157" s="230"/>
      <c r="R157" s="230"/>
      <c r="S157" s="230"/>
      <c r="T157" s="230"/>
      <c r="U157" s="230"/>
      <c r="V157" s="230"/>
      <c r="W157" s="230"/>
      <c r="X157" s="230"/>
      <c r="Y157" s="230"/>
      <c r="Z157" s="230"/>
      <c r="AA157" s="230"/>
      <c r="AB157" s="335"/>
      <c r="AC157" s="335"/>
    </row>
    <row r="158" ht="15.75" customHeight="1" spans="1:29">
      <c r="A158" s="230"/>
      <c r="B158" s="230"/>
      <c r="C158" s="230"/>
      <c r="D158" s="230"/>
      <c r="E158" s="230"/>
      <c r="F158" s="230"/>
      <c r="G158" s="230"/>
      <c r="H158" s="230"/>
      <c r="I158" s="230"/>
      <c r="J158" s="230"/>
      <c r="K158" s="230"/>
      <c r="L158" s="230"/>
      <c r="M158" s="230"/>
      <c r="N158" s="230"/>
      <c r="O158" s="230"/>
      <c r="P158" s="230"/>
      <c r="Q158" s="230"/>
      <c r="R158" s="230"/>
      <c r="S158" s="230"/>
      <c r="T158" s="230"/>
      <c r="U158" s="230"/>
      <c r="V158" s="230"/>
      <c r="W158" s="230"/>
      <c r="X158" s="230"/>
      <c r="Y158" s="230"/>
      <c r="Z158" s="230"/>
      <c r="AA158" s="230"/>
      <c r="AB158" s="335"/>
      <c r="AC158" s="335"/>
    </row>
    <row r="159" ht="15.75" customHeight="1" spans="1:29">
      <c r="A159" s="230"/>
      <c r="B159" s="230"/>
      <c r="C159" s="230"/>
      <c r="D159" s="230"/>
      <c r="E159" s="230"/>
      <c r="F159" s="230"/>
      <c r="G159" s="230"/>
      <c r="H159" s="230"/>
      <c r="I159" s="230"/>
      <c r="J159" s="230"/>
      <c r="K159" s="230"/>
      <c r="L159" s="230"/>
      <c r="M159" s="230"/>
      <c r="N159" s="230"/>
      <c r="O159" s="230"/>
      <c r="P159" s="230"/>
      <c r="Q159" s="230"/>
      <c r="R159" s="230"/>
      <c r="S159" s="230"/>
      <c r="T159" s="230"/>
      <c r="U159" s="230"/>
      <c r="V159" s="230"/>
      <c r="W159" s="230"/>
      <c r="X159" s="230"/>
      <c r="Y159" s="230"/>
      <c r="Z159" s="230"/>
      <c r="AA159" s="230"/>
      <c r="AB159" s="335"/>
      <c r="AC159" s="335"/>
    </row>
    <row r="160" ht="15.75" customHeight="1" spans="1:29">
      <c r="A160" s="230"/>
      <c r="B160" s="230"/>
      <c r="C160" s="230"/>
      <c r="D160" s="230"/>
      <c r="E160" s="230"/>
      <c r="F160" s="230"/>
      <c r="G160" s="230"/>
      <c r="H160" s="230"/>
      <c r="I160" s="230"/>
      <c r="J160" s="230"/>
      <c r="K160" s="230"/>
      <c r="L160" s="230"/>
      <c r="M160" s="230"/>
      <c r="N160" s="230"/>
      <c r="O160" s="230"/>
      <c r="P160" s="230"/>
      <c r="Q160" s="230"/>
      <c r="R160" s="230"/>
      <c r="S160" s="230"/>
      <c r="T160" s="230"/>
      <c r="U160" s="230"/>
      <c r="V160" s="230"/>
      <c r="W160" s="230"/>
      <c r="X160" s="230"/>
      <c r="Y160" s="230"/>
      <c r="Z160" s="230"/>
      <c r="AA160" s="230"/>
      <c r="AB160" s="335"/>
      <c r="AC160" s="335"/>
    </row>
    <row r="161" ht="15.75" customHeight="1" spans="1:29">
      <c r="A161" s="230"/>
      <c r="B161" s="230"/>
      <c r="C161" s="230"/>
      <c r="D161" s="230"/>
      <c r="E161" s="230"/>
      <c r="F161" s="230"/>
      <c r="G161" s="230"/>
      <c r="H161" s="230"/>
      <c r="I161" s="230"/>
      <c r="J161" s="230"/>
      <c r="K161" s="230"/>
      <c r="L161" s="230"/>
      <c r="M161" s="230"/>
      <c r="N161" s="230"/>
      <c r="O161" s="230"/>
      <c r="P161" s="230"/>
      <c r="Q161" s="230"/>
      <c r="R161" s="230"/>
      <c r="S161" s="230"/>
      <c r="T161" s="230"/>
      <c r="U161" s="230"/>
      <c r="V161" s="230"/>
      <c r="W161" s="230"/>
      <c r="X161" s="230"/>
      <c r="Y161" s="230"/>
      <c r="Z161" s="230"/>
      <c r="AA161" s="230"/>
      <c r="AB161" s="335"/>
      <c r="AC161" s="335"/>
    </row>
    <row r="162" ht="15.75" customHeight="1" spans="1:29">
      <c r="A162" s="230"/>
      <c r="B162" s="230"/>
      <c r="C162" s="230"/>
      <c r="D162" s="230"/>
      <c r="E162" s="230"/>
      <c r="F162" s="230"/>
      <c r="G162" s="230"/>
      <c r="H162" s="230"/>
      <c r="I162" s="230"/>
      <c r="J162" s="230"/>
      <c r="K162" s="230"/>
      <c r="L162" s="230"/>
      <c r="M162" s="230"/>
      <c r="N162" s="230"/>
      <c r="O162" s="230"/>
      <c r="P162" s="230"/>
      <c r="Q162" s="230"/>
      <c r="R162" s="230"/>
      <c r="S162" s="230"/>
      <c r="T162" s="230"/>
      <c r="U162" s="230"/>
      <c r="V162" s="230"/>
      <c r="W162" s="230"/>
      <c r="X162" s="230"/>
      <c r="Y162" s="230"/>
      <c r="Z162" s="230"/>
      <c r="AA162" s="230"/>
      <c r="AB162" s="335"/>
      <c r="AC162" s="335"/>
    </row>
    <row r="163" ht="15.75" customHeight="1" spans="1:29">
      <c r="A163" s="230"/>
      <c r="B163" s="230"/>
      <c r="C163" s="230"/>
      <c r="D163" s="230"/>
      <c r="E163" s="230"/>
      <c r="F163" s="230"/>
      <c r="G163" s="230"/>
      <c r="H163" s="230"/>
      <c r="I163" s="230"/>
      <c r="J163" s="230"/>
      <c r="K163" s="230"/>
      <c r="L163" s="230"/>
      <c r="M163" s="230"/>
      <c r="N163" s="230"/>
      <c r="O163" s="230"/>
      <c r="P163" s="230"/>
      <c r="Q163" s="230"/>
      <c r="R163" s="230"/>
      <c r="S163" s="230"/>
      <c r="T163" s="230"/>
      <c r="U163" s="230"/>
      <c r="V163" s="230"/>
      <c r="W163" s="230"/>
      <c r="X163" s="230"/>
      <c r="Y163" s="230"/>
      <c r="Z163" s="230"/>
      <c r="AA163" s="230"/>
      <c r="AB163" s="335"/>
      <c r="AC163" s="335"/>
    </row>
    <row r="164" ht="15.75" customHeight="1" spans="1:29">
      <c r="A164" s="230"/>
      <c r="B164" s="230"/>
      <c r="C164" s="230"/>
      <c r="D164" s="230"/>
      <c r="E164" s="230"/>
      <c r="F164" s="230"/>
      <c r="G164" s="230"/>
      <c r="H164" s="230"/>
      <c r="I164" s="230"/>
      <c r="J164" s="230"/>
      <c r="K164" s="230"/>
      <c r="L164" s="230"/>
      <c r="M164" s="230"/>
      <c r="N164" s="230"/>
      <c r="O164" s="230"/>
      <c r="P164" s="230"/>
      <c r="Q164" s="230"/>
      <c r="R164" s="230"/>
      <c r="S164" s="230"/>
      <c r="T164" s="230"/>
      <c r="U164" s="230"/>
      <c r="V164" s="230"/>
      <c r="W164" s="230"/>
      <c r="X164" s="230"/>
      <c r="Y164" s="230"/>
      <c r="Z164" s="230"/>
      <c r="AA164" s="230"/>
      <c r="AB164" s="335"/>
      <c r="AC164" s="335"/>
    </row>
    <row r="165" ht="15.75" customHeight="1" spans="1:29">
      <c r="A165" s="230"/>
      <c r="B165" s="230"/>
      <c r="C165" s="230"/>
      <c r="D165" s="230"/>
      <c r="E165" s="230"/>
      <c r="F165" s="230"/>
      <c r="G165" s="230"/>
      <c r="H165" s="230"/>
      <c r="I165" s="230"/>
      <c r="J165" s="230"/>
      <c r="K165" s="230"/>
      <c r="L165" s="230"/>
      <c r="M165" s="230"/>
      <c r="N165" s="230"/>
      <c r="O165" s="230"/>
      <c r="P165" s="230"/>
      <c r="Q165" s="230"/>
      <c r="R165" s="230"/>
      <c r="S165" s="230"/>
      <c r="T165" s="230"/>
      <c r="U165" s="230"/>
      <c r="V165" s="230"/>
      <c r="W165" s="230"/>
      <c r="X165" s="230"/>
      <c r="Y165" s="230"/>
      <c r="Z165" s="230"/>
      <c r="AA165" s="230"/>
      <c r="AB165" s="335"/>
      <c r="AC165" s="335"/>
    </row>
    <row r="166" ht="15.75" customHeight="1" spans="1:29">
      <c r="A166" s="230"/>
      <c r="B166" s="230"/>
      <c r="C166" s="230"/>
      <c r="D166" s="230"/>
      <c r="E166" s="230"/>
      <c r="F166" s="230"/>
      <c r="G166" s="230"/>
      <c r="H166" s="230"/>
      <c r="I166" s="230"/>
      <c r="J166" s="230"/>
      <c r="K166" s="230"/>
      <c r="L166" s="230"/>
      <c r="M166" s="230"/>
      <c r="N166" s="230"/>
      <c r="O166" s="230"/>
      <c r="P166" s="230"/>
      <c r="Q166" s="230"/>
      <c r="R166" s="230"/>
      <c r="S166" s="230"/>
      <c r="T166" s="230"/>
      <c r="U166" s="230"/>
      <c r="V166" s="230"/>
      <c r="W166" s="230"/>
      <c r="X166" s="230"/>
      <c r="Y166" s="230"/>
      <c r="Z166" s="230"/>
      <c r="AA166" s="230"/>
      <c r="AB166" s="335"/>
      <c r="AC166" s="335"/>
    </row>
    <row r="167" ht="15.75" customHeight="1" spans="1:29">
      <c r="A167" s="230"/>
      <c r="B167" s="230"/>
      <c r="C167" s="230"/>
      <c r="D167" s="230"/>
      <c r="E167" s="230"/>
      <c r="F167" s="230"/>
      <c r="G167" s="230"/>
      <c r="H167" s="230"/>
      <c r="I167" s="230"/>
      <c r="J167" s="230"/>
      <c r="K167" s="230"/>
      <c r="L167" s="230"/>
      <c r="M167" s="230"/>
      <c r="N167" s="230"/>
      <c r="O167" s="230"/>
      <c r="P167" s="230"/>
      <c r="Q167" s="230"/>
      <c r="R167" s="230"/>
      <c r="S167" s="230"/>
      <c r="T167" s="230"/>
      <c r="U167" s="230"/>
      <c r="V167" s="230"/>
      <c r="W167" s="230"/>
      <c r="X167" s="230"/>
      <c r="Y167" s="230"/>
      <c r="Z167" s="230"/>
      <c r="AA167" s="230"/>
      <c r="AB167" s="335"/>
      <c r="AC167" s="335"/>
    </row>
    <row r="168" ht="15.75" customHeight="1" spans="1:29">
      <c r="A168" s="230"/>
      <c r="B168" s="230"/>
      <c r="C168" s="230"/>
      <c r="D168" s="230"/>
      <c r="E168" s="230"/>
      <c r="F168" s="230"/>
      <c r="G168" s="230"/>
      <c r="H168" s="230"/>
      <c r="I168" s="230"/>
      <c r="J168" s="230"/>
      <c r="K168" s="230"/>
      <c r="L168" s="230"/>
      <c r="M168" s="230"/>
      <c r="N168" s="230"/>
      <c r="O168" s="230"/>
      <c r="P168" s="230"/>
      <c r="Q168" s="230"/>
      <c r="R168" s="230"/>
      <c r="S168" s="230"/>
      <c r="T168" s="230"/>
      <c r="U168" s="230"/>
      <c r="V168" s="230"/>
      <c r="W168" s="230"/>
      <c r="X168" s="230"/>
      <c r="Y168" s="230"/>
      <c r="Z168" s="230"/>
      <c r="AA168" s="230"/>
      <c r="AB168" s="335"/>
      <c r="AC168" s="335"/>
    </row>
    <row r="169" ht="15.75" customHeight="1" spans="1:29">
      <c r="A169" s="230"/>
      <c r="B169" s="230"/>
      <c r="C169" s="230"/>
      <c r="D169" s="230"/>
      <c r="E169" s="230"/>
      <c r="F169" s="230"/>
      <c r="G169" s="230"/>
      <c r="H169" s="230"/>
      <c r="I169" s="230"/>
      <c r="J169" s="230"/>
      <c r="K169" s="230"/>
      <c r="L169" s="230"/>
      <c r="M169" s="230"/>
      <c r="N169" s="230"/>
      <c r="O169" s="230"/>
      <c r="P169" s="230"/>
      <c r="Q169" s="230"/>
      <c r="R169" s="230"/>
      <c r="S169" s="230"/>
      <c r="T169" s="230"/>
      <c r="U169" s="230"/>
      <c r="V169" s="230"/>
      <c r="W169" s="230"/>
      <c r="X169" s="230"/>
      <c r="Y169" s="230"/>
      <c r="Z169" s="230"/>
      <c r="AA169" s="230"/>
      <c r="AB169" s="335"/>
      <c r="AC169" s="335"/>
    </row>
    <row r="170" ht="15.75" customHeight="1" spans="1:29">
      <c r="A170" s="230"/>
      <c r="B170" s="230"/>
      <c r="C170" s="230"/>
      <c r="D170" s="230"/>
      <c r="E170" s="230"/>
      <c r="F170" s="230"/>
      <c r="G170" s="230"/>
      <c r="H170" s="230"/>
      <c r="I170" s="230"/>
      <c r="J170" s="230"/>
      <c r="K170" s="230"/>
      <c r="L170" s="230"/>
      <c r="M170" s="230"/>
      <c r="N170" s="230"/>
      <c r="O170" s="230"/>
      <c r="P170" s="230"/>
      <c r="Q170" s="230"/>
      <c r="R170" s="230"/>
      <c r="S170" s="230"/>
      <c r="T170" s="230"/>
      <c r="U170" s="230"/>
      <c r="V170" s="230"/>
      <c r="W170" s="230"/>
      <c r="X170" s="230"/>
      <c r="Y170" s="230"/>
      <c r="Z170" s="230"/>
      <c r="AA170" s="230"/>
      <c r="AB170" s="335"/>
      <c r="AC170" s="335"/>
    </row>
    <row r="171" ht="15.75" customHeight="1" spans="1:29">
      <c r="A171" s="230"/>
      <c r="B171" s="230"/>
      <c r="C171" s="230"/>
      <c r="D171" s="230"/>
      <c r="E171" s="230"/>
      <c r="F171" s="230"/>
      <c r="G171" s="230"/>
      <c r="H171" s="230"/>
      <c r="I171" s="230"/>
      <c r="J171" s="230"/>
      <c r="K171" s="230"/>
      <c r="L171" s="230"/>
      <c r="M171" s="230"/>
      <c r="N171" s="230"/>
      <c r="O171" s="230"/>
      <c r="P171" s="230"/>
      <c r="Q171" s="230"/>
      <c r="R171" s="230"/>
      <c r="S171" s="230"/>
      <c r="T171" s="230"/>
      <c r="U171" s="230"/>
      <c r="V171" s="230"/>
      <c r="W171" s="230"/>
      <c r="X171" s="230"/>
      <c r="Y171" s="230"/>
      <c r="Z171" s="230"/>
      <c r="AA171" s="230"/>
      <c r="AB171" s="335"/>
      <c r="AC171" s="335"/>
    </row>
    <row r="172" ht="15.75" customHeight="1" spans="1:29">
      <c r="A172" s="230"/>
      <c r="B172" s="230"/>
      <c r="C172" s="230"/>
      <c r="D172" s="230"/>
      <c r="E172" s="230"/>
      <c r="F172" s="230"/>
      <c r="G172" s="230"/>
      <c r="H172" s="230"/>
      <c r="I172" s="230"/>
      <c r="J172" s="230"/>
      <c r="K172" s="230"/>
      <c r="L172" s="230"/>
      <c r="M172" s="230"/>
      <c r="N172" s="230"/>
      <c r="O172" s="230"/>
      <c r="P172" s="230"/>
      <c r="Q172" s="230"/>
      <c r="R172" s="230"/>
      <c r="S172" s="230"/>
      <c r="T172" s="230"/>
      <c r="U172" s="230"/>
      <c r="V172" s="230"/>
      <c r="W172" s="230"/>
      <c r="X172" s="230"/>
      <c r="Y172" s="230"/>
      <c r="Z172" s="230"/>
      <c r="AA172" s="230"/>
      <c r="AB172" s="335"/>
      <c r="AC172" s="335"/>
    </row>
    <row r="173" ht="15.75" customHeight="1" spans="1:29">
      <c r="A173" s="230"/>
      <c r="B173" s="230"/>
      <c r="C173" s="230"/>
      <c r="D173" s="230"/>
      <c r="E173" s="230"/>
      <c r="F173" s="230"/>
      <c r="G173" s="230"/>
      <c r="H173" s="230"/>
      <c r="I173" s="230"/>
      <c r="J173" s="230"/>
      <c r="K173" s="230"/>
      <c r="L173" s="230"/>
      <c r="M173" s="230"/>
      <c r="N173" s="230"/>
      <c r="O173" s="230"/>
      <c r="P173" s="230"/>
      <c r="Q173" s="230"/>
      <c r="R173" s="230"/>
      <c r="S173" s="230"/>
      <c r="T173" s="230"/>
      <c r="U173" s="230"/>
      <c r="V173" s="230"/>
      <c r="W173" s="230"/>
      <c r="X173" s="230"/>
      <c r="Y173" s="230"/>
      <c r="Z173" s="230"/>
      <c r="AA173" s="230"/>
      <c r="AB173" s="335"/>
      <c r="AC173" s="335"/>
    </row>
    <row r="174" ht="15.75" customHeight="1" spans="1:29">
      <c r="A174" s="230"/>
      <c r="B174" s="230"/>
      <c r="C174" s="230"/>
      <c r="D174" s="230"/>
      <c r="E174" s="230"/>
      <c r="F174" s="230"/>
      <c r="G174" s="230"/>
      <c r="H174" s="230"/>
      <c r="I174" s="230"/>
      <c r="J174" s="230"/>
      <c r="K174" s="230"/>
      <c r="L174" s="230"/>
      <c r="M174" s="230"/>
      <c r="N174" s="230"/>
      <c r="O174" s="230"/>
      <c r="P174" s="230"/>
      <c r="Q174" s="230"/>
      <c r="R174" s="230"/>
      <c r="S174" s="230"/>
      <c r="T174" s="230"/>
      <c r="U174" s="230"/>
      <c r="V174" s="230"/>
      <c r="W174" s="230"/>
      <c r="X174" s="230"/>
      <c r="Y174" s="230"/>
      <c r="Z174" s="230"/>
      <c r="AA174" s="230"/>
      <c r="AB174" s="335"/>
      <c r="AC174" s="335"/>
    </row>
    <row r="175" ht="15.75" customHeight="1" spans="1:29">
      <c r="A175" s="230"/>
      <c r="B175" s="230"/>
      <c r="C175" s="230"/>
      <c r="D175" s="230"/>
      <c r="E175" s="230"/>
      <c r="F175" s="230"/>
      <c r="G175" s="230"/>
      <c r="H175" s="230"/>
      <c r="I175" s="230"/>
      <c r="J175" s="230"/>
      <c r="K175" s="230"/>
      <c r="L175" s="230"/>
      <c r="M175" s="230"/>
      <c r="N175" s="230"/>
      <c r="O175" s="230"/>
      <c r="P175" s="230"/>
      <c r="Q175" s="230"/>
      <c r="R175" s="230"/>
      <c r="S175" s="230"/>
      <c r="T175" s="230"/>
      <c r="U175" s="230"/>
      <c r="V175" s="230"/>
      <c r="W175" s="230"/>
      <c r="X175" s="230"/>
      <c r="Y175" s="230"/>
      <c r="Z175" s="230"/>
      <c r="AA175" s="230"/>
      <c r="AB175" s="335"/>
      <c r="AC175" s="335"/>
    </row>
    <row r="176" ht="15.75" customHeight="1" spans="1:29">
      <c r="A176" s="230"/>
      <c r="B176" s="230"/>
      <c r="C176" s="230"/>
      <c r="D176" s="230"/>
      <c r="E176" s="230"/>
      <c r="F176" s="230"/>
      <c r="G176" s="230"/>
      <c r="H176" s="230"/>
      <c r="I176" s="230"/>
      <c r="J176" s="230"/>
      <c r="K176" s="230"/>
      <c r="L176" s="230"/>
      <c r="M176" s="230"/>
      <c r="N176" s="230"/>
      <c r="O176" s="230"/>
      <c r="P176" s="230"/>
      <c r="Q176" s="230"/>
      <c r="R176" s="230"/>
      <c r="S176" s="230"/>
      <c r="T176" s="230"/>
      <c r="U176" s="230"/>
      <c r="V176" s="230"/>
      <c r="W176" s="230"/>
      <c r="X176" s="230"/>
      <c r="Y176" s="230"/>
      <c r="Z176" s="230"/>
      <c r="AA176" s="230"/>
      <c r="AB176" s="335"/>
      <c r="AC176" s="335"/>
    </row>
    <row r="177" ht="15.75" customHeight="1" spans="1:29">
      <c r="A177" s="230"/>
      <c r="B177" s="230"/>
      <c r="C177" s="230"/>
      <c r="D177" s="230"/>
      <c r="E177" s="230"/>
      <c r="F177" s="230"/>
      <c r="G177" s="230"/>
      <c r="H177" s="230"/>
      <c r="I177" s="230"/>
      <c r="J177" s="230"/>
      <c r="K177" s="230"/>
      <c r="L177" s="230"/>
      <c r="M177" s="230"/>
      <c r="N177" s="230"/>
      <c r="O177" s="230"/>
      <c r="P177" s="230"/>
      <c r="Q177" s="230"/>
      <c r="R177" s="230"/>
      <c r="S177" s="230"/>
      <c r="T177" s="230"/>
      <c r="U177" s="230"/>
      <c r="V177" s="230"/>
      <c r="W177" s="230"/>
      <c r="X177" s="230"/>
      <c r="Y177" s="230"/>
      <c r="Z177" s="230"/>
      <c r="AA177" s="230"/>
      <c r="AB177" s="335"/>
      <c r="AC177" s="335"/>
    </row>
    <row r="178" ht="15.75" customHeight="1" spans="1:29">
      <c r="A178" s="230"/>
      <c r="B178" s="230"/>
      <c r="C178" s="230"/>
      <c r="D178" s="230"/>
      <c r="E178" s="230"/>
      <c r="F178" s="230"/>
      <c r="G178" s="230"/>
      <c r="H178" s="230"/>
      <c r="I178" s="230"/>
      <c r="J178" s="230"/>
      <c r="K178" s="230"/>
      <c r="L178" s="230"/>
      <c r="M178" s="230"/>
      <c r="N178" s="230"/>
      <c r="O178" s="230"/>
      <c r="P178" s="230"/>
      <c r="Q178" s="230"/>
      <c r="R178" s="230"/>
      <c r="S178" s="230"/>
      <c r="T178" s="230"/>
      <c r="U178" s="230"/>
      <c r="V178" s="230"/>
      <c r="W178" s="230"/>
      <c r="X178" s="230"/>
      <c r="Y178" s="230"/>
      <c r="Z178" s="230"/>
      <c r="AA178" s="230"/>
      <c r="AB178" s="335"/>
      <c r="AC178" s="335"/>
    </row>
    <row r="179" ht="15.75" customHeight="1" spans="1:29">
      <c r="A179" s="230"/>
      <c r="B179" s="230"/>
      <c r="C179" s="230"/>
      <c r="D179" s="230"/>
      <c r="E179" s="230"/>
      <c r="F179" s="230"/>
      <c r="G179" s="230"/>
      <c r="H179" s="230"/>
      <c r="I179" s="230"/>
      <c r="J179" s="230"/>
      <c r="K179" s="230"/>
      <c r="L179" s="230"/>
      <c r="M179" s="230"/>
      <c r="N179" s="230"/>
      <c r="O179" s="230"/>
      <c r="P179" s="230"/>
      <c r="Q179" s="230"/>
      <c r="R179" s="230"/>
      <c r="S179" s="230"/>
      <c r="T179" s="230"/>
      <c r="U179" s="230"/>
      <c r="V179" s="230"/>
      <c r="W179" s="230"/>
      <c r="X179" s="230"/>
      <c r="Y179" s="230"/>
      <c r="Z179" s="230"/>
      <c r="AA179" s="230"/>
      <c r="AB179" s="335"/>
      <c r="AC179" s="335"/>
    </row>
    <row r="180" ht="15.75" customHeight="1" spans="1:29">
      <c r="A180" s="230"/>
      <c r="B180" s="230"/>
      <c r="C180" s="230"/>
      <c r="D180" s="230"/>
      <c r="E180" s="230"/>
      <c r="F180" s="230"/>
      <c r="G180" s="230"/>
      <c r="H180" s="230"/>
      <c r="I180" s="230"/>
      <c r="J180" s="230"/>
      <c r="K180" s="230"/>
      <c r="L180" s="230"/>
      <c r="M180" s="230"/>
      <c r="N180" s="230"/>
      <c r="O180" s="230"/>
      <c r="P180" s="230"/>
      <c r="Q180" s="230"/>
      <c r="R180" s="230"/>
      <c r="S180" s="230"/>
      <c r="T180" s="230"/>
      <c r="U180" s="230"/>
      <c r="V180" s="230"/>
      <c r="W180" s="230"/>
      <c r="X180" s="230"/>
      <c r="Y180" s="230"/>
      <c r="Z180" s="230"/>
      <c r="AA180" s="230"/>
      <c r="AB180" s="335"/>
      <c r="AC180" s="335"/>
    </row>
    <row r="181" ht="15.75" customHeight="1" spans="1:29">
      <c r="A181" s="230"/>
      <c r="B181" s="230"/>
      <c r="C181" s="230"/>
      <c r="D181" s="230"/>
      <c r="E181" s="230"/>
      <c r="F181" s="230"/>
      <c r="G181" s="230"/>
      <c r="H181" s="230"/>
      <c r="I181" s="230"/>
      <c r="J181" s="230"/>
      <c r="K181" s="230"/>
      <c r="L181" s="230"/>
      <c r="M181" s="230"/>
      <c r="N181" s="230"/>
      <c r="O181" s="230"/>
      <c r="P181" s="230"/>
      <c r="Q181" s="230"/>
      <c r="R181" s="230"/>
      <c r="S181" s="230"/>
      <c r="T181" s="230"/>
      <c r="U181" s="230"/>
      <c r="V181" s="230"/>
      <c r="W181" s="230"/>
      <c r="X181" s="230"/>
      <c r="Y181" s="230"/>
      <c r="Z181" s="230"/>
      <c r="AA181" s="230"/>
      <c r="AB181" s="335"/>
      <c r="AC181" s="335"/>
    </row>
    <row r="182" ht="15.75" customHeight="1" spans="1:29">
      <c r="A182" s="230"/>
      <c r="B182" s="230"/>
      <c r="C182" s="230"/>
      <c r="D182" s="230"/>
      <c r="E182" s="230"/>
      <c r="F182" s="230"/>
      <c r="G182" s="230"/>
      <c r="H182" s="230"/>
      <c r="I182" s="230"/>
      <c r="J182" s="230"/>
      <c r="K182" s="230"/>
      <c r="L182" s="230"/>
      <c r="M182" s="230"/>
      <c r="N182" s="230"/>
      <c r="O182" s="230"/>
      <c r="P182" s="230"/>
      <c r="Q182" s="230"/>
      <c r="R182" s="230"/>
      <c r="S182" s="230"/>
      <c r="T182" s="230"/>
      <c r="U182" s="230"/>
      <c r="V182" s="230"/>
      <c r="W182" s="230"/>
      <c r="X182" s="230"/>
      <c r="Y182" s="230"/>
      <c r="Z182" s="230"/>
      <c r="AA182" s="230"/>
      <c r="AB182" s="335"/>
      <c r="AC182" s="335"/>
    </row>
    <row r="183" ht="15.75" customHeight="1" spans="1:29">
      <c r="A183" s="230"/>
      <c r="B183" s="230"/>
      <c r="C183" s="230"/>
      <c r="D183" s="230"/>
      <c r="E183" s="230"/>
      <c r="F183" s="230"/>
      <c r="G183" s="230"/>
      <c r="H183" s="230"/>
      <c r="I183" s="230"/>
      <c r="J183" s="230"/>
      <c r="K183" s="230"/>
      <c r="L183" s="230"/>
      <c r="M183" s="230"/>
      <c r="N183" s="230"/>
      <c r="O183" s="230"/>
      <c r="P183" s="230"/>
      <c r="Q183" s="230"/>
      <c r="R183" s="230"/>
      <c r="S183" s="230"/>
      <c r="T183" s="230"/>
      <c r="U183" s="230"/>
      <c r="V183" s="230"/>
      <c r="W183" s="230"/>
      <c r="X183" s="230"/>
      <c r="Y183" s="230"/>
      <c r="Z183" s="230"/>
      <c r="AA183" s="230"/>
      <c r="AB183" s="335"/>
      <c r="AC183" s="335"/>
    </row>
    <row r="184" ht="15.75" customHeight="1" spans="1:29">
      <c r="A184" s="230"/>
      <c r="B184" s="230"/>
      <c r="C184" s="230"/>
      <c r="D184" s="230"/>
      <c r="E184" s="230"/>
      <c r="F184" s="230"/>
      <c r="G184" s="230"/>
      <c r="H184" s="230"/>
      <c r="I184" s="230"/>
      <c r="J184" s="230"/>
      <c r="K184" s="230"/>
      <c r="L184" s="230"/>
      <c r="M184" s="230"/>
      <c r="N184" s="230"/>
      <c r="O184" s="230"/>
      <c r="P184" s="230"/>
      <c r="Q184" s="230"/>
      <c r="R184" s="230"/>
      <c r="S184" s="230"/>
      <c r="T184" s="230"/>
      <c r="U184" s="230"/>
      <c r="V184" s="230"/>
      <c r="W184" s="230"/>
      <c r="X184" s="230"/>
      <c r="Y184" s="230"/>
      <c r="Z184" s="230"/>
      <c r="AA184" s="230"/>
      <c r="AB184" s="335"/>
      <c r="AC184" s="335"/>
    </row>
    <row r="185" ht="15.75" customHeight="1" spans="1:29">
      <c r="A185" s="230"/>
      <c r="B185" s="230"/>
      <c r="C185" s="230"/>
      <c r="D185" s="230"/>
      <c r="E185" s="230"/>
      <c r="F185" s="230"/>
      <c r="G185" s="230"/>
      <c r="H185" s="230"/>
      <c r="I185" s="230"/>
      <c r="J185" s="230"/>
      <c r="K185" s="230"/>
      <c r="L185" s="230"/>
      <c r="M185" s="230"/>
      <c r="N185" s="230"/>
      <c r="O185" s="230"/>
      <c r="P185" s="230"/>
      <c r="Q185" s="230"/>
      <c r="R185" s="230"/>
      <c r="S185" s="230"/>
      <c r="T185" s="230"/>
      <c r="U185" s="230"/>
      <c r="V185" s="230"/>
      <c r="W185" s="230"/>
      <c r="X185" s="230"/>
      <c r="Y185" s="230"/>
      <c r="Z185" s="230"/>
      <c r="AA185" s="230"/>
      <c r="AB185" s="335"/>
      <c r="AC185" s="335"/>
    </row>
    <row r="186" ht="15.75" customHeight="1" spans="1:29">
      <c r="A186" s="230"/>
      <c r="B186" s="230"/>
      <c r="C186" s="230"/>
      <c r="D186" s="230"/>
      <c r="E186" s="230"/>
      <c r="F186" s="230"/>
      <c r="G186" s="230"/>
      <c r="H186" s="230"/>
      <c r="I186" s="230"/>
      <c r="J186" s="230"/>
      <c r="K186" s="230"/>
      <c r="L186" s="230"/>
      <c r="M186" s="230"/>
      <c r="N186" s="230"/>
      <c r="O186" s="230"/>
      <c r="P186" s="230"/>
      <c r="Q186" s="230"/>
      <c r="R186" s="230"/>
      <c r="S186" s="230"/>
      <c r="T186" s="230"/>
      <c r="U186" s="230"/>
      <c r="V186" s="230"/>
      <c r="W186" s="230"/>
      <c r="X186" s="230"/>
      <c r="Y186" s="230"/>
      <c r="Z186" s="230"/>
      <c r="AA186" s="230"/>
      <c r="AB186" s="335"/>
      <c r="AC186" s="335"/>
    </row>
    <row r="187" ht="15.75" customHeight="1" spans="1:29">
      <c r="A187" s="230"/>
      <c r="B187" s="230"/>
      <c r="C187" s="230"/>
      <c r="D187" s="230"/>
      <c r="E187" s="230"/>
      <c r="F187" s="230"/>
      <c r="G187" s="230"/>
      <c r="H187" s="230"/>
      <c r="I187" s="230"/>
      <c r="J187" s="230"/>
      <c r="K187" s="230"/>
      <c r="L187" s="230"/>
      <c r="M187" s="230"/>
      <c r="N187" s="230"/>
      <c r="O187" s="230"/>
      <c r="P187" s="230"/>
      <c r="Q187" s="230"/>
      <c r="R187" s="230"/>
      <c r="S187" s="230"/>
      <c r="T187" s="230"/>
      <c r="U187" s="230"/>
      <c r="V187" s="230"/>
      <c r="W187" s="230"/>
      <c r="X187" s="230"/>
      <c r="Y187" s="230"/>
      <c r="Z187" s="230"/>
      <c r="AA187" s="230"/>
      <c r="AB187" s="335"/>
      <c r="AC187" s="335"/>
    </row>
    <row r="188" ht="15.75" customHeight="1" spans="1:29">
      <c r="A188" s="230"/>
      <c r="B188" s="230"/>
      <c r="C188" s="230"/>
      <c r="D188" s="230"/>
      <c r="E188" s="230"/>
      <c r="F188" s="230"/>
      <c r="G188" s="230"/>
      <c r="H188" s="230"/>
      <c r="I188" s="230"/>
      <c r="J188" s="230"/>
      <c r="K188" s="230"/>
      <c r="L188" s="230"/>
      <c r="M188" s="230"/>
      <c r="N188" s="230"/>
      <c r="O188" s="230"/>
      <c r="P188" s="230"/>
      <c r="Q188" s="230"/>
      <c r="R188" s="230"/>
      <c r="S188" s="230"/>
      <c r="T188" s="230"/>
      <c r="U188" s="230"/>
      <c r="V188" s="230"/>
      <c r="W188" s="230"/>
      <c r="X188" s="230"/>
      <c r="Y188" s="230"/>
      <c r="Z188" s="230"/>
      <c r="AA188" s="230"/>
      <c r="AB188" s="335"/>
      <c r="AC188" s="335"/>
    </row>
    <row r="189" ht="15.75" customHeight="1" spans="1:29">
      <c r="A189" s="230"/>
      <c r="B189" s="230"/>
      <c r="C189" s="230"/>
      <c r="D189" s="230"/>
      <c r="E189" s="230"/>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335"/>
      <c r="AC189" s="335"/>
    </row>
    <row r="190" ht="15.75" customHeight="1" spans="1:29">
      <c r="A190" s="230"/>
      <c r="B190" s="230"/>
      <c r="C190" s="230"/>
      <c r="D190" s="230"/>
      <c r="E190" s="230"/>
      <c r="F190" s="230"/>
      <c r="G190" s="230"/>
      <c r="H190" s="230"/>
      <c r="I190" s="230"/>
      <c r="J190" s="230"/>
      <c r="K190" s="230"/>
      <c r="L190" s="230"/>
      <c r="M190" s="230"/>
      <c r="N190" s="230"/>
      <c r="O190" s="230"/>
      <c r="P190" s="230"/>
      <c r="Q190" s="230"/>
      <c r="R190" s="230"/>
      <c r="S190" s="230"/>
      <c r="T190" s="230"/>
      <c r="U190" s="230"/>
      <c r="V190" s="230"/>
      <c r="W190" s="230"/>
      <c r="X190" s="230"/>
      <c r="Y190" s="230"/>
      <c r="Z190" s="230"/>
      <c r="AA190" s="230"/>
      <c r="AB190" s="335"/>
      <c r="AC190" s="335"/>
    </row>
    <row r="191" ht="15.75" customHeight="1" spans="1:29">
      <c r="A191" s="230"/>
      <c r="B191" s="230"/>
      <c r="C191" s="230"/>
      <c r="D191" s="230"/>
      <c r="E191" s="230"/>
      <c r="F191" s="230"/>
      <c r="G191" s="230"/>
      <c r="H191" s="230"/>
      <c r="I191" s="230"/>
      <c r="J191" s="230"/>
      <c r="K191" s="230"/>
      <c r="L191" s="230"/>
      <c r="M191" s="230"/>
      <c r="N191" s="230"/>
      <c r="O191" s="230"/>
      <c r="P191" s="230"/>
      <c r="Q191" s="230"/>
      <c r="R191" s="230"/>
      <c r="S191" s="230"/>
      <c r="T191" s="230"/>
      <c r="U191" s="230"/>
      <c r="V191" s="230"/>
      <c r="W191" s="230"/>
      <c r="X191" s="230"/>
      <c r="Y191" s="230"/>
      <c r="Z191" s="230"/>
      <c r="AA191" s="230"/>
      <c r="AB191" s="335"/>
      <c r="AC191" s="335"/>
    </row>
    <row r="192" ht="15.75" customHeight="1" spans="1:29">
      <c r="A192" s="230"/>
      <c r="B192" s="230"/>
      <c r="C192" s="230"/>
      <c r="D192" s="230"/>
      <c r="E192" s="230"/>
      <c r="F192" s="230"/>
      <c r="G192" s="230"/>
      <c r="H192" s="230"/>
      <c r="I192" s="230"/>
      <c r="J192" s="230"/>
      <c r="K192" s="230"/>
      <c r="L192" s="230"/>
      <c r="M192" s="230"/>
      <c r="N192" s="230"/>
      <c r="O192" s="230"/>
      <c r="P192" s="230"/>
      <c r="Q192" s="230"/>
      <c r="R192" s="230"/>
      <c r="S192" s="230"/>
      <c r="T192" s="230"/>
      <c r="U192" s="230"/>
      <c r="V192" s="230"/>
      <c r="W192" s="230"/>
      <c r="X192" s="230"/>
      <c r="Y192" s="230"/>
      <c r="Z192" s="230"/>
      <c r="AA192" s="230"/>
      <c r="AB192" s="335"/>
      <c r="AC192" s="335"/>
    </row>
    <row r="193" ht="15.75" customHeight="1" spans="1:29">
      <c r="A193" s="230"/>
      <c r="B193" s="230"/>
      <c r="C193" s="230"/>
      <c r="D193" s="230"/>
      <c r="E193" s="230"/>
      <c r="F193" s="230"/>
      <c r="G193" s="230"/>
      <c r="H193" s="230"/>
      <c r="I193" s="230"/>
      <c r="J193" s="230"/>
      <c r="K193" s="230"/>
      <c r="L193" s="230"/>
      <c r="M193" s="230"/>
      <c r="N193" s="230"/>
      <c r="O193" s="230"/>
      <c r="P193" s="230"/>
      <c r="Q193" s="230"/>
      <c r="R193" s="230"/>
      <c r="S193" s="230"/>
      <c r="T193" s="230"/>
      <c r="U193" s="230"/>
      <c r="V193" s="230"/>
      <c r="W193" s="230"/>
      <c r="X193" s="230"/>
      <c r="Y193" s="230"/>
      <c r="Z193" s="230"/>
      <c r="AA193" s="230"/>
      <c r="AB193" s="335"/>
      <c r="AC193" s="335"/>
    </row>
    <row r="194" ht="15.75" customHeight="1" spans="1:29">
      <c r="A194" s="230"/>
      <c r="B194" s="230"/>
      <c r="C194" s="230"/>
      <c r="D194" s="230"/>
      <c r="E194" s="230"/>
      <c r="F194" s="230"/>
      <c r="G194" s="230"/>
      <c r="H194" s="230"/>
      <c r="I194" s="230"/>
      <c r="J194" s="230"/>
      <c r="K194" s="230"/>
      <c r="L194" s="230"/>
      <c r="M194" s="230"/>
      <c r="N194" s="230"/>
      <c r="O194" s="230"/>
      <c r="P194" s="230"/>
      <c r="Q194" s="230"/>
      <c r="R194" s="230"/>
      <c r="S194" s="230"/>
      <c r="T194" s="230"/>
      <c r="U194" s="230"/>
      <c r="V194" s="230"/>
      <c r="W194" s="230"/>
      <c r="X194" s="230"/>
      <c r="Y194" s="230"/>
      <c r="Z194" s="230"/>
      <c r="AA194" s="230"/>
      <c r="AB194" s="335"/>
      <c r="AC194" s="335"/>
    </row>
    <row r="195" ht="15.75" customHeight="1" spans="1:29">
      <c r="A195" s="230"/>
      <c r="B195" s="230"/>
      <c r="C195" s="230"/>
      <c r="D195" s="230"/>
      <c r="E195" s="230"/>
      <c r="F195" s="230"/>
      <c r="G195" s="230"/>
      <c r="H195" s="230"/>
      <c r="I195" s="230"/>
      <c r="J195" s="230"/>
      <c r="K195" s="230"/>
      <c r="L195" s="230"/>
      <c r="M195" s="230"/>
      <c r="N195" s="230"/>
      <c r="O195" s="230"/>
      <c r="P195" s="230"/>
      <c r="Q195" s="230"/>
      <c r="R195" s="230"/>
      <c r="S195" s="230"/>
      <c r="T195" s="230"/>
      <c r="U195" s="230"/>
      <c r="V195" s="230"/>
      <c r="W195" s="230"/>
      <c r="X195" s="230"/>
      <c r="Y195" s="230"/>
      <c r="Z195" s="230"/>
      <c r="AA195" s="230"/>
      <c r="AB195" s="335"/>
      <c r="AC195" s="335"/>
    </row>
    <row r="196" ht="15.75" customHeight="1" spans="1:29">
      <c r="A196" s="230"/>
      <c r="B196" s="230"/>
      <c r="C196" s="230"/>
      <c r="D196" s="230"/>
      <c r="E196" s="230"/>
      <c r="F196" s="230"/>
      <c r="G196" s="230"/>
      <c r="H196" s="230"/>
      <c r="I196" s="230"/>
      <c r="J196" s="230"/>
      <c r="K196" s="230"/>
      <c r="L196" s="230"/>
      <c r="M196" s="230"/>
      <c r="N196" s="230"/>
      <c r="O196" s="230"/>
      <c r="P196" s="230"/>
      <c r="Q196" s="230"/>
      <c r="R196" s="230"/>
      <c r="S196" s="230"/>
      <c r="T196" s="230"/>
      <c r="U196" s="230"/>
      <c r="V196" s="230"/>
      <c r="W196" s="230"/>
      <c r="X196" s="230"/>
      <c r="Y196" s="230"/>
      <c r="Z196" s="230"/>
      <c r="AA196" s="230"/>
      <c r="AB196" s="335"/>
      <c r="AC196" s="335"/>
    </row>
    <row r="197" ht="15.75" customHeight="1" spans="1:29">
      <c r="A197" s="230"/>
      <c r="B197" s="230"/>
      <c r="C197" s="230"/>
      <c r="D197" s="230"/>
      <c r="E197" s="230"/>
      <c r="F197" s="230"/>
      <c r="G197" s="230"/>
      <c r="H197" s="230"/>
      <c r="I197" s="230"/>
      <c r="J197" s="230"/>
      <c r="K197" s="230"/>
      <c r="L197" s="230"/>
      <c r="M197" s="230"/>
      <c r="N197" s="230"/>
      <c r="O197" s="230"/>
      <c r="P197" s="230"/>
      <c r="Q197" s="230"/>
      <c r="R197" s="230"/>
      <c r="S197" s="230"/>
      <c r="T197" s="230"/>
      <c r="U197" s="230"/>
      <c r="V197" s="230"/>
      <c r="W197" s="230"/>
      <c r="X197" s="230"/>
      <c r="Y197" s="230"/>
      <c r="Z197" s="230"/>
      <c r="AA197" s="230"/>
      <c r="AB197" s="335"/>
      <c r="AC197" s="335"/>
    </row>
    <row r="198" ht="15.75" customHeight="1" spans="1:29">
      <c r="A198" s="230"/>
      <c r="B198" s="230"/>
      <c r="C198" s="230"/>
      <c r="D198" s="230"/>
      <c r="E198" s="230"/>
      <c r="F198" s="230"/>
      <c r="G198" s="230"/>
      <c r="H198" s="230"/>
      <c r="I198" s="230"/>
      <c r="J198" s="230"/>
      <c r="K198" s="230"/>
      <c r="L198" s="230"/>
      <c r="M198" s="230"/>
      <c r="N198" s="230"/>
      <c r="O198" s="230"/>
      <c r="P198" s="230"/>
      <c r="Q198" s="230"/>
      <c r="R198" s="230"/>
      <c r="S198" s="230"/>
      <c r="T198" s="230"/>
      <c r="U198" s="230"/>
      <c r="V198" s="230"/>
      <c r="W198" s="230"/>
      <c r="X198" s="230"/>
      <c r="Y198" s="230"/>
      <c r="Z198" s="230"/>
      <c r="AA198" s="230"/>
      <c r="AB198" s="335"/>
      <c r="AC198" s="335"/>
    </row>
    <row r="199" ht="15.75" customHeight="1" spans="1:29">
      <c r="A199" s="230"/>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230"/>
      <c r="Z199" s="230"/>
      <c r="AA199" s="230"/>
      <c r="AB199" s="335"/>
      <c r="AC199" s="335"/>
    </row>
    <row r="200" ht="15.75" customHeight="1" spans="1:29">
      <c r="A200" s="230"/>
      <c r="B200" s="230"/>
      <c r="C200" s="230"/>
      <c r="D200" s="230"/>
      <c r="E200" s="230"/>
      <c r="F200" s="230"/>
      <c r="G200" s="230"/>
      <c r="H200" s="230"/>
      <c r="I200" s="230"/>
      <c r="J200" s="230"/>
      <c r="K200" s="230"/>
      <c r="L200" s="230"/>
      <c r="M200" s="230"/>
      <c r="N200" s="230"/>
      <c r="O200" s="230"/>
      <c r="P200" s="230"/>
      <c r="Q200" s="230"/>
      <c r="R200" s="230"/>
      <c r="S200" s="230"/>
      <c r="T200" s="230"/>
      <c r="U200" s="230"/>
      <c r="V200" s="230"/>
      <c r="W200" s="230"/>
      <c r="X200" s="230"/>
      <c r="Y200" s="230"/>
      <c r="Z200" s="230"/>
      <c r="AA200" s="230"/>
      <c r="AB200" s="335"/>
      <c r="AC200" s="335"/>
    </row>
    <row r="201" ht="15.75" customHeight="1" spans="1:29">
      <c r="A201" s="230"/>
      <c r="B201" s="230"/>
      <c r="C201" s="230"/>
      <c r="D201" s="230"/>
      <c r="E201" s="230"/>
      <c r="F201" s="230"/>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335"/>
      <c r="AC201" s="335"/>
    </row>
    <row r="202" ht="15.75" customHeight="1" spans="1:29">
      <c r="A202" s="230"/>
      <c r="B202" s="230"/>
      <c r="C202" s="230"/>
      <c r="D202" s="230"/>
      <c r="E202" s="230"/>
      <c r="F202" s="230"/>
      <c r="G202" s="230"/>
      <c r="H202" s="230"/>
      <c r="I202" s="230"/>
      <c r="J202" s="230"/>
      <c r="K202" s="230"/>
      <c r="L202" s="230"/>
      <c r="M202" s="230"/>
      <c r="N202" s="230"/>
      <c r="O202" s="230"/>
      <c r="P202" s="230"/>
      <c r="Q202" s="230"/>
      <c r="R202" s="230"/>
      <c r="S202" s="230"/>
      <c r="T202" s="230"/>
      <c r="U202" s="230"/>
      <c r="V202" s="230"/>
      <c r="W202" s="230"/>
      <c r="X202" s="230"/>
      <c r="Y202" s="230"/>
      <c r="Z202" s="230"/>
      <c r="AA202" s="230"/>
      <c r="AB202" s="335"/>
      <c r="AC202" s="335"/>
    </row>
    <row r="203" ht="15.75" customHeight="1" spans="1:29">
      <c r="A203" s="230"/>
      <c r="B203" s="230"/>
      <c r="C203" s="230"/>
      <c r="D203" s="230"/>
      <c r="E203" s="230"/>
      <c r="F203" s="230"/>
      <c r="G203" s="230"/>
      <c r="H203" s="230"/>
      <c r="I203" s="230"/>
      <c r="J203" s="230"/>
      <c r="K203" s="230"/>
      <c r="L203" s="230"/>
      <c r="M203" s="230"/>
      <c r="N203" s="230"/>
      <c r="O203" s="230"/>
      <c r="P203" s="230"/>
      <c r="Q203" s="230"/>
      <c r="R203" s="230"/>
      <c r="S203" s="230"/>
      <c r="T203" s="230"/>
      <c r="U203" s="230"/>
      <c r="V203" s="230"/>
      <c r="W203" s="230"/>
      <c r="X203" s="230"/>
      <c r="Y203" s="230"/>
      <c r="Z203" s="230"/>
      <c r="AA203" s="230"/>
      <c r="AB203" s="335"/>
      <c r="AC203" s="335"/>
    </row>
    <row r="204" ht="15.75" customHeight="1" spans="1:29">
      <c r="A204" s="230"/>
      <c r="B204" s="230"/>
      <c r="C204" s="230"/>
      <c r="D204" s="230"/>
      <c r="E204" s="230"/>
      <c r="F204" s="230"/>
      <c r="G204" s="230"/>
      <c r="H204" s="230"/>
      <c r="I204" s="230"/>
      <c r="J204" s="230"/>
      <c r="K204" s="230"/>
      <c r="L204" s="230"/>
      <c r="M204" s="230"/>
      <c r="N204" s="230"/>
      <c r="O204" s="230"/>
      <c r="P204" s="230"/>
      <c r="Q204" s="230"/>
      <c r="R204" s="230"/>
      <c r="S204" s="230"/>
      <c r="T204" s="230"/>
      <c r="U204" s="230"/>
      <c r="V204" s="230"/>
      <c r="W204" s="230"/>
      <c r="X204" s="230"/>
      <c r="Y204" s="230"/>
      <c r="Z204" s="230"/>
      <c r="AA204" s="230"/>
      <c r="AB204" s="335"/>
      <c r="AC204" s="335"/>
    </row>
    <row r="205" ht="15.75" customHeight="1" spans="1:29">
      <c r="A205" s="230"/>
      <c r="B205" s="230"/>
      <c r="C205" s="230"/>
      <c r="D205" s="230"/>
      <c r="E205" s="230"/>
      <c r="F205" s="230"/>
      <c r="G205" s="230"/>
      <c r="H205" s="230"/>
      <c r="I205" s="230"/>
      <c r="J205" s="230"/>
      <c r="K205" s="230"/>
      <c r="L205" s="230"/>
      <c r="M205" s="230"/>
      <c r="N205" s="230"/>
      <c r="O205" s="230"/>
      <c r="P205" s="230"/>
      <c r="Q205" s="230"/>
      <c r="R205" s="230"/>
      <c r="S205" s="230"/>
      <c r="T205" s="230"/>
      <c r="U205" s="230"/>
      <c r="V205" s="230"/>
      <c r="W205" s="230"/>
      <c r="X205" s="230"/>
      <c r="Y205" s="230"/>
      <c r="Z205" s="230"/>
      <c r="AA205" s="230"/>
      <c r="AB205" s="335"/>
      <c r="AC205" s="335"/>
    </row>
    <row r="206" ht="15.75" customHeight="1" spans="1:29">
      <c r="A206" s="230"/>
      <c r="B206" s="230"/>
      <c r="C206" s="230"/>
      <c r="D206" s="230"/>
      <c r="E206" s="230"/>
      <c r="F206" s="230"/>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335"/>
      <c r="AC206" s="335"/>
    </row>
    <row r="207" ht="15.75" customHeight="1" spans="1:29">
      <c r="A207" s="230"/>
      <c r="B207" s="230"/>
      <c r="C207" s="230"/>
      <c r="D207" s="230"/>
      <c r="E207" s="230"/>
      <c r="F207" s="230"/>
      <c r="G207" s="230"/>
      <c r="H207" s="230"/>
      <c r="I207" s="230"/>
      <c r="J207" s="230"/>
      <c r="K207" s="230"/>
      <c r="L207" s="230"/>
      <c r="M207" s="230"/>
      <c r="N207" s="230"/>
      <c r="O207" s="230"/>
      <c r="P207" s="230"/>
      <c r="Q207" s="230"/>
      <c r="R207" s="230"/>
      <c r="S207" s="230"/>
      <c r="T207" s="230"/>
      <c r="U207" s="230"/>
      <c r="V207" s="230"/>
      <c r="W207" s="230"/>
      <c r="X207" s="230"/>
      <c r="Y207" s="230"/>
      <c r="Z207" s="230"/>
      <c r="AA207" s="230"/>
      <c r="AB207" s="335"/>
      <c r="AC207" s="335"/>
    </row>
    <row r="208" ht="15.75" customHeight="1" spans="1:29">
      <c r="A208" s="230"/>
      <c r="B208" s="230"/>
      <c r="C208" s="230"/>
      <c r="D208" s="230"/>
      <c r="E208" s="230"/>
      <c r="F208" s="230"/>
      <c r="G208" s="230"/>
      <c r="H208" s="230"/>
      <c r="I208" s="230"/>
      <c r="J208" s="230"/>
      <c r="K208" s="230"/>
      <c r="L208" s="230"/>
      <c r="M208" s="230"/>
      <c r="N208" s="230"/>
      <c r="O208" s="230"/>
      <c r="P208" s="230"/>
      <c r="Q208" s="230"/>
      <c r="R208" s="230"/>
      <c r="S208" s="230"/>
      <c r="T208" s="230"/>
      <c r="U208" s="230"/>
      <c r="V208" s="230"/>
      <c r="W208" s="230"/>
      <c r="X208" s="230"/>
      <c r="Y208" s="230"/>
      <c r="Z208" s="230"/>
      <c r="AA208" s="230"/>
      <c r="AB208" s="335"/>
      <c r="AC208" s="335"/>
    </row>
    <row r="209" ht="15.75" customHeight="1" spans="1:29">
      <c r="A209" s="230"/>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230"/>
      <c r="Z209" s="230"/>
      <c r="AA209" s="230"/>
      <c r="AB209" s="335"/>
      <c r="AC209" s="335"/>
    </row>
    <row r="210" ht="15.75" customHeight="1" spans="1:29">
      <c r="A210" s="230"/>
      <c r="B210" s="230"/>
      <c r="C210" s="230"/>
      <c r="D210" s="230"/>
      <c r="E210" s="230"/>
      <c r="F210" s="230"/>
      <c r="G210" s="230"/>
      <c r="H210" s="230"/>
      <c r="I210" s="230"/>
      <c r="J210" s="230"/>
      <c r="K210" s="230"/>
      <c r="L210" s="230"/>
      <c r="M210" s="230"/>
      <c r="N210" s="230"/>
      <c r="O210" s="230"/>
      <c r="P210" s="230"/>
      <c r="Q210" s="230"/>
      <c r="R210" s="230"/>
      <c r="S210" s="230"/>
      <c r="T210" s="230"/>
      <c r="U210" s="230"/>
      <c r="V210" s="230"/>
      <c r="W210" s="230"/>
      <c r="X210" s="230"/>
      <c r="Y210" s="230"/>
      <c r="Z210" s="230"/>
      <c r="AA210" s="230"/>
      <c r="AB210" s="335"/>
      <c r="AC210" s="335"/>
    </row>
    <row r="211" ht="15.75" customHeight="1" spans="1:29">
      <c r="A211" s="230"/>
      <c r="B211" s="230"/>
      <c r="C211" s="230"/>
      <c r="D211" s="230"/>
      <c r="E211" s="230"/>
      <c r="F211" s="230"/>
      <c r="G211" s="230"/>
      <c r="H211" s="230"/>
      <c r="I211" s="230"/>
      <c r="J211" s="230"/>
      <c r="K211" s="230"/>
      <c r="L211" s="230"/>
      <c r="M211" s="230"/>
      <c r="N211" s="230"/>
      <c r="O211" s="230"/>
      <c r="P211" s="230"/>
      <c r="Q211" s="230"/>
      <c r="R211" s="230"/>
      <c r="S211" s="230"/>
      <c r="T211" s="230"/>
      <c r="U211" s="230"/>
      <c r="V211" s="230"/>
      <c r="W211" s="230"/>
      <c r="X211" s="230"/>
      <c r="Y211" s="230"/>
      <c r="Z211" s="230"/>
      <c r="AA211" s="230"/>
      <c r="AB211" s="335"/>
      <c r="AC211" s="335"/>
    </row>
    <row r="212" ht="15.75" customHeight="1" spans="1:29">
      <c r="A212" s="230"/>
      <c r="B212" s="230"/>
      <c r="C212" s="230"/>
      <c r="D212" s="230"/>
      <c r="E212" s="230"/>
      <c r="F212" s="230"/>
      <c r="G212" s="230"/>
      <c r="H212" s="230"/>
      <c r="I212" s="230"/>
      <c r="J212" s="230"/>
      <c r="K212" s="230"/>
      <c r="L212" s="230"/>
      <c r="M212" s="230"/>
      <c r="N212" s="230"/>
      <c r="O212" s="230"/>
      <c r="P212" s="230"/>
      <c r="Q212" s="230"/>
      <c r="R212" s="230"/>
      <c r="S212" s="230"/>
      <c r="T212" s="230"/>
      <c r="U212" s="230"/>
      <c r="V212" s="230"/>
      <c r="W212" s="230"/>
      <c r="X212" s="230"/>
      <c r="Y212" s="230"/>
      <c r="Z212" s="230"/>
      <c r="AA212" s="230"/>
      <c r="AB212" s="335"/>
      <c r="AC212" s="335"/>
    </row>
    <row r="213" ht="15.75" customHeight="1" spans="1:29">
      <c r="A213" s="230"/>
      <c r="B213" s="230"/>
      <c r="C213" s="230"/>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230"/>
      <c r="Z213" s="230"/>
      <c r="AA213" s="230"/>
      <c r="AB213" s="335"/>
      <c r="AC213" s="335"/>
    </row>
    <row r="214" ht="15.75" customHeight="1" spans="1:29">
      <c r="A214" s="230"/>
      <c r="B214" s="230"/>
      <c r="C214" s="230"/>
      <c r="D214" s="230"/>
      <c r="E214" s="230"/>
      <c r="F214" s="230"/>
      <c r="G214" s="230"/>
      <c r="H214" s="230"/>
      <c r="I214" s="230"/>
      <c r="J214" s="230"/>
      <c r="K214" s="230"/>
      <c r="L214" s="230"/>
      <c r="M214" s="230"/>
      <c r="N214" s="230"/>
      <c r="O214" s="230"/>
      <c r="P214" s="230"/>
      <c r="Q214" s="230"/>
      <c r="R214" s="230"/>
      <c r="S214" s="230"/>
      <c r="T214" s="230"/>
      <c r="U214" s="230"/>
      <c r="V214" s="230"/>
      <c r="W214" s="230"/>
      <c r="X214" s="230"/>
      <c r="Y214" s="230"/>
      <c r="Z214" s="230"/>
      <c r="AA214" s="230"/>
      <c r="AB214" s="335"/>
      <c r="AC214" s="335"/>
    </row>
    <row r="215" ht="15.75" customHeight="1" spans="1:29">
      <c r="A215" s="230"/>
      <c r="B215" s="230"/>
      <c r="C215" s="230"/>
      <c r="D215" s="230"/>
      <c r="E215" s="230"/>
      <c r="F215" s="230"/>
      <c r="G215" s="230"/>
      <c r="H215" s="230"/>
      <c r="I215" s="230"/>
      <c r="J215" s="230"/>
      <c r="K215" s="230"/>
      <c r="L215" s="230"/>
      <c r="M215" s="230"/>
      <c r="N215" s="230"/>
      <c r="O215" s="230"/>
      <c r="P215" s="230"/>
      <c r="Q215" s="230"/>
      <c r="R215" s="230"/>
      <c r="S215" s="230"/>
      <c r="T215" s="230"/>
      <c r="U215" s="230"/>
      <c r="V215" s="230"/>
      <c r="W215" s="230"/>
      <c r="X215" s="230"/>
      <c r="Y215" s="230"/>
      <c r="Z215" s="230"/>
      <c r="AA215" s="230"/>
      <c r="AB215" s="335"/>
      <c r="AC215" s="335"/>
    </row>
    <row r="216" ht="15.75" customHeight="1" spans="1:29">
      <c r="A216" s="230"/>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230"/>
      <c r="Z216" s="230"/>
      <c r="AA216" s="230"/>
      <c r="AB216" s="335"/>
      <c r="AC216" s="335"/>
    </row>
    <row r="217" ht="15.75" customHeight="1" spans="1:29">
      <c r="A217" s="230"/>
      <c r="B217" s="230"/>
      <c r="C217" s="230"/>
      <c r="D217" s="230"/>
      <c r="E217" s="230"/>
      <c r="F217" s="230"/>
      <c r="G217" s="230"/>
      <c r="H217" s="230"/>
      <c r="I217" s="230"/>
      <c r="J217" s="230"/>
      <c r="K217" s="230"/>
      <c r="L217" s="230"/>
      <c r="M217" s="230"/>
      <c r="N217" s="230"/>
      <c r="O217" s="230"/>
      <c r="P217" s="230"/>
      <c r="Q217" s="230"/>
      <c r="R217" s="230"/>
      <c r="S217" s="230"/>
      <c r="T217" s="230"/>
      <c r="U217" s="230"/>
      <c r="V217" s="230"/>
      <c r="W217" s="230"/>
      <c r="X217" s="230"/>
      <c r="Y217" s="230"/>
      <c r="Z217" s="230"/>
      <c r="AA217" s="230"/>
      <c r="AB217" s="335"/>
      <c r="AC217" s="335"/>
    </row>
    <row r="218" ht="15.75" customHeight="1" spans="1:29">
      <c r="A218" s="230"/>
      <c r="B218" s="230"/>
      <c r="C218" s="230"/>
      <c r="D218" s="230"/>
      <c r="E218" s="230"/>
      <c r="F218" s="230"/>
      <c r="G218" s="230"/>
      <c r="H218" s="230"/>
      <c r="I218" s="230"/>
      <c r="J218" s="230"/>
      <c r="K218" s="230"/>
      <c r="L218" s="230"/>
      <c r="M218" s="230"/>
      <c r="N218" s="230"/>
      <c r="O218" s="230"/>
      <c r="P218" s="230"/>
      <c r="Q218" s="230"/>
      <c r="R218" s="230"/>
      <c r="S218" s="230"/>
      <c r="T218" s="230"/>
      <c r="U218" s="230"/>
      <c r="V218" s="230"/>
      <c r="W218" s="230"/>
      <c r="X218" s="230"/>
      <c r="Y218" s="230"/>
      <c r="Z218" s="230"/>
      <c r="AA218" s="230"/>
      <c r="AB218" s="335"/>
      <c r="AC218" s="335"/>
    </row>
    <row r="219" ht="15.75" customHeight="1" spans="1:29">
      <c r="A219" s="230"/>
      <c r="B219" s="230"/>
      <c r="C219" s="230"/>
      <c r="D219" s="230"/>
      <c r="E219" s="230"/>
      <c r="F219" s="230"/>
      <c r="G219" s="230"/>
      <c r="H219" s="230"/>
      <c r="I219" s="230"/>
      <c r="J219" s="230"/>
      <c r="K219" s="230"/>
      <c r="L219" s="230"/>
      <c r="M219" s="230"/>
      <c r="N219" s="230"/>
      <c r="O219" s="230"/>
      <c r="P219" s="230"/>
      <c r="Q219" s="230"/>
      <c r="R219" s="230"/>
      <c r="S219" s="230"/>
      <c r="T219" s="230"/>
      <c r="U219" s="230"/>
      <c r="V219" s="230"/>
      <c r="W219" s="230"/>
      <c r="X219" s="230"/>
      <c r="Y219" s="230"/>
      <c r="Z219" s="230"/>
      <c r="AA219" s="230"/>
      <c r="AB219" s="335"/>
      <c r="AC219" s="335"/>
    </row>
    <row r="220" ht="15.75" customHeight="1" spans="1:29">
      <c r="A220" s="230"/>
      <c r="B220" s="230"/>
      <c r="C220" s="230"/>
      <c r="D220" s="230"/>
      <c r="E220" s="230"/>
      <c r="F220" s="230"/>
      <c r="G220" s="230"/>
      <c r="H220" s="230"/>
      <c r="I220" s="230"/>
      <c r="J220" s="230"/>
      <c r="K220" s="230"/>
      <c r="L220" s="230"/>
      <c r="M220" s="230"/>
      <c r="N220" s="230"/>
      <c r="O220" s="230"/>
      <c r="P220" s="230"/>
      <c r="Q220" s="230"/>
      <c r="R220" s="230"/>
      <c r="S220" s="230"/>
      <c r="T220" s="230"/>
      <c r="U220" s="230"/>
      <c r="V220" s="230"/>
      <c r="W220" s="230"/>
      <c r="X220" s="230"/>
      <c r="Y220" s="230"/>
      <c r="Z220" s="230"/>
      <c r="AA220" s="230"/>
      <c r="AB220" s="335"/>
      <c r="AC220" s="335"/>
    </row>
    <row r="221" ht="15.75" customHeight="1" spans="1:29">
      <c r="A221" s="230"/>
      <c r="B221" s="230"/>
      <c r="C221" s="230"/>
      <c r="D221" s="230"/>
      <c r="E221" s="230"/>
      <c r="F221" s="230"/>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335"/>
      <c r="AC221" s="335"/>
    </row>
    <row r="222" ht="15.75" customHeight="1" spans="1:29">
      <c r="A222" s="230"/>
      <c r="B222" s="230"/>
      <c r="C222" s="230"/>
      <c r="D222" s="230"/>
      <c r="E222" s="230"/>
      <c r="F222" s="230"/>
      <c r="G222" s="230"/>
      <c r="H222" s="230"/>
      <c r="I222" s="230"/>
      <c r="J222" s="230"/>
      <c r="K222" s="230"/>
      <c r="L222" s="230"/>
      <c r="M222" s="230"/>
      <c r="N222" s="230"/>
      <c r="O222" s="230"/>
      <c r="P222" s="230"/>
      <c r="Q222" s="230"/>
      <c r="R222" s="230"/>
      <c r="S222" s="230"/>
      <c r="T222" s="230"/>
      <c r="U222" s="230"/>
      <c r="V222" s="230"/>
      <c r="W222" s="230"/>
      <c r="X222" s="230"/>
      <c r="Y222" s="230"/>
      <c r="Z222" s="230"/>
      <c r="AA222" s="230"/>
      <c r="AB222" s="335"/>
      <c r="AC222" s="335"/>
    </row>
    <row r="223" ht="15.75" customHeight="1" spans="1:29">
      <c r="A223" s="230"/>
      <c r="B223" s="230"/>
      <c r="C223" s="230"/>
      <c r="D223" s="230"/>
      <c r="E223" s="230"/>
      <c r="F223" s="230"/>
      <c r="G223" s="230"/>
      <c r="H223" s="230"/>
      <c r="I223" s="230"/>
      <c r="J223" s="230"/>
      <c r="K223" s="230"/>
      <c r="L223" s="230"/>
      <c r="M223" s="230"/>
      <c r="N223" s="230"/>
      <c r="O223" s="230"/>
      <c r="P223" s="230"/>
      <c r="Q223" s="230"/>
      <c r="R223" s="230"/>
      <c r="S223" s="230"/>
      <c r="T223" s="230"/>
      <c r="U223" s="230"/>
      <c r="V223" s="230"/>
      <c r="W223" s="230"/>
      <c r="X223" s="230"/>
      <c r="Y223" s="230"/>
      <c r="Z223" s="230"/>
      <c r="AA223" s="230"/>
      <c r="AB223" s="335"/>
      <c r="AC223" s="335"/>
    </row>
    <row r="224" ht="15.75" customHeight="1" spans="1:29">
      <c r="A224" s="230"/>
      <c r="B224" s="230"/>
      <c r="C224" s="230"/>
      <c r="D224" s="230"/>
      <c r="E224" s="230"/>
      <c r="F224" s="230"/>
      <c r="G224" s="230"/>
      <c r="H224" s="230"/>
      <c r="I224" s="230"/>
      <c r="J224" s="230"/>
      <c r="K224" s="230"/>
      <c r="L224" s="230"/>
      <c r="M224" s="230"/>
      <c r="N224" s="230"/>
      <c r="O224" s="230"/>
      <c r="P224" s="230"/>
      <c r="Q224" s="230"/>
      <c r="R224" s="230"/>
      <c r="S224" s="230"/>
      <c r="T224" s="230"/>
      <c r="U224" s="230"/>
      <c r="V224" s="230"/>
      <c r="W224" s="230"/>
      <c r="X224" s="230"/>
      <c r="Y224" s="230"/>
      <c r="Z224" s="230"/>
      <c r="AA224" s="230"/>
      <c r="AB224" s="335"/>
      <c r="AC224" s="335"/>
    </row>
    <row r="225" ht="15.75" customHeight="1" spans="1:29">
      <c r="A225" s="230"/>
      <c r="B225" s="230"/>
      <c r="C225" s="230"/>
      <c r="D225" s="230"/>
      <c r="E225" s="230"/>
      <c r="F225" s="230"/>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335"/>
      <c r="AC225" s="335"/>
    </row>
    <row r="226" ht="15.75" customHeight="1" spans="1:29">
      <c r="A226" s="230"/>
      <c r="B226" s="230"/>
      <c r="C226" s="230"/>
      <c r="D226" s="230"/>
      <c r="E226" s="230"/>
      <c r="F226" s="230"/>
      <c r="G226" s="230"/>
      <c r="H226" s="230"/>
      <c r="I226" s="230"/>
      <c r="J226" s="230"/>
      <c r="K226" s="230"/>
      <c r="L226" s="230"/>
      <c r="M226" s="230"/>
      <c r="N226" s="230"/>
      <c r="O226" s="230"/>
      <c r="P226" s="230"/>
      <c r="Q226" s="230"/>
      <c r="R226" s="230"/>
      <c r="S226" s="230"/>
      <c r="T226" s="230"/>
      <c r="U226" s="230"/>
      <c r="V226" s="230"/>
      <c r="W226" s="230"/>
      <c r="X226" s="230"/>
      <c r="Y226" s="230"/>
      <c r="Z226" s="230"/>
      <c r="AA226" s="230"/>
      <c r="AB226" s="335"/>
      <c r="AC226" s="335"/>
    </row>
    <row r="227" ht="15.75" customHeight="1" spans="1:29">
      <c r="A227" s="230"/>
      <c r="B227" s="230"/>
      <c r="C227" s="230"/>
      <c r="D227" s="230"/>
      <c r="E227" s="230"/>
      <c r="F227" s="230"/>
      <c r="G227" s="230"/>
      <c r="H227" s="230"/>
      <c r="I227" s="230"/>
      <c r="J227" s="230"/>
      <c r="K227" s="230"/>
      <c r="L227" s="230"/>
      <c r="M227" s="230"/>
      <c r="N227" s="230"/>
      <c r="O227" s="230"/>
      <c r="P227" s="230"/>
      <c r="Q227" s="230"/>
      <c r="R227" s="230"/>
      <c r="S227" s="230"/>
      <c r="T227" s="230"/>
      <c r="U227" s="230"/>
      <c r="V227" s="230"/>
      <c r="W227" s="230"/>
      <c r="X227" s="230"/>
      <c r="Y227" s="230"/>
      <c r="Z227" s="230"/>
      <c r="AA227" s="230"/>
      <c r="AB227" s="335"/>
      <c r="AC227" s="335"/>
    </row>
    <row r="228" ht="15.75" customHeight="1" spans="1:29">
      <c r="A228" s="230"/>
      <c r="B228" s="230"/>
      <c r="C228" s="230"/>
      <c r="D228" s="230"/>
      <c r="E228" s="230"/>
      <c r="F228" s="230"/>
      <c r="G228" s="230"/>
      <c r="H228" s="230"/>
      <c r="I228" s="230"/>
      <c r="J228" s="230"/>
      <c r="K228" s="230"/>
      <c r="L228" s="230"/>
      <c r="M228" s="230"/>
      <c r="N228" s="230"/>
      <c r="O228" s="230"/>
      <c r="P228" s="230"/>
      <c r="Q228" s="230"/>
      <c r="R228" s="230"/>
      <c r="S228" s="230"/>
      <c r="T228" s="230"/>
      <c r="U228" s="230"/>
      <c r="V228" s="230"/>
      <c r="W228" s="230"/>
      <c r="X228" s="230"/>
      <c r="Y228" s="230"/>
      <c r="Z228" s="230"/>
      <c r="AA228" s="230"/>
      <c r="AB228" s="335"/>
      <c r="AC228" s="335"/>
    </row>
    <row r="229" ht="15.75" customHeight="1" spans="1:29">
      <c r="A229" s="230"/>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230"/>
      <c r="Z229" s="230"/>
      <c r="AA229" s="230"/>
      <c r="AB229" s="335"/>
      <c r="AC229" s="335"/>
    </row>
    <row r="230" ht="15.75" customHeight="1" spans="1:29">
      <c r="A230" s="230"/>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230"/>
      <c r="Z230" s="230"/>
      <c r="AA230" s="230"/>
      <c r="AB230" s="335"/>
      <c r="AC230" s="335"/>
    </row>
    <row r="231" ht="15.75" customHeight="1" spans="1:29">
      <c r="A231" s="230"/>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230"/>
      <c r="Z231" s="230"/>
      <c r="AA231" s="230"/>
      <c r="AB231" s="335"/>
      <c r="AC231" s="335"/>
    </row>
    <row r="232" ht="15.75" customHeight="1" spans="1:29">
      <c r="A232" s="230"/>
      <c r="B232" s="230"/>
      <c r="C232" s="230"/>
      <c r="D232" s="230"/>
      <c r="E232" s="230"/>
      <c r="F232" s="230"/>
      <c r="G232" s="230"/>
      <c r="H232" s="230"/>
      <c r="I232" s="230"/>
      <c r="J232" s="230"/>
      <c r="K232" s="230"/>
      <c r="L232" s="230"/>
      <c r="M232" s="230"/>
      <c r="N232" s="230"/>
      <c r="O232" s="230"/>
      <c r="P232" s="230"/>
      <c r="Q232" s="230"/>
      <c r="R232" s="230"/>
      <c r="S232" s="230"/>
      <c r="T232" s="230"/>
      <c r="U232" s="230"/>
      <c r="V232" s="230"/>
      <c r="W232" s="230"/>
      <c r="X232" s="230"/>
      <c r="Y232" s="230"/>
      <c r="Z232" s="230"/>
      <c r="AA232" s="230"/>
      <c r="AB232" s="335"/>
      <c r="AC232" s="335"/>
    </row>
    <row r="233" ht="15.75" customHeight="1" spans="1:29">
      <c r="A233" s="230"/>
      <c r="B233" s="230"/>
      <c r="C233" s="230"/>
      <c r="D233" s="230"/>
      <c r="E233" s="230"/>
      <c r="F233" s="230"/>
      <c r="G233" s="230"/>
      <c r="H233" s="230"/>
      <c r="I233" s="230"/>
      <c r="J233" s="230"/>
      <c r="K233" s="230"/>
      <c r="L233" s="230"/>
      <c r="M233" s="230"/>
      <c r="N233" s="230"/>
      <c r="O233" s="230"/>
      <c r="P233" s="230"/>
      <c r="Q233" s="230"/>
      <c r="R233" s="230"/>
      <c r="S233" s="230"/>
      <c r="T233" s="230"/>
      <c r="U233" s="230"/>
      <c r="V233" s="230"/>
      <c r="W233" s="230"/>
      <c r="X233" s="230"/>
      <c r="Y233" s="230"/>
      <c r="Z233" s="230"/>
      <c r="AA233" s="230"/>
      <c r="AB233" s="335"/>
      <c r="AC233" s="335"/>
    </row>
    <row r="234" ht="15.75" customHeight="1" spans="1:29">
      <c r="A234" s="230"/>
      <c r="B234" s="230"/>
      <c r="C234" s="230"/>
      <c r="D234" s="230"/>
      <c r="E234" s="230"/>
      <c r="F234" s="230"/>
      <c r="G234" s="230"/>
      <c r="H234" s="230"/>
      <c r="I234" s="230"/>
      <c r="J234" s="230"/>
      <c r="K234" s="230"/>
      <c r="L234" s="230"/>
      <c r="M234" s="230"/>
      <c r="N234" s="230"/>
      <c r="O234" s="230"/>
      <c r="P234" s="230"/>
      <c r="Q234" s="230"/>
      <c r="R234" s="230"/>
      <c r="S234" s="230"/>
      <c r="T234" s="230"/>
      <c r="U234" s="230"/>
      <c r="V234" s="230"/>
      <c r="W234" s="230"/>
      <c r="X234" s="230"/>
      <c r="Y234" s="230"/>
      <c r="Z234" s="230"/>
      <c r="AA234" s="230"/>
      <c r="AB234" s="335"/>
      <c r="AC234" s="335"/>
    </row>
    <row r="235" ht="15.75" customHeight="1" spans="1:29">
      <c r="A235" s="230"/>
      <c r="B235" s="230"/>
      <c r="C235" s="230"/>
      <c r="D235" s="230"/>
      <c r="E235" s="230"/>
      <c r="F235" s="230"/>
      <c r="G235" s="230"/>
      <c r="H235" s="230"/>
      <c r="I235" s="230"/>
      <c r="J235" s="230"/>
      <c r="K235" s="230"/>
      <c r="L235" s="230"/>
      <c r="M235" s="230"/>
      <c r="N235" s="230"/>
      <c r="O235" s="230"/>
      <c r="P235" s="230"/>
      <c r="Q235" s="230"/>
      <c r="R235" s="230"/>
      <c r="S235" s="230"/>
      <c r="T235" s="230"/>
      <c r="U235" s="230"/>
      <c r="V235" s="230"/>
      <c r="W235" s="230"/>
      <c r="X235" s="230"/>
      <c r="Y235" s="230"/>
      <c r="Z235" s="230"/>
      <c r="AA235" s="230"/>
      <c r="AB235" s="335"/>
      <c r="AC235" s="335"/>
    </row>
    <row r="236" ht="15.75" customHeight="1" spans="1:29">
      <c r="A236" s="230"/>
      <c r="B236" s="230"/>
      <c r="C236" s="230"/>
      <c r="D236" s="230"/>
      <c r="E236" s="230"/>
      <c r="F236" s="230"/>
      <c r="G236" s="230"/>
      <c r="H236" s="230"/>
      <c r="I236" s="230"/>
      <c r="J236" s="230"/>
      <c r="K236" s="230"/>
      <c r="L236" s="230"/>
      <c r="M236" s="230"/>
      <c r="N236" s="230"/>
      <c r="O236" s="230"/>
      <c r="P236" s="230"/>
      <c r="Q236" s="230"/>
      <c r="R236" s="230"/>
      <c r="S236" s="230"/>
      <c r="T236" s="230"/>
      <c r="U236" s="230"/>
      <c r="V236" s="230"/>
      <c r="W236" s="230"/>
      <c r="X236" s="230"/>
      <c r="Y236" s="230"/>
      <c r="Z236" s="230"/>
      <c r="AA236" s="230"/>
      <c r="AB236" s="335"/>
      <c r="AC236" s="335"/>
    </row>
    <row r="237" ht="15.75" customHeight="1" spans="1:29">
      <c r="A237" s="230"/>
      <c r="B237" s="230"/>
      <c r="C237" s="230"/>
      <c r="D237" s="230"/>
      <c r="E237" s="230"/>
      <c r="F237" s="230"/>
      <c r="G237" s="230"/>
      <c r="H237" s="230"/>
      <c r="I237" s="230"/>
      <c r="J237" s="230"/>
      <c r="K237" s="230"/>
      <c r="L237" s="230"/>
      <c r="M237" s="230"/>
      <c r="N237" s="230"/>
      <c r="O237" s="230"/>
      <c r="P237" s="230"/>
      <c r="Q237" s="230"/>
      <c r="R237" s="230"/>
      <c r="S237" s="230"/>
      <c r="T237" s="230"/>
      <c r="U237" s="230"/>
      <c r="V237" s="230"/>
      <c r="W237" s="230"/>
      <c r="X237" s="230"/>
      <c r="Y237" s="230"/>
      <c r="Z237" s="230"/>
      <c r="AA237" s="230"/>
      <c r="AB237" s="335"/>
      <c r="AC237" s="335"/>
    </row>
    <row r="238" ht="15.75" customHeight="1" spans="1:29">
      <c r="A238" s="230"/>
      <c r="B238" s="230"/>
      <c r="C238" s="230"/>
      <c r="D238" s="230"/>
      <c r="E238" s="230"/>
      <c r="F238" s="230"/>
      <c r="G238" s="230"/>
      <c r="H238" s="230"/>
      <c r="I238" s="230"/>
      <c r="J238" s="230"/>
      <c r="K238" s="230"/>
      <c r="L238" s="230"/>
      <c r="M238" s="230"/>
      <c r="N238" s="230"/>
      <c r="O238" s="230"/>
      <c r="P238" s="230"/>
      <c r="Q238" s="230"/>
      <c r="R238" s="230"/>
      <c r="S238" s="230"/>
      <c r="T238" s="230"/>
      <c r="U238" s="230"/>
      <c r="V238" s="230"/>
      <c r="W238" s="230"/>
      <c r="X238" s="230"/>
      <c r="Y238" s="230"/>
      <c r="Z238" s="230"/>
      <c r="AA238" s="230"/>
      <c r="AB238" s="335"/>
      <c r="AC238" s="335"/>
    </row>
    <row r="239" ht="15.75" customHeight="1" spans="1:29">
      <c r="A239" s="230"/>
      <c r="B239" s="230"/>
      <c r="C239" s="230"/>
      <c r="D239" s="230"/>
      <c r="E239" s="230"/>
      <c r="F239" s="230"/>
      <c r="G239" s="230"/>
      <c r="H239" s="230"/>
      <c r="I239" s="230"/>
      <c r="J239" s="230"/>
      <c r="K239" s="230"/>
      <c r="L239" s="230"/>
      <c r="M239" s="230"/>
      <c r="N239" s="230"/>
      <c r="O239" s="230"/>
      <c r="P239" s="230"/>
      <c r="Q239" s="230"/>
      <c r="R239" s="230"/>
      <c r="S239" s="230"/>
      <c r="T239" s="230"/>
      <c r="U239" s="230"/>
      <c r="V239" s="230"/>
      <c r="W239" s="230"/>
      <c r="X239" s="230"/>
      <c r="Y239" s="230"/>
      <c r="Z239" s="230"/>
      <c r="AA239" s="230"/>
      <c r="AB239" s="335"/>
      <c r="AC239" s="335"/>
    </row>
    <row r="240" ht="15.75" customHeight="1" spans="1:29">
      <c r="A240" s="230"/>
      <c r="B240" s="230"/>
      <c r="C240" s="230"/>
      <c r="D240" s="230"/>
      <c r="E240" s="230"/>
      <c r="F240" s="230"/>
      <c r="G240" s="230"/>
      <c r="H240" s="230"/>
      <c r="I240" s="230"/>
      <c r="J240" s="230"/>
      <c r="K240" s="230"/>
      <c r="L240" s="230"/>
      <c r="M240" s="230"/>
      <c r="N240" s="230"/>
      <c r="O240" s="230"/>
      <c r="P240" s="230"/>
      <c r="Q240" s="230"/>
      <c r="R240" s="230"/>
      <c r="S240" s="230"/>
      <c r="T240" s="230"/>
      <c r="U240" s="230"/>
      <c r="V240" s="230"/>
      <c r="W240" s="230"/>
      <c r="X240" s="230"/>
      <c r="Y240" s="230"/>
      <c r="Z240" s="230"/>
      <c r="AA240" s="230"/>
      <c r="AB240" s="335"/>
      <c r="AC240" s="335"/>
    </row>
    <row r="241" ht="15.75" customHeight="1" spans="1:29">
      <c r="A241" s="230"/>
      <c r="B241" s="230"/>
      <c r="C241" s="230"/>
      <c r="D241" s="230"/>
      <c r="E241" s="230"/>
      <c r="F241" s="230"/>
      <c r="G241" s="230"/>
      <c r="H241" s="230"/>
      <c r="I241" s="230"/>
      <c r="J241" s="230"/>
      <c r="K241" s="230"/>
      <c r="L241" s="230"/>
      <c r="M241" s="230"/>
      <c r="N241" s="230"/>
      <c r="O241" s="230"/>
      <c r="P241" s="230"/>
      <c r="Q241" s="230"/>
      <c r="R241" s="230"/>
      <c r="S241" s="230"/>
      <c r="T241" s="230"/>
      <c r="U241" s="230"/>
      <c r="V241" s="230"/>
      <c r="W241" s="230"/>
      <c r="X241" s="230"/>
      <c r="Y241" s="230"/>
      <c r="Z241" s="230"/>
      <c r="AA241" s="230"/>
      <c r="AB241" s="335"/>
      <c r="AC241" s="335"/>
    </row>
    <row r="242" ht="15.75" customHeight="1" spans="1:29">
      <c r="A242" s="230"/>
      <c r="B242" s="230"/>
      <c r="C242" s="230"/>
      <c r="D242" s="230"/>
      <c r="E242" s="230"/>
      <c r="F242" s="230"/>
      <c r="G242" s="230"/>
      <c r="H242" s="230"/>
      <c r="I242" s="230"/>
      <c r="J242" s="230"/>
      <c r="K242" s="230"/>
      <c r="L242" s="230"/>
      <c r="M242" s="230"/>
      <c r="N242" s="230"/>
      <c r="O242" s="230"/>
      <c r="P242" s="230"/>
      <c r="Q242" s="230"/>
      <c r="R242" s="230"/>
      <c r="S242" s="230"/>
      <c r="T242" s="230"/>
      <c r="U242" s="230"/>
      <c r="V242" s="230"/>
      <c r="W242" s="230"/>
      <c r="X242" s="230"/>
      <c r="Y242" s="230"/>
      <c r="Z242" s="230"/>
      <c r="AA242" s="230"/>
      <c r="AB242" s="335"/>
      <c r="AC242" s="335"/>
    </row>
    <row r="243" ht="15.75" customHeight="1" spans="1:29">
      <c r="A243" s="230"/>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230"/>
      <c r="Z243" s="230"/>
      <c r="AA243" s="230"/>
      <c r="AB243" s="335"/>
      <c r="AC243" s="335"/>
    </row>
    <row r="244" ht="15.75" customHeight="1" spans="1:29">
      <c r="A244" s="230"/>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230"/>
      <c r="Z244" s="230"/>
      <c r="AA244" s="230"/>
      <c r="AB244" s="335"/>
      <c r="AC244" s="335"/>
    </row>
    <row r="245" ht="15.75" customHeight="1" spans="1:29">
      <c r="A245" s="230"/>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230"/>
      <c r="Z245" s="230"/>
      <c r="AA245" s="230"/>
      <c r="AB245" s="335"/>
      <c r="AC245" s="335"/>
    </row>
    <row r="246" ht="15.75" customHeight="1" spans="1:29">
      <c r="A246" s="230"/>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c r="AA246" s="230"/>
      <c r="AB246" s="335"/>
      <c r="AC246" s="335"/>
    </row>
    <row r="247" ht="15.75" customHeight="1" spans="1:29">
      <c r="A247" s="230"/>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c r="AA247" s="230"/>
      <c r="AB247" s="335"/>
      <c r="AC247" s="335"/>
    </row>
    <row r="248" ht="15.75" customHeight="1" spans="1:29">
      <c r="A248" s="230"/>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c r="AA248" s="230"/>
      <c r="AB248" s="335"/>
      <c r="AC248" s="335"/>
    </row>
    <row r="249" ht="15.75" customHeight="1" spans="1:29">
      <c r="A249" s="230"/>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230"/>
      <c r="Z249" s="230"/>
      <c r="AA249" s="230"/>
      <c r="AB249" s="335"/>
      <c r="AC249" s="335"/>
    </row>
    <row r="250" ht="15.75" customHeight="1" spans="1:29">
      <c r="A250" s="230"/>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c r="AA250" s="230"/>
      <c r="AB250" s="335"/>
      <c r="AC250" s="335"/>
    </row>
    <row r="251" ht="15.75" customHeight="1" spans="1:29">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c r="AA251" s="230"/>
      <c r="AB251" s="335"/>
      <c r="AC251" s="335"/>
    </row>
    <row r="252" ht="15.75" customHeight="1" spans="1:29">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c r="AA252" s="230"/>
      <c r="AB252" s="335"/>
      <c r="AC252" s="335"/>
    </row>
    <row r="253" ht="15.75" customHeight="1" spans="1:29">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c r="AA253" s="230"/>
      <c r="AB253" s="335"/>
      <c r="AC253" s="335"/>
    </row>
    <row r="254" ht="15.75" customHeight="1" spans="1:29">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c r="AA254" s="230"/>
      <c r="AB254" s="335"/>
      <c r="AC254" s="335"/>
    </row>
    <row r="255" ht="15.75" customHeight="1" spans="1:29">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c r="AA255" s="230"/>
      <c r="AB255" s="335"/>
      <c r="AC255" s="335"/>
    </row>
    <row r="256" ht="15.75" customHeight="1" spans="1:29">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c r="AA256" s="230"/>
      <c r="AB256" s="335"/>
      <c r="AC256" s="335"/>
    </row>
    <row r="257" ht="15.75" customHeight="1" spans="1:29">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c r="AA257" s="230"/>
      <c r="AB257" s="335"/>
      <c r="AC257" s="335"/>
    </row>
    <row r="258" ht="15.75" customHeight="1" spans="1:29">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c r="AA258" s="230"/>
      <c r="AB258" s="335"/>
      <c r="AC258" s="335"/>
    </row>
    <row r="259" ht="15.75" customHeight="1" spans="1:29">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c r="AA259" s="230"/>
      <c r="AB259" s="335"/>
      <c r="AC259" s="335"/>
    </row>
    <row r="260" ht="15.75" customHeight="1" spans="1:29">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c r="AA260" s="230"/>
      <c r="AB260" s="335"/>
      <c r="AC260" s="335"/>
    </row>
    <row r="261" ht="15.75" customHeight="1" spans="1:29">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c r="AA261" s="230"/>
      <c r="AB261" s="335"/>
      <c r="AC261" s="335"/>
    </row>
    <row r="262" ht="15.75" customHeight="1" spans="1:29">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c r="AA262" s="230"/>
      <c r="AB262" s="335"/>
      <c r="AC262" s="335"/>
    </row>
    <row r="263" ht="15.75" customHeight="1" spans="1:29">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c r="AA263" s="230"/>
      <c r="AB263" s="335"/>
      <c r="AC263" s="335"/>
    </row>
    <row r="264" ht="15.75" customHeight="1" spans="1:29">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c r="AA264" s="230"/>
      <c r="AB264" s="335"/>
      <c r="AC264" s="335"/>
    </row>
    <row r="265" ht="15.75" customHeight="1" spans="1:29">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c r="AA265" s="230"/>
      <c r="AB265" s="335"/>
      <c r="AC265" s="335"/>
    </row>
    <row r="266" ht="15.75" customHeight="1" spans="1:29">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c r="AA266" s="230"/>
      <c r="AB266" s="335"/>
      <c r="AC266" s="335"/>
    </row>
    <row r="267" ht="15.75" customHeight="1" spans="1:29">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c r="AA267" s="230"/>
      <c r="AB267" s="335"/>
      <c r="AC267" s="335"/>
    </row>
    <row r="268" ht="15.75" customHeight="1" spans="1:29">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c r="AA268" s="230"/>
      <c r="AB268" s="335"/>
      <c r="AC268" s="335"/>
    </row>
    <row r="269" ht="15.75" customHeight="1" spans="1:29">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c r="AA269" s="230"/>
      <c r="AB269" s="335"/>
      <c r="AC269" s="335"/>
    </row>
    <row r="270" ht="15.75" customHeight="1" spans="1:29">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c r="AA270" s="230"/>
      <c r="AB270" s="335"/>
      <c r="AC270" s="335"/>
    </row>
    <row r="271" ht="15.75" customHeight="1" spans="1:29">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c r="AA271" s="230"/>
      <c r="AB271" s="335"/>
      <c r="AC271" s="335"/>
    </row>
    <row r="272" ht="15.75" customHeight="1" spans="1:29">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c r="AA272" s="230"/>
      <c r="AB272" s="335"/>
      <c r="AC272" s="335"/>
    </row>
    <row r="273" ht="15.75" customHeight="1" spans="1:29">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c r="AA273" s="230"/>
      <c r="AB273" s="335"/>
      <c r="AC273" s="335"/>
    </row>
    <row r="274" ht="15.75" customHeight="1" spans="1:29">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c r="AA274" s="230"/>
      <c r="AB274" s="335"/>
      <c r="AC274" s="335"/>
    </row>
    <row r="275" ht="15.75" customHeight="1" spans="1:29">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c r="AA275" s="230"/>
      <c r="AB275" s="335"/>
      <c r="AC275" s="335"/>
    </row>
    <row r="276" ht="15.75" customHeight="1" spans="1:29">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c r="AA276" s="230"/>
      <c r="AB276" s="335"/>
      <c r="AC276" s="335"/>
    </row>
    <row r="277" ht="15.75" customHeight="1" spans="1:29">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c r="AA277" s="230"/>
      <c r="AB277" s="335"/>
      <c r="AC277" s="335"/>
    </row>
    <row r="278" ht="15.75" customHeight="1" spans="1:29">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c r="AA278" s="230"/>
      <c r="AB278" s="335"/>
      <c r="AC278" s="335"/>
    </row>
    <row r="279" ht="15.75" customHeight="1" spans="1:29">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c r="AA279" s="230"/>
      <c r="AB279" s="335"/>
      <c r="AC279" s="335"/>
    </row>
    <row r="280" ht="15.75" customHeight="1" spans="1:29">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c r="AA280" s="230"/>
      <c r="AB280" s="335"/>
      <c r="AC280" s="335"/>
    </row>
    <row r="281" ht="15.75" customHeight="1" spans="1:29">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c r="AA281" s="230"/>
      <c r="AB281" s="335"/>
      <c r="AC281" s="335"/>
    </row>
    <row r="282" ht="15.75" customHeight="1" spans="1:29">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c r="AA282" s="230"/>
      <c r="AB282" s="335"/>
      <c r="AC282" s="335"/>
    </row>
    <row r="283" ht="15.75" customHeight="1" spans="1:29">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c r="AA283" s="230"/>
      <c r="AB283" s="335"/>
      <c r="AC283" s="335"/>
    </row>
    <row r="284" ht="15.75" customHeight="1" spans="1:29">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c r="AA284" s="230"/>
      <c r="AB284" s="335"/>
      <c r="AC284" s="335"/>
    </row>
    <row r="285" ht="15.75" customHeight="1" spans="1:29">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c r="AA285" s="230"/>
      <c r="AB285" s="335"/>
      <c r="AC285" s="335"/>
    </row>
    <row r="286" ht="15.75" customHeight="1" spans="1:29">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c r="AA286" s="230"/>
      <c r="AB286" s="335"/>
      <c r="AC286" s="335"/>
    </row>
    <row r="287" ht="15.75" customHeight="1" spans="1:29">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c r="AA287" s="230"/>
      <c r="AB287" s="335"/>
      <c r="AC287" s="335"/>
    </row>
    <row r="288" ht="15.75" customHeight="1" spans="1:29">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c r="AA288" s="230"/>
      <c r="AB288" s="335"/>
      <c r="AC288" s="335"/>
    </row>
    <row r="289" ht="15.75" customHeight="1" spans="1:29">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c r="AA289" s="230"/>
      <c r="AB289" s="335"/>
      <c r="AC289" s="335"/>
    </row>
    <row r="290" ht="15.75" customHeight="1" spans="1:29">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c r="AA290" s="230"/>
      <c r="AB290" s="335"/>
      <c r="AC290" s="335"/>
    </row>
    <row r="291" ht="15.75" customHeight="1" spans="1:29">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c r="AA291" s="230"/>
      <c r="AB291" s="335"/>
      <c r="AC291" s="335"/>
    </row>
    <row r="292" ht="15.75" customHeight="1" spans="1:29">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c r="AA292" s="230"/>
      <c r="AB292" s="335"/>
      <c r="AC292" s="335"/>
    </row>
    <row r="293" ht="15.75" customHeight="1" spans="1:29">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c r="AA293" s="230"/>
      <c r="AB293" s="335"/>
      <c r="AC293" s="335"/>
    </row>
    <row r="294" ht="15.75" customHeight="1" spans="1:29">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c r="AA294" s="230"/>
      <c r="AB294" s="335"/>
      <c r="AC294" s="335"/>
    </row>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3">
    <mergeCell ref="A11:I11"/>
    <mergeCell ref="A12:D12"/>
    <mergeCell ref="E12:G12"/>
    <mergeCell ref="H12:I12"/>
    <mergeCell ref="A13:D13"/>
    <mergeCell ref="E13:G13"/>
    <mergeCell ref="H13:I13"/>
    <mergeCell ref="A14:D14"/>
    <mergeCell ref="A15:D15"/>
    <mergeCell ref="B49:E49"/>
    <mergeCell ref="B54:E54"/>
    <mergeCell ref="B57:I57"/>
    <mergeCell ref="B58:I58"/>
    <mergeCell ref="B60:I60"/>
    <mergeCell ref="B61:I61"/>
    <mergeCell ref="B63:I63"/>
    <mergeCell ref="B64:I64"/>
    <mergeCell ref="B66:I66"/>
    <mergeCell ref="B67:I67"/>
    <mergeCell ref="B69:I69"/>
    <mergeCell ref="B70:I70"/>
    <mergeCell ref="B72:I72"/>
    <mergeCell ref="B74:C74"/>
    <mergeCell ref="D74:E74"/>
    <mergeCell ref="G74:I74"/>
    <mergeCell ref="B75:C75"/>
    <mergeCell ref="D75:E75"/>
    <mergeCell ref="G75:I75"/>
    <mergeCell ref="B76:C76"/>
    <mergeCell ref="D76:E76"/>
    <mergeCell ref="G76:I76"/>
    <mergeCell ref="B77:C77"/>
    <mergeCell ref="D77:E77"/>
    <mergeCell ref="G77:I77"/>
    <mergeCell ref="B78:C78"/>
    <mergeCell ref="D78:E78"/>
    <mergeCell ref="B80:C80"/>
    <mergeCell ref="D80:E80"/>
    <mergeCell ref="F82:H82"/>
    <mergeCell ref="H83:I83"/>
    <mergeCell ref="H84:I84"/>
    <mergeCell ref="H85:I85"/>
    <mergeCell ref="H86:I86"/>
    <mergeCell ref="H87:I87"/>
    <mergeCell ref="H88:I88"/>
    <mergeCell ref="H89:I89"/>
    <mergeCell ref="H90:I90"/>
    <mergeCell ref="H91:I91"/>
    <mergeCell ref="H92:I92"/>
    <mergeCell ref="H93:I93"/>
    <mergeCell ref="H94:I94"/>
    <mergeCell ref="F32:F35"/>
    <mergeCell ref="A1:I10"/>
  </mergeCells>
  <pageMargins left="0.511805555555556" right="0.511805555555556" top="0.7875" bottom="0.7875" header="0" footer="0"/>
  <pageSetup paperSize="9" scale="35"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0"/>
  <sheetViews>
    <sheetView zoomScale="90" zoomScaleNormal="90" topLeftCell="A29" workbookViewId="0">
      <selection activeCell="K46" sqref="K46"/>
    </sheetView>
  </sheetViews>
  <sheetFormatPr defaultColWidth="14.4380952380952" defaultRowHeight="15" customHeight="1"/>
  <cols>
    <col min="1" max="9" width="15.8857142857143" customWidth="1"/>
  </cols>
  <sheetData>
    <row r="1" spans="1:26">
      <c r="A1" s="201"/>
      <c r="B1" s="202"/>
      <c r="C1" s="202"/>
      <c r="D1" s="202"/>
      <c r="E1" s="202"/>
      <c r="F1" s="202"/>
      <c r="G1" s="202"/>
      <c r="H1" s="202"/>
      <c r="I1" s="256"/>
      <c r="J1" s="230"/>
      <c r="K1" s="230"/>
      <c r="L1" s="230"/>
      <c r="M1" s="230"/>
      <c r="N1" s="230"/>
      <c r="O1" s="230"/>
      <c r="P1" s="230"/>
      <c r="Q1" s="230"/>
      <c r="R1" s="230"/>
      <c r="S1" s="230"/>
      <c r="T1" s="230"/>
      <c r="U1" s="230"/>
      <c r="V1" s="230"/>
      <c r="W1" s="230"/>
      <c r="X1" s="230"/>
      <c r="Y1" s="230"/>
      <c r="Z1" s="230"/>
    </row>
    <row r="2" spans="1:26">
      <c r="A2" s="203"/>
      <c r="I2" s="257"/>
      <c r="J2" s="230"/>
      <c r="K2" s="230"/>
      <c r="L2" s="230"/>
      <c r="M2" s="230"/>
      <c r="N2" s="230"/>
      <c r="O2" s="230"/>
      <c r="P2" s="230"/>
      <c r="Q2" s="230"/>
      <c r="R2" s="230"/>
      <c r="S2" s="230"/>
      <c r="T2" s="230"/>
      <c r="U2" s="230"/>
      <c r="V2" s="230"/>
      <c r="W2" s="230"/>
      <c r="X2" s="230"/>
      <c r="Y2" s="230"/>
      <c r="Z2" s="230"/>
    </row>
    <row r="3" spans="1:26">
      <c r="A3" s="203"/>
      <c r="I3" s="257"/>
      <c r="J3" s="230"/>
      <c r="K3" s="230"/>
      <c r="L3" s="230"/>
      <c r="M3" s="230"/>
      <c r="N3" s="230"/>
      <c r="O3" s="230"/>
      <c r="P3" s="230"/>
      <c r="Q3" s="230"/>
      <c r="R3" s="230"/>
      <c r="S3" s="230"/>
      <c r="T3" s="230"/>
      <c r="U3" s="230"/>
      <c r="V3" s="230"/>
      <c r="W3" s="230"/>
      <c r="X3" s="230"/>
      <c r="Y3" s="230"/>
      <c r="Z3" s="230"/>
    </row>
    <row r="4" spans="1:26">
      <c r="A4" s="203"/>
      <c r="I4" s="257"/>
      <c r="J4" s="230"/>
      <c r="K4" s="230"/>
      <c r="L4" s="230"/>
      <c r="M4" s="230"/>
      <c r="N4" s="230"/>
      <c r="O4" s="230"/>
      <c r="P4" s="230"/>
      <c r="Q4" s="230"/>
      <c r="R4" s="230"/>
      <c r="S4" s="230"/>
      <c r="T4" s="230"/>
      <c r="U4" s="230"/>
      <c r="V4" s="230"/>
      <c r="W4" s="230"/>
      <c r="X4" s="230"/>
      <c r="Y4" s="230"/>
      <c r="Z4" s="230"/>
    </row>
    <row r="5" spans="1:26">
      <c r="A5" s="203"/>
      <c r="I5" s="257"/>
      <c r="J5" s="230"/>
      <c r="K5" s="230"/>
      <c r="L5" s="230"/>
      <c r="M5" s="230"/>
      <c r="N5" s="230"/>
      <c r="O5" s="230"/>
      <c r="P5" s="230"/>
      <c r="Q5" s="230"/>
      <c r="R5" s="230"/>
      <c r="S5" s="230"/>
      <c r="T5" s="230"/>
      <c r="U5" s="230"/>
      <c r="V5" s="230"/>
      <c r="W5" s="230"/>
      <c r="X5" s="230"/>
      <c r="Y5" s="230"/>
      <c r="Z5" s="230"/>
    </row>
    <row r="6" spans="1:26">
      <c r="A6" s="203"/>
      <c r="I6" s="257"/>
      <c r="J6" s="230"/>
      <c r="K6" s="230"/>
      <c r="L6" s="230"/>
      <c r="M6" s="230"/>
      <c r="N6" s="230"/>
      <c r="O6" s="230"/>
      <c r="P6" s="230"/>
      <c r="Q6" s="230"/>
      <c r="R6" s="230"/>
      <c r="S6" s="230"/>
      <c r="T6" s="230"/>
      <c r="U6" s="230"/>
      <c r="V6" s="230"/>
      <c r="W6" s="230"/>
      <c r="X6" s="230"/>
      <c r="Y6" s="230"/>
      <c r="Z6" s="230"/>
    </row>
    <row r="7" spans="1:26">
      <c r="A7" s="203"/>
      <c r="I7" s="257"/>
      <c r="J7" s="230"/>
      <c r="K7" s="230"/>
      <c r="L7" s="230"/>
      <c r="M7" s="230"/>
      <c r="N7" s="230"/>
      <c r="O7" s="230"/>
      <c r="P7" s="230"/>
      <c r="Q7" s="230"/>
      <c r="R7" s="230"/>
      <c r="S7" s="230"/>
      <c r="T7" s="230"/>
      <c r="U7" s="230"/>
      <c r="V7" s="230"/>
      <c r="W7" s="230"/>
      <c r="X7" s="230"/>
      <c r="Y7" s="230"/>
      <c r="Z7" s="230"/>
    </row>
    <row r="8" spans="1:26">
      <c r="A8" s="203"/>
      <c r="I8" s="257"/>
      <c r="J8" s="230"/>
      <c r="K8" s="230"/>
      <c r="L8" s="230"/>
      <c r="M8" s="230"/>
      <c r="N8" s="230"/>
      <c r="O8" s="230"/>
      <c r="P8" s="230"/>
      <c r="Q8" s="230"/>
      <c r="R8" s="230"/>
      <c r="S8" s="230"/>
      <c r="T8" s="230"/>
      <c r="U8" s="230"/>
      <c r="V8" s="230"/>
      <c r="W8" s="230"/>
      <c r="X8" s="230"/>
      <c r="Y8" s="230"/>
      <c r="Z8" s="230"/>
    </row>
    <row r="9" spans="1:26">
      <c r="A9" s="203"/>
      <c r="I9" s="257"/>
      <c r="J9" s="230"/>
      <c r="K9" s="230"/>
      <c r="L9" s="230"/>
      <c r="M9" s="230"/>
      <c r="N9" s="230"/>
      <c r="O9" s="230"/>
      <c r="P9" s="230"/>
      <c r="Q9" s="230"/>
      <c r="R9" s="230"/>
      <c r="S9" s="230"/>
      <c r="T9" s="230"/>
      <c r="U9" s="230"/>
      <c r="V9" s="230"/>
      <c r="W9" s="230"/>
      <c r="X9" s="230"/>
      <c r="Y9" s="230"/>
      <c r="Z9" s="230"/>
    </row>
    <row r="10" ht="15.75" spans="1:26">
      <c r="A10" s="204"/>
      <c r="B10" s="205"/>
      <c r="C10" s="205"/>
      <c r="D10" s="205"/>
      <c r="E10" s="205"/>
      <c r="F10" s="205"/>
      <c r="G10" s="205"/>
      <c r="H10" s="205"/>
      <c r="I10" s="258"/>
      <c r="J10" s="230"/>
      <c r="K10" s="230"/>
      <c r="L10" s="230"/>
      <c r="M10" s="230"/>
      <c r="N10" s="230"/>
      <c r="O10" s="230"/>
      <c r="P10" s="230"/>
      <c r="Q10" s="230"/>
      <c r="R10" s="230"/>
      <c r="S10" s="230"/>
      <c r="T10" s="230"/>
      <c r="U10" s="230"/>
      <c r="V10" s="230"/>
      <c r="W10" s="230"/>
      <c r="X10" s="230"/>
      <c r="Y10" s="230"/>
      <c r="Z10" s="230"/>
    </row>
    <row r="11" ht="15.75" spans="1:26">
      <c r="A11" s="206" t="s">
        <v>3708</v>
      </c>
      <c r="B11" s="207"/>
      <c r="C11" s="207"/>
      <c r="D11" s="207"/>
      <c r="E11" s="207"/>
      <c r="F11" s="207"/>
      <c r="G11" s="207"/>
      <c r="H11" s="207"/>
      <c r="I11" s="259"/>
      <c r="J11" s="230"/>
      <c r="K11" s="230"/>
      <c r="L11" s="230"/>
      <c r="M11" s="230"/>
      <c r="N11" s="230"/>
      <c r="O11" s="230"/>
      <c r="P11" s="230"/>
      <c r="Q11" s="230"/>
      <c r="R11" s="230"/>
      <c r="S11" s="230"/>
      <c r="T11" s="230"/>
      <c r="U11" s="230"/>
      <c r="V11" s="230"/>
      <c r="W11" s="230"/>
      <c r="X11" s="230"/>
      <c r="Y11" s="230"/>
      <c r="Z11" s="230"/>
    </row>
    <row r="12" spans="1:26">
      <c r="A12" s="208" t="str">
        <f>Planilha!A12</f>
        <v>UFF- CAMPUS NITERÓI</v>
      </c>
      <c r="B12" s="209"/>
      <c r="C12" s="209"/>
      <c r="D12" s="209"/>
      <c r="E12" s="208" t="str">
        <f>Planilha!E12</f>
        <v>AUTOR:</v>
      </c>
      <c r="F12" s="209"/>
      <c r="G12" s="210"/>
      <c r="H12" s="211" t="str">
        <f>Planilha!H12</f>
        <v>FUNÇÃO:</v>
      </c>
      <c r="I12" s="260"/>
      <c r="J12" s="230"/>
      <c r="K12" s="230"/>
      <c r="L12" s="230"/>
      <c r="M12" s="230"/>
      <c r="N12" s="230"/>
      <c r="O12" s="230"/>
      <c r="P12" s="230"/>
      <c r="Q12" s="230"/>
      <c r="R12" s="230"/>
      <c r="S12" s="230"/>
      <c r="T12" s="230"/>
      <c r="U12" s="230"/>
      <c r="V12" s="230"/>
      <c r="W12" s="230"/>
      <c r="X12" s="230"/>
      <c r="Y12" s="230"/>
      <c r="Z12" s="230"/>
    </row>
    <row r="13" ht="15.75" spans="1:26">
      <c r="A13" s="212" t="str">
        <f>Planilha!A13</f>
        <v>LOCAL: RUA VERA CRISPINO DE FREITAS, 190-2 - BOA VIAGEM, NITERÓI-RJ</v>
      </c>
      <c r="B13" s="213"/>
      <c r="C13" s="213"/>
      <c r="D13" s="213"/>
      <c r="E13" s="214" t="str">
        <f>Planilha!E13</f>
        <v>PROCESSO: </v>
      </c>
      <c r="F13" s="215"/>
      <c r="G13" s="216"/>
      <c r="H13" s="217" t="str">
        <f>Planilha!H13</f>
        <v>ART/RRT:</v>
      </c>
      <c r="I13" s="261"/>
      <c r="J13" s="230"/>
      <c r="K13" s="230"/>
      <c r="L13" s="230"/>
      <c r="M13" s="230"/>
      <c r="N13" s="230"/>
      <c r="O13" s="230"/>
      <c r="P13" s="230"/>
      <c r="Q13" s="230"/>
      <c r="R13" s="230"/>
      <c r="S13" s="230"/>
      <c r="T13" s="230"/>
      <c r="U13" s="230"/>
      <c r="V13" s="230"/>
      <c r="W13" s="230"/>
      <c r="X13" s="230"/>
      <c r="Y13" s="230"/>
      <c r="Z13" s="230"/>
    </row>
    <row r="14" ht="15.75" spans="1:26">
      <c r="A14" s="212" t="str">
        <f>Planilha!A14</f>
        <v>NOME DA OBRA: AGÊNCIA DE INOVAÇÃO DA UFF</v>
      </c>
      <c r="B14" s="213"/>
      <c r="C14" s="213"/>
      <c r="D14" s="213"/>
      <c r="E14" s="218" t="str">
        <f>Planilha!E14</f>
        <v>BDI</v>
      </c>
      <c r="F14" s="218" t="str">
        <f>Planilha!F14</f>
        <v>BDI EQUIP.</v>
      </c>
      <c r="G14" s="219" t="str">
        <f>Planilha!G14</f>
        <v>SIAPE</v>
      </c>
      <c r="H14" s="219" t="str">
        <f>Planilha!H14</f>
        <v>DATA</v>
      </c>
      <c r="I14" s="218" t="str">
        <f>Planilha!I14</f>
        <v>REVISÃO</v>
      </c>
      <c r="J14" s="230"/>
      <c r="K14" s="230"/>
      <c r="L14" s="230"/>
      <c r="M14" s="230"/>
      <c r="N14" s="230"/>
      <c r="O14" s="230"/>
      <c r="P14" s="230"/>
      <c r="Q14" s="230"/>
      <c r="R14" s="230"/>
      <c r="S14" s="230"/>
      <c r="T14" s="230"/>
      <c r="U14" s="230"/>
      <c r="V14" s="230"/>
      <c r="W14" s="230"/>
      <c r="X14" s="230"/>
      <c r="Y14" s="230"/>
      <c r="Z14" s="230"/>
    </row>
    <row r="15" spans="1:26">
      <c r="A15" s="220" t="str">
        <f>Planilha!A15</f>
        <v>BASE DE DADOS: SINAPI/2025.7 - EMOP/2025.7 - SCO/2025.7 - SBC/2025.7</v>
      </c>
      <c r="B15" s="215"/>
      <c r="C15" s="215"/>
      <c r="D15" s="215"/>
      <c r="E15" s="221">
        <f>Planilha!E15</f>
        <v>0.24657</v>
      </c>
      <c r="F15" s="222">
        <f>Planilha!F15</f>
        <v>0</v>
      </c>
      <c r="G15" s="223" t="str">
        <f>Planilha!G15</f>
        <v>0000000</v>
      </c>
      <c r="H15" s="224">
        <f>Planilha!H15</f>
        <v>45957</v>
      </c>
      <c r="I15" s="262" t="str">
        <f>Planilha!I15</f>
        <v>R03</v>
      </c>
      <c r="J15" s="230"/>
      <c r="K15" s="230"/>
      <c r="L15" s="230"/>
      <c r="M15" s="230"/>
      <c r="N15" s="230"/>
      <c r="O15" s="230"/>
      <c r="P15" s="230"/>
      <c r="Q15" s="230"/>
      <c r="R15" s="230"/>
      <c r="S15" s="230"/>
      <c r="T15" s="230"/>
      <c r="U15" s="230"/>
      <c r="V15" s="230"/>
      <c r="W15" s="230"/>
      <c r="X15" s="230"/>
      <c r="Y15" s="230"/>
      <c r="Z15" s="230"/>
    </row>
    <row r="16" spans="1:26">
      <c r="A16" s="225"/>
      <c r="B16" s="226"/>
      <c r="C16" s="227"/>
      <c r="D16" s="227"/>
      <c r="E16" s="227"/>
      <c r="F16" s="227"/>
      <c r="G16" s="226"/>
      <c r="H16" s="226"/>
      <c r="I16" s="263"/>
      <c r="J16" s="230"/>
      <c r="K16" s="230"/>
      <c r="L16" s="230"/>
      <c r="M16" s="230"/>
      <c r="N16" s="230"/>
      <c r="O16" s="230"/>
      <c r="P16" s="230"/>
      <c r="Q16" s="230"/>
      <c r="R16" s="230"/>
      <c r="S16" s="230"/>
      <c r="T16" s="230"/>
      <c r="U16" s="230"/>
      <c r="V16" s="230"/>
      <c r="W16" s="230"/>
      <c r="X16" s="230"/>
      <c r="Y16" s="230"/>
      <c r="Z16" s="230"/>
    </row>
    <row r="17" spans="1:26">
      <c r="A17" s="228"/>
      <c r="B17" s="229"/>
      <c r="C17" s="229"/>
      <c r="D17" s="229"/>
      <c r="E17" s="230"/>
      <c r="F17" s="229"/>
      <c r="G17" s="229"/>
      <c r="H17" s="229"/>
      <c r="I17" s="264"/>
      <c r="J17" s="230"/>
      <c r="K17" s="230"/>
      <c r="L17" s="230"/>
      <c r="M17" s="230"/>
      <c r="N17" s="230"/>
      <c r="O17" s="230"/>
      <c r="P17" s="230"/>
      <c r="Q17" s="230"/>
      <c r="R17" s="230"/>
      <c r="S17" s="230"/>
      <c r="T17" s="230"/>
      <c r="U17" s="230"/>
      <c r="V17" s="230"/>
      <c r="W17" s="230"/>
      <c r="X17" s="230"/>
      <c r="Y17" s="230"/>
      <c r="Z17" s="230"/>
    </row>
    <row r="18" spans="1:26">
      <c r="A18" s="231"/>
      <c r="B18" s="232"/>
      <c r="C18" s="232"/>
      <c r="D18" s="232"/>
      <c r="E18" s="230"/>
      <c r="F18" s="232"/>
      <c r="G18" s="232"/>
      <c r="H18" s="232"/>
      <c r="I18" s="265"/>
      <c r="J18" s="230"/>
      <c r="K18" s="230"/>
      <c r="L18" s="230"/>
      <c r="M18" s="230"/>
      <c r="N18" s="230"/>
      <c r="O18" s="230"/>
      <c r="P18" s="230"/>
      <c r="Q18" s="230"/>
      <c r="R18" s="230"/>
      <c r="S18" s="230"/>
      <c r="T18" s="230"/>
      <c r="U18" s="230"/>
      <c r="V18" s="230"/>
      <c r="W18" s="230"/>
      <c r="X18" s="230"/>
      <c r="Y18" s="230"/>
      <c r="Z18" s="230"/>
    </row>
    <row r="19" spans="1:26">
      <c r="A19" s="231"/>
      <c r="B19" s="232"/>
      <c r="C19" s="232"/>
      <c r="D19" s="232"/>
      <c r="E19" s="230"/>
      <c r="F19" s="232"/>
      <c r="G19" s="232"/>
      <c r="H19" s="232"/>
      <c r="I19" s="265"/>
      <c r="J19" s="230"/>
      <c r="K19" s="230"/>
      <c r="L19" s="230"/>
      <c r="M19" s="230"/>
      <c r="N19" s="230"/>
      <c r="O19" s="230"/>
      <c r="P19" s="230"/>
      <c r="Q19" s="230"/>
      <c r="R19" s="230"/>
      <c r="S19" s="230"/>
      <c r="T19" s="230"/>
      <c r="U19" s="230"/>
      <c r="V19" s="230"/>
      <c r="W19" s="230"/>
      <c r="X19" s="230"/>
      <c r="Y19" s="230"/>
      <c r="Z19" s="230"/>
    </row>
    <row r="20" spans="1:26">
      <c r="A20" s="233"/>
      <c r="B20" s="234"/>
      <c r="C20" s="235"/>
      <c r="D20" s="235"/>
      <c r="E20" s="230"/>
      <c r="F20" s="235"/>
      <c r="G20" s="234"/>
      <c r="H20" s="234"/>
      <c r="I20" s="266"/>
      <c r="J20" s="230"/>
      <c r="K20" s="230"/>
      <c r="L20" s="230"/>
      <c r="M20" s="230"/>
      <c r="N20" s="230"/>
      <c r="O20" s="230"/>
      <c r="P20" s="230"/>
      <c r="Q20" s="230"/>
      <c r="R20" s="230"/>
      <c r="S20" s="230"/>
      <c r="T20" s="230"/>
      <c r="U20" s="230"/>
      <c r="V20" s="230"/>
      <c r="W20" s="230"/>
      <c r="X20" s="230"/>
      <c r="Y20" s="230"/>
      <c r="Z20" s="230"/>
    </row>
    <row r="21" ht="15.75" customHeight="1" spans="1:26">
      <c r="A21" s="236"/>
      <c r="B21" s="237"/>
      <c r="C21" s="237"/>
      <c r="D21" s="237"/>
      <c r="E21" s="230"/>
      <c r="F21" s="237"/>
      <c r="G21" s="237"/>
      <c r="H21" s="237"/>
      <c r="I21" s="267"/>
      <c r="J21" s="230"/>
      <c r="K21" s="230"/>
      <c r="L21" s="230"/>
      <c r="M21" s="230"/>
      <c r="N21" s="230"/>
      <c r="O21" s="230"/>
      <c r="P21" s="230"/>
      <c r="Q21" s="230"/>
      <c r="R21" s="230"/>
      <c r="S21" s="230"/>
      <c r="T21" s="230"/>
      <c r="U21" s="230"/>
      <c r="V21" s="230"/>
      <c r="W21" s="230"/>
      <c r="X21" s="230"/>
      <c r="Y21" s="230"/>
      <c r="Z21" s="230"/>
    </row>
    <row r="22" ht="15.75" customHeight="1" spans="1:26">
      <c r="A22" s="238"/>
      <c r="B22" s="239"/>
      <c r="C22" s="239"/>
      <c r="D22" s="239"/>
      <c r="E22" s="230"/>
      <c r="F22" s="239"/>
      <c r="G22" s="239"/>
      <c r="H22" s="239"/>
      <c r="I22" s="268"/>
      <c r="J22" s="230"/>
      <c r="K22" s="230"/>
      <c r="L22" s="230"/>
      <c r="M22" s="230"/>
      <c r="N22" s="230"/>
      <c r="O22" s="230"/>
      <c r="P22" s="230"/>
      <c r="Q22" s="230"/>
      <c r="R22" s="230"/>
      <c r="S22" s="230"/>
      <c r="T22" s="230"/>
      <c r="U22" s="230"/>
      <c r="V22" s="230"/>
      <c r="W22" s="230"/>
      <c r="X22" s="230"/>
      <c r="Y22" s="230"/>
      <c r="Z22" s="230"/>
    </row>
    <row r="23" ht="15.75" customHeight="1" spans="1:26">
      <c r="A23" s="236"/>
      <c r="B23" s="237"/>
      <c r="C23" s="237"/>
      <c r="D23" s="237"/>
      <c r="E23" s="230"/>
      <c r="F23" s="237"/>
      <c r="G23" s="237"/>
      <c r="H23" s="237"/>
      <c r="I23" s="267"/>
      <c r="J23" s="230"/>
      <c r="K23" s="230"/>
      <c r="L23" s="230"/>
      <c r="M23" s="230"/>
      <c r="N23" s="230"/>
      <c r="O23" s="230"/>
      <c r="P23" s="230"/>
      <c r="Q23" s="230"/>
      <c r="R23" s="230"/>
      <c r="S23" s="230"/>
      <c r="T23" s="230"/>
      <c r="U23" s="230"/>
      <c r="V23" s="230"/>
      <c r="W23" s="230"/>
      <c r="X23" s="230"/>
      <c r="Y23" s="230"/>
      <c r="Z23" s="230"/>
    </row>
    <row r="24" ht="15.75" customHeight="1" spans="1:26">
      <c r="A24" s="240"/>
      <c r="B24" s="241"/>
      <c r="C24" s="241"/>
      <c r="D24" s="241"/>
      <c r="E24" s="230"/>
      <c r="F24" s="241"/>
      <c r="G24" s="241"/>
      <c r="H24" s="241"/>
      <c r="I24" s="269"/>
      <c r="J24" s="230"/>
      <c r="K24" s="230"/>
      <c r="L24" s="230"/>
      <c r="M24" s="230"/>
      <c r="N24" s="230"/>
      <c r="O24" s="230"/>
      <c r="P24" s="230"/>
      <c r="Q24" s="230"/>
      <c r="R24" s="230"/>
      <c r="S24" s="230"/>
      <c r="T24" s="230"/>
      <c r="U24" s="230"/>
      <c r="V24" s="230"/>
      <c r="W24" s="230"/>
      <c r="X24" s="230"/>
      <c r="Y24" s="230"/>
      <c r="Z24" s="230"/>
    </row>
    <row r="25" ht="15.75" customHeight="1" spans="1:26">
      <c r="A25" s="242"/>
      <c r="B25" s="243"/>
      <c r="C25" s="243"/>
      <c r="D25" s="243"/>
      <c r="E25" s="230"/>
      <c r="F25" s="243"/>
      <c r="G25" s="243"/>
      <c r="H25" s="243"/>
      <c r="I25" s="270"/>
      <c r="J25" s="230"/>
      <c r="K25" s="230"/>
      <c r="L25" s="230"/>
      <c r="M25" s="230"/>
      <c r="N25" s="230"/>
      <c r="O25" s="230"/>
      <c r="P25" s="230"/>
      <c r="Q25" s="230"/>
      <c r="R25" s="230"/>
      <c r="S25" s="230"/>
      <c r="T25" s="230"/>
      <c r="U25" s="230"/>
      <c r="V25" s="230"/>
      <c r="W25" s="230"/>
      <c r="X25" s="230"/>
      <c r="Y25" s="230"/>
      <c r="Z25" s="230"/>
    </row>
    <row r="26" ht="15.75" customHeight="1" spans="1:26">
      <c r="A26" s="244"/>
      <c r="B26" s="245"/>
      <c r="C26" s="245"/>
      <c r="D26" s="245"/>
      <c r="E26" s="235"/>
      <c r="F26" s="245"/>
      <c r="G26" s="245"/>
      <c r="H26" s="245"/>
      <c r="I26" s="271"/>
      <c r="J26" s="230"/>
      <c r="K26" s="230"/>
      <c r="L26" s="230"/>
      <c r="M26" s="230"/>
      <c r="N26" s="230"/>
      <c r="O26" s="230"/>
      <c r="P26" s="230"/>
      <c r="Q26" s="230"/>
      <c r="R26" s="230"/>
      <c r="S26" s="230"/>
      <c r="T26" s="230"/>
      <c r="U26" s="230"/>
      <c r="V26" s="230"/>
      <c r="W26" s="230"/>
      <c r="X26" s="230"/>
      <c r="Y26" s="230"/>
      <c r="Z26" s="230"/>
    </row>
    <row r="27" ht="15.75" customHeight="1" spans="1:26">
      <c r="A27" s="244"/>
      <c r="B27" s="245"/>
      <c r="C27" s="245"/>
      <c r="D27" s="245"/>
      <c r="E27" s="235"/>
      <c r="F27" s="245"/>
      <c r="G27" s="245"/>
      <c r="H27" s="245"/>
      <c r="I27" s="271"/>
      <c r="J27" s="230"/>
      <c r="K27" s="230"/>
      <c r="L27" s="230"/>
      <c r="M27" s="230"/>
      <c r="N27" s="230"/>
      <c r="O27" s="230"/>
      <c r="P27" s="230"/>
      <c r="Q27" s="230"/>
      <c r="R27" s="230"/>
      <c r="S27" s="230"/>
      <c r="T27" s="230"/>
      <c r="U27" s="230"/>
      <c r="V27" s="230"/>
      <c r="W27" s="230"/>
      <c r="X27" s="230"/>
      <c r="Y27" s="230"/>
      <c r="Z27" s="230"/>
    </row>
    <row r="28" ht="15.75" customHeight="1" spans="1:26">
      <c r="A28" s="246"/>
      <c r="B28" s="234"/>
      <c r="C28" s="247"/>
      <c r="D28" s="247"/>
      <c r="E28" s="235"/>
      <c r="F28" s="248"/>
      <c r="G28" s="234"/>
      <c r="H28" s="247"/>
      <c r="I28" s="272"/>
      <c r="J28" s="230"/>
      <c r="K28" s="230"/>
      <c r="L28" s="230"/>
      <c r="M28" s="230"/>
      <c r="N28" s="230"/>
      <c r="O28" s="230"/>
      <c r="P28" s="230"/>
      <c r="Q28" s="230"/>
      <c r="R28" s="230"/>
      <c r="S28" s="230"/>
      <c r="T28" s="230"/>
      <c r="U28" s="230"/>
      <c r="V28" s="230"/>
      <c r="W28" s="230"/>
      <c r="X28" s="230"/>
      <c r="Y28" s="230"/>
      <c r="Z28" s="230"/>
    </row>
    <row r="29" ht="15.75" customHeight="1" spans="1:26">
      <c r="A29" s="246"/>
      <c r="B29" s="234"/>
      <c r="C29" s="247"/>
      <c r="D29" s="247"/>
      <c r="E29" s="235"/>
      <c r="F29" s="248"/>
      <c r="G29" s="234"/>
      <c r="H29" s="247"/>
      <c r="I29" s="272"/>
      <c r="J29" s="230"/>
      <c r="K29" s="230"/>
      <c r="L29" s="230"/>
      <c r="M29" s="230"/>
      <c r="N29" s="230"/>
      <c r="O29" s="230"/>
      <c r="P29" s="230"/>
      <c r="Q29" s="230"/>
      <c r="R29" s="230"/>
      <c r="S29" s="230"/>
      <c r="T29" s="230"/>
      <c r="U29" s="230"/>
      <c r="V29" s="230"/>
      <c r="W29" s="230"/>
      <c r="X29" s="230"/>
      <c r="Y29" s="230"/>
      <c r="Z29" s="230"/>
    </row>
    <row r="30" ht="15.75" customHeight="1" spans="1:26">
      <c r="A30" s="246"/>
      <c r="B30" s="234"/>
      <c r="C30" s="247"/>
      <c r="D30" s="247"/>
      <c r="E30" s="235"/>
      <c r="F30" s="248"/>
      <c r="G30" s="234"/>
      <c r="H30" s="247"/>
      <c r="I30" s="272"/>
      <c r="J30" s="230"/>
      <c r="K30" s="230"/>
      <c r="L30" s="230"/>
      <c r="M30" s="230"/>
      <c r="N30" s="230"/>
      <c r="O30" s="230"/>
      <c r="P30" s="230"/>
      <c r="Q30" s="230"/>
      <c r="R30" s="230"/>
      <c r="S30" s="230"/>
      <c r="T30" s="230"/>
      <c r="U30" s="230"/>
      <c r="V30" s="230"/>
      <c r="W30" s="230"/>
      <c r="X30" s="230"/>
      <c r="Y30" s="230"/>
      <c r="Z30" s="230"/>
    </row>
    <row r="31" ht="15.75" customHeight="1" spans="1:26">
      <c r="A31" s="246"/>
      <c r="B31" s="234"/>
      <c r="C31" s="247"/>
      <c r="D31" s="247"/>
      <c r="E31" s="235"/>
      <c r="F31" s="248"/>
      <c r="G31" s="234"/>
      <c r="H31" s="247"/>
      <c r="I31" s="272"/>
      <c r="J31" s="230"/>
      <c r="K31" s="230"/>
      <c r="L31" s="230"/>
      <c r="M31" s="230"/>
      <c r="N31" s="230"/>
      <c r="O31" s="230"/>
      <c r="P31" s="230"/>
      <c r="Q31" s="230"/>
      <c r="R31" s="230"/>
      <c r="S31" s="230"/>
      <c r="T31" s="230"/>
      <c r="U31" s="230"/>
      <c r="V31" s="230"/>
      <c r="W31" s="230"/>
      <c r="X31" s="230"/>
      <c r="Y31" s="230"/>
      <c r="Z31" s="230"/>
    </row>
    <row r="32" ht="15.75" customHeight="1" spans="1:26">
      <c r="A32" s="246"/>
      <c r="B32" s="234"/>
      <c r="C32" s="247"/>
      <c r="D32" s="247"/>
      <c r="E32" s="235"/>
      <c r="F32" s="248"/>
      <c r="G32" s="234"/>
      <c r="H32" s="247"/>
      <c r="I32" s="272"/>
      <c r="J32" s="230"/>
      <c r="K32" s="230"/>
      <c r="L32" s="230"/>
      <c r="M32" s="230"/>
      <c r="N32" s="230"/>
      <c r="O32" s="230"/>
      <c r="P32" s="230"/>
      <c r="Q32" s="230"/>
      <c r="R32" s="230"/>
      <c r="S32" s="230"/>
      <c r="T32" s="230"/>
      <c r="U32" s="230"/>
      <c r="V32" s="230"/>
      <c r="W32" s="230"/>
      <c r="X32" s="230"/>
      <c r="Y32" s="230"/>
      <c r="Z32" s="230"/>
    </row>
    <row r="33" ht="15.75" customHeight="1" spans="1:26">
      <c r="A33" s="246"/>
      <c r="B33" s="249"/>
      <c r="C33" s="247"/>
      <c r="D33" s="247"/>
      <c r="E33" s="235"/>
      <c r="F33" s="248"/>
      <c r="G33" s="249"/>
      <c r="H33" s="247"/>
      <c r="I33" s="272"/>
      <c r="J33" s="230"/>
      <c r="K33" s="230"/>
      <c r="L33" s="230"/>
      <c r="M33" s="230"/>
      <c r="N33" s="230"/>
      <c r="O33" s="230"/>
      <c r="P33" s="230"/>
      <c r="Q33" s="230"/>
      <c r="R33" s="230"/>
      <c r="S33" s="230"/>
      <c r="T33" s="230"/>
      <c r="U33" s="230"/>
      <c r="V33" s="230"/>
      <c r="W33" s="230"/>
      <c r="X33" s="230"/>
      <c r="Y33" s="230"/>
      <c r="Z33" s="230"/>
    </row>
    <row r="34" ht="15.75" customHeight="1" spans="1:26">
      <c r="A34" s="246"/>
      <c r="B34" s="234"/>
      <c r="C34" s="247"/>
      <c r="D34" s="247"/>
      <c r="E34" s="235"/>
      <c r="F34" s="248"/>
      <c r="G34" s="234"/>
      <c r="H34" s="247"/>
      <c r="I34" s="272"/>
      <c r="J34" s="230"/>
      <c r="K34" s="230"/>
      <c r="L34" s="230"/>
      <c r="M34" s="230"/>
      <c r="N34" s="230"/>
      <c r="O34" s="230"/>
      <c r="P34" s="230"/>
      <c r="Q34" s="230"/>
      <c r="R34" s="230"/>
      <c r="S34" s="230"/>
      <c r="T34" s="230"/>
      <c r="U34" s="230"/>
      <c r="V34" s="230"/>
      <c r="W34" s="230"/>
      <c r="X34" s="230"/>
      <c r="Y34" s="230"/>
      <c r="Z34" s="230"/>
    </row>
    <row r="35" ht="15.75" customHeight="1" spans="1:26">
      <c r="A35" s="246"/>
      <c r="B35" s="234"/>
      <c r="C35" s="247"/>
      <c r="D35" s="247"/>
      <c r="E35" s="235"/>
      <c r="F35" s="248"/>
      <c r="G35" s="234"/>
      <c r="H35" s="247"/>
      <c r="I35" s="272"/>
      <c r="J35" s="230"/>
      <c r="K35" s="230"/>
      <c r="L35" s="230"/>
      <c r="M35" s="230"/>
      <c r="N35" s="230"/>
      <c r="O35" s="230"/>
      <c r="P35" s="230"/>
      <c r="Q35" s="230"/>
      <c r="R35" s="230"/>
      <c r="S35" s="230"/>
      <c r="T35" s="230"/>
      <c r="U35" s="230"/>
      <c r="V35" s="230"/>
      <c r="W35" s="230"/>
      <c r="X35" s="230"/>
      <c r="Y35" s="230"/>
      <c r="Z35" s="230"/>
    </row>
    <row r="36" ht="15.75" customHeight="1" spans="1:26">
      <c r="A36" s="246"/>
      <c r="B36" s="234"/>
      <c r="C36" s="247"/>
      <c r="D36" s="247"/>
      <c r="E36" s="235"/>
      <c r="F36" s="248"/>
      <c r="G36" s="234"/>
      <c r="H36" s="247"/>
      <c r="I36" s="272"/>
      <c r="J36" s="230"/>
      <c r="K36" s="230"/>
      <c r="L36" s="230"/>
      <c r="M36" s="230"/>
      <c r="N36" s="230"/>
      <c r="O36" s="230"/>
      <c r="P36" s="230"/>
      <c r="Q36" s="230"/>
      <c r="R36" s="230"/>
      <c r="S36" s="230"/>
      <c r="T36" s="230"/>
      <c r="U36" s="230"/>
      <c r="V36" s="230"/>
      <c r="W36" s="230"/>
      <c r="X36" s="230"/>
      <c r="Y36" s="230"/>
      <c r="Z36" s="230"/>
    </row>
    <row r="37" ht="15.75" customHeight="1" spans="1:26">
      <c r="A37" s="250"/>
      <c r="B37" s="251"/>
      <c r="C37" s="252"/>
      <c r="D37" s="252"/>
      <c r="E37" s="235"/>
      <c r="F37" s="253"/>
      <c r="G37" s="251"/>
      <c r="H37" s="252"/>
      <c r="I37" s="273"/>
      <c r="J37" s="230"/>
      <c r="K37" s="230"/>
      <c r="L37" s="230"/>
      <c r="M37" s="230"/>
      <c r="N37" s="230"/>
      <c r="O37" s="230"/>
      <c r="P37" s="230"/>
      <c r="Q37" s="230"/>
      <c r="R37" s="230"/>
      <c r="S37" s="230"/>
      <c r="T37" s="230"/>
      <c r="U37" s="230"/>
      <c r="V37" s="230"/>
      <c r="W37" s="230"/>
      <c r="X37" s="230"/>
      <c r="Y37" s="230"/>
      <c r="Z37" s="230"/>
    </row>
    <row r="38" ht="15.75" customHeight="1" spans="1:26">
      <c r="A38" s="250"/>
      <c r="B38" s="234"/>
      <c r="C38" s="254"/>
      <c r="D38" s="254"/>
      <c r="E38" s="235"/>
      <c r="F38" s="253"/>
      <c r="G38" s="234"/>
      <c r="H38" s="255"/>
      <c r="I38" s="274"/>
      <c r="J38" s="230"/>
      <c r="K38" s="230"/>
      <c r="L38" s="230"/>
      <c r="M38" s="230"/>
      <c r="N38" s="230"/>
      <c r="O38" s="230"/>
      <c r="P38" s="230"/>
      <c r="Q38" s="230"/>
      <c r="R38" s="230"/>
      <c r="S38" s="230"/>
      <c r="T38" s="230"/>
      <c r="U38" s="230"/>
      <c r="V38" s="230"/>
      <c r="W38" s="230"/>
      <c r="X38" s="230"/>
      <c r="Y38" s="230"/>
      <c r="Z38" s="230"/>
    </row>
    <row r="39" ht="15.75" customHeight="1" spans="1:26">
      <c r="A39" s="244"/>
      <c r="B39" s="245"/>
      <c r="C39" s="254"/>
      <c r="D39" s="254"/>
      <c r="E39" s="235"/>
      <c r="F39" s="245"/>
      <c r="G39" s="245"/>
      <c r="H39" s="255"/>
      <c r="I39" s="274"/>
      <c r="J39" s="230"/>
      <c r="K39" s="230"/>
      <c r="L39" s="230"/>
      <c r="M39" s="230"/>
      <c r="N39" s="230"/>
      <c r="O39" s="230"/>
      <c r="P39" s="230"/>
      <c r="Q39" s="230"/>
      <c r="R39" s="230"/>
      <c r="S39" s="230"/>
      <c r="T39" s="230"/>
      <c r="U39" s="230"/>
      <c r="V39" s="230"/>
      <c r="W39" s="230"/>
      <c r="X39" s="230"/>
      <c r="Y39" s="230"/>
      <c r="Z39" s="230"/>
    </row>
    <row r="40" ht="15.75" customHeight="1" spans="1:26">
      <c r="A40" s="246"/>
      <c r="B40" s="234"/>
      <c r="C40" s="247"/>
      <c r="D40" s="247"/>
      <c r="E40" s="235"/>
      <c r="F40" s="248"/>
      <c r="G40" s="234"/>
      <c r="H40" s="247"/>
      <c r="I40" s="272"/>
      <c r="J40" s="230"/>
      <c r="K40" s="230"/>
      <c r="L40" s="230"/>
      <c r="M40" s="230"/>
      <c r="N40" s="230"/>
      <c r="O40" s="230"/>
      <c r="P40" s="230"/>
      <c r="Q40" s="230"/>
      <c r="R40" s="230"/>
      <c r="S40" s="230"/>
      <c r="T40" s="230"/>
      <c r="U40" s="230"/>
      <c r="V40" s="230"/>
      <c r="W40" s="230"/>
      <c r="X40" s="230"/>
      <c r="Y40" s="230"/>
      <c r="Z40" s="230"/>
    </row>
    <row r="41" ht="15.75" customHeight="1" spans="1:26">
      <c r="A41" s="246"/>
      <c r="B41" s="234"/>
      <c r="C41" s="247"/>
      <c r="D41" s="247"/>
      <c r="E41" s="235"/>
      <c r="F41" s="248"/>
      <c r="G41" s="234"/>
      <c r="H41" s="247"/>
      <c r="I41" s="272"/>
      <c r="J41" s="230"/>
      <c r="K41" s="230"/>
      <c r="L41" s="230"/>
      <c r="M41" s="230"/>
      <c r="N41" s="230"/>
      <c r="O41" s="230"/>
      <c r="P41" s="230"/>
      <c r="Q41" s="230"/>
      <c r="R41" s="230"/>
      <c r="S41" s="230"/>
      <c r="T41" s="230"/>
      <c r="U41" s="230"/>
      <c r="V41" s="230"/>
      <c r="W41" s="230"/>
      <c r="X41" s="230"/>
      <c r="Y41" s="230"/>
      <c r="Z41" s="230"/>
    </row>
    <row r="42" ht="15.75" customHeight="1" spans="1:26">
      <c r="A42" s="246"/>
      <c r="B42" s="234"/>
      <c r="C42" s="247"/>
      <c r="D42" s="247"/>
      <c r="E42" s="235"/>
      <c r="F42" s="248"/>
      <c r="G42" s="234"/>
      <c r="H42" s="247"/>
      <c r="I42" s="272"/>
      <c r="J42" s="230"/>
      <c r="K42" s="230"/>
      <c r="L42" s="230"/>
      <c r="M42" s="230"/>
      <c r="N42" s="230"/>
      <c r="O42" s="230"/>
      <c r="P42" s="230"/>
      <c r="Q42" s="230"/>
      <c r="R42" s="230"/>
      <c r="S42" s="230"/>
      <c r="T42" s="230"/>
      <c r="U42" s="230"/>
      <c r="V42" s="230"/>
      <c r="W42" s="230"/>
      <c r="X42" s="230"/>
      <c r="Y42" s="230"/>
      <c r="Z42" s="230"/>
    </row>
    <row r="43" ht="15.75" customHeight="1" spans="1:26">
      <c r="A43" s="246"/>
      <c r="B43" s="234"/>
      <c r="C43" s="247"/>
      <c r="D43" s="247"/>
      <c r="E43" s="235"/>
      <c r="F43" s="248"/>
      <c r="G43" s="234"/>
      <c r="H43" s="247"/>
      <c r="I43" s="272"/>
      <c r="J43" s="230"/>
      <c r="K43" s="230"/>
      <c r="L43" s="230"/>
      <c r="M43" s="230"/>
      <c r="N43" s="230"/>
      <c r="O43" s="230"/>
      <c r="P43" s="230"/>
      <c r="Q43" s="230"/>
      <c r="R43" s="230"/>
      <c r="S43" s="230"/>
      <c r="T43" s="230"/>
      <c r="U43" s="230"/>
      <c r="V43" s="230"/>
      <c r="W43" s="230"/>
      <c r="X43" s="230"/>
      <c r="Y43" s="230"/>
      <c r="Z43" s="230"/>
    </row>
    <row r="44" ht="15.75" customHeight="1" spans="1:26">
      <c r="A44" s="246"/>
      <c r="B44" s="234"/>
      <c r="C44" s="247"/>
      <c r="D44" s="247"/>
      <c r="E44" s="235"/>
      <c r="F44" s="248"/>
      <c r="G44" s="234"/>
      <c r="H44" s="247"/>
      <c r="I44" s="272"/>
      <c r="J44" s="230"/>
      <c r="K44" s="230"/>
      <c r="L44" s="230"/>
      <c r="M44" s="230"/>
      <c r="N44" s="230"/>
      <c r="O44" s="230"/>
      <c r="P44" s="230"/>
      <c r="Q44" s="230"/>
      <c r="R44" s="230"/>
      <c r="S44" s="230"/>
      <c r="T44" s="230"/>
      <c r="U44" s="230"/>
      <c r="V44" s="230"/>
      <c r="W44" s="230"/>
      <c r="X44" s="230"/>
      <c r="Y44" s="230"/>
      <c r="Z44" s="230"/>
    </row>
    <row r="45" ht="15.75" customHeight="1" spans="1:26">
      <c r="A45" s="246"/>
      <c r="B45" s="234"/>
      <c r="C45" s="247"/>
      <c r="D45" s="247"/>
      <c r="E45" s="235"/>
      <c r="F45" s="248"/>
      <c r="G45" s="234"/>
      <c r="H45" s="247"/>
      <c r="I45" s="272"/>
      <c r="J45" s="230"/>
      <c r="K45" s="230"/>
      <c r="L45" s="230"/>
      <c r="M45" s="230"/>
      <c r="N45" s="230"/>
      <c r="O45" s="230"/>
      <c r="P45" s="230"/>
      <c r="Q45" s="230"/>
      <c r="R45" s="230"/>
      <c r="S45" s="230"/>
      <c r="T45" s="230"/>
      <c r="U45" s="230"/>
      <c r="V45" s="230"/>
      <c r="W45" s="230"/>
      <c r="X45" s="230"/>
      <c r="Y45" s="230"/>
      <c r="Z45" s="230"/>
    </row>
    <row r="46" ht="15.75" customHeight="1" spans="1:26">
      <c r="A46" s="246"/>
      <c r="B46" s="234"/>
      <c r="C46" s="247"/>
      <c r="D46" s="247"/>
      <c r="E46" s="235"/>
      <c r="F46" s="248"/>
      <c r="G46" s="234"/>
      <c r="H46" s="247"/>
      <c r="I46" s="272"/>
      <c r="J46" s="230"/>
      <c r="K46" s="230"/>
      <c r="L46" s="230"/>
      <c r="M46" s="230"/>
      <c r="N46" s="230"/>
      <c r="O46" s="230"/>
      <c r="P46" s="230"/>
      <c r="Q46" s="230"/>
      <c r="R46" s="230"/>
      <c r="S46" s="230"/>
      <c r="T46" s="230"/>
      <c r="U46" s="230"/>
      <c r="V46" s="230"/>
      <c r="W46" s="230"/>
      <c r="X46" s="230"/>
      <c r="Y46" s="230"/>
      <c r="Z46" s="230"/>
    </row>
    <row r="47" ht="15.75" customHeight="1" spans="1:26">
      <c r="A47" s="246"/>
      <c r="B47" s="234"/>
      <c r="C47" s="247"/>
      <c r="D47" s="247"/>
      <c r="E47" s="235"/>
      <c r="F47" s="248"/>
      <c r="G47" s="234"/>
      <c r="H47" s="247"/>
      <c r="I47" s="272"/>
      <c r="J47" s="230"/>
      <c r="K47" s="230"/>
      <c r="L47" s="230"/>
      <c r="M47" s="230"/>
      <c r="N47" s="230"/>
      <c r="O47" s="230"/>
      <c r="P47" s="230"/>
      <c r="Q47" s="230"/>
      <c r="R47" s="230"/>
      <c r="S47" s="230"/>
      <c r="T47" s="230"/>
      <c r="U47" s="230"/>
      <c r="V47" s="230"/>
      <c r="W47" s="230"/>
      <c r="X47" s="230"/>
      <c r="Y47" s="230"/>
      <c r="Z47" s="230"/>
    </row>
    <row r="48" ht="15.75" customHeight="1" spans="1:26">
      <c r="A48" s="246"/>
      <c r="B48" s="234"/>
      <c r="C48" s="247"/>
      <c r="D48" s="247"/>
      <c r="E48" s="235"/>
      <c r="F48" s="248"/>
      <c r="G48" s="234"/>
      <c r="H48" s="247"/>
      <c r="I48" s="272"/>
      <c r="J48" s="230"/>
      <c r="K48" s="230"/>
      <c r="L48" s="230"/>
      <c r="M48" s="230"/>
      <c r="N48" s="230"/>
      <c r="O48" s="230"/>
      <c r="P48" s="230"/>
      <c r="Q48" s="230"/>
      <c r="R48" s="230"/>
      <c r="S48" s="230"/>
      <c r="T48" s="230"/>
      <c r="U48" s="230"/>
      <c r="V48" s="230"/>
      <c r="W48" s="230"/>
      <c r="X48" s="230"/>
      <c r="Y48" s="230"/>
      <c r="Z48" s="230"/>
    </row>
    <row r="49" ht="15.75" customHeight="1" spans="1:26">
      <c r="A49" s="246"/>
      <c r="B49" s="234"/>
      <c r="C49" s="247"/>
      <c r="D49" s="247"/>
      <c r="E49" s="235"/>
      <c r="F49" s="248"/>
      <c r="G49" s="234"/>
      <c r="H49" s="247"/>
      <c r="I49" s="272"/>
      <c r="J49" s="230"/>
      <c r="K49" s="230"/>
      <c r="L49" s="230"/>
      <c r="M49" s="230"/>
      <c r="N49" s="230"/>
      <c r="O49" s="230"/>
      <c r="P49" s="230"/>
      <c r="Q49" s="230"/>
      <c r="R49" s="230"/>
      <c r="S49" s="230"/>
      <c r="T49" s="230"/>
      <c r="U49" s="230"/>
      <c r="V49" s="230"/>
      <c r="W49" s="230"/>
      <c r="X49" s="230"/>
      <c r="Y49" s="230"/>
      <c r="Z49" s="230"/>
    </row>
    <row r="50" ht="15.75" customHeight="1" spans="1:26">
      <c r="A50" s="246"/>
      <c r="B50" s="245"/>
      <c r="C50" s="252"/>
      <c r="D50" s="252"/>
      <c r="E50" s="235"/>
      <c r="F50" s="248"/>
      <c r="G50" s="245"/>
      <c r="H50" s="252"/>
      <c r="I50" s="273"/>
      <c r="J50" s="230"/>
      <c r="K50" s="230"/>
      <c r="L50" s="230"/>
      <c r="M50" s="230"/>
      <c r="N50" s="230"/>
      <c r="O50" s="230"/>
      <c r="P50" s="230"/>
      <c r="Q50" s="230"/>
      <c r="R50" s="230"/>
      <c r="S50" s="230"/>
      <c r="T50" s="230"/>
      <c r="U50" s="230"/>
      <c r="V50" s="230"/>
      <c r="W50" s="230"/>
      <c r="X50" s="230"/>
      <c r="Y50" s="230"/>
      <c r="Z50" s="230"/>
    </row>
    <row r="51" ht="15.75" customHeight="1" spans="1:26">
      <c r="A51" s="250"/>
      <c r="B51" s="234"/>
      <c r="C51" s="254"/>
      <c r="D51" s="254"/>
      <c r="E51" s="235"/>
      <c r="F51" s="253"/>
      <c r="G51" s="234"/>
      <c r="H51" s="255"/>
      <c r="I51" s="274"/>
      <c r="J51" s="230"/>
      <c r="K51" s="230"/>
      <c r="L51" s="230"/>
      <c r="M51" s="230"/>
      <c r="N51" s="230"/>
      <c r="O51" s="230"/>
      <c r="P51" s="230"/>
      <c r="Q51" s="230"/>
      <c r="R51" s="230"/>
      <c r="S51" s="230"/>
      <c r="T51" s="230"/>
      <c r="U51" s="230"/>
      <c r="V51" s="230"/>
      <c r="W51" s="230"/>
      <c r="X51" s="230"/>
      <c r="Y51" s="230"/>
      <c r="Z51" s="230"/>
    </row>
    <row r="52" ht="15.75" customHeight="1" spans="1:26">
      <c r="A52" s="244"/>
      <c r="B52" s="245"/>
      <c r="C52" s="254"/>
      <c r="D52" s="254"/>
      <c r="E52" s="235"/>
      <c r="F52" s="245"/>
      <c r="G52" s="245"/>
      <c r="H52" s="255"/>
      <c r="I52" s="274"/>
      <c r="J52" s="230"/>
      <c r="K52" s="230"/>
      <c r="L52" s="230"/>
      <c r="M52" s="230"/>
      <c r="N52" s="230"/>
      <c r="O52" s="230"/>
      <c r="P52" s="230"/>
      <c r="Q52" s="230"/>
      <c r="R52" s="230"/>
      <c r="S52" s="230"/>
      <c r="T52" s="230"/>
      <c r="U52" s="230"/>
      <c r="V52" s="230"/>
      <c r="W52" s="230"/>
      <c r="X52" s="230"/>
      <c r="Y52" s="230"/>
      <c r="Z52" s="230"/>
    </row>
    <row r="53" ht="15.75" customHeight="1" spans="1:26">
      <c r="A53" s="246"/>
      <c r="B53" s="234"/>
      <c r="C53" s="247"/>
      <c r="D53" s="247"/>
      <c r="E53" s="235"/>
      <c r="F53" s="248"/>
      <c r="G53" s="234"/>
      <c r="H53" s="247"/>
      <c r="I53" s="272"/>
      <c r="J53" s="230"/>
      <c r="K53" s="230"/>
      <c r="L53" s="230"/>
      <c r="M53" s="230"/>
      <c r="N53" s="230"/>
      <c r="O53" s="230"/>
      <c r="P53" s="230"/>
      <c r="Q53" s="230"/>
      <c r="R53" s="230"/>
      <c r="S53" s="230"/>
      <c r="T53" s="230"/>
      <c r="U53" s="230"/>
      <c r="V53" s="230"/>
      <c r="W53" s="230"/>
      <c r="X53" s="230"/>
      <c r="Y53" s="230"/>
      <c r="Z53" s="230"/>
    </row>
    <row r="54" ht="15.75" customHeight="1" spans="1:26">
      <c r="A54" s="246"/>
      <c r="B54" s="234"/>
      <c r="C54" s="247"/>
      <c r="D54" s="247"/>
      <c r="E54" s="235"/>
      <c r="F54" s="248"/>
      <c r="G54" s="234"/>
      <c r="H54" s="247"/>
      <c r="I54" s="272"/>
      <c r="J54" s="230"/>
      <c r="K54" s="230"/>
      <c r="L54" s="230"/>
      <c r="M54" s="230"/>
      <c r="N54" s="230"/>
      <c r="O54" s="230"/>
      <c r="P54" s="230"/>
      <c r="Q54" s="230"/>
      <c r="R54" s="230"/>
      <c r="S54" s="230"/>
      <c r="T54" s="230"/>
      <c r="U54" s="230"/>
      <c r="V54" s="230"/>
      <c r="W54" s="230"/>
      <c r="X54" s="230"/>
      <c r="Y54" s="230"/>
      <c r="Z54" s="230"/>
    </row>
    <row r="55" ht="15.75" customHeight="1" spans="1:26">
      <c r="A55" s="246"/>
      <c r="B55" s="234"/>
      <c r="C55" s="247"/>
      <c r="D55" s="247"/>
      <c r="E55" s="235"/>
      <c r="F55" s="248"/>
      <c r="G55" s="234"/>
      <c r="H55" s="247"/>
      <c r="I55" s="272"/>
      <c r="J55" s="230"/>
      <c r="K55" s="230"/>
      <c r="L55" s="230"/>
      <c r="M55" s="230"/>
      <c r="N55" s="230"/>
      <c r="O55" s="230"/>
      <c r="P55" s="230"/>
      <c r="Q55" s="230"/>
      <c r="R55" s="230"/>
      <c r="S55" s="230"/>
      <c r="T55" s="230"/>
      <c r="U55" s="230"/>
      <c r="V55" s="230"/>
      <c r="W55" s="230"/>
      <c r="X55" s="230"/>
      <c r="Y55" s="230"/>
      <c r="Z55" s="230"/>
    </row>
    <row r="56" ht="15.75" customHeight="1" spans="1:26">
      <c r="A56" s="246"/>
      <c r="B56" s="234"/>
      <c r="C56" s="247"/>
      <c r="D56" s="247"/>
      <c r="E56" s="235"/>
      <c r="F56" s="248"/>
      <c r="G56" s="234"/>
      <c r="H56" s="247"/>
      <c r="I56" s="272"/>
      <c r="J56" s="230"/>
      <c r="K56" s="230"/>
      <c r="L56" s="230"/>
      <c r="M56" s="230"/>
      <c r="N56" s="230"/>
      <c r="O56" s="230"/>
      <c r="P56" s="230"/>
      <c r="Q56" s="230"/>
      <c r="R56" s="230"/>
      <c r="S56" s="230"/>
      <c r="T56" s="230"/>
      <c r="U56" s="230"/>
      <c r="V56" s="230"/>
      <c r="W56" s="230"/>
      <c r="X56" s="230"/>
      <c r="Y56" s="230"/>
      <c r="Z56" s="230"/>
    </row>
    <row r="57" ht="15.75" customHeight="1" spans="1:26">
      <c r="A57" s="246"/>
      <c r="B57" s="234"/>
      <c r="C57" s="247"/>
      <c r="D57" s="247"/>
      <c r="E57" s="235"/>
      <c r="F57" s="248"/>
      <c r="G57" s="234"/>
      <c r="H57" s="247"/>
      <c r="I57" s="272"/>
      <c r="J57" s="230"/>
      <c r="K57" s="230"/>
      <c r="L57" s="230"/>
      <c r="M57" s="230"/>
      <c r="N57" s="230"/>
      <c r="O57" s="230"/>
      <c r="P57" s="230"/>
      <c r="Q57" s="230"/>
      <c r="R57" s="230"/>
      <c r="S57" s="230"/>
      <c r="T57" s="230"/>
      <c r="U57" s="230"/>
      <c r="V57" s="230"/>
      <c r="W57" s="230"/>
      <c r="X57" s="230"/>
      <c r="Y57" s="230"/>
      <c r="Z57" s="230"/>
    </row>
    <row r="58" ht="15.75" customHeight="1" spans="1:26">
      <c r="A58" s="246"/>
      <c r="B58" s="245"/>
      <c r="C58" s="252"/>
      <c r="D58" s="252"/>
      <c r="E58" s="235"/>
      <c r="F58" s="248"/>
      <c r="G58" s="245"/>
      <c r="H58" s="252"/>
      <c r="I58" s="273"/>
      <c r="J58" s="230"/>
      <c r="K58" s="230"/>
      <c r="L58" s="230"/>
      <c r="M58" s="230"/>
      <c r="N58" s="230"/>
      <c r="O58" s="230"/>
      <c r="P58" s="230"/>
      <c r="Q58" s="230"/>
      <c r="R58" s="230"/>
      <c r="S58" s="230"/>
      <c r="T58" s="230"/>
      <c r="U58" s="230"/>
      <c r="V58" s="230"/>
      <c r="W58" s="230"/>
      <c r="X58" s="230"/>
      <c r="Y58" s="230"/>
      <c r="Z58" s="230"/>
    </row>
    <row r="59" ht="15.75" customHeight="1" spans="1:26">
      <c r="A59" s="250"/>
      <c r="B59" s="234"/>
      <c r="C59" s="254"/>
      <c r="D59" s="254"/>
      <c r="E59" s="235"/>
      <c r="F59" s="253"/>
      <c r="G59" s="234"/>
      <c r="H59" s="255"/>
      <c r="I59" s="274"/>
      <c r="J59" s="230"/>
      <c r="K59" s="230"/>
      <c r="L59" s="230"/>
      <c r="M59" s="230"/>
      <c r="N59" s="230"/>
      <c r="O59" s="230"/>
      <c r="P59" s="230"/>
      <c r="Q59" s="230"/>
      <c r="R59" s="230"/>
      <c r="S59" s="230"/>
      <c r="T59" s="230"/>
      <c r="U59" s="230"/>
      <c r="V59" s="230"/>
      <c r="W59" s="230"/>
      <c r="X59" s="230"/>
      <c r="Y59" s="230"/>
      <c r="Z59" s="230"/>
    </row>
    <row r="60" ht="15.75" customHeight="1" spans="1:26">
      <c r="A60" s="244"/>
      <c r="C60" s="254"/>
      <c r="D60" s="254"/>
      <c r="E60" s="235"/>
      <c r="F60" s="245"/>
      <c r="H60" s="255"/>
      <c r="I60" s="274"/>
      <c r="J60" s="230"/>
      <c r="K60" s="230"/>
      <c r="L60" s="230"/>
      <c r="M60" s="230"/>
      <c r="N60" s="230"/>
      <c r="O60" s="230"/>
      <c r="P60" s="230"/>
      <c r="Q60" s="230"/>
      <c r="R60" s="230"/>
      <c r="S60" s="230"/>
      <c r="T60" s="230"/>
      <c r="U60" s="230"/>
      <c r="V60" s="230"/>
      <c r="W60" s="230"/>
      <c r="X60" s="230"/>
      <c r="Y60" s="230"/>
      <c r="Z60" s="230"/>
    </row>
    <row r="61" ht="15.75" customHeight="1" spans="1:26">
      <c r="A61" s="246"/>
      <c r="B61" s="234"/>
      <c r="C61" s="247"/>
      <c r="D61" s="247"/>
      <c r="E61" s="235"/>
      <c r="F61" s="248"/>
      <c r="G61" s="234"/>
      <c r="H61" s="247"/>
      <c r="I61" s="272"/>
      <c r="J61" s="230"/>
      <c r="K61" s="230"/>
      <c r="L61" s="230"/>
      <c r="M61" s="230"/>
      <c r="N61" s="230"/>
      <c r="O61" s="230"/>
      <c r="P61" s="230"/>
      <c r="Q61" s="230"/>
      <c r="R61" s="230"/>
      <c r="S61" s="230"/>
      <c r="T61" s="230"/>
      <c r="U61" s="230"/>
      <c r="V61" s="230"/>
      <c r="W61" s="230"/>
      <c r="X61" s="230"/>
      <c r="Y61" s="230"/>
      <c r="Z61" s="230"/>
    </row>
    <row r="62" ht="15.75" customHeight="1" spans="1:26">
      <c r="A62" s="246"/>
      <c r="B62" s="234"/>
      <c r="C62" s="247"/>
      <c r="D62" s="247"/>
      <c r="E62" s="235"/>
      <c r="F62" s="248"/>
      <c r="G62" s="234"/>
      <c r="H62" s="247"/>
      <c r="I62" s="272"/>
      <c r="J62" s="230"/>
      <c r="K62" s="230"/>
      <c r="L62" s="230"/>
      <c r="M62" s="230"/>
      <c r="N62" s="230"/>
      <c r="O62" s="230"/>
      <c r="P62" s="230"/>
      <c r="Q62" s="230"/>
      <c r="R62" s="230"/>
      <c r="S62" s="230"/>
      <c r="T62" s="230"/>
      <c r="U62" s="230"/>
      <c r="V62" s="230"/>
      <c r="W62" s="230"/>
      <c r="X62" s="230"/>
      <c r="Y62" s="230"/>
      <c r="Z62" s="230"/>
    </row>
    <row r="63" ht="15.75" customHeight="1" spans="1:26">
      <c r="A63" s="250"/>
      <c r="B63" s="245"/>
      <c r="C63" s="252"/>
      <c r="D63" s="252"/>
      <c r="E63" s="235"/>
      <c r="F63" s="253"/>
      <c r="G63" s="245"/>
      <c r="H63" s="252"/>
      <c r="I63" s="273"/>
      <c r="J63" s="230"/>
      <c r="K63" s="230"/>
      <c r="L63" s="230"/>
      <c r="M63" s="230"/>
      <c r="N63" s="230"/>
      <c r="O63" s="230"/>
      <c r="P63" s="230"/>
      <c r="Q63" s="230"/>
      <c r="R63" s="230"/>
      <c r="S63" s="230"/>
      <c r="T63" s="230"/>
      <c r="U63" s="230"/>
      <c r="V63" s="230"/>
      <c r="W63" s="230"/>
      <c r="X63" s="230"/>
      <c r="Y63" s="230"/>
      <c r="Z63" s="230"/>
    </row>
    <row r="64" ht="15.75" customHeight="1" spans="1:26">
      <c r="A64" s="250"/>
      <c r="B64" s="234"/>
      <c r="C64" s="254"/>
      <c r="D64" s="254"/>
      <c r="E64" s="235"/>
      <c r="F64" s="253"/>
      <c r="G64" s="234"/>
      <c r="H64" s="255"/>
      <c r="I64" s="274"/>
      <c r="J64" s="230"/>
      <c r="K64" s="230"/>
      <c r="L64" s="230"/>
      <c r="M64" s="230"/>
      <c r="N64" s="230"/>
      <c r="O64" s="230"/>
      <c r="P64" s="230"/>
      <c r="Q64" s="230"/>
      <c r="R64" s="230"/>
      <c r="S64" s="230"/>
      <c r="T64" s="230"/>
      <c r="U64" s="230"/>
      <c r="V64" s="230"/>
      <c r="W64" s="230"/>
      <c r="X64" s="230"/>
      <c r="Y64" s="230"/>
      <c r="Z64" s="230"/>
    </row>
    <row r="65" ht="15.75" customHeight="1" spans="1:26">
      <c r="A65" s="250"/>
      <c r="B65" s="245"/>
      <c r="C65" s="275"/>
      <c r="D65" s="275"/>
      <c r="E65" s="235"/>
      <c r="F65" s="253"/>
      <c r="G65" s="245"/>
      <c r="H65" s="252"/>
      <c r="I65" s="288"/>
      <c r="J65" s="230"/>
      <c r="K65" s="230"/>
      <c r="L65" s="230"/>
      <c r="M65" s="230"/>
      <c r="N65" s="230"/>
      <c r="O65" s="230"/>
      <c r="P65" s="230"/>
      <c r="Q65" s="230"/>
      <c r="R65" s="230"/>
      <c r="S65" s="230"/>
      <c r="T65" s="230"/>
      <c r="U65" s="230"/>
      <c r="V65" s="230"/>
      <c r="W65" s="230"/>
      <c r="X65" s="230"/>
      <c r="Y65" s="230"/>
      <c r="Z65" s="230"/>
    </row>
    <row r="66" ht="15.75" customHeight="1" spans="1:26">
      <c r="A66" s="276"/>
      <c r="B66" s="277"/>
      <c r="C66" s="277"/>
      <c r="D66" s="277"/>
      <c r="E66" s="235"/>
      <c r="F66" s="277"/>
      <c r="G66" s="277"/>
      <c r="H66" s="277"/>
      <c r="I66" s="289"/>
      <c r="J66" s="230"/>
      <c r="K66" s="230"/>
      <c r="L66" s="230"/>
      <c r="M66" s="230"/>
      <c r="N66" s="230"/>
      <c r="O66" s="230"/>
      <c r="P66" s="230"/>
      <c r="Q66" s="230"/>
      <c r="R66" s="230"/>
      <c r="S66" s="230"/>
      <c r="T66" s="230"/>
      <c r="U66" s="230"/>
      <c r="V66" s="230"/>
      <c r="W66" s="230"/>
      <c r="X66" s="230"/>
      <c r="Y66" s="230"/>
      <c r="Z66" s="230"/>
    </row>
    <row r="67" customHeight="1" spans="1:26">
      <c r="A67" s="278" t="s">
        <v>3709</v>
      </c>
      <c r="B67" s="279"/>
      <c r="C67" s="280"/>
      <c r="D67" s="213"/>
      <c r="E67" s="213"/>
      <c r="F67" s="279"/>
      <c r="G67" s="281" t="s">
        <v>3710</v>
      </c>
      <c r="H67" s="280"/>
      <c r="I67" s="279"/>
      <c r="J67" s="230"/>
      <c r="K67" s="230"/>
      <c r="L67" s="230"/>
      <c r="M67" s="230"/>
      <c r="N67" s="230"/>
      <c r="O67" s="230"/>
      <c r="P67" s="230"/>
      <c r="Q67" s="230"/>
      <c r="R67" s="230"/>
      <c r="S67" s="230"/>
      <c r="T67" s="230"/>
      <c r="U67" s="230"/>
      <c r="V67" s="230"/>
      <c r="W67" s="230"/>
      <c r="X67" s="230"/>
      <c r="Y67" s="230"/>
      <c r="Z67" s="230"/>
    </row>
    <row r="68" customHeight="1" spans="1:26">
      <c r="A68" s="278" t="s">
        <v>3711</v>
      </c>
      <c r="B68" s="279"/>
      <c r="C68" s="280"/>
      <c r="D68" s="213"/>
      <c r="E68" s="213"/>
      <c r="F68" s="279"/>
      <c r="G68" s="282"/>
      <c r="H68" s="282"/>
      <c r="I68" s="290"/>
      <c r="J68" s="230"/>
      <c r="K68" s="230"/>
      <c r="L68" s="230"/>
      <c r="M68" s="230"/>
      <c r="N68" s="230"/>
      <c r="O68" s="230"/>
      <c r="P68" s="230"/>
      <c r="Q68" s="230"/>
      <c r="R68" s="230"/>
      <c r="S68" s="230"/>
      <c r="T68" s="230"/>
      <c r="U68" s="230"/>
      <c r="V68" s="230"/>
      <c r="W68" s="230"/>
      <c r="X68" s="230"/>
      <c r="Y68" s="230"/>
      <c r="Z68" s="230"/>
    </row>
    <row r="69" ht="15.75" customHeight="1" spans="1:26">
      <c r="A69" s="283"/>
      <c r="B69" s="282"/>
      <c r="C69" s="282"/>
      <c r="D69" s="282"/>
      <c r="E69" s="235"/>
      <c r="F69" s="282"/>
      <c r="G69" s="282"/>
      <c r="H69" s="282"/>
      <c r="I69" s="290"/>
      <c r="J69" s="230"/>
      <c r="K69" s="230"/>
      <c r="L69" s="230"/>
      <c r="M69" s="230"/>
      <c r="N69" s="230"/>
      <c r="O69" s="230"/>
      <c r="P69" s="230"/>
      <c r="Q69" s="230"/>
      <c r="R69" s="230"/>
      <c r="S69" s="230"/>
      <c r="T69" s="230"/>
      <c r="U69" s="230"/>
      <c r="V69" s="230"/>
      <c r="W69" s="230"/>
      <c r="X69" s="230"/>
      <c r="Y69" s="230"/>
      <c r="Z69" s="230"/>
    </row>
    <row r="70" ht="15.75" customHeight="1" spans="1:26">
      <c r="A70" s="284"/>
      <c r="B70" s="285"/>
      <c r="C70" s="285"/>
      <c r="D70" s="285"/>
      <c r="E70" s="285"/>
      <c r="F70" s="285"/>
      <c r="G70" s="286"/>
      <c r="H70" s="286"/>
      <c r="I70" s="291"/>
      <c r="J70" s="230"/>
      <c r="K70" s="230"/>
      <c r="L70" s="230"/>
      <c r="M70" s="230"/>
      <c r="N70" s="230"/>
      <c r="O70" s="230"/>
      <c r="P70" s="230"/>
      <c r="Q70" s="230"/>
      <c r="R70" s="230"/>
      <c r="S70" s="230"/>
      <c r="T70" s="230"/>
      <c r="U70" s="230"/>
      <c r="V70" s="230"/>
      <c r="W70" s="230"/>
      <c r="X70" s="230"/>
      <c r="Y70" s="230"/>
      <c r="Z70" s="230"/>
    </row>
    <row r="71" ht="15.75" customHeight="1" spans="1:26">
      <c r="A71" s="235"/>
      <c r="B71" s="234"/>
      <c r="C71" s="235"/>
      <c r="D71" s="235"/>
      <c r="E71" s="230"/>
      <c r="F71" s="230"/>
      <c r="G71" s="287"/>
      <c r="H71" s="287"/>
      <c r="I71" s="230"/>
      <c r="J71" s="230"/>
      <c r="K71" s="230"/>
      <c r="L71" s="230"/>
      <c r="M71" s="230"/>
      <c r="N71" s="230"/>
      <c r="O71" s="230"/>
      <c r="P71" s="230"/>
      <c r="Q71" s="230"/>
      <c r="R71" s="230"/>
      <c r="S71" s="230"/>
      <c r="T71" s="230"/>
      <c r="U71" s="230"/>
      <c r="V71" s="230"/>
      <c r="W71" s="230"/>
      <c r="X71" s="230"/>
      <c r="Y71" s="230"/>
      <c r="Z71" s="230"/>
    </row>
    <row r="72" ht="15.75" customHeight="1" spans="1:26">
      <c r="A72" s="230"/>
      <c r="B72" s="287"/>
      <c r="C72" s="230"/>
      <c r="D72" s="230"/>
      <c r="E72" s="230"/>
      <c r="F72" s="230"/>
      <c r="G72" s="287"/>
      <c r="H72" s="287"/>
      <c r="I72" s="230"/>
      <c r="J72" s="230"/>
      <c r="K72" s="230"/>
      <c r="L72" s="230"/>
      <c r="M72" s="230"/>
      <c r="N72" s="230"/>
      <c r="O72" s="230"/>
      <c r="P72" s="230"/>
      <c r="Q72" s="230"/>
      <c r="R72" s="230"/>
      <c r="S72" s="230"/>
      <c r="T72" s="230"/>
      <c r="U72" s="230"/>
      <c r="V72" s="230"/>
      <c r="W72" s="230"/>
      <c r="X72" s="230"/>
      <c r="Y72" s="230"/>
      <c r="Z72" s="230"/>
    </row>
    <row r="73" ht="15.75" customHeight="1" spans="1:26">
      <c r="A73" s="230"/>
      <c r="B73" s="287"/>
      <c r="C73" s="230"/>
      <c r="D73" s="230"/>
      <c r="E73" s="230"/>
      <c r="F73" s="230"/>
      <c r="G73" s="287"/>
      <c r="H73" s="287"/>
      <c r="I73" s="230"/>
      <c r="J73" s="230"/>
      <c r="K73" s="230"/>
      <c r="L73" s="230"/>
      <c r="M73" s="230"/>
      <c r="N73" s="230"/>
      <c r="O73" s="230"/>
      <c r="P73" s="230"/>
      <c r="Q73" s="230"/>
      <c r="R73" s="230"/>
      <c r="S73" s="230"/>
      <c r="T73" s="230"/>
      <c r="U73" s="230"/>
      <c r="V73" s="230"/>
      <c r="W73" s="230"/>
      <c r="X73" s="230"/>
      <c r="Y73" s="230"/>
      <c r="Z73" s="230"/>
    </row>
    <row r="74" ht="15.75" customHeight="1" spans="1:26">
      <c r="A74" s="230"/>
      <c r="B74" s="287"/>
      <c r="C74" s="230"/>
      <c r="D74" s="230"/>
      <c r="E74" s="230"/>
      <c r="F74" s="230"/>
      <c r="G74" s="287"/>
      <c r="H74" s="287"/>
      <c r="I74" s="230"/>
      <c r="J74" s="230"/>
      <c r="K74" s="230"/>
      <c r="L74" s="230"/>
      <c r="M74" s="230"/>
      <c r="N74" s="230"/>
      <c r="O74" s="230"/>
      <c r="P74" s="230"/>
      <c r="Q74" s="230"/>
      <c r="R74" s="230"/>
      <c r="S74" s="230"/>
      <c r="T74" s="230"/>
      <c r="U74" s="230"/>
      <c r="V74" s="230"/>
      <c r="W74" s="230"/>
      <c r="X74" s="230"/>
      <c r="Y74" s="230"/>
      <c r="Z74" s="230"/>
    </row>
    <row r="75" ht="15.75" customHeight="1" spans="1:26">
      <c r="A75" s="230"/>
      <c r="B75" s="287"/>
      <c r="C75" s="230"/>
      <c r="D75" s="230"/>
      <c r="E75" s="230"/>
      <c r="F75" s="230"/>
      <c r="G75" s="287"/>
      <c r="H75" s="287"/>
      <c r="I75" s="230"/>
      <c r="J75" s="230"/>
      <c r="K75" s="230"/>
      <c r="L75" s="230"/>
      <c r="M75" s="230"/>
      <c r="N75" s="230"/>
      <c r="O75" s="230"/>
      <c r="P75" s="230"/>
      <c r="Q75" s="230"/>
      <c r="R75" s="230"/>
      <c r="S75" s="230"/>
      <c r="T75" s="230"/>
      <c r="U75" s="230"/>
      <c r="V75" s="230"/>
      <c r="W75" s="230"/>
      <c r="X75" s="230"/>
      <c r="Y75" s="230"/>
      <c r="Z75" s="230"/>
    </row>
    <row r="76" ht="15.75" customHeight="1" spans="1:26">
      <c r="A76" s="230"/>
      <c r="B76" s="287"/>
      <c r="C76" s="230"/>
      <c r="D76" s="230"/>
      <c r="E76" s="230"/>
      <c r="F76" s="230"/>
      <c r="G76" s="287"/>
      <c r="H76" s="287"/>
      <c r="I76" s="230"/>
      <c r="J76" s="230"/>
      <c r="K76" s="230"/>
      <c r="L76" s="230"/>
      <c r="M76" s="230"/>
      <c r="N76" s="230"/>
      <c r="O76" s="230"/>
      <c r="P76" s="230"/>
      <c r="Q76" s="230"/>
      <c r="R76" s="230"/>
      <c r="S76" s="230"/>
      <c r="T76" s="230"/>
      <c r="U76" s="230"/>
      <c r="V76" s="230"/>
      <c r="W76" s="230"/>
      <c r="X76" s="230"/>
      <c r="Y76" s="230"/>
      <c r="Z76" s="230"/>
    </row>
    <row r="77" ht="15.75" customHeight="1" spans="1:26">
      <c r="A77" s="230"/>
      <c r="B77" s="287"/>
      <c r="C77" s="230"/>
      <c r="D77" s="230"/>
      <c r="E77" s="230"/>
      <c r="F77" s="230"/>
      <c r="G77" s="287"/>
      <c r="H77" s="287"/>
      <c r="I77" s="230"/>
      <c r="J77" s="230"/>
      <c r="K77" s="230"/>
      <c r="L77" s="230"/>
      <c r="M77" s="230"/>
      <c r="N77" s="230"/>
      <c r="O77" s="230"/>
      <c r="P77" s="230"/>
      <c r="Q77" s="230"/>
      <c r="R77" s="230"/>
      <c r="S77" s="230"/>
      <c r="T77" s="230"/>
      <c r="U77" s="230"/>
      <c r="V77" s="230"/>
      <c r="W77" s="230"/>
      <c r="X77" s="230"/>
      <c r="Y77" s="230"/>
      <c r="Z77" s="230"/>
    </row>
    <row r="78" ht="15.75" customHeight="1" spans="1:26">
      <c r="A78" s="230"/>
      <c r="B78" s="287"/>
      <c r="C78" s="230"/>
      <c r="D78" s="230"/>
      <c r="E78" s="230"/>
      <c r="F78" s="230"/>
      <c r="G78" s="287"/>
      <c r="H78" s="287"/>
      <c r="I78" s="230"/>
      <c r="J78" s="230"/>
      <c r="K78" s="230"/>
      <c r="L78" s="230"/>
      <c r="M78" s="230"/>
      <c r="N78" s="230"/>
      <c r="O78" s="230"/>
      <c r="P78" s="230"/>
      <c r="Q78" s="230"/>
      <c r="R78" s="230"/>
      <c r="S78" s="230"/>
      <c r="T78" s="230"/>
      <c r="U78" s="230"/>
      <c r="V78" s="230"/>
      <c r="W78" s="230"/>
      <c r="X78" s="230"/>
      <c r="Y78" s="230"/>
      <c r="Z78" s="230"/>
    </row>
    <row r="79" ht="15.75" customHeight="1" spans="1:26">
      <c r="A79" s="230"/>
      <c r="B79" s="287"/>
      <c r="C79" s="230"/>
      <c r="D79" s="230"/>
      <c r="E79" s="230"/>
      <c r="F79" s="230"/>
      <c r="G79" s="287"/>
      <c r="H79" s="287"/>
      <c r="I79" s="230"/>
      <c r="J79" s="230"/>
      <c r="K79" s="230"/>
      <c r="L79" s="230"/>
      <c r="M79" s="230"/>
      <c r="N79" s="230"/>
      <c r="O79" s="230"/>
      <c r="P79" s="230"/>
      <c r="Q79" s="230"/>
      <c r="R79" s="230"/>
      <c r="S79" s="230"/>
      <c r="T79" s="230"/>
      <c r="U79" s="230"/>
      <c r="V79" s="230"/>
      <c r="W79" s="230"/>
      <c r="X79" s="230"/>
      <c r="Y79" s="230"/>
      <c r="Z79" s="230"/>
    </row>
    <row r="80" ht="15.75" customHeight="1" spans="1:26">
      <c r="A80" s="230"/>
      <c r="B80" s="287"/>
      <c r="C80" s="230"/>
      <c r="D80" s="230"/>
      <c r="E80" s="230"/>
      <c r="F80" s="230"/>
      <c r="G80" s="287"/>
      <c r="H80" s="287"/>
      <c r="I80" s="230"/>
      <c r="J80" s="230"/>
      <c r="K80" s="230"/>
      <c r="L80" s="230"/>
      <c r="M80" s="230"/>
      <c r="N80" s="230"/>
      <c r="O80" s="230"/>
      <c r="P80" s="230"/>
      <c r="Q80" s="230"/>
      <c r="R80" s="230"/>
      <c r="S80" s="230"/>
      <c r="T80" s="230"/>
      <c r="U80" s="230"/>
      <c r="V80" s="230"/>
      <c r="W80" s="230"/>
      <c r="X80" s="230"/>
      <c r="Y80" s="230"/>
      <c r="Z80" s="230"/>
    </row>
    <row r="81" ht="15.75" customHeight="1" spans="1:26">
      <c r="A81" s="230"/>
      <c r="B81" s="287"/>
      <c r="C81" s="230"/>
      <c r="D81" s="230"/>
      <c r="E81" s="230"/>
      <c r="F81" s="230"/>
      <c r="G81" s="287"/>
      <c r="H81" s="287"/>
      <c r="I81" s="230"/>
      <c r="J81" s="230"/>
      <c r="K81" s="230"/>
      <c r="L81" s="230"/>
      <c r="M81" s="230"/>
      <c r="N81" s="230"/>
      <c r="O81" s="230"/>
      <c r="P81" s="230"/>
      <c r="Q81" s="230"/>
      <c r="R81" s="230"/>
      <c r="S81" s="230"/>
      <c r="T81" s="230"/>
      <c r="U81" s="230"/>
      <c r="V81" s="230"/>
      <c r="W81" s="230"/>
      <c r="X81" s="230"/>
      <c r="Y81" s="230"/>
      <c r="Z81" s="230"/>
    </row>
    <row r="82" ht="15.75" customHeight="1" spans="1:26">
      <c r="A82" s="230"/>
      <c r="B82" s="287"/>
      <c r="C82" s="230"/>
      <c r="D82" s="230"/>
      <c r="E82" s="230"/>
      <c r="F82" s="230"/>
      <c r="G82" s="287"/>
      <c r="H82" s="287"/>
      <c r="I82" s="230"/>
      <c r="J82" s="230"/>
      <c r="K82" s="230"/>
      <c r="L82" s="230"/>
      <c r="M82" s="230"/>
      <c r="N82" s="230"/>
      <c r="O82" s="230"/>
      <c r="P82" s="230"/>
      <c r="Q82" s="230"/>
      <c r="R82" s="230"/>
      <c r="S82" s="230"/>
      <c r="T82" s="230"/>
      <c r="U82" s="230"/>
      <c r="V82" s="230"/>
      <c r="W82" s="230"/>
      <c r="X82" s="230"/>
      <c r="Y82" s="230"/>
      <c r="Z82" s="230"/>
    </row>
    <row r="83" ht="15.75" customHeight="1" spans="1:26">
      <c r="A83" s="230"/>
      <c r="B83" s="287"/>
      <c r="C83" s="230"/>
      <c r="D83" s="230"/>
      <c r="E83" s="230"/>
      <c r="F83" s="230"/>
      <c r="G83" s="287"/>
      <c r="H83" s="287"/>
      <c r="I83" s="230"/>
      <c r="J83" s="230"/>
      <c r="K83" s="230"/>
      <c r="L83" s="230"/>
      <c r="M83" s="230"/>
      <c r="N83" s="230"/>
      <c r="O83" s="230"/>
      <c r="P83" s="230"/>
      <c r="Q83" s="230"/>
      <c r="R83" s="230"/>
      <c r="S83" s="230"/>
      <c r="T83" s="230"/>
      <c r="U83" s="230"/>
      <c r="V83" s="230"/>
      <c r="W83" s="230"/>
      <c r="X83" s="230"/>
      <c r="Y83" s="230"/>
      <c r="Z83" s="230"/>
    </row>
    <row r="84" ht="15.75" customHeight="1" spans="1:26">
      <c r="A84" s="230"/>
      <c r="B84" s="287"/>
      <c r="C84" s="230"/>
      <c r="D84" s="230"/>
      <c r="E84" s="230"/>
      <c r="F84" s="230"/>
      <c r="G84" s="287"/>
      <c r="H84" s="287"/>
      <c r="I84" s="230"/>
      <c r="J84" s="230"/>
      <c r="K84" s="230"/>
      <c r="L84" s="230"/>
      <c r="M84" s="230"/>
      <c r="N84" s="230"/>
      <c r="O84" s="230"/>
      <c r="P84" s="230"/>
      <c r="Q84" s="230"/>
      <c r="R84" s="230"/>
      <c r="S84" s="230"/>
      <c r="T84" s="230"/>
      <c r="U84" s="230"/>
      <c r="V84" s="230"/>
      <c r="W84" s="230"/>
      <c r="X84" s="230"/>
      <c r="Y84" s="230"/>
      <c r="Z84" s="230"/>
    </row>
    <row r="85" ht="15.75" customHeight="1" spans="1:26">
      <c r="A85" s="230"/>
      <c r="B85" s="287"/>
      <c r="C85" s="230"/>
      <c r="D85" s="230"/>
      <c r="E85" s="230"/>
      <c r="F85" s="230"/>
      <c r="G85" s="287"/>
      <c r="H85" s="287"/>
      <c r="I85" s="230"/>
      <c r="J85" s="230"/>
      <c r="K85" s="230"/>
      <c r="L85" s="230"/>
      <c r="M85" s="230"/>
      <c r="N85" s="230"/>
      <c r="O85" s="230"/>
      <c r="P85" s="230"/>
      <c r="Q85" s="230"/>
      <c r="R85" s="230"/>
      <c r="S85" s="230"/>
      <c r="T85" s="230"/>
      <c r="U85" s="230"/>
      <c r="V85" s="230"/>
      <c r="W85" s="230"/>
      <c r="X85" s="230"/>
      <c r="Y85" s="230"/>
      <c r="Z85" s="230"/>
    </row>
    <row r="86" ht="15.75" customHeight="1" spans="1:26">
      <c r="A86" s="230"/>
      <c r="B86" s="287"/>
      <c r="C86" s="230"/>
      <c r="D86" s="230"/>
      <c r="E86" s="230"/>
      <c r="F86" s="230"/>
      <c r="G86" s="287"/>
      <c r="H86" s="287"/>
      <c r="I86" s="230"/>
      <c r="J86" s="230"/>
      <c r="K86" s="230"/>
      <c r="L86" s="230"/>
      <c r="M86" s="230"/>
      <c r="N86" s="230"/>
      <c r="O86" s="230"/>
      <c r="P86" s="230"/>
      <c r="Q86" s="230"/>
      <c r="R86" s="230"/>
      <c r="S86" s="230"/>
      <c r="T86" s="230"/>
      <c r="U86" s="230"/>
      <c r="V86" s="230"/>
      <c r="W86" s="230"/>
      <c r="X86" s="230"/>
      <c r="Y86" s="230"/>
      <c r="Z86" s="230"/>
    </row>
    <row r="87" ht="15.75" customHeight="1" spans="1:26">
      <c r="A87" s="230"/>
      <c r="B87" s="287"/>
      <c r="C87" s="230"/>
      <c r="D87" s="230"/>
      <c r="E87" s="230"/>
      <c r="F87" s="230"/>
      <c r="G87" s="287"/>
      <c r="H87" s="287"/>
      <c r="I87" s="230"/>
      <c r="J87" s="230"/>
      <c r="K87" s="230"/>
      <c r="L87" s="230"/>
      <c r="M87" s="230"/>
      <c r="N87" s="230"/>
      <c r="O87" s="230"/>
      <c r="P87" s="230"/>
      <c r="Q87" s="230"/>
      <c r="R87" s="230"/>
      <c r="S87" s="230"/>
      <c r="T87" s="230"/>
      <c r="U87" s="230"/>
      <c r="V87" s="230"/>
      <c r="W87" s="230"/>
      <c r="X87" s="230"/>
      <c r="Y87" s="230"/>
      <c r="Z87" s="230"/>
    </row>
    <row r="88" ht="15.75" customHeight="1" spans="1:26">
      <c r="A88" s="230"/>
      <c r="B88" s="287"/>
      <c r="C88" s="230"/>
      <c r="D88" s="230"/>
      <c r="E88" s="230"/>
      <c r="F88" s="230"/>
      <c r="G88" s="287"/>
      <c r="H88" s="287"/>
      <c r="I88" s="230"/>
      <c r="J88" s="230"/>
      <c r="K88" s="230"/>
      <c r="L88" s="230"/>
      <c r="M88" s="230"/>
      <c r="N88" s="230"/>
      <c r="O88" s="230"/>
      <c r="P88" s="230"/>
      <c r="Q88" s="230"/>
      <c r="R88" s="230"/>
      <c r="S88" s="230"/>
      <c r="T88" s="230"/>
      <c r="U88" s="230"/>
      <c r="V88" s="230"/>
      <c r="W88" s="230"/>
      <c r="X88" s="230"/>
      <c r="Y88" s="230"/>
      <c r="Z88" s="230"/>
    </row>
    <row r="89" ht="15.75" customHeight="1" spans="1:26">
      <c r="A89" s="230"/>
      <c r="B89" s="287"/>
      <c r="C89" s="230"/>
      <c r="D89" s="230"/>
      <c r="E89" s="230"/>
      <c r="F89" s="230"/>
      <c r="G89" s="287"/>
      <c r="H89" s="287"/>
      <c r="I89" s="230"/>
      <c r="J89" s="230"/>
      <c r="K89" s="230"/>
      <c r="L89" s="230"/>
      <c r="M89" s="230"/>
      <c r="N89" s="230"/>
      <c r="O89" s="230"/>
      <c r="P89" s="230"/>
      <c r="Q89" s="230"/>
      <c r="R89" s="230"/>
      <c r="S89" s="230"/>
      <c r="T89" s="230"/>
      <c r="U89" s="230"/>
      <c r="V89" s="230"/>
      <c r="W89" s="230"/>
      <c r="X89" s="230"/>
      <c r="Y89" s="230"/>
      <c r="Z89" s="230"/>
    </row>
    <row r="90" ht="15.75" customHeight="1" spans="1:26">
      <c r="A90" s="230"/>
      <c r="B90" s="287"/>
      <c r="C90" s="230"/>
      <c r="D90" s="230"/>
      <c r="E90" s="230"/>
      <c r="F90" s="230"/>
      <c r="G90" s="287"/>
      <c r="H90" s="287"/>
      <c r="I90" s="230"/>
      <c r="J90" s="230"/>
      <c r="K90" s="230"/>
      <c r="L90" s="230"/>
      <c r="M90" s="230"/>
      <c r="N90" s="230"/>
      <c r="O90" s="230"/>
      <c r="P90" s="230"/>
      <c r="Q90" s="230"/>
      <c r="R90" s="230"/>
      <c r="S90" s="230"/>
      <c r="T90" s="230"/>
      <c r="U90" s="230"/>
      <c r="V90" s="230"/>
      <c r="W90" s="230"/>
      <c r="X90" s="230"/>
      <c r="Y90" s="230"/>
      <c r="Z90" s="230"/>
    </row>
    <row r="91" ht="15.75" customHeight="1" spans="1:26">
      <c r="A91" s="230"/>
      <c r="B91" s="287"/>
      <c r="C91" s="230"/>
      <c r="D91" s="230"/>
      <c r="E91" s="230"/>
      <c r="F91" s="230"/>
      <c r="G91" s="287"/>
      <c r="H91" s="287"/>
      <c r="I91" s="230"/>
      <c r="J91" s="230"/>
      <c r="K91" s="230"/>
      <c r="L91" s="230"/>
      <c r="M91" s="230"/>
      <c r="N91" s="230"/>
      <c r="O91" s="230"/>
      <c r="P91" s="230"/>
      <c r="Q91" s="230"/>
      <c r="R91" s="230"/>
      <c r="S91" s="230"/>
      <c r="T91" s="230"/>
      <c r="U91" s="230"/>
      <c r="V91" s="230"/>
      <c r="W91" s="230"/>
      <c r="X91" s="230"/>
      <c r="Y91" s="230"/>
      <c r="Z91" s="230"/>
    </row>
    <row r="92" ht="15.75" customHeight="1" spans="1:26">
      <c r="A92" s="230"/>
      <c r="B92" s="287"/>
      <c r="C92" s="230"/>
      <c r="D92" s="230"/>
      <c r="E92" s="230"/>
      <c r="F92" s="230"/>
      <c r="G92" s="287"/>
      <c r="H92" s="287"/>
      <c r="I92" s="230"/>
      <c r="J92" s="230"/>
      <c r="K92" s="230"/>
      <c r="L92" s="230"/>
      <c r="M92" s="230"/>
      <c r="N92" s="230"/>
      <c r="O92" s="230"/>
      <c r="P92" s="230"/>
      <c r="Q92" s="230"/>
      <c r="R92" s="230"/>
      <c r="S92" s="230"/>
      <c r="T92" s="230"/>
      <c r="U92" s="230"/>
      <c r="V92" s="230"/>
      <c r="W92" s="230"/>
      <c r="X92" s="230"/>
      <c r="Y92" s="230"/>
      <c r="Z92" s="230"/>
    </row>
    <row r="93" ht="15.75" customHeight="1" spans="1:26">
      <c r="A93" s="230"/>
      <c r="B93" s="287"/>
      <c r="C93" s="230"/>
      <c r="D93" s="230"/>
      <c r="E93" s="230"/>
      <c r="F93" s="230"/>
      <c r="G93" s="287"/>
      <c r="H93" s="287"/>
      <c r="I93" s="230"/>
      <c r="J93" s="230"/>
      <c r="K93" s="230"/>
      <c r="L93" s="230"/>
      <c r="M93" s="230"/>
      <c r="N93" s="230"/>
      <c r="O93" s="230"/>
      <c r="P93" s="230"/>
      <c r="Q93" s="230"/>
      <c r="R93" s="230"/>
      <c r="S93" s="230"/>
      <c r="T93" s="230"/>
      <c r="U93" s="230"/>
      <c r="V93" s="230"/>
      <c r="W93" s="230"/>
      <c r="X93" s="230"/>
      <c r="Y93" s="230"/>
      <c r="Z93" s="230"/>
    </row>
    <row r="94" ht="15.75" customHeight="1" spans="1:26">
      <c r="A94" s="230"/>
      <c r="B94" s="287"/>
      <c r="C94" s="230"/>
      <c r="D94" s="230"/>
      <c r="E94" s="230"/>
      <c r="F94" s="230"/>
      <c r="G94" s="287"/>
      <c r="H94" s="287"/>
      <c r="I94" s="230"/>
      <c r="J94" s="230"/>
      <c r="K94" s="230"/>
      <c r="L94" s="230"/>
      <c r="M94" s="230"/>
      <c r="N94" s="230"/>
      <c r="O94" s="230"/>
      <c r="P94" s="230"/>
      <c r="Q94" s="230"/>
      <c r="R94" s="230"/>
      <c r="S94" s="230"/>
      <c r="T94" s="230"/>
      <c r="U94" s="230"/>
      <c r="V94" s="230"/>
      <c r="W94" s="230"/>
      <c r="X94" s="230"/>
      <c r="Y94" s="230"/>
      <c r="Z94" s="230"/>
    </row>
    <row r="95" ht="15.75" customHeight="1" spans="1:26">
      <c r="A95" s="230"/>
      <c r="B95" s="287"/>
      <c r="C95" s="230"/>
      <c r="D95" s="230"/>
      <c r="E95" s="230"/>
      <c r="F95" s="230"/>
      <c r="G95" s="287"/>
      <c r="H95" s="287"/>
      <c r="I95" s="230"/>
      <c r="J95" s="230"/>
      <c r="K95" s="230"/>
      <c r="L95" s="230"/>
      <c r="M95" s="230"/>
      <c r="N95" s="230"/>
      <c r="O95" s="230"/>
      <c r="P95" s="230"/>
      <c r="Q95" s="230"/>
      <c r="R95" s="230"/>
      <c r="S95" s="230"/>
      <c r="T95" s="230"/>
      <c r="U95" s="230"/>
      <c r="V95" s="230"/>
      <c r="W95" s="230"/>
      <c r="X95" s="230"/>
      <c r="Y95" s="230"/>
      <c r="Z95" s="230"/>
    </row>
    <row r="96" ht="15.75" customHeight="1" spans="1:26">
      <c r="A96" s="230"/>
      <c r="B96" s="287"/>
      <c r="C96" s="230"/>
      <c r="D96" s="230"/>
      <c r="E96" s="230"/>
      <c r="F96" s="230"/>
      <c r="G96" s="287"/>
      <c r="H96" s="287"/>
      <c r="I96" s="230"/>
      <c r="J96" s="230"/>
      <c r="K96" s="230"/>
      <c r="L96" s="230"/>
      <c r="M96" s="230"/>
      <c r="N96" s="230"/>
      <c r="O96" s="230"/>
      <c r="P96" s="230"/>
      <c r="Q96" s="230"/>
      <c r="R96" s="230"/>
      <c r="S96" s="230"/>
      <c r="T96" s="230"/>
      <c r="U96" s="230"/>
      <c r="V96" s="230"/>
      <c r="W96" s="230"/>
      <c r="X96" s="230"/>
      <c r="Y96" s="230"/>
      <c r="Z96" s="230"/>
    </row>
    <row r="97" ht="15.75" customHeight="1" spans="1:26">
      <c r="A97" s="230"/>
      <c r="B97" s="287"/>
      <c r="C97" s="230"/>
      <c r="D97" s="230"/>
      <c r="E97" s="230"/>
      <c r="F97" s="230"/>
      <c r="G97" s="287"/>
      <c r="H97" s="287"/>
      <c r="I97" s="230"/>
      <c r="J97" s="230"/>
      <c r="K97" s="230"/>
      <c r="L97" s="230"/>
      <c r="M97" s="230"/>
      <c r="N97" s="230"/>
      <c r="O97" s="230"/>
      <c r="P97" s="230"/>
      <c r="Q97" s="230"/>
      <c r="R97" s="230"/>
      <c r="S97" s="230"/>
      <c r="T97" s="230"/>
      <c r="U97" s="230"/>
      <c r="V97" s="230"/>
      <c r="W97" s="230"/>
      <c r="X97" s="230"/>
      <c r="Y97" s="230"/>
      <c r="Z97" s="230"/>
    </row>
    <row r="98" ht="15.75" customHeight="1" spans="1:26">
      <c r="A98" s="230"/>
      <c r="B98" s="287"/>
      <c r="C98" s="230"/>
      <c r="D98" s="230"/>
      <c r="E98" s="230"/>
      <c r="F98" s="230"/>
      <c r="G98" s="287"/>
      <c r="H98" s="287"/>
      <c r="I98" s="230"/>
      <c r="J98" s="230"/>
      <c r="K98" s="230"/>
      <c r="L98" s="230"/>
      <c r="M98" s="230"/>
      <c r="N98" s="230"/>
      <c r="O98" s="230"/>
      <c r="P98" s="230"/>
      <c r="Q98" s="230"/>
      <c r="R98" s="230"/>
      <c r="S98" s="230"/>
      <c r="T98" s="230"/>
      <c r="U98" s="230"/>
      <c r="V98" s="230"/>
      <c r="W98" s="230"/>
      <c r="X98" s="230"/>
      <c r="Y98" s="230"/>
      <c r="Z98" s="230"/>
    </row>
    <row r="99" ht="15.75" customHeight="1" spans="1:26">
      <c r="A99" s="230"/>
      <c r="B99" s="287"/>
      <c r="C99" s="230"/>
      <c r="D99" s="230"/>
      <c r="E99" s="230"/>
      <c r="F99" s="230"/>
      <c r="G99" s="287"/>
      <c r="H99" s="287"/>
      <c r="I99" s="230"/>
      <c r="J99" s="230"/>
      <c r="K99" s="230"/>
      <c r="L99" s="230"/>
      <c r="M99" s="230"/>
      <c r="N99" s="230"/>
      <c r="O99" s="230"/>
      <c r="P99" s="230"/>
      <c r="Q99" s="230"/>
      <c r="R99" s="230"/>
      <c r="S99" s="230"/>
      <c r="T99" s="230"/>
      <c r="U99" s="230"/>
      <c r="V99" s="230"/>
      <c r="W99" s="230"/>
      <c r="X99" s="230"/>
      <c r="Y99" s="230"/>
      <c r="Z99" s="230"/>
    </row>
    <row r="100" ht="15.75" customHeight="1" spans="1:26">
      <c r="A100" s="230"/>
      <c r="B100" s="287"/>
      <c r="C100" s="230"/>
      <c r="D100" s="230"/>
      <c r="E100" s="230"/>
      <c r="F100" s="230"/>
      <c r="G100" s="287"/>
      <c r="H100" s="287"/>
      <c r="I100" s="230"/>
      <c r="J100" s="230"/>
      <c r="K100" s="230"/>
      <c r="L100" s="230"/>
      <c r="M100" s="230"/>
      <c r="N100" s="230"/>
      <c r="O100" s="230"/>
      <c r="P100" s="230"/>
      <c r="Q100" s="230"/>
      <c r="R100" s="230"/>
      <c r="S100" s="230"/>
      <c r="T100" s="230"/>
      <c r="U100" s="230"/>
      <c r="V100" s="230"/>
      <c r="W100" s="230"/>
      <c r="X100" s="230"/>
      <c r="Y100" s="230"/>
      <c r="Z100" s="230"/>
    </row>
    <row r="101" ht="15.75" customHeight="1" spans="1:26">
      <c r="A101" s="230"/>
      <c r="B101" s="287"/>
      <c r="C101" s="230"/>
      <c r="D101" s="230"/>
      <c r="E101" s="230"/>
      <c r="F101" s="230"/>
      <c r="G101" s="287"/>
      <c r="H101" s="287"/>
      <c r="I101" s="230"/>
      <c r="J101" s="230"/>
      <c r="K101" s="230"/>
      <c r="L101" s="230"/>
      <c r="M101" s="230"/>
      <c r="N101" s="230"/>
      <c r="O101" s="230"/>
      <c r="P101" s="230"/>
      <c r="Q101" s="230"/>
      <c r="R101" s="230"/>
      <c r="S101" s="230"/>
      <c r="T101" s="230"/>
      <c r="U101" s="230"/>
      <c r="V101" s="230"/>
      <c r="W101" s="230"/>
      <c r="X101" s="230"/>
      <c r="Y101" s="230"/>
      <c r="Z101" s="230"/>
    </row>
    <row r="102" ht="15.75" customHeight="1" spans="1:26">
      <c r="A102" s="230"/>
      <c r="B102" s="287"/>
      <c r="C102" s="230"/>
      <c r="D102" s="230"/>
      <c r="E102" s="230"/>
      <c r="F102" s="230"/>
      <c r="G102" s="287"/>
      <c r="H102" s="287"/>
      <c r="I102" s="230"/>
      <c r="J102" s="230"/>
      <c r="K102" s="230"/>
      <c r="L102" s="230"/>
      <c r="M102" s="230"/>
      <c r="N102" s="230"/>
      <c r="O102" s="230"/>
      <c r="P102" s="230"/>
      <c r="Q102" s="230"/>
      <c r="R102" s="230"/>
      <c r="S102" s="230"/>
      <c r="T102" s="230"/>
      <c r="U102" s="230"/>
      <c r="V102" s="230"/>
      <c r="W102" s="230"/>
      <c r="X102" s="230"/>
      <c r="Y102" s="230"/>
      <c r="Z102" s="230"/>
    </row>
    <row r="103" ht="15.75" customHeight="1" spans="1:26">
      <c r="A103" s="230"/>
      <c r="B103" s="287"/>
      <c r="C103" s="230"/>
      <c r="D103" s="230"/>
      <c r="E103" s="230"/>
      <c r="F103" s="230"/>
      <c r="G103" s="287"/>
      <c r="H103" s="287"/>
      <c r="I103" s="230"/>
      <c r="J103" s="230"/>
      <c r="K103" s="230"/>
      <c r="L103" s="230"/>
      <c r="M103" s="230"/>
      <c r="N103" s="230"/>
      <c r="O103" s="230"/>
      <c r="P103" s="230"/>
      <c r="Q103" s="230"/>
      <c r="R103" s="230"/>
      <c r="S103" s="230"/>
      <c r="T103" s="230"/>
      <c r="U103" s="230"/>
      <c r="V103" s="230"/>
      <c r="W103" s="230"/>
      <c r="X103" s="230"/>
      <c r="Y103" s="230"/>
      <c r="Z103" s="230"/>
    </row>
    <row r="104" ht="15.75" customHeight="1" spans="1:26">
      <c r="A104" s="230"/>
      <c r="B104" s="287"/>
      <c r="C104" s="230"/>
      <c r="D104" s="230"/>
      <c r="E104" s="230"/>
      <c r="F104" s="230"/>
      <c r="G104" s="287"/>
      <c r="H104" s="287"/>
      <c r="I104" s="230"/>
      <c r="J104" s="230"/>
      <c r="K104" s="230"/>
      <c r="L104" s="230"/>
      <c r="M104" s="230"/>
      <c r="N104" s="230"/>
      <c r="O104" s="230"/>
      <c r="P104" s="230"/>
      <c r="Q104" s="230"/>
      <c r="R104" s="230"/>
      <c r="S104" s="230"/>
      <c r="T104" s="230"/>
      <c r="U104" s="230"/>
      <c r="V104" s="230"/>
      <c r="W104" s="230"/>
      <c r="X104" s="230"/>
      <c r="Y104" s="230"/>
      <c r="Z104" s="230"/>
    </row>
    <row r="105" ht="15.75" customHeight="1" spans="1:26">
      <c r="A105" s="230"/>
      <c r="B105" s="287"/>
      <c r="C105" s="230"/>
      <c r="D105" s="230"/>
      <c r="E105" s="230"/>
      <c r="F105" s="230"/>
      <c r="G105" s="287"/>
      <c r="H105" s="287"/>
      <c r="I105" s="230"/>
      <c r="J105" s="230"/>
      <c r="K105" s="230"/>
      <c r="L105" s="230"/>
      <c r="M105" s="230"/>
      <c r="N105" s="230"/>
      <c r="O105" s="230"/>
      <c r="P105" s="230"/>
      <c r="Q105" s="230"/>
      <c r="R105" s="230"/>
      <c r="S105" s="230"/>
      <c r="T105" s="230"/>
      <c r="U105" s="230"/>
      <c r="V105" s="230"/>
      <c r="W105" s="230"/>
      <c r="X105" s="230"/>
      <c r="Y105" s="230"/>
      <c r="Z105" s="230"/>
    </row>
    <row r="106" ht="15.75" customHeight="1" spans="1:26">
      <c r="A106" s="230"/>
      <c r="B106" s="287"/>
      <c r="C106" s="230"/>
      <c r="D106" s="230"/>
      <c r="E106" s="230"/>
      <c r="F106" s="230"/>
      <c r="G106" s="287"/>
      <c r="H106" s="287"/>
      <c r="I106" s="230"/>
      <c r="J106" s="230"/>
      <c r="K106" s="230"/>
      <c r="L106" s="230"/>
      <c r="M106" s="230"/>
      <c r="N106" s="230"/>
      <c r="O106" s="230"/>
      <c r="P106" s="230"/>
      <c r="Q106" s="230"/>
      <c r="R106" s="230"/>
      <c r="S106" s="230"/>
      <c r="T106" s="230"/>
      <c r="U106" s="230"/>
      <c r="V106" s="230"/>
      <c r="W106" s="230"/>
      <c r="X106" s="230"/>
      <c r="Y106" s="230"/>
      <c r="Z106" s="230"/>
    </row>
    <row r="107" ht="15.75" customHeight="1" spans="1:26">
      <c r="A107" s="230"/>
      <c r="B107" s="287"/>
      <c r="C107" s="230"/>
      <c r="D107" s="230"/>
      <c r="E107" s="230"/>
      <c r="F107" s="230"/>
      <c r="G107" s="287"/>
      <c r="H107" s="287"/>
      <c r="I107" s="230"/>
      <c r="J107" s="230"/>
      <c r="K107" s="230"/>
      <c r="L107" s="230"/>
      <c r="M107" s="230"/>
      <c r="N107" s="230"/>
      <c r="O107" s="230"/>
      <c r="P107" s="230"/>
      <c r="Q107" s="230"/>
      <c r="R107" s="230"/>
      <c r="S107" s="230"/>
      <c r="T107" s="230"/>
      <c r="U107" s="230"/>
      <c r="V107" s="230"/>
      <c r="W107" s="230"/>
      <c r="X107" s="230"/>
      <c r="Y107" s="230"/>
      <c r="Z107" s="230"/>
    </row>
    <row r="108" ht="15.75" customHeight="1" spans="1:26">
      <c r="A108" s="230"/>
      <c r="B108" s="287"/>
      <c r="C108" s="230"/>
      <c r="D108" s="230"/>
      <c r="E108" s="230"/>
      <c r="F108" s="230"/>
      <c r="G108" s="287"/>
      <c r="H108" s="287"/>
      <c r="I108" s="230"/>
      <c r="J108" s="230"/>
      <c r="K108" s="230"/>
      <c r="L108" s="230"/>
      <c r="M108" s="230"/>
      <c r="N108" s="230"/>
      <c r="O108" s="230"/>
      <c r="P108" s="230"/>
      <c r="Q108" s="230"/>
      <c r="R108" s="230"/>
      <c r="S108" s="230"/>
      <c r="T108" s="230"/>
      <c r="U108" s="230"/>
      <c r="V108" s="230"/>
      <c r="W108" s="230"/>
      <c r="X108" s="230"/>
      <c r="Y108" s="230"/>
      <c r="Z108" s="230"/>
    </row>
    <row r="109" ht="15.75" customHeight="1" spans="1:26">
      <c r="A109" s="230"/>
      <c r="B109" s="287"/>
      <c r="C109" s="230"/>
      <c r="D109" s="230"/>
      <c r="E109" s="230"/>
      <c r="F109" s="230"/>
      <c r="G109" s="287"/>
      <c r="H109" s="287"/>
      <c r="I109" s="230"/>
      <c r="J109" s="230"/>
      <c r="K109" s="230"/>
      <c r="L109" s="230"/>
      <c r="M109" s="230"/>
      <c r="N109" s="230"/>
      <c r="O109" s="230"/>
      <c r="P109" s="230"/>
      <c r="Q109" s="230"/>
      <c r="R109" s="230"/>
      <c r="S109" s="230"/>
      <c r="T109" s="230"/>
      <c r="U109" s="230"/>
      <c r="V109" s="230"/>
      <c r="W109" s="230"/>
      <c r="X109" s="230"/>
      <c r="Y109" s="230"/>
      <c r="Z109" s="230"/>
    </row>
    <row r="110" ht="15.75" customHeight="1" spans="1:26">
      <c r="A110" s="230"/>
      <c r="B110" s="287"/>
      <c r="C110" s="230"/>
      <c r="D110" s="230"/>
      <c r="E110" s="230"/>
      <c r="F110" s="230"/>
      <c r="G110" s="287"/>
      <c r="H110" s="287"/>
      <c r="I110" s="230"/>
      <c r="J110" s="230"/>
      <c r="K110" s="230"/>
      <c r="L110" s="230"/>
      <c r="M110" s="230"/>
      <c r="N110" s="230"/>
      <c r="O110" s="230"/>
      <c r="P110" s="230"/>
      <c r="Q110" s="230"/>
      <c r="R110" s="230"/>
      <c r="S110" s="230"/>
      <c r="T110" s="230"/>
      <c r="U110" s="230"/>
      <c r="V110" s="230"/>
      <c r="W110" s="230"/>
      <c r="X110" s="230"/>
      <c r="Y110" s="230"/>
      <c r="Z110" s="230"/>
    </row>
    <row r="111" ht="15.75" customHeight="1" spans="1:26">
      <c r="A111" s="230"/>
      <c r="B111" s="287"/>
      <c r="C111" s="230"/>
      <c r="D111" s="230"/>
      <c r="E111" s="230"/>
      <c r="F111" s="230"/>
      <c r="G111" s="287"/>
      <c r="H111" s="287"/>
      <c r="I111" s="230"/>
      <c r="J111" s="230"/>
      <c r="K111" s="230"/>
      <c r="L111" s="230"/>
      <c r="M111" s="230"/>
      <c r="N111" s="230"/>
      <c r="O111" s="230"/>
      <c r="P111" s="230"/>
      <c r="Q111" s="230"/>
      <c r="R111" s="230"/>
      <c r="S111" s="230"/>
      <c r="T111" s="230"/>
      <c r="U111" s="230"/>
      <c r="V111" s="230"/>
      <c r="W111" s="230"/>
      <c r="X111" s="230"/>
      <c r="Y111" s="230"/>
      <c r="Z111" s="230"/>
    </row>
    <row r="112" ht="15.75" customHeight="1" spans="1:26">
      <c r="A112" s="230"/>
      <c r="B112" s="287"/>
      <c r="C112" s="230"/>
      <c r="D112" s="230"/>
      <c r="E112" s="230"/>
      <c r="F112" s="230"/>
      <c r="G112" s="287"/>
      <c r="H112" s="287"/>
      <c r="I112" s="230"/>
      <c r="J112" s="230"/>
      <c r="K112" s="230"/>
      <c r="L112" s="230"/>
      <c r="M112" s="230"/>
      <c r="N112" s="230"/>
      <c r="O112" s="230"/>
      <c r="P112" s="230"/>
      <c r="Q112" s="230"/>
      <c r="R112" s="230"/>
      <c r="S112" s="230"/>
      <c r="T112" s="230"/>
      <c r="U112" s="230"/>
      <c r="V112" s="230"/>
      <c r="W112" s="230"/>
      <c r="X112" s="230"/>
      <c r="Y112" s="230"/>
      <c r="Z112" s="230"/>
    </row>
    <row r="113" ht="15.75" customHeight="1" spans="1:26">
      <c r="A113" s="230"/>
      <c r="B113" s="287"/>
      <c r="C113" s="230"/>
      <c r="D113" s="230"/>
      <c r="E113" s="230"/>
      <c r="F113" s="230"/>
      <c r="G113" s="287"/>
      <c r="H113" s="287"/>
      <c r="I113" s="230"/>
      <c r="J113" s="230"/>
      <c r="K113" s="230"/>
      <c r="L113" s="230"/>
      <c r="M113" s="230"/>
      <c r="N113" s="230"/>
      <c r="O113" s="230"/>
      <c r="P113" s="230"/>
      <c r="Q113" s="230"/>
      <c r="R113" s="230"/>
      <c r="S113" s="230"/>
      <c r="T113" s="230"/>
      <c r="U113" s="230"/>
      <c r="V113" s="230"/>
      <c r="W113" s="230"/>
      <c r="X113" s="230"/>
      <c r="Y113" s="230"/>
      <c r="Z113" s="230"/>
    </row>
    <row r="114" ht="15.75" customHeight="1" spans="1:26">
      <c r="A114" s="230"/>
      <c r="B114" s="287"/>
      <c r="C114" s="230"/>
      <c r="D114" s="230"/>
      <c r="E114" s="230"/>
      <c r="F114" s="230"/>
      <c r="G114" s="287"/>
      <c r="H114" s="287"/>
      <c r="I114" s="230"/>
      <c r="J114" s="230"/>
      <c r="K114" s="230"/>
      <c r="L114" s="230"/>
      <c r="M114" s="230"/>
      <c r="N114" s="230"/>
      <c r="O114" s="230"/>
      <c r="P114" s="230"/>
      <c r="Q114" s="230"/>
      <c r="R114" s="230"/>
      <c r="S114" s="230"/>
      <c r="T114" s="230"/>
      <c r="U114" s="230"/>
      <c r="V114" s="230"/>
      <c r="W114" s="230"/>
      <c r="X114" s="230"/>
      <c r="Y114" s="230"/>
      <c r="Z114" s="230"/>
    </row>
    <row r="115" ht="15.75" customHeight="1" spans="1:26">
      <c r="A115" s="230"/>
      <c r="B115" s="287"/>
      <c r="C115" s="230"/>
      <c r="D115" s="230"/>
      <c r="E115" s="230"/>
      <c r="F115" s="230"/>
      <c r="G115" s="287"/>
      <c r="H115" s="287"/>
      <c r="I115" s="230"/>
      <c r="J115" s="230"/>
      <c r="K115" s="230"/>
      <c r="L115" s="230"/>
      <c r="M115" s="230"/>
      <c r="N115" s="230"/>
      <c r="O115" s="230"/>
      <c r="P115" s="230"/>
      <c r="Q115" s="230"/>
      <c r="R115" s="230"/>
      <c r="S115" s="230"/>
      <c r="T115" s="230"/>
      <c r="U115" s="230"/>
      <c r="V115" s="230"/>
      <c r="W115" s="230"/>
      <c r="X115" s="230"/>
      <c r="Y115" s="230"/>
      <c r="Z115" s="230"/>
    </row>
    <row r="116" ht="15.75" customHeight="1" spans="1:26">
      <c r="A116" s="230"/>
      <c r="B116" s="287"/>
      <c r="C116" s="230"/>
      <c r="D116" s="230"/>
      <c r="E116" s="230"/>
      <c r="F116" s="230"/>
      <c r="G116" s="287"/>
      <c r="H116" s="287"/>
      <c r="I116" s="230"/>
      <c r="J116" s="230"/>
      <c r="K116" s="230"/>
      <c r="L116" s="230"/>
      <c r="M116" s="230"/>
      <c r="N116" s="230"/>
      <c r="O116" s="230"/>
      <c r="P116" s="230"/>
      <c r="Q116" s="230"/>
      <c r="R116" s="230"/>
      <c r="S116" s="230"/>
      <c r="T116" s="230"/>
      <c r="U116" s="230"/>
      <c r="V116" s="230"/>
      <c r="W116" s="230"/>
      <c r="X116" s="230"/>
      <c r="Y116" s="230"/>
      <c r="Z116" s="230"/>
    </row>
    <row r="117" ht="15.75" customHeight="1" spans="1:26">
      <c r="A117" s="230"/>
      <c r="B117" s="287"/>
      <c r="C117" s="230"/>
      <c r="D117" s="230"/>
      <c r="E117" s="230"/>
      <c r="F117" s="230"/>
      <c r="G117" s="287"/>
      <c r="H117" s="287"/>
      <c r="I117" s="230"/>
      <c r="J117" s="230"/>
      <c r="K117" s="230"/>
      <c r="L117" s="230"/>
      <c r="M117" s="230"/>
      <c r="N117" s="230"/>
      <c r="O117" s="230"/>
      <c r="P117" s="230"/>
      <c r="Q117" s="230"/>
      <c r="R117" s="230"/>
      <c r="S117" s="230"/>
      <c r="T117" s="230"/>
      <c r="U117" s="230"/>
      <c r="V117" s="230"/>
      <c r="W117" s="230"/>
      <c r="X117" s="230"/>
      <c r="Y117" s="230"/>
      <c r="Z117" s="230"/>
    </row>
    <row r="118" ht="15.75" customHeight="1" spans="1:26">
      <c r="A118" s="230"/>
      <c r="B118" s="287"/>
      <c r="C118" s="230"/>
      <c r="D118" s="230"/>
      <c r="E118" s="230"/>
      <c r="F118" s="230"/>
      <c r="G118" s="287"/>
      <c r="H118" s="287"/>
      <c r="I118" s="230"/>
      <c r="J118" s="230"/>
      <c r="K118" s="230"/>
      <c r="L118" s="230"/>
      <c r="M118" s="230"/>
      <c r="N118" s="230"/>
      <c r="O118" s="230"/>
      <c r="P118" s="230"/>
      <c r="Q118" s="230"/>
      <c r="R118" s="230"/>
      <c r="S118" s="230"/>
      <c r="T118" s="230"/>
      <c r="U118" s="230"/>
      <c r="V118" s="230"/>
      <c r="W118" s="230"/>
      <c r="X118" s="230"/>
      <c r="Y118" s="230"/>
      <c r="Z118" s="230"/>
    </row>
    <row r="119" ht="15.75" customHeight="1" spans="1:26">
      <c r="A119" s="230"/>
      <c r="B119" s="287"/>
      <c r="C119" s="230"/>
      <c r="D119" s="230"/>
      <c r="E119" s="230"/>
      <c r="F119" s="230"/>
      <c r="G119" s="287"/>
      <c r="H119" s="287"/>
      <c r="I119" s="230"/>
      <c r="J119" s="230"/>
      <c r="K119" s="230"/>
      <c r="L119" s="230"/>
      <c r="M119" s="230"/>
      <c r="N119" s="230"/>
      <c r="O119" s="230"/>
      <c r="P119" s="230"/>
      <c r="Q119" s="230"/>
      <c r="R119" s="230"/>
      <c r="S119" s="230"/>
      <c r="T119" s="230"/>
      <c r="U119" s="230"/>
      <c r="V119" s="230"/>
      <c r="W119" s="230"/>
      <c r="X119" s="230"/>
      <c r="Y119" s="230"/>
      <c r="Z119" s="230"/>
    </row>
    <row r="120" ht="15.75" customHeight="1" spans="1:26">
      <c r="A120" s="230"/>
      <c r="B120" s="287"/>
      <c r="C120" s="230"/>
      <c r="D120" s="230"/>
      <c r="E120" s="230"/>
      <c r="F120" s="230"/>
      <c r="G120" s="287"/>
      <c r="H120" s="287"/>
      <c r="I120" s="230"/>
      <c r="J120" s="230"/>
      <c r="K120" s="230"/>
      <c r="L120" s="230"/>
      <c r="M120" s="230"/>
      <c r="N120" s="230"/>
      <c r="O120" s="230"/>
      <c r="P120" s="230"/>
      <c r="Q120" s="230"/>
      <c r="R120" s="230"/>
      <c r="S120" s="230"/>
      <c r="T120" s="230"/>
      <c r="U120" s="230"/>
      <c r="V120" s="230"/>
      <c r="W120" s="230"/>
      <c r="X120" s="230"/>
      <c r="Y120" s="230"/>
      <c r="Z120" s="230"/>
    </row>
    <row r="121" ht="15.75" customHeight="1" spans="1:26">
      <c r="A121" s="230"/>
      <c r="B121" s="287"/>
      <c r="C121" s="230"/>
      <c r="D121" s="230"/>
      <c r="E121" s="230"/>
      <c r="F121" s="230"/>
      <c r="G121" s="287"/>
      <c r="H121" s="287"/>
      <c r="I121" s="230"/>
      <c r="J121" s="230"/>
      <c r="K121" s="230"/>
      <c r="L121" s="230"/>
      <c r="M121" s="230"/>
      <c r="N121" s="230"/>
      <c r="O121" s="230"/>
      <c r="P121" s="230"/>
      <c r="Q121" s="230"/>
      <c r="R121" s="230"/>
      <c r="S121" s="230"/>
      <c r="T121" s="230"/>
      <c r="U121" s="230"/>
      <c r="V121" s="230"/>
      <c r="W121" s="230"/>
      <c r="X121" s="230"/>
      <c r="Y121" s="230"/>
      <c r="Z121" s="230"/>
    </row>
    <row r="122" ht="15.75" customHeight="1" spans="1:26">
      <c r="A122" s="230"/>
      <c r="B122" s="287"/>
      <c r="C122" s="230"/>
      <c r="D122" s="230"/>
      <c r="E122" s="230"/>
      <c r="F122" s="230"/>
      <c r="G122" s="287"/>
      <c r="H122" s="287"/>
      <c r="I122" s="230"/>
      <c r="J122" s="230"/>
      <c r="K122" s="230"/>
      <c r="L122" s="230"/>
      <c r="M122" s="230"/>
      <c r="N122" s="230"/>
      <c r="O122" s="230"/>
      <c r="P122" s="230"/>
      <c r="Q122" s="230"/>
      <c r="R122" s="230"/>
      <c r="S122" s="230"/>
      <c r="T122" s="230"/>
      <c r="U122" s="230"/>
      <c r="V122" s="230"/>
      <c r="W122" s="230"/>
      <c r="X122" s="230"/>
      <c r="Y122" s="230"/>
      <c r="Z122" s="230"/>
    </row>
    <row r="123" ht="15.75" customHeight="1" spans="1:26">
      <c r="A123" s="230"/>
      <c r="B123" s="287"/>
      <c r="C123" s="230"/>
      <c r="D123" s="230"/>
      <c r="E123" s="230"/>
      <c r="F123" s="230"/>
      <c r="G123" s="287"/>
      <c r="H123" s="287"/>
      <c r="I123" s="230"/>
      <c r="J123" s="230"/>
      <c r="K123" s="230"/>
      <c r="L123" s="230"/>
      <c r="M123" s="230"/>
      <c r="N123" s="230"/>
      <c r="O123" s="230"/>
      <c r="P123" s="230"/>
      <c r="Q123" s="230"/>
      <c r="R123" s="230"/>
      <c r="S123" s="230"/>
      <c r="T123" s="230"/>
      <c r="U123" s="230"/>
      <c r="V123" s="230"/>
      <c r="W123" s="230"/>
      <c r="X123" s="230"/>
      <c r="Y123" s="230"/>
      <c r="Z123" s="230"/>
    </row>
    <row r="124" ht="15.75" customHeight="1" spans="1:26">
      <c r="A124" s="230"/>
      <c r="B124" s="287"/>
      <c r="C124" s="230"/>
      <c r="D124" s="230"/>
      <c r="E124" s="230"/>
      <c r="F124" s="230"/>
      <c r="G124" s="287"/>
      <c r="H124" s="287"/>
      <c r="I124" s="230"/>
      <c r="J124" s="230"/>
      <c r="K124" s="230"/>
      <c r="L124" s="230"/>
      <c r="M124" s="230"/>
      <c r="N124" s="230"/>
      <c r="O124" s="230"/>
      <c r="P124" s="230"/>
      <c r="Q124" s="230"/>
      <c r="R124" s="230"/>
      <c r="S124" s="230"/>
      <c r="T124" s="230"/>
      <c r="U124" s="230"/>
      <c r="V124" s="230"/>
      <c r="W124" s="230"/>
      <c r="X124" s="230"/>
      <c r="Y124" s="230"/>
      <c r="Z124" s="230"/>
    </row>
    <row r="125" ht="15.75" customHeight="1" spans="1:26">
      <c r="A125" s="230"/>
      <c r="B125" s="287"/>
      <c r="C125" s="230"/>
      <c r="D125" s="230"/>
      <c r="E125" s="230"/>
      <c r="F125" s="230"/>
      <c r="G125" s="287"/>
      <c r="H125" s="287"/>
      <c r="I125" s="230"/>
      <c r="J125" s="230"/>
      <c r="K125" s="230"/>
      <c r="L125" s="230"/>
      <c r="M125" s="230"/>
      <c r="N125" s="230"/>
      <c r="O125" s="230"/>
      <c r="P125" s="230"/>
      <c r="Q125" s="230"/>
      <c r="R125" s="230"/>
      <c r="S125" s="230"/>
      <c r="T125" s="230"/>
      <c r="U125" s="230"/>
      <c r="V125" s="230"/>
      <c r="W125" s="230"/>
      <c r="X125" s="230"/>
      <c r="Y125" s="230"/>
      <c r="Z125" s="230"/>
    </row>
    <row r="126" ht="15.75" customHeight="1" spans="1:26">
      <c r="A126" s="230"/>
      <c r="B126" s="287"/>
      <c r="C126" s="230"/>
      <c r="D126" s="230"/>
      <c r="E126" s="230"/>
      <c r="F126" s="230"/>
      <c r="G126" s="287"/>
      <c r="H126" s="287"/>
      <c r="I126" s="230"/>
      <c r="J126" s="230"/>
      <c r="K126" s="230"/>
      <c r="L126" s="230"/>
      <c r="M126" s="230"/>
      <c r="N126" s="230"/>
      <c r="O126" s="230"/>
      <c r="P126" s="230"/>
      <c r="Q126" s="230"/>
      <c r="R126" s="230"/>
      <c r="S126" s="230"/>
      <c r="T126" s="230"/>
      <c r="U126" s="230"/>
      <c r="V126" s="230"/>
      <c r="W126" s="230"/>
      <c r="X126" s="230"/>
      <c r="Y126" s="230"/>
      <c r="Z126" s="230"/>
    </row>
    <row r="127" ht="15.75" customHeight="1" spans="1:26">
      <c r="A127" s="230"/>
      <c r="B127" s="287"/>
      <c r="C127" s="230"/>
      <c r="D127" s="230"/>
      <c r="E127" s="230"/>
      <c r="F127" s="230"/>
      <c r="G127" s="287"/>
      <c r="H127" s="287"/>
      <c r="I127" s="230"/>
      <c r="J127" s="230"/>
      <c r="K127" s="230"/>
      <c r="L127" s="230"/>
      <c r="M127" s="230"/>
      <c r="N127" s="230"/>
      <c r="O127" s="230"/>
      <c r="P127" s="230"/>
      <c r="Q127" s="230"/>
      <c r="R127" s="230"/>
      <c r="S127" s="230"/>
      <c r="T127" s="230"/>
      <c r="U127" s="230"/>
      <c r="V127" s="230"/>
      <c r="W127" s="230"/>
      <c r="X127" s="230"/>
      <c r="Y127" s="230"/>
      <c r="Z127" s="230"/>
    </row>
    <row r="128" ht="15.75" customHeight="1" spans="1:26">
      <c r="A128" s="230"/>
      <c r="B128" s="287"/>
      <c r="C128" s="230"/>
      <c r="D128" s="230"/>
      <c r="E128" s="230"/>
      <c r="F128" s="230"/>
      <c r="G128" s="287"/>
      <c r="H128" s="287"/>
      <c r="I128" s="230"/>
      <c r="J128" s="230"/>
      <c r="K128" s="230"/>
      <c r="L128" s="230"/>
      <c r="M128" s="230"/>
      <c r="N128" s="230"/>
      <c r="O128" s="230"/>
      <c r="P128" s="230"/>
      <c r="Q128" s="230"/>
      <c r="R128" s="230"/>
      <c r="S128" s="230"/>
      <c r="T128" s="230"/>
      <c r="U128" s="230"/>
      <c r="V128" s="230"/>
      <c r="W128" s="230"/>
      <c r="X128" s="230"/>
      <c r="Y128" s="230"/>
      <c r="Z128" s="230"/>
    </row>
    <row r="129" ht="15.75" customHeight="1" spans="1:26">
      <c r="A129" s="230"/>
      <c r="B129" s="287"/>
      <c r="C129" s="230"/>
      <c r="D129" s="230"/>
      <c r="E129" s="230"/>
      <c r="F129" s="230"/>
      <c r="G129" s="287"/>
      <c r="H129" s="287"/>
      <c r="I129" s="230"/>
      <c r="J129" s="230"/>
      <c r="K129" s="230"/>
      <c r="L129" s="230"/>
      <c r="M129" s="230"/>
      <c r="N129" s="230"/>
      <c r="O129" s="230"/>
      <c r="P129" s="230"/>
      <c r="Q129" s="230"/>
      <c r="R129" s="230"/>
      <c r="S129" s="230"/>
      <c r="T129" s="230"/>
      <c r="U129" s="230"/>
      <c r="V129" s="230"/>
      <c r="W129" s="230"/>
      <c r="X129" s="230"/>
      <c r="Y129" s="230"/>
      <c r="Z129" s="230"/>
    </row>
    <row r="130" ht="15.75" customHeight="1" spans="1:26">
      <c r="A130" s="230"/>
      <c r="B130" s="287"/>
      <c r="C130" s="230"/>
      <c r="D130" s="230"/>
      <c r="E130" s="230"/>
      <c r="F130" s="230"/>
      <c r="G130" s="287"/>
      <c r="H130" s="287"/>
      <c r="I130" s="230"/>
      <c r="J130" s="230"/>
      <c r="K130" s="230"/>
      <c r="L130" s="230"/>
      <c r="M130" s="230"/>
      <c r="N130" s="230"/>
      <c r="O130" s="230"/>
      <c r="P130" s="230"/>
      <c r="Q130" s="230"/>
      <c r="R130" s="230"/>
      <c r="S130" s="230"/>
      <c r="T130" s="230"/>
      <c r="U130" s="230"/>
      <c r="V130" s="230"/>
      <c r="W130" s="230"/>
      <c r="X130" s="230"/>
      <c r="Y130" s="230"/>
      <c r="Z130" s="230"/>
    </row>
    <row r="131" ht="15.75" customHeight="1" spans="1:26">
      <c r="A131" s="230"/>
      <c r="B131" s="287"/>
      <c r="C131" s="230"/>
      <c r="D131" s="230"/>
      <c r="E131" s="230"/>
      <c r="F131" s="230"/>
      <c r="G131" s="287"/>
      <c r="H131" s="287"/>
      <c r="I131" s="230"/>
      <c r="J131" s="230"/>
      <c r="K131" s="230"/>
      <c r="L131" s="230"/>
      <c r="M131" s="230"/>
      <c r="N131" s="230"/>
      <c r="O131" s="230"/>
      <c r="P131" s="230"/>
      <c r="Q131" s="230"/>
      <c r="R131" s="230"/>
      <c r="S131" s="230"/>
      <c r="T131" s="230"/>
      <c r="U131" s="230"/>
      <c r="V131" s="230"/>
      <c r="W131" s="230"/>
      <c r="X131" s="230"/>
      <c r="Y131" s="230"/>
      <c r="Z131" s="230"/>
    </row>
    <row r="132" ht="15.75" customHeight="1" spans="1:26">
      <c r="A132" s="230"/>
      <c r="B132" s="287"/>
      <c r="C132" s="230"/>
      <c r="D132" s="230"/>
      <c r="E132" s="230"/>
      <c r="F132" s="230"/>
      <c r="G132" s="287"/>
      <c r="H132" s="287"/>
      <c r="I132" s="230"/>
      <c r="J132" s="230"/>
      <c r="K132" s="230"/>
      <c r="L132" s="230"/>
      <c r="M132" s="230"/>
      <c r="N132" s="230"/>
      <c r="O132" s="230"/>
      <c r="P132" s="230"/>
      <c r="Q132" s="230"/>
      <c r="R132" s="230"/>
      <c r="S132" s="230"/>
      <c r="T132" s="230"/>
      <c r="U132" s="230"/>
      <c r="V132" s="230"/>
      <c r="W132" s="230"/>
      <c r="X132" s="230"/>
      <c r="Y132" s="230"/>
      <c r="Z132" s="230"/>
    </row>
    <row r="133" ht="15.75" customHeight="1" spans="1:26">
      <c r="A133" s="230"/>
      <c r="B133" s="287"/>
      <c r="C133" s="230"/>
      <c r="D133" s="230"/>
      <c r="E133" s="230"/>
      <c r="F133" s="230"/>
      <c r="G133" s="287"/>
      <c r="H133" s="287"/>
      <c r="I133" s="230"/>
      <c r="J133" s="230"/>
      <c r="K133" s="230"/>
      <c r="L133" s="230"/>
      <c r="M133" s="230"/>
      <c r="N133" s="230"/>
      <c r="O133" s="230"/>
      <c r="P133" s="230"/>
      <c r="Q133" s="230"/>
      <c r="R133" s="230"/>
      <c r="S133" s="230"/>
      <c r="T133" s="230"/>
      <c r="U133" s="230"/>
      <c r="V133" s="230"/>
      <c r="W133" s="230"/>
      <c r="X133" s="230"/>
      <c r="Y133" s="230"/>
      <c r="Z133" s="230"/>
    </row>
    <row r="134" ht="15.75" customHeight="1" spans="1:26">
      <c r="A134" s="230"/>
      <c r="B134" s="287"/>
      <c r="C134" s="230"/>
      <c r="D134" s="230"/>
      <c r="E134" s="230"/>
      <c r="F134" s="230"/>
      <c r="G134" s="287"/>
      <c r="H134" s="287"/>
      <c r="I134" s="230"/>
      <c r="J134" s="230"/>
      <c r="K134" s="230"/>
      <c r="L134" s="230"/>
      <c r="M134" s="230"/>
      <c r="N134" s="230"/>
      <c r="O134" s="230"/>
      <c r="P134" s="230"/>
      <c r="Q134" s="230"/>
      <c r="R134" s="230"/>
      <c r="S134" s="230"/>
      <c r="T134" s="230"/>
      <c r="U134" s="230"/>
      <c r="V134" s="230"/>
      <c r="W134" s="230"/>
      <c r="X134" s="230"/>
      <c r="Y134" s="230"/>
      <c r="Z134" s="230"/>
    </row>
    <row r="135" ht="15.75" customHeight="1" spans="1:26">
      <c r="A135" s="230"/>
      <c r="B135" s="287"/>
      <c r="C135" s="230"/>
      <c r="D135" s="230"/>
      <c r="E135" s="230"/>
      <c r="F135" s="230"/>
      <c r="G135" s="287"/>
      <c r="H135" s="287"/>
      <c r="I135" s="230"/>
      <c r="J135" s="230"/>
      <c r="K135" s="230"/>
      <c r="L135" s="230"/>
      <c r="M135" s="230"/>
      <c r="N135" s="230"/>
      <c r="O135" s="230"/>
      <c r="P135" s="230"/>
      <c r="Q135" s="230"/>
      <c r="R135" s="230"/>
      <c r="S135" s="230"/>
      <c r="T135" s="230"/>
      <c r="U135" s="230"/>
      <c r="V135" s="230"/>
      <c r="W135" s="230"/>
      <c r="X135" s="230"/>
      <c r="Y135" s="230"/>
      <c r="Z135" s="230"/>
    </row>
    <row r="136" ht="15.75" customHeight="1" spans="1:26">
      <c r="A136" s="230"/>
      <c r="B136" s="287"/>
      <c r="C136" s="230"/>
      <c r="D136" s="230"/>
      <c r="E136" s="230"/>
      <c r="F136" s="230"/>
      <c r="G136" s="287"/>
      <c r="H136" s="287"/>
      <c r="I136" s="230"/>
      <c r="J136" s="230"/>
      <c r="K136" s="230"/>
      <c r="L136" s="230"/>
      <c r="M136" s="230"/>
      <c r="N136" s="230"/>
      <c r="O136" s="230"/>
      <c r="P136" s="230"/>
      <c r="Q136" s="230"/>
      <c r="R136" s="230"/>
      <c r="S136" s="230"/>
      <c r="T136" s="230"/>
      <c r="U136" s="230"/>
      <c r="V136" s="230"/>
      <c r="W136" s="230"/>
      <c r="X136" s="230"/>
      <c r="Y136" s="230"/>
      <c r="Z136" s="230"/>
    </row>
    <row r="137" ht="15.75" customHeight="1" spans="1:26">
      <c r="A137" s="230"/>
      <c r="B137" s="287"/>
      <c r="C137" s="230"/>
      <c r="D137" s="230"/>
      <c r="E137" s="230"/>
      <c r="F137" s="230"/>
      <c r="G137" s="287"/>
      <c r="H137" s="287"/>
      <c r="I137" s="230"/>
      <c r="J137" s="230"/>
      <c r="K137" s="230"/>
      <c r="L137" s="230"/>
      <c r="M137" s="230"/>
      <c r="N137" s="230"/>
      <c r="O137" s="230"/>
      <c r="P137" s="230"/>
      <c r="Q137" s="230"/>
      <c r="R137" s="230"/>
      <c r="S137" s="230"/>
      <c r="T137" s="230"/>
      <c r="U137" s="230"/>
      <c r="V137" s="230"/>
      <c r="W137" s="230"/>
      <c r="X137" s="230"/>
      <c r="Y137" s="230"/>
      <c r="Z137" s="230"/>
    </row>
    <row r="138" ht="15.75" customHeight="1" spans="1:26">
      <c r="A138" s="230"/>
      <c r="B138" s="287"/>
      <c r="C138" s="230"/>
      <c r="D138" s="230"/>
      <c r="E138" s="230"/>
      <c r="F138" s="230"/>
      <c r="G138" s="287"/>
      <c r="H138" s="287"/>
      <c r="I138" s="230"/>
      <c r="J138" s="230"/>
      <c r="K138" s="230"/>
      <c r="L138" s="230"/>
      <c r="M138" s="230"/>
      <c r="N138" s="230"/>
      <c r="O138" s="230"/>
      <c r="P138" s="230"/>
      <c r="Q138" s="230"/>
      <c r="R138" s="230"/>
      <c r="S138" s="230"/>
      <c r="T138" s="230"/>
      <c r="U138" s="230"/>
      <c r="V138" s="230"/>
      <c r="W138" s="230"/>
      <c r="X138" s="230"/>
      <c r="Y138" s="230"/>
      <c r="Z138" s="230"/>
    </row>
    <row r="139" ht="15.75" customHeight="1" spans="1:26">
      <c r="A139" s="230"/>
      <c r="B139" s="287"/>
      <c r="C139" s="230"/>
      <c r="D139" s="230"/>
      <c r="E139" s="230"/>
      <c r="F139" s="230"/>
      <c r="G139" s="287"/>
      <c r="H139" s="287"/>
      <c r="I139" s="230"/>
      <c r="J139" s="230"/>
      <c r="K139" s="230"/>
      <c r="L139" s="230"/>
      <c r="M139" s="230"/>
      <c r="N139" s="230"/>
      <c r="O139" s="230"/>
      <c r="P139" s="230"/>
      <c r="Q139" s="230"/>
      <c r="R139" s="230"/>
      <c r="S139" s="230"/>
      <c r="T139" s="230"/>
      <c r="U139" s="230"/>
      <c r="V139" s="230"/>
      <c r="W139" s="230"/>
      <c r="X139" s="230"/>
      <c r="Y139" s="230"/>
      <c r="Z139" s="230"/>
    </row>
    <row r="140" ht="15.75" customHeight="1" spans="1:26">
      <c r="A140" s="230"/>
      <c r="B140" s="287"/>
      <c r="C140" s="230"/>
      <c r="D140" s="230"/>
      <c r="E140" s="230"/>
      <c r="F140" s="230"/>
      <c r="G140" s="287"/>
      <c r="H140" s="287"/>
      <c r="I140" s="230"/>
      <c r="J140" s="230"/>
      <c r="K140" s="230"/>
      <c r="L140" s="230"/>
      <c r="M140" s="230"/>
      <c r="N140" s="230"/>
      <c r="O140" s="230"/>
      <c r="P140" s="230"/>
      <c r="Q140" s="230"/>
      <c r="R140" s="230"/>
      <c r="S140" s="230"/>
      <c r="T140" s="230"/>
      <c r="U140" s="230"/>
      <c r="V140" s="230"/>
      <c r="W140" s="230"/>
      <c r="X140" s="230"/>
      <c r="Y140" s="230"/>
      <c r="Z140" s="230"/>
    </row>
    <row r="141" ht="15.75" customHeight="1" spans="1:26">
      <c r="A141" s="230"/>
      <c r="B141" s="287"/>
      <c r="C141" s="230"/>
      <c r="D141" s="230"/>
      <c r="E141" s="230"/>
      <c r="F141" s="230"/>
      <c r="G141" s="287"/>
      <c r="H141" s="287"/>
      <c r="I141" s="230"/>
      <c r="J141" s="230"/>
      <c r="K141" s="230"/>
      <c r="L141" s="230"/>
      <c r="M141" s="230"/>
      <c r="N141" s="230"/>
      <c r="O141" s="230"/>
      <c r="P141" s="230"/>
      <c r="Q141" s="230"/>
      <c r="R141" s="230"/>
      <c r="S141" s="230"/>
      <c r="T141" s="230"/>
      <c r="U141" s="230"/>
      <c r="V141" s="230"/>
      <c r="W141" s="230"/>
      <c r="X141" s="230"/>
      <c r="Y141" s="230"/>
      <c r="Z141" s="230"/>
    </row>
    <row r="142" ht="15.75" customHeight="1" spans="1:26">
      <c r="A142" s="230"/>
      <c r="B142" s="287"/>
      <c r="C142" s="230"/>
      <c r="D142" s="230"/>
      <c r="E142" s="230"/>
      <c r="F142" s="230"/>
      <c r="G142" s="287"/>
      <c r="H142" s="287"/>
      <c r="I142" s="230"/>
      <c r="J142" s="230"/>
      <c r="K142" s="230"/>
      <c r="L142" s="230"/>
      <c r="M142" s="230"/>
      <c r="N142" s="230"/>
      <c r="O142" s="230"/>
      <c r="P142" s="230"/>
      <c r="Q142" s="230"/>
      <c r="R142" s="230"/>
      <c r="S142" s="230"/>
      <c r="T142" s="230"/>
      <c r="U142" s="230"/>
      <c r="V142" s="230"/>
      <c r="W142" s="230"/>
      <c r="X142" s="230"/>
      <c r="Y142" s="230"/>
      <c r="Z142" s="230"/>
    </row>
    <row r="143" ht="15.75" customHeight="1" spans="1:26">
      <c r="A143" s="230"/>
      <c r="B143" s="287"/>
      <c r="C143" s="230"/>
      <c r="D143" s="230"/>
      <c r="E143" s="230"/>
      <c r="F143" s="230"/>
      <c r="G143" s="287"/>
      <c r="H143" s="287"/>
      <c r="I143" s="230"/>
      <c r="J143" s="230"/>
      <c r="K143" s="230"/>
      <c r="L143" s="230"/>
      <c r="M143" s="230"/>
      <c r="N143" s="230"/>
      <c r="O143" s="230"/>
      <c r="P143" s="230"/>
      <c r="Q143" s="230"/>
      <c r="R143" s="230"/>
      <c r="S143" s="230"/>
      <c r="T143" s="230"/>
      <c r="U143" s="230"/>
      <c r="V143" s="230"/>
      <c r="W143" s="230"/>
      <c r="X143" s="230"/>
      <c r="Y143" s="230"/>
      <c r="Z143" s="230"/>
    </row>
    <row r="144" ht="15.75" customHeight="1" spans="1:26">
      <c r="A144" s="230"/>
      <c r="B144" s="287"/>
      <c r="C144" s="230"/>
      <c r="D144" s="230"/>
      <c r="E144" s="230"/>
      <c r="F144" s="230"/>
      <c r="G144" s="287"/>
      <c r="H144" s="287"/>
      <c r="I144" s="230"/>
      <c r="J144" s="230"/>
      <c r="K144" s="230"/>
      <c r="L144" s="230"/>
      <c r="M144" s="230"/>
      <c r="N144" s="230"/>
      <c r="O144" s="230"/>
      <c r="P144" s="230"/>
      <c r="Q144" s="230"/>
      <c r="R144" s="230"/>
      <c r="S144" s="230"/>
      <c r="T144" s="230"/>
      <c r="U144" s="230"/>
      <c r="V144" s="230"/>
      <c r="W144" s="230"/>
      <c r="X144" s="230"/>
      <c r="Y144" s="230"/>
      <c r="Z144" s="230"/>
    </row>
    <row r="145" ht="15.75" customHeight="1" spans="1:26">
      <c r="A145" s="230"/>
      <c r="B145" s="287"/>
      <c r="C145" s="230"/>
      <c r="D145" s="230"/>
      <c r="E145" s="230"/>
      <c r="F145" s="230"/>
      <c r="G145" s="287"/>
      <c r="H145" s="287"/>
      <c r="I145" s="230"/>
      <c r="J145" s="230"/>
      <c r="K145" s="230"/>
      <c r="L145" s="230"/>
      <c r="M145" s="230"/>
      <c r="N145" s="230"/>
      <c r="O145" s="230"/>
      <c r="P145" s="230"/>
      <c r="Q145" s="230"/>
      <c r="R145" s="230"/>
      <c r="S145" s="230"/>
      <c r="T145" s="230"/>
      <c r="U145" s="230"/>
      <c r="V145" s="230"/>
      <c r="W145" s="230"/>
      <c r="X145" s="230"/>
      <c r="Y145" s="230"/>
      <c r="Z145" s="230"/>
    </row>
    <row r="146" ht="15.75" customHeight="1" spans="1:26">
      <c r="A146" s="230"/>
      <c r="B146" s="287"/>
      <c r="C146" s="230"/>
      <c r="D146" s="230"/>
      <c r="E146" s="230"/>
      <c r="F146" s="230"/>
      <c r="G146" s="287"/>
      <c r="H146" s="287"/>
      <c r="I146" s="230"/>
      <c r="J146" s="230"/>
      <c r="K146" s="230"/>
      <c r="L146" s="230"/>
      <c r="M146" s="230"/>
      <c r="N146" s="230"/>
      <c r="O146" s="230"/>
      <c r="P146" s="230"/>
      <c r="Q146" s="230"/>
      <c r="R146" s="230"/>
      <c r="S146" s="230"/>
      <c r="T146" s="230"/>
      <c r="U146" s="230"/>
      <c r="V146" s="230"/>
      <c r="W146" s="230"/>
      <c r="X146" s="230"/>
      <c r="Y146" s="230"/>
      <c r="Z146" s="230"/>
    </row>
    <row r="147" ht="15.75" customHeight="1" spans="1:26">
      <c r="A147" s="230"/>
      <c r="B147" s="287"/>
      <c r="C147" s="230"/>
      <c r="D147" s="230"/>
      <c r="E147" s="230"/>
      <c r="F147" s="230"/>
      <c r="G147" s="287"/>
      <c r="H147" s="287"/>
      <c r="I147" s="230"/>
      <c r="J147" s="230"/>
      <c r="K147" s="230"/>
      <c r="L147" s="230"/>
      <c r="M147" s="230"/>
      <c r="N147" s="230"/>
      <c r="O147" s="230"/>
      <c r="P147" s="230"/>
      <c r="Q147" s="230"/>
      <c r="R147" s="230"/>
      <c r="S147" s="230"/>
      <c r="T147" s="230"/>
      <c r="U147" s="230"/>
      <c r="V147" s="230"/>
      <c r="W147" s="230"/>
      <c r="X147" s="230"/>
      <c r="Y147" s="230"/>
      <c r="Z147" s="230"/>
    </row>
    <row r="148" ht="15.75" customHeight="1" spans="1:26">
      <c r="A148" s="230"/>
      <c r="B148" s="287"/>
      <c r="C148" s="230"/>
      <c r="D148" s="230"/>
      <c r="E148" s="230"/>
      <c r="F148" s="230"/>
      <c r="G148" s="287"/>
      <c r="H148" s="287"/>
      <c r="I148" s="230"/>
      <c r="J148" s="230"/>
      <c r="K148" s="230"/>
      <c r="L148" s="230"/>
      <c r="M148" s="230"/>
      <c r="N148" s="230"/>
      <c r="O148" s="230"/>
      <c r="P148" s="230"/>
      <c r="Q148" s="230"/>
      <c r="R148" s="230"/>
      <c r="S148" s="230"/>
      <c r="T148" s="230"/>
      <c r="U148" s="230"/>
      <c r="V148" s="230"/>
      <c r="W148" s="230"/>
      <c r="X148" s="230"/>
      <c r="Y148" s="230"/>
      <c r="Z148" s="230"/>
    </row>
    <row r="149" ht="15.75" customHeight="1" spans="1:26">
      <c r="A149" s="230"/>
      <c r="B149" s="287"/>
      <c r="C149" s="230"/>
      <c r="D149" s="230"/>
      <c r="E149" s="230"/>
      <c r="F149" s="230"/>
      <c r="G149" s="287"/>
      <c r="H149" s="287"/>
      <c r="I149" s="230"/>
      <c r="J149" s="230"/>
      <c r="K149" s="230"/>
      <c r="L149" s="230"/>
      <c r="M149" s="230"/>
      <c r="N149" s="230"/>
      <c r="O149" s="230"/>
      <c r="P149" s="230"/>
      <c r="Q149" s="230"/>
      <c r="R149" s="230"/>
      <c r="S149" s="230"/>
      <c r="T149" s="230"/>
      <c r="U149" s="230"/>
      <c r="V149" s="230"/>
      <c r="W149" s="230"/>
      <c r="X149" s="230"/>
      <c r="Y149" s="230"/>
      <c r="Z149" s="230"/>
    </row>
    <row r="150" ht="15.75" customHeight="1" spans="1:26">
      <c r="A150" s="230"/>
      <c r="B150" s="287"/>
      <c r="C150" s="230"/>
      <c r="D150" s="230"/>
      <c r="E150" s="230"/>
      <c r="F150" s="230"/>
      <c r="G150" s="287"/>
      <c r="H150" s="287"/>
      <c r="I150" s="230"/>
      <c r="J150" s="230"/>
      <c r="K150" s="230"/>
      <c r="L150" s="230"/>
      <c r="M150" s="230"/>
      <c r="N150" s="230"/>
      <c r="O150" s="230"/>
      <c r="P150" s="230"/>
      <c r="Q150" s="230"/>
      <c r="R150" s="230"/>
      <c r="S150" s="230"/>
      <c r="T150" s="230"/>
      <c r="U150" s="230"/>
      <c r="V150" s="230"/>
      <c r="W150" s="230"/>
      <c r="X150" s="230"/>
      <c r="Y150" s="230"/>
      <c r="Z150" s="230"/>
    </row>
    <row r="151" ht="15.75" customHeight="1" spans="1:26">
      <c r="A151" s="230"/>
      <c r="B151" s="287"/>
      <c r="C151" s="230"/>
      <c r="D151" s="230"/>
      <c r="E151" s="230"/>
      <c r="F151" s="230"/>
      <c r="G151" s="287"/>
      <c r="H151" s="287"/>
      <c r="I151" s="230"/>
      <c r="J151" s="230"/>
      <c r="K151" s="230"/>
      <c r="L151" s="230"/>
      <c r="M151" s="230"/>
      <c r="N151" s="230"/>
      <c r="O151" s="230"/>
      <c r="P151" s="230"/>
      <c r="Q151" s="230"/>
      <c r="R151" s="230"/>
      <c r="S151" s="230"/>
      <c r="T151" s="230"/>
      <c r="U151" s="230"/>
      <c r="V151" s="230"/>
      <c r="W151" s="230"/>
      <c r="X151" s="230"/>
      <c r="Y151" s="230"/>
      <c r="Z151" s="230"/>
    </row>
    <row r="152" ht="15.75" customHeight="1" spans="1:26">
      <c r="A152" s="230"/>
      <c r="B152" s="287"/>
      <c r="C152" s="230"/>
      <c r="D152" s="230"/>
      <c r="E152" s="230"/>
      <c r="F152" s="230"/>
      <c r="G152" s="287"/>
      <c r="H152" s="287"/>
      <c r="I152" s="230"/>
      <c r="J152" s="230"/>
      <c r="K152" s="230"/>
      <c r="L152" s="230"/>
      <c r="M152" s="230"/>
      <c r="N152" s="230"/>
      <c r="O152" s="230"/>
      <c r="P152" s="230"/>
      <c r="Q152" s="230"/>
      <c r="R152" s="230"/>
      <c r="S152" s="230"/>
      <c r="T152" s="230"/>
      <c r="U152" s="230"/>
      <c r="V152" s="230"/>
      <c r="W152" s="230"/>
      <c r="X152" s="230"/>
      <c r="Y152" s="230"/>
      <c r="Z152" s="230"/>
    </row>
    <row r="153" ht="15.75" customHeight="1" spans="1:26">
      <c r="A153" s="230"/>
      <c r="B153" s="287"/>
      <c r="C153" s="230"/>
      <c r="D153" s="230"/>
      <c r="E153" s="230"/>
      <c r="F153" s="230"/>
      <c r="G153" s="287"/>
      <c r="H153" s="287"/>
      <c r="I153" s="230"/>
      <c r="J153" s="230"/>
      <c r="K153" s="230"/>
      <c r="L153" s="230"/>
      <c r="M153" s="230"/>
      <c r="N153" s="230"/>
      <c r="O153" s="230"/>
      <c r="P153" s="230"/>
      <c r="Q153" s="230"/>
      <c r="R153" s="230"/>
      <c r="S153" s="230"/>
      <c r="T153" s="230"/>
      <c r="U153" s="230"/>
      <c r="V153" s="230"/>
      <c r="W153" s="230"/>
      <c r="X153" s="230"/>
      <c r="Y153" s="230"/>
      <c r="Z153" s="230"/>
    </row>
    <row r="154" ht="15.75" customHeight="1" spans="1:26">
      <c r="A154" s="230"/>
      <c r="B154" s="287"/>
      <c r="C154" s="230"/>
      <c r="D154" s="230"/>
      <c r="E154" s="230"/>
      <c r="F154" s="230"/>
      <c r="G154" s="287"/>
      <c r="H154" s="287"/>
      <c r="I154" s="230"/>
      <c r="J154" s="230"/>
      <c r="K154" s="230"/>
      <c r="L154" s="230"/>
      <c r="M154" s="230"/>
      <c r="N154" s="230"/>
      <c r="O154" s="230"/>
      <c r="P154" s="230"/>
      <c r="Q154" s="230"/>
      <c r="R154" s="230"/>
      <c r="S154" s="230"/>
      <c r="T154" s="230"/>
      <c r="U154" s="230"/>
      <c r="V154" s="230"/>
      <c r="W154" s="230"/>
      <c r="X154" s="230"/>
      <c r="Y154" s="230"/>
      <c r="Z154" s="230"/>
    </row>
    <row r="155" ht="15.75" customHeight="1" spans="1:26">
      <c r="A155" s="230"/>
      <c r="B155" s="287"/>
      <c r="C155" s="230"/>
      <c r="D155" s="230"/>
      <c r="E155" s="230"/>
      <c r="F155" s="230"/>
      <c r="G155" s="287"/>
      <c r="H155" s="287"/>
      <c r="I155" s="230"/>
      <c r="J155" s="230"/>
      <c r="K155" s="230"/>
      <c r="L155" s="230"/>
      <c r="M155" s="230"/>
      <c r="N155" s="230"/>
      <c r="O155" s="230"/>
      <c r="P155" s="230"/>
      <c r="Q155" s="230"/>
      <c r="R155" s="230"/>
      <c r="S155" s="230"/>
      <c r="T155" s="230"/>
      <c r="U155" s="230"/>
      <c r="V155" s="230"/>
      <c r="W155" s="230"/>
      <c r="X155" s="230"/>
      <c r="Y155" s="230"/>
      <c r="Z155" s="230"/>
    </row>
    <row r="156" ht="15.75" customHeight="1" spans="1:26">
      <c r="A156" s="230"/>
      <c r="B156" s="287"/>
      <c r="C156" s="230"/>
      <c r="D156" s="230"/>
      <c r="E156" s="230"/>
      <c r="F156" s="230"/>
      <c r="G156" s="287"/>
      <c r="H156" s="287"/>
      <c r="I156" s="230"/>
      <c r="J156" s="230"/>
      <c r="K156" s="230"/>
      <c r="L156" s="230"/>
      <c r="M156" s="230"/>
      <c r="N156" s="230"/>
      <c r="O156" s="230"/>
      <c r="P156" s="230"/>
      <c r="Q156" s="230"/>
      <c r="R156" s="230"/>
      <c r="S156" s="230"/>
      <c r="T156" s="230"/>
      <c r="U156" s="230"/>
      <c r="V156" s="230"/>
      <c r="W156" s="230"/>
      <c r="X156" s="230"/>
      <c r="Y156" s="230"/>
      <c r="Z156" s="230"/>
    </row>
    <row r="157" ht="15.75" customHeight="1" spans="1:26">
      <c r="A157" s="230"/>
      <c r="B157" s="287"/>
      <c r="C157" s="230"/>
      <c r="D157" s="230"/>
      <c r="E157" s="230"/>
      <c r="F157" s="230"/>
      <c r="G157" s="287"/>
      <c r="H157" s="287"/>
      <c r="I157" s="230"/>
      <c r="J157" s="230"/>
      <c r="K157" s="230"/>
      <c r="L157" s="230"/>
      <c r="M157" s="230"/>
      <c r="N157" s="230"/>
      <c r="O157" s="230"/>
      <c r="P157" s="230"/>
      <c r="Q157" s="230"/>
      <c r="R157" s="230"/>
      <c r="S157" s="230"/>
      <c r="T157" s="230"/>
      <c r="U157" s="230"/>
      <c r="V157" s="230"/>
      <c r="W157" s="230"/>
      <c r="X157" s="230"/>
      <c r="Y157" s="230"/>
      <c r="Z157" s="230"/>
    </row>
    <row r="158" ht="15.75" customHeight="1" spans="1:26">
      <c r="A158" s="230"/>
      <c r="B158" s="287"/>
      <c r="C158" s="230"/>
      <c r="D158" s="230"/>
      <c r="E158" s="230"/>
      <c r="F158" s="230"/>
      <c r="G158" s="287"/>
      <c r="H158" s="287"/>
      <c r="I158" s="230"/>
      <c r="J158" s="230"/>
      <c r="K158" s="230"/>
      <c r="L158" s="230"/>
      <c r="M158" s="230"/>
      <c r="N158" s="230"/>
      <c r="O158" s="230"/>
      <c r="P158" s="230"/>
      <c r="Q158" s="230"/>
      <c r="R158" s="230"/>
      <c r="S158" s="230"/>
      <c r="T158" s="230"/>
      <c r="U158" s="230"/>
      <c r="V158" s="230"/>
      <c r="W158" s="230"/>
      <c r="X158" s="230"/>
      <c r="Y158" s="230"/>
      <c r="Z158" s="230"/>
    </row>
    <row r="159" ht="15.75" customHeight="1" spans="1:26">
      <c r="A159" s="230"/>
      <c r="B159" s="287"/>
      <c r="C159" s="230"/>
      <c r="D159" s="230"/>
      <c r="E159" s="230"/>
      <c r="F159" s="230"/>
      <c r="G159" s="287"/>
      <c r="H159" s="287"/>
      <c r="I159" s="230"/>
      <c r="J159" s="230"/>
      <c r="K159" s="230"/>
      <c r="L159" s="230"/>
      <c r="M159" s="230"/>
      <c r="N159" s="230"/>
      <c r="O159" s="230"/>
      <c r="P159" s="230"/>
      <c r="Q159" s="230"/>
      <c r="R159" s="230"/>
      <c r="S159" s="230"/>
      <c r="T159" s="230"/>
      <c r="U159" s="230"/>
      <c r="V159" s="230"/>
      <c r="W159" s="230"/>
      <c r="X159" s="230"/>
      <c r="Y159" s="230"/>
      <c r="Z159" s="230"/>
    </row>
    <row r="160" ht="15.75" customHeight="1" spans="1:26">
      <c r="A160" s="230"/>
      <c r="B160" s="287"/>
      <c r="C160" s="230"/>
      <c r="D160" s="230"/>
      <c r="E160" s="230"/>
      <c r="F160" s="230"/>
      <c r="G160" s="287"/>
      <c r="H160" s="287"/>
      <c r="I160" s="230"/>
      <c r="J160" s="230"/>
      <c r="K160" s="230"/>
      <c r="L160" s="230"/>
      <c r="M160" s="230"/>
      <c r="N160" s="230"/>
      <c r="O160" s="230"/>
      <c r="P160" s="230"/>
      <c r="Q160" s="230"/>
      <c r="R160" s="230"/>
      <c r="S160" s="230"/>
      <c r="T160" s="230"/>
      <c r="U160" s="230"/>
      <c r="V160" s="230"/>
      <c r="W160" s="230"/>
      <c r="X160" s="230"/>
      <c r="Y160" s="230"/>
      <c r="Z160" s="230"/>
    </row>
    <row r="161" ht="15.75" customHeight="1" spans="1:26">
      <c r="A161" s="230"/>
      <c r="B161" s="287"/>
      <c r="C161" s="230"/>
      <c r="D161" s="230"/>
      <c r="E161" s="230"/>
      <c r="F161" s="230"/>
      <c r="G161" s="287"/>
      <c r="H161" s="287"/>
      <c r="I161" s="230"/>
      <c r="J161" s="230"/>
      <c r="K161" s="230"/>
      <c r="L161" s="230"/>
      <c r="M161" s="230"/>
      <c r="N161" s="230"/>
      <c r="O161" s="230"/>
      <c r="P161" s="230"/>
      <c r="Q161" s="230"/>
      <c r="R161" s="230"/>
      <c r="S161" s="230"/>
      <c r="T161" s="230"/>
      <c r="U161" s="230"/>
      <c r="V161" s="230"/>
      <c r="W161" s="230"/>
      <c r="X161" s="230"/>
      <c r="Y161" s="230"/>
      <c r="Z161" s="230"/>
    </row>
    <row r="162" ht="15.75" customHeight="1" spans="1:26">
      <c r="A162" s="230"/>
      <c r="B162" s="287"/>
      <c r="C162" s="230"/>
      <c r="D162" s="230"/>
      <c r="E162" s="230"/>
      <c r="F162" s="230"/>
      <c r="G162" s="287"/>
      <c r="H162" s="287"/>
      <c r="I162" s="230"/>
      <c r="J162" s="230"/>
      <c r="K162" s="230"/>
      <c r="L162" s="230"/>
      <c r="M162" s="230"/>
      <c r="N162" s="230"/>
      <c r="O162" s="230"/>
      <c r="P162" s="230"/>
      <c r="Q162" s="230"/>
      <c r="R162" s="230"/>
      <c r="S162" s="230"/>
      <c r="T162" s="230"/>
      <c r="U162" s="230"/>
      <c r="V162" s="230"/>
      <c r="W162" s="230"/>
      <c r="X162" s="230"/>
      <c r="Y162" s="230"/>
      <c r="Z162" s="230"/>
    </row>
    <row r="163" ht="15.75" customHeight="1" spans="1:26">
      <c r="A163" s="230"/>
      <c r="B163" s="287"/>
      <c r="C163" s="230"/>
      <c r="D163" s="230"/>
      <c r="E163" s="230"/>
      <c r="F163" s="230"/>
      <c r="G163" s="287"/>
      <c r="H163" s="287"/>
      <c r="I163" s="230"/>
      <c r="J163" s="230"/>
      <c r="K163" s="230"/>
      <c r="L163" s="230"/>
      <c r="M163" s="230"/>
      <c r="N163" s="230"/>
      <c r="O163" s="230"/>
      <c r="P163" s="230"/>
      <c r="Q163" s="230"/>
      <c r="R163" s="230"/>
      <c r="S163" s="230"/>
      <c r="T163" s="230"/>
      <c r="U163" s="230"/>
      <c r="V163" s="230"/>
      <c r="W163" s="230"/>
      <c r="X163" s="230"/>
      <c r="Y163" s="230"/>
      <c r="Z163" s="230"/>
    </row>
    <row r="164" ht="15.75" customHeight="1" spans="1:26">
      <c r="A164" s="230"/>
      <c r="B164" s="287"/>
      <c r="C164" s="230"/>
      <c r="D164" s="230"/>
      <c r="E164" s="230"/>
      <c r="F164" s="230"/>
      <c r="G164" s="287"/>
      <c r="H164" s="287"/>
      <c r="I164" s="230"/>
      <c r="J164" s="230"/>
      <c r="K164" s="230"/>
      <c r="L164" s="230"/>
      <c r="M164" s="230"/>
      <c r="N164" s="230"/>
      <c r="O164" s="230"/>
      <c r="P164" s="230"/>
      <c r="Q164" s="230"/>
      <c r="R164" s="230"/>
      <c r="S164" s="230"/>
      <c r="T164" s="230"/>
      <c r="U164" s="230"/>
      <c r="V164" s="230"/>
      <c r="W164" s="230"/>
      <c r="X164" s="230"/>
      <c r="Y164" s="230"/>
      <c r="Z164" s="230"/>
    </row>
    <row r="165" ht="15.75" customHeight="1" spans="1:26">
      <c r="A165" s="230"/>
      <c r="B165" s="287"/>
      <c r="C165" s="230"/>
      <c r="D165" s="230"/>
      <c r="E165" s="230"/>
      <c r="F165" s="230"/>
      <c r="G165" s="287"/>
      <c r="H165" s="287"/>
      <c r="I165" s="230"/>
      <c r="J165" s="230"/>
      <c r="K165" s="230"/>
      <c r="L165" s="230"/>
      <c r="M165" s="230"/>
      <c r="N165" s="230"/>
      <c r="O165" s="230"/>
      <c r="P165" s="230"/>
      <c r="Q165" s="230"/>
      <c r="R165" s="230"/>
      <c r="S165" s="230"/>
      <c r="T165" s="230"/>
      <c r="U165" s="230"/>
      <c r="V165" s="230"/>
      <c r="W165" s="230"/>
      <c r="X165" s="230"/>
      <c r="Y165" s="230"/>
      <c r="Z165" s="230"/>
    </row>
    <row r="166" ht="15.75" customHeight="1" spans="1:26">
      <c r="A166" s="230"/>
      <c r="B166" s="287"/>
      <c r="C166" s="230"/>
      <c r="D166" s="230"/>
      <c r="E166" s="230"/>
      <c r="F166" s="230"/>
      <c r="G166" s="287"/>
      <c r="H166" s="287"/>
      <c r="I166" s="230"/>
      <c r="J166" s="230"/>
      <c r="K166" s="230"/>
      <c r="L166" s="230"/>
      <c r="M166" s="230"/>
      <c r="N166" s="230"/>
      <c r="O166" s="230"/>
      <c r="P166" s="230"/>
      <c r="Q166" s="230"/>
      <c r="R166" s="230"/>
      <c r="S166" s="230"/>
      <c r="T166" s="230"/>
      <c r="U166" s="230"/>
      <c r="V166" s="230"/>
      <c r="W166" s="230"/>
      <c r="X166" s="230"/>
      <c r="Y166" s="230"/>
      <c r="Z166" s="230"/>
    </row>
    <row r="167" ht="15.75" customHeight="1" spans="1:26">
      <c r="A167" s="230"/>
      <c r="B167" s="287"/>
      <c r="C167" s="230"/>
      <c r="D167" s="230"/>
      <c r="E167" s="230"/>
      <c r="F167" s="230"/>
      <c r="G167" s="287"/>
      <c r="H167" s="287"/>
      <c r="I167" s="230"/>
      <c r="J167" s="230"/>
      <c r="K167" s="230"/>
      <c r="L167" s="230"/>
      <c r="M167" s="230"/>
      <c r="N167" s="230"/>
      <c r="O167" s="230"/>
      <c r="P167" s="230"/>
      <c r="Q167" s="230"/>
      <c r="R167" s="230"/>
      <c r="S167" s="230"/>
      <c r="T167" s="230"/>
      <c r="U167" s="230"/>
      <c r="V167" s="230"/>
      <c r="W167" s="230"/>
      <c r="X167" s="230"/>
      <c r="Y167" s="230"/>
      <c r="Z167" s="230"/>
    </row>
    <row r="168" ht="15.75" customHeight="1" spans="1:26">
      <c r="A168" s="230"/>
      <c r="B168" s="287"/>
      <c r="C168" s="230"/>
      <c r="D168" s="230"/>
      <c r="E168" s="230"/>
      <c r="F168" s="230"/>
      <c r="G168" s="287"/>
      <c r="H168" s="287"/>
      <c r="I168" s="230"/>
      <c r="J168" s="230"/>
      <c r="K168" s="230"/>
      <c r="L168" s="230"/>
      <c r="M168" s="230"/>
      <c r="N168" s="230"/>
      <c r="O168" s="230"/>
      <c r="P168" s="230"/>
      <c r="Q168" s="230"/>
      <c r="R168" s="230"/>
      <c r="S168" s="230"/>
      <c r="T168" s="230"/>
      <c r="U168" s="230"/>
      <c r="V168" s="230"/>
      <c r="W168" s="230"/>
      <c r="X168" s="230"/>
      <c r="Y168" s="230"/>
      <c r="Z168" s="230"/>
    </row>
    <row r="169" ht="15.75" customHeight="1" spans="1:26">
      <c r="A169" s="230"/>
      <c r="B169" s="287"/>
      <c r="C169" s="230"/>
      <c r="D169" s="230"/>
      <c r="E169" s="230"/>
      <c r="F169" s="230"/>
      <c r="G169" s="287"/>
      <c r="H169" s="287"/>
      <c r="I169" s="230"/>
      <c r="J169" s="230"/>
      <c r="K169" s="230"/>
      <c r="L169" s="230"/>
      <c r="M169" s="230"/>
      <c r="N169" s="230"/>
      <c r="O169" s="230"/>
      <c r="P169" s="230"/>
      <c r="Q169" s="230"/>
      <c r="R169" s="230"/>
      <c r="S169" s="230"/>
      <c r="T169" s="230"/>
      <c r="U169" s="230"/>
      <c r="V169" s="230"/>
      <c r="W169" s="230"/>
      <c r="X169" s="230"/>
      <c r="Y169" s="230"/>
      <c r="Z169" s="230"/>
    </row>
    <row r="170" ht="15.75" customHeight="1" spans="1:26">
      <c r="A170" s="230"/>
      <c r="B170" s="287"/>
      <c r="C170" s="230"/>
      <c r="D170" s="230"/>
      <c r="E170" s="230"/>
      <c r="F170" s="230"/>
      <c r="G170" s="287"/>
      <c r="H170" s="287"/>
      <c r="I170" s="230"/>
      <c r="J170" s="230"/>
      <c r="K170" s="230"/>
      <c r="L170" s="230"/>
      <c r="M170" s="230"/>
      <c r="N170" s="230"/>
      <c r="O170" s="230"/>
      <c r="P170" s="230"/>
      <c r="Q170" s="230"/>
      <c r="R170" s="230"/>
      <c r="S170" s="230"/>
      <c r="T170" s="230"/>
      <c r="U170" s="230"/>
      <c r="V170" s="230"/>
      <c r="W170" s="230"/>
      <c r="X170" s="230"/>
      <c r="Y170" s="230"/>
      <c r="Z170" s="230"/>
    </row>
    <row r="171" ht="15.75" customHeight="1" spans="1:26">
      <c r="A171" s="230"/>
      <c r="B171" s="287"/>
      <c r="C171" s="230"/>
      <c r="D171" s="230"/>
      <c r="E171" s="230"/>
      <c r="F171" s="230"/>
      <c r="G171" s="287"/>
      <c r="H171" s="287"/>
      <c r="I171" s="230"/>
      <c r="J171" s="230"/>
      <c r="K171" s="230"/>
      <c r="L171" s="230"/>
      <c r="M171" s="230"/>
      <c r="N171" s="230"/>
      <c r="O171" s="230"/>
      <c r="P171" s="230"/>
      <c r="Q171" s="230"/>
      <c r="R171" s="230"/>
      <c r="S171" s="230"/>
      <c r="T171" s="230"/>
      <c r="U171" s="230"/>
      <c r="V171" s="230"/>
      <c r="W171" s="230"/>
      <c r="X171" s="230"/>
      <c r="Y171" s="230"/>
      <c r="Z171" s="230"/>
    </row>
    <row r="172" ht="15.75" customHeight="1" spans="1:26">
      <c r="A172" s="230"/>
      <c r="B172" s="287"/>
      <c r="C172" s="230"/>
      <c r="D172" s="230"/>
      <c r="E172" s="230"/>
      <c r="F172" s="230"/>
      <c r="G172" s="287"/>
      <c r="H172" s="287"/>
      <c r="I172" s="230"/>
      <c r="J172" s="230"/>
      <c r="K172" s="230"/>
      <c r="L172" s="230"/>
      <c r="M172" s="230"/>
      <c r="N172" s="230"/>
      <c r="O172" s="230"/>
      <c r="P172" s="230"/>
      <c r="Q172" s="230"/>
      <c r="R172" s="230"/>
      <c r="S172" s="230"/>
      <c r="T172" s="230"/>
      <c r="U172" s="230"/>
      <c r="V172" s="230"/>
      <c r="W172" s="230"/>
      <c r="X172" s="230"/>
      <c r="Y172" s="230"/>
      <c r="Z172" s="230"/>
    </row>
    <row r="173" ht="15.75" customHeight="1" spans="1:26">
      <c r="A173" s="230"/>
      <c r="B173" s="287"/>
      <c r="C173" s="230"/>
      <c r="D173" s="230"/>
      <c r="E173" s="230"/>
      <c r="F173" s="230"/>
      <c r="G173" s="287"/>
      <c r="H173" s="287"/>
      <c r="I173" s="230"/>
      <c r="J173" s="230"/>
      <c r="K173" s="230"/>
      <c r="L173" s="230"/>
      <c r="M173" s="230"/>
      <c r="N173" s="230"/>
      <c r="O173" s="230"/>
      <c r="P173" s="230"/>
      <c r="Q173" s="230"/>
      <c r="R173" s="230"/>
      <c r="S173" s="230"/>
      <c r="T173" s="230"/>
      <c r="U173" s="230"/>
      <c r="V173" s="230"/>
      <c r="W173" s="230"/>
      <c r="X173" s="230"/>
      <c r="Y173" s="230"/>
      <c r="Z173" s="230"/>
    </row>
    <row r="174" ht="15.75" customHeight="1" spans="1:26">
      <c r="A174" s="230"/>
      <c r="B174" s="287"/>
      <c r="C174" s="230"/>
      <c r="D174" s="230"/>
      <c r="E174" s="230"/>
      <c r="F174" s="230"/>
      <c r="G174" s="287"/>
      <c r="H174" s="287"/>
      <c r="I174" s="230"/>
      <c r="J174" s="230"/>
      <c r="K174" s="230"/>
      <c r="L174" s="230"/>
      <c r="M174" s="230"/>
      <c r="N174" s="230"/>
      <c r="O174" s="230"/>
      <c r="P174" s="230"/>
      <c r="Q174" s="230"/>
      <c r="R174" s="230"/>
      <c r="S174" s="230"/>
      <c r="T174" s="230"/>
      <c r="U174" s="230"/>
      <c r="V174" s="230"/>
      <c r="W174" s="230"/>
      <c r="X174" s="230"/>
      <c r="Y174" s="230"/>
      <c r="Z174" s="230"/>
    </row>
    <row r="175" ht="15.75" customHeight="1" spans="1:26">
      <c r="A175" s="230"/>
      <c r="B175" s="287"/>
      <c r="C175" s="230"/>
      <c r="D175" s="230"/>
      <c r="E175" s="230"/>
      <c r="F175" s="230"/>
      <c r="G175" s="287"/>
      <c r="H175" s="287"/>
      <c r="I175" s="230"/>
      <c r="J175" s="230"/>
      <c r="K175" s="230"/>
      <c r="L175" s="230"/>
      <c r="M175" s="230"/>
      <c r="N175" s="230"/>
      <c r="O175" s="230"/>
      <c r="P175" s="230"/>
      <c r="Q175" s="230"/>
      <c r="R175" s="230"/>
      <c r="S175" s="230"/>
      <c r="T175" s="230"/>
      <c r="U175" s="230"/>
      <c r="V175" s="230"/>
      <c r="W175" s="230"/>
      <c r="X175" s="230"/>
      <c r="Y175" s="230"/>
      <c r="Z175" s="230"/>
    </row>
    <row r="176" ht="15.75" customHeight="1" spans="1:26">
      <c r="A176" s="230"/>
      <c r="B176" s="287"/>
      <c r="C176" s="230"/>
      <c r="D176" s="230"/>
      <c r="E176" s="230"/>
      <c r="F176" s="230"/>
      <c r="G176" s="287"/>
      <c r="H176" s="287"/>
      <c r="I176" s="230"/>
      <c r="J176" s="230"/>
      <c r="K176" s="230"/>
      <c r="L176" s="230"/>
      <c r="M176" s="230"/>
      <c r="N176" s="230"/>
      <c r="O176" s="230"/>
      <c r="P176" s="230"/>
      <c r="Q176" s="230"/>
      <c r="R176" s="230"/>
      <c r="S176" s="230"/>
      <c r="T176" s="230"/>
      <c r="U176" s="230"/>
      <c r="V176" s="230"/>
      <c r="W176" s="230"/>
      <c r="X176" s="230"/>
      <c r="Y176" s="230"/>
      <c r="Z176" s="230"/>
    </row>
    <row r="177" ht="15.75" customHeight="1" spans="1:26">
      <c r="A177" s="230"/>
      <c r="B177" s="287"/>
      <c r="C177" s="230"/>
      <c r="D177" s="230"/>
      <c r="E177" s="230"/>
      <c r="F177" s="230"/>
      <c r="G177" s="287"/>
      <c r="H177" s="287"/>
      <c r="I177" s="230"/>
      <c r="J177" s="230"/>
      <c r="K177" s="230"/>
      <c r="L177" s="230"/>
      <c r="M177" s="230"/>
      <c r="N177" s="230"/>
      <c r="O177" s="230"/>
      <c r="P177" s="230"/>
      <c r="Q177" s="230"/>
      <c r="R177" s="230"/>
      <c r="S177" s="230"/>
      <c r="T177" s="230"/>
      <c r="U177" s="230"/>
      <c r="V177" s="230"/>
      <c r="W177" s="230"/>
      <c r="X177" s="230"/>
      <c r="Y177" s="230"/>
      <c r="Z177" s="230"/>
    </row>
    <row r="178" ht="15.75" customHeight="1" spans="1:26">
      <c r="A178" s="230"/>
      <c r="B178" s="287"/>
      <c r="C178" s="230"/>
      <c r="D178" s="230"/>
      <c r="E178" s="230"/>
      <c r="F178" s="230"/>
      <c r="G178" s="287"/>
      <c r="H178" s="287"/>
      <c r="I178" s="230"/>
      <c r="J178" s="230"/>
      <c r="K178" s="230"/>
      <c r="L178" s="230"/>
      <c r="M178" s="230"/>
      <c r="N178" s="230"/>
      <c r="O178" s="230"/>
      <c r="P178" s="230"/>
      <c r="Q178" s="230"/>
      <c r="R178" s="230"/>
      <c r="S178" s="230"/>
      <c r="T178" s="230"/>
      <c r="U178" s="230"/>
      <c r="V178" s="230"/>
      <c r="W178" s="230"/>
      <c r="X178" s="230"/>
      <c r="Y178" s="230"/>
      <c r="Z178" s="230"/>
    </row>
    <row r="179" ht="15.75" customHeight="1" spans="1:26">
      <c r="A179" s="230"/>
      <c r="B179" s="287"/>
      <c r="C179" s="230"/>
      <c r="D179" s="230"/>
      <c r="E179" s="230"/>
      <c r="F179" s="230"/>
      <c r="G179" s="287"/>
      <c r="H179" s="287"/>
      <c r="I179" s="230"/>
      <c r="J179" s="230"/>
      <c r="K179" s="230"/>
      <c r="L179" s="230"/>
      <c r="M179" s="230"/>
      <c r="N179" s="230"/>
      <c r="O179" s="230"/>
      <c r="P179" s="230"/>
      <c r="Q179" s="230"/>
      <c r="R179" s="230"/>
      <c r="S179" s="230"/>
      <c r="T179" s="230"/>
      <c r="U179" s="230"/>
      <c r="V179" s="230"/>
      <c r="W179" s="230"/>
      <c r="X179" s="230"/>
      <c r="Y179" s="230"/>
      <c r="Z179" s="230"/>
    </row>
    <row r="180" ht="15.75" customHeight="1" spans="1:26">
      <c r="A180" s="230"/>
      <c r="B180" s="287"/>
      <c r="C180" s="230"/>
      <c r="D180" s="230"/>
      <c r="E180" s="230"/>
      <c r="F180" s="230"/>
      <c r="G180" s="287"/>
      <c r="H180" s="287"/>
      <c r="I180" s="230"/>
      <c r="J180" s="230"/>
      <c r="K180" s="230"/>
      <c r="L180" s="230"/>
      <c r="M180" s="230"/>
      <c r="N180" s="230"/>
      <c r="O180" s="230"/>
      <c r="P180" s="230"/>
      <c r="Q180" s="230"/>
      <c r="R180" s="230"/>
      <c r="S180" s="230"/>
      <c r="T180" s="230"/>
      <c r="U180" s="230"/>
      <c r="V180" s="230"/>
      <c r="W180" s="230"/>
      <c r="X180" s="230"/>
      <c r="Y180" s="230"/>
      <c r="Z180" s="230"/>
    </row>
    <row r="181" ht="15.75" customHeight="1" spans="1:26">
      <c r="A181" s="230"/>
      <c r="B181" s="287"/>
      <c r="C181" s="230"/>
      <c r="D181" s="230"/>
      <c r="E181" s="230"/>
      <c r="F181" s="230"/>
      <c r="G181" s="287"/>
      <c r="H181" s="287"/>
      <c r="I181" s="230"/>
      <c r="J181" s="230"/>
      <c r="K181" s="230"/>
      <c r="L181" s="230"/>
      <c r="M181" s="230"/>
      <c r="N181" s="230"/>
      <c r="O181" s="230"/>
      <c r="P181" s="230"/>
      <c r="Q181" s="230"/>
      <c r="R181" s="230"/>
      <c r="S181" s="230"/>
      <c r="T181" s="230"/>
      <c r="U181" s="230"/>
      <c r="V181" s="230"/>
      <c r="W181" s="230"/>
      <c r="X181" s="230"/>
      <c r="Y181" s="230"/>
      <c r="Z181" s="230"/>
    </row>
    <row r="182" ht="15.75" customHeight="1" spans="1:26">
      <c r="A182" s="230"/>
      <c r="B182" s="287"/>
      <c r="C182" s="230"/>
      <c r="D182" s="230"/>
      <c r="E182" s="230"/>
      <c r="F182" s="230"/>
      <c r="G182" s="287"/>
      <c r="H182" s="287"/>
      <c r="I182" s="230"/>
      <c r="J182" s="230"/>
      <c r="K182" s="230"/>
      <c r="L182" s="230"/>
      <c r="M182" s="230"/>
      <c r="N182" s="230"/>
      <c r="O182" s="230"/>
      <c r="P182" s="230"/>
      <c r="Q182" s="230"/>
      <c r="R182" s="230"/>
      <c r="S182" s="230"/>
      <c r="T182" s="230"/>
      <c r="U182" s="230"/>
      <c r="V182" s="230"/>
      <c r="W182" s="230"/>
      <c r="X182" s="230"/>
      <c r="Y182" s="230"/>
      <c r="Z182" s="230"/>
    </row>
    <row r="183" ht="15.75" customHeight="1" spans="1:26">
      <c r="A183" s="230"/>
      <c r="B183" s="287"/>
      <c r="C183" s="230"/>
      <c r="D183" s="230"/>
      <c r="E183" s="230"/>
      <c r="F183" s="230"/>
      <c r="G183" s="287"/>
      <c r="H183" s="287"/>
      <c r="I183" s="230"/>
      <c r="J183" s="230"/>
      <c r="K183" s="230"/>
      <c r="L183" s="230"/>
      <c r="M183" s="230"/>
      <c r="N183" s="230"/>
      <c r="O183" s="230"/>
      <c r="P183" s="230"/>
      <c r="Q183" s="230"/>
      <c r="R183" s="230"/>
      <c r="S183" s="230"/>
      <c r="T183" s="230"/>
      <c r="U183" s="230"/>
      <c r="V183" s="230"/>
      <c r="W183" s="230"/>
      <c r="X183" s="230"/>
      <c r="Y183" s="230"/>
      <c r="Z183" s="230"/>
    </row>
    <row r="184" ht="15.75" customHeight="1" spans="1:26">
      <c r="A184" s="230"/>
      <c r="B184" s="287"/>
      <c r="C184" s="230"/>
      <c r="D184" s="230"/>
      <c r="E184" s="230"/>
      <c r="F184" s="230"/>
      <c r="G184" s="287"/>
      <c r="H184" s="287"/>
      <c r="I184" s="230"/>
      <c r="J184" s="230"/>
      <c r="K184" s="230"/>
      <c r="L184" s="230"/>
      <c r="M184" s="230"/>
      <c r="N184" s="230"/>
      <c r="O184" s="230"/>
      <c r="P184" s="230"/>
      <c r="Q184" s="230"/>
      <c r="R184" s="230"/>
      <c r="S184" s="230"/>
      <c r="T184" s="230"/>
      <c r="U184" s="230"/>
      <c r="V184" s="230"/>
      <c r="W184" s="230"/>
      <c r="X184" s="230"/>
      <c r="Y184" s="230"/>
      <c r="Z184" s="230"/>
    </row>
    <row r="185" ht="15.75" customHeight="1" spans="1:26">
      <c r="A185" s="230"/>
      <c r="B185" s="287"/>
      <c r="C185" s="230"/>
      <c r="D185" s="230"/>
      <c r="E185" s="230"/>
      <c r="F185" s="230"/>
      <c r="G185" s="287"/>
      <c r="H185" s="287"/>
      <c r="I185" s="230"/>
      <c r="J185" s="230"/>
      <c r="K185" s="230"/>
      <c r="L185" s="230"/>
      <c r="M185" s="230"/>
      <c r="N185" s="230"/>
      <c r="O185" s="230"/>
      <c r="P185" s="230"/>
      <c r="Q185" s="230"/>
      <c r="R185" s="230"/>
      <c r="S185" s="230"/>
      <c r="T185" s="230"/>
      <c r="U185" s="230"/>
      <c r="V185" s="230"/>
      <c r="W185" s="230"/>
      <c r="X185" s="230"/>
      <c r="Y185" s="230"/>
      <c r="Z185" s="230"/>
    </row>
    <row r="186" ht="15.75" customHeight="1" spans="1:26">
      <c r="A186" s="230"/>
      <c r="B186" s="287"/>
      <c r="C186" s="230"/>
      <c r="D186" s="230"/>
      <c r="E186" s="230"/>
      <c r="F186" s="230"/>
      <c r="G186" s="287"/>
      <c r="H186" s="287"/>
      <c r="I186" s="230"/>
      <c r="J186" s="230"/>
      <c r="K186" s="230"/>
      <c r="L186" s="230"/>
      <c r="M186" s="230"/>
      <c r="N186" s="230"/>
      <c r="O186" s="230"/>
      <c r="P186" s="230"/>
      <c r="Q186" s="230"/>
      <c r="R186" s="230"/>
      <c r="S186" s="230"/>
      <c r="T186" s="230"/>
      <c r="U186" s="230"/>
      <c r="V186" s="230"/>
      <c r="W186" s="230"/>
      <c r="X186" s="230"/>
      <c r="Y186" s="230"/>
      <c r="Z186" s="230"/>
    </row>
    <row r="187" ht="15.75" customHeight="1" spans="1:26">
      <c r="A187" s="230"/>
      <c r="B187" s="287"/>
      <c r="C187" s="230"/>
      <c r="D187" s="230"/>
      <c r="E187" s="230"/>
      <c r="F187" s="230"/>
      <c r="G187" s="287"/>
      <c r="H187" s="287"/>
      <c r="I187" s="230"/>
      <c r="J187" s="230"/>
      <c r="K187" s="230"/>
      <c r="L187" s="230"/>
      <c r="M187" s="230"/>
      <c r="N187" s="230"/>
      <c r="O187" s="230"/>
      <c r="P187" s="230"/>
      <c r="Q187" s="230"/>
      <c r="R187" s="230"/>
      <c r="S187" s="230"/>
      <c r="T187" s="230"/>
      <c r="U187" s="230"/>
      <c r="V187" s="230"/>
      <c r="W187" s="230"/>
      <c r="X187" s="230"/>
      <c r="Y187" s="230"/>
      <c r="Z187" s="230"/>
    </row>
    <row r="188" ht="15.75" customHeight="1" spans="1:26">
      <c r="A188" s="230"/>
      <c r="B188" s="287"/>
      <c r="C188" s="230"/>
      <c r="D188" s="230"/>
      <c r="E188" s="230"/>
      <c r="F188" s="230"/>
      <c r="G188" s="287"/>
      <c r="H188" s="287"/>
      <c r="I188" s="230"/>
      <c r="J188" s="230"/>
      <c r="K188" s="230"/>
      <c r="L188" s="230"/>
      <c r="M188" s="230"/>
      <c r="N188" s="230"/>
      <c r="O188" s="230"/>
      <c r="P188" s="230"/>
      <c r="Q188" s="230"/>
      <c r="R188" s="230"/>
      <c r="S188" s="230"/>
      <c r="T188" s="230"/>
      <c r="U188" s="230"/>
      <c r="V188" s="230"/>
      <c r="W188" s="230"/>
      <c r="X188" s="230"/>
      <c r="Y188" s="230"/>
      <c r="Z188" s="230"/>
    </row>
    <row r="189" ht="15.75" customHeight="1" spans="1:26">
      <c r="A189" s="230"/>
      <c r="B189" s="287"/>
      <c r="C189" s="230"/>
      <c r="D189" s="230"/>
      <c r="E189" s="230"/>
      <c r="F189" s="230"/>
      <c r="G189" s="287"/>
      <c r="H189" s="287"/>
      <c r="I189" s="230"/>
      <c r="J189" s="230"/>
      <c r="K189" s="230"/>
      <c r="L189" s="230"/>
      <c r="M189" s="230"/>
      <c r="N189" s="230"/>
      <c r="O189" s="230"/>
      <c r="P189" s="230"/>
      <c r="Q189" s="230"/>
      <c r="R189" s="230"/>
      <c r="S189" s="230"/>
      <c r="T189" s="230"/>
      <c r="U189" s="230"/>
      <c r="V189" s="230"/>
      <c r="W189" s="230"/>
      <c r="X189" s="230"/>
      <c r="Y189" s="230"/>
      <c r="Z189" s="230"/>
    </row>
    <row r="190" ht="15.75" customHeight="1" spans="1:26">
      <c r="A190" s="230"/>
      <c r="B190" s="287"/>
      <c r="C190" s="230"/>
      <c r="D190" s="230"/>
      <c r="E190" s="230"/>
      <c r="F190" s="230"/>
      <c r="G190" s="287"/>
      <c r="H190" s="287"/>
      <c r="I190" s="230"/>
      <c r="J190" s="230"/>
      <c r="K190" s="230"/>
      <c r="L190" s="230"/>
      <c r="M190" s="230"/>
      <c r="N190" s="230"/>
      <c r="O190" s="230"/>
      <c r="P190" s="230"/>
      <c r="Q190" s="230"/>
      <c r="R190" s="230"/>
      <c r="S190" s="230"/>
      <c r="T190" s="230"/>
      <c r="U190" s="230"/>
      <c r="V190" s="230"/>
      <c r="W190" s="230"/>
      <c r="X190" s="230"/>
      <c r="Y190" s="230"/>
      <c r="Z190" s="230"/>
    </row>
    <row r="191" ht="15.75" customHeight="1" spans="1:26">
      <c r="A191" s="230"/>
      <c r="B191" s="287"/>
      <c r="C191" s="230"/>
      <c r="D191" s="230"/>
      <c r="E191" s="230"/>
      <c r="F191" s="230"/>
      <c r="G191" s="287"/>
      <c r="H191" s="287"/>
      <c r="I191" s="230"/>
      <c r="J191" s="230"/>
      <c r="K191" s="230"/>
      <c r="L191" s="230"/>
      <c r="M191" s="230"/>
      <c r="N191" s="230"/>
      <c r="O191" s="230"/>
      <c r="P191" s="230"/>
      <c r="Q191" s="230"/>
      <c r="R191" s="230"/>
      <c r="S191" s="230"/>
      <c r="T191" s="230"/>
      <c r="U191" s="230"/>
      <c r="V191" s="230"/>
      <c r="W191" s="230"/>
      <c r="X191" s="230"/>
      <c r="Y191" s="230"/>
      <c r="Z191" s="230"/>
    </row>
    <row r="192" ht="15.75" customHeight="1" spans="1:26">
      <c r="A192" s="230"/>
      <c r="B192" s="287"/>
      <c r="C192" s="230"/>
      <c r="D192" s="230"/>
      <c r="E192" s="230"/>
      <c r="F192" s="230"/>
      <c r="G192" s="287"/>
      <c r="H192" s="287"/>
      <c r="I192" s="230"/>
      <c r="J192" s="230"/>
      <c r="K192" s="230"/>
      <c r="L192" s="230"/>
      <c r="M192" s="230"/>
      <c r="N192" s="230"/>
      <c r="O192" s="230"/>
      <c r="P192" s="230"/>
      <c r="Q192" s="230"/>
      <c r="R192" s="230"/>
      <c r="S192" s="230"/>
      <c r="T192" s="230"/>
      <c r="U192" s="230"/>
      <c r="V192" s="230"/>
      <c r="W192" s="230"/>
      <c r="X192" s="230"/>
      <c r="Y192" s="230"/>
      <c r="Z192" s="230"/>
    </row>
    <row r="193" ht="15.75" customHeight="1" spans="1:26">
      <c r="A193" s="230"/>
      <c r="B193" s="287"/>
      <c r="C193" s="230"/>
      <c r="D193" s="230"/>
      <c r="E193" s="230"/>
      <c r="F193" s="230"/>
      <c r="G193" s="287"/>
      <c r="H193" s="287"/>
      <c r="I193" s="230"/>
      <c r="J193" s="230"/>
      <c r="K193" s="230"/>
      <c r="L193" s="230"/>
      <c r="M193" s="230"/>
      <c r="N193" s="230"/>
      <c r="O193" s="230"/>
      <c r="P193" s="230"/>
      <c r="Q193" s="230"/>
      <c r="R193" s="230"/>
      <c r="S193" s="230"/>
      <c r="T193" s="230"/>
      <c r="U193" s="230"/>
      <c r="V193" s="230"/>
      <c r="W193" s="230"/>
      <c r="X193" s="230"/>
      <c r="Y193" s="230"/>
      <c r="Z193" s="230"/>
    </row>
    <row r="194" ht="15.75" customHeight="1" spans="1:26">
      <c r="A194" s="230"/>
      <c r="B194" s="287"/>
      <c r="C194" s="230"/>
      <c r="D194" s="230"/>
      <c r="E194" s="230"/>
      <c r="F194" s="230"/>
      <c r="G194" s="287"/>
      <c r="H194" s="287"/>
      <c r="I194" s="230"/>
      <c r="J194" s="230"/>
      <c r="K194" s="230"/>
      <c r="L194" s="230"/>
      <c r="M194" s="230"/>
      <c r="N194" s="230"/>
      <c r="O194" s="230"/>
      <c r="P194" s="230"/>
      <c r="Q194" s="230"/>
      <c r="R194" s="230"/>
      <c r="S194" s="230"/>
      <c r="T194" s="230"/>
      <c r="U194" s="230"/>
      <c r="V194" s="230"/>
      <c r="W194" s="230"/>
      <c r="X194" s="230"/>
      <c r="Y194" s="230"/>
      <c r="Z194" s="230"/>
    </row>
    <row r="195" ht="15.75" customHeight="1" spans="1:26">
      <c r="A195" s="230"/>
      <c r="B195" s="287"/>
      <c r="C195" s="230"/>
      <c r="D195" s="230"/>
      <c r="E195" s="230"/>
      <c r="F195" s="230"/>
      <c r="G195" s="287"/>
      <c r="H195" s="287"/>
      <c r="I195" s="230"/>
      <c r="J195" s="230"/>
      <c r="K195" s="230"/>
      <c r="L195" s="230"/>
      <c r="M195" s="230"/>
      <c r="N195" s="230"/>
      <c r="O195" s="230"/>
      <c r="P195" s="230"/>
      <c r="Q195" s="230"/>
      <c r="R195" s="230"/>
      <c r="S195" s="230"/>
      <c r="T195" s="230"/>
      <c r="U195" s="230"/>
      <c r="V195" s="230"/>
      <c r="W195" s="230"/>
      <c r="X195" s="230"/>
      <c r="Y195" s="230"/>
      <c r="Z195" s="230"/>
    </row>
    <row r="196" ht="15.75" customHeight="1" spans="1:26">
      <c r="A196" s="230"/>
      <c r="B196" s="287"/>
      <c r="C196" s="230"/>
      <c r="D196" s="230"/>
      <c r="E196" s="230"/>
      <c r="F196" s="230"/>
      <c r="G196" s="287"/>
      <c r="H196" s="287"/>
      <c r="I196" s="230"/>
      <c r="J196" s="230"/>
      <c r="K196" s="230"/>
      <c r="L196" s="230"/>
      <c r="M196" s="230"/>
      <c r="N196" s="230"/>
      <c r="O196" s="230"/>
      <c r="P196" s="230"/>
      <c r="Q196" s="230"/>
      <c r="R196" s="230"/>
      <c r="S196" s="230"/>
      <c r="T196" s="230"/>
      <c r="U196" s="230"/>
      <c r="V196" s="230"/>
      <c r="W196" s="230"/>
      <c r="X196" s="230"/>
      <c r="Y196" s="230"/>
      <c r="Z196" s="230"/>
    </row>
    <row r="197" ht="15.75" customHeight="1" spans="1:26">
      <c r="A197" s="230"/>
      <c r="B197" s="287"/>
      <c r="C197" s="230"/>
      <c r="D197" s="230"/>
      <c r="E197" s="230"/>
      <c r="F197" s="230"/>
      <c r="G197" s="287"/>
      <c r="H197" s="287"/>
      <c r="I197" s="230"/>
      <c r="J197" s="230"/>
      <c r="K197" s="230"/>
      <c r="L197" s="230"/>
      <c r="M197" s="230"/>
      <c r="N197" s="230"/>
      <c r="O197" s="230"/>
      <c r="P197" s="230"/>
      <c r="Q197" s="230"/>
      <c r="R197" s="230"/>
      <c r="S197" s="230"/>
      <c r="T197" s="230"/>
      <c r="U197" s="230"/>
      <c r="V197" s="230"/>
      <c r="W197" s="230"/>
      <c r="X197" s="230"/>
      <c r="Y197" s="230"/>
      <c r="Z197" s="230"/>
    </row>
    <row r="198" ht="15.75" customHeight="1" spans="1:26">
      <c r="A198" s="230"/>
      <c r="B198" s="287"/>
      <c r="C198" s="230"/>
      <c r="D198" s="230"/>
      <c r="E198" s="230"/>
      <c r="F198" s="230"/>
      <c r="G198" s="287"/>
      <c r="H198" s="287"/>
      <c r="I198" s="230"/>
      <c r="J198" s="230"/>
      <c r="K198" s="230"/>
      <c r="L198" s="230"/>
      <c r="M198" s="230"/>
      <c r="N198" s="230"/>
      <c r="O198" s="230"/>
      <c r="P198" s="230"/>
      <c r="Q198" s="230"/>
      <c r="R198" s="230"/>
      <c r="S198" s="230"/>
      <c r="T198" s="230"/>
      <c r="U198" s="230"/>
      <c r="V198" s="230"/>
      <c r="W198" s="230"/>
      <c r="X198" s="230"/>
      <c r="Y198" s="230"/>
      <c r="Z198" s="230"/>
    </row>
    <row r="199" ht="15.75" customHeight="1" spans="1:26">
      <c r="A199" s="230"/>
      <c r="B199" s="287"/>
      <c r="C199" s="230"/>
      <c r="D199" s="230"/>
      <c r="E199" s="230"/>
      <c r="F199" s="230"/>
      <c r="G199" s="287"/>
      <c r="H199" s="287"/>
      <c r="I199" s="230"/>
      <c r="J199" s="230"/>
      <c r="K199" s="230"/>
      <c r="L199" s="230"/>
      <c r="M199" s="230"/>
      <c r="N199" s="230"/>
      <c r="O199" s="230"/>
      <c r="P199" s="230"/>
      <c r="Q199" s="230"/>
      <c r="R199" s="230"/>
      <c r="S199" s="230"/>
      <c r="T199" s="230"/>
      <c r="U199" s="230"/>
      <c r="V199" s="230"/>
      <c r="W199" s="230"/>
      <c r="X199" s="230"/>
      <c r="Y199" s="230"/>
      <c r="Z199" s="230"/>
    </row>
    <row r="200" ht="15.75" customHeight="1" spans="1:26">
      <c r="A200" s="230"/>
      <c r="B200" s="287"/>
      <c r="C200" s="230"/>
      <c r="D200" s="230"/>
      <c r="E200" s="230"/>
      <c r="F200" s="230"/>
      <c r="G200" s="287"/>
      <c r="H200" s="287"/>
      <c r="I200" s="230"/>
      <c r="J200" s="230"/>
      <c r="K200" s="230"/>
      <c r="L200" s="230"/>
      <c r="M200" s="230"/>
      <c r="N200" s="230"/>
      <c r="O200" s="230"/>
      <c r="P200" s="230"/>
      <c r="Q200" s="230"/>
      <c r="R200" s="230"/>
      <c r="S200" s="230"/>
      <c r="T200" s="230"/>
      <c r="U200" s="230"/>
      <c r="V200" s="230"/>
      <c r="W200" s="230"/>
      <c r="X200" s="230"/>
      <c r="Y200" s="230"/>
      <c r="Z200" s="230"/>
    </row>
    <row r="201" ht="15.75" customHeight="1" spans="1:26">
      <c r="A201" s="230"/>
      <c r="B201" s="287"/>
      <c r="C201" s="230"/>
      <c r="D201" s="230"/>
      <c r="E201" s="230"/>
      <c r="F201" s="230"/>
      <c r="G201" s="287"/>
      <c r="H201" s="287"/>
      <c r="I201" s="230"/>
      <c r="J201" s="230"/>
      <c r="K201" s="230"/>
      <c r="L201" s="230"/>
      <c r="M201" s="230"/>
      <c r="N201" s="230"/>
      <c r="O201" s="230"/>
      <c r="P201" s="230"/>
      <c r="Q201" s="230"/>
      <c r="R201" s="230"/>
      <c r="S201" s="230"/>
      <c r="T201" s="230"/>
      <c r="U201" s="230"/>
      <c r="V201" s="230"/>
      <c r="W201" s="230"/>
      <c r="X201" s="230"/>
      <c r="Y201" s="230"/>
      <c r="Z201" s="230"/>
    </row>
    <row r="202" ht="15.75" customHeight="1" spans="1:26">
      <c r="A202" s="230"/>
      <c r="B202" s="287"/>
      <c r="C202" s="230"/>
      <c r="D202" s="230"/>
      <c r="E202" s="230"/>
      <c r="F202" s="230"/>
      <c r="G202" s="287"/>
      <c r="H202" s="287"/>
      <c r="I202" s="230"/>
      <c r="J202" s="230"/>
      <c r="K202" s="230"/>
      <c r="L202" s="230"/>
      <c r="M202" s="230"/>
      <c r="N202" s="230"/>
      <c r="O202" s="230"/>
      <c r="P202" s="230"/>
      <c r="Q202" s="230"/>
      <c r="R202" s="230"/>
      <c r="S202" s="230"/>
      <c r="T202" s="230"/>
      <c r="U202" s="230"/>
      <c r="V202" s="230"/>
      <c r="W202" s="230"/>
      <c r="X202" s="230"/>
      <c r="Y202" s="230"/>
      <c r="Z202" s="230"/>
    </row>
    <row r="203" ht="15.75" customHeight="1" spans="1:26">
      <c r="A203" s="230"/>
      <c r="B203" s="287"/>
      <c r="C203" s="230"/>
      <c r="D203" s="230"/>
      <c r="E203" s="230"/>
      <c r="F203" s="230"/>
      <c r="G203" s="287"/>
      <c r="H203" s="287"/>
      <c r="I203" s="230"/>
      <c r="J203" s="230"/>
      <c r="K203" s="230"/>
      <c r="L203" s="230"/>
      <c r="M203" s="230"/>
      <c r="N203" s="230"/>
      <c r="O203" s="230"/>
      <c r="P203" s="230"/>
      <c r="Q203" s="230"/>
      <c r="R203" s="230"/>
      <c r="S203" s="230"/>
      <c r="T203" s="230"/>
      <c r="U203" s="230"/>
      <c r="V203" s="230"/>
      <c r="W203" s="230"/>
      <c r="X203" s="230"/>
      <c r="Y203" s="230"/>
      <c r="Z203" s="230"/>
    </row>
    <row r="204" ht="15.75" customHeight="1" spans="1:26">
      <c r="A204" s="230"/>
      <c r="B204" s="287"/>
      <c r="C204" s="230"/>
      <c r="D204" s="230"/>
      <c r="E204" s="230"/>
      <c r="F204" s="230"/>
      <c r="G204" s="287"/>
      <c r="H204" s="287"/>
      <c r="I204" s="230"/>
      <c r="J204" s="230"/>
      <c r="K204" s="230"/>
      <c r="L204" s="230"/>
      <c r="M204" s="230"/>
      <c r="N204" s="230"/>
      <c r="O204" s="230"/>
      <c r="P204" s="230"/>
      <c r="Q204" s="230"/>
      <c r="R204" s="230"/>
      <c r="S204" s="230"/>
      <c r="T204" s="230"/>
      <c r="U204" s="230"/>
      <c r="V204" s="230"/>
      <c r="W204" s="230"/>
      <c r="X204" s="230"/>
      <c r="Y204" s="230"/>
      <c r="Z204" s="230"/>
    </row>
    <row r="205" ht="15.75" customHeight="1" spans="1:26">
      <c r="A205" s="230"/>
      <c r="B205" s="287"/>
      <c r="C205" s="230"/>
      <c r="D205" s="230"/>
      <c r="E205" s="230"/>
      <c r="F205" s="230"/>
      <c r="G205" s="287"/>
      <c r="H205" s="287"/>
      <c r="I205" s="230"/>
      <c r="J205" s="230"/>
      <c r="K205" s="230"/>
      <c r="L205" s="230"/>
      <c r="M205" s="230"/>
      <c r="N205" s="230"/>
      <c r="O205" s="230"/>
      <c r="P205" s="230"/>
      <c r="Q205" s="230"/>
      <c r="R205" s="230"/>
      <c r="S205" s="230"/>
      <c r="T205" s="230"/>
      <c r="U205" s="230"/>
      <c r="V205" s="230"/>
      <c r="W205" s="230"/>
      <c r="X205" s="230"/>
      <c r="Y205" s="230"/>
      <c r="Z205" s="230"/>
    </row>
    <row r="206" ht="15.75" customHeight="1" spans="1:26">
      <c r="A206" s="230"/>
      <c r="B206" s="287"/>
      <c r="C206" s="230"/>
      <c r="D206" s="230"/>
      <c r="E206" s="230"/>
      <c r="F206" s="230"/>
      <c r="G206" s="287"/>
      <c r="H206" s="287"/>
      <c r="I206" s="230"/>
      <c r="J206" s="230"/>
      <c r="K206" s="230"/>
      <c r="L206" s="230"/>
      <c r="M206" s="230"/>
      <c r="N206" s="230"/>
      <c r="O206" s="230"/>
      <c r="P206" s="230"/>
      <c r="Q206" s="230"/>
      <c r="R206" s="230"/>
      <c r="S206" s="230"/>
      <c r="T206" s="230"/>
      <c r="U206" s="230"/>
      <c r="V206" s="230"/>
      <c r="W206" s="230"/>
      <c r="X206" s="230"/>
      <c r="Y206" s="230"/>
      <c r="Z206" s="230"/>
    </row>
    <row r="207" ht="15.75" customHeight="1" spans="1:26">
      <c r="A207" s="230"/>
      <c r="B207" s="287"/>
      <c r="C207" s="230"/>
      <c r="D207" s="230"/>
      <c r="E207" s="230"/>
      <c r="F207" s="230"/>
      <c r="G207" s="287"/>
      <c r="H207" s="287"/>
      <c r="I207" s="230"/>
      <c r="J207" s="230"/>
      <c r="K207" s="230"/>
      <c r="L207" s="230"/>
      <c r="M207" s="230"/>
      <c r="N207" s="230"/>
      <c r="O207" s="230"/>
      <c r="P207" s="230"/>
      <c r="Q207" s="230"/>
      <c r="R207" s="230"/>
      <c r="S207" s="230"/>
      <c r="T207" s="230"/>
      <c r="U207" s="230"/>
      <c r="V207" s="230"/>
      <c r="W207" s="230"/>
      <c r="X207" s="230"/>
      <c r="Y207" s="230"/>
      <c r="Z207" s="230"/>
    </row>
    <row r="208" ht="15.75" customHeight="1" spans="1:26">
      <c r="A208" s="230"/>
      <c r="B208" s="287"/>
      <c r="C208" s="230"/>
      <c r="D208" s="230"/>
      <c r="E208" s="230"/>
      <c r="F208" s="230"/>
      <c r="G208" s="287"/>
      <c r="H208" s="287"/>
      <c r="I208" s="230"/>
      <c r="J208" s="230"/>
      <c r="K208" s="230"/>
      <c r="L208" s="230"/>
      <c r="M208" s="230"/>
      <c r="N208" s="230"/>
      <c r="O208" s="230"/>
      <c r="P208" s="230"/>
      <c r="Q208" s="230"/>
      <c r="R208" s="230"/>
      <c r="S208" s="230"/>
      <c r="T208" s="230"/>
      <c r="U208" s="230"/>
      <c r="V208" s="230"/>
      <c r="W208" s="230"/>
      <c r="X208" s="230"/>
      <c r="Y208" s="230"/>
      <c r="Z208" s="230"/>
    </row>
    <row r="209" ht="15.75" customHeight="1" spans="1:26">
      <c r="A209" s="230"/>
      <c r="B209" s="287"/>
      <c r="C209" s="230"/>
      <c r="D209" s="230"/>
      <c r="E209" s="230"/>
      <c r="F209" s="230"/>
      <c r="G209" s="287"/>
      <c r="H209" s="287"/>
      <c r="I209" s="230"/>
      <c r="J209" s="230"/>
      <c r="K209" s="230"/>
      <c r="L209" s="230"/>
      <c r="M209" s="230"/>
      <c r="N209" s="230"/>
      <c r="O209" s="230"/>
      <c r="P209" s="230"/>
      <c r="Q209" s="230"/>
      <c r="R209" s="230"/>
      <c r="S209" s="230"/>
      <c r="T209" s="230"/>
      <c r="U209" s="230"/>
      <c r="V209" s="230"/>
      <c r="W209" s="230"/>
      <c r="X209" s="230"/>
      <c r="Y209" s="230"/>
      <c r="Z209" s="230"/>
    </row>
    <row r="210" ht="15.75" customHeight="1" spans="1:26">
      <c r="A210" s="230"/>
      <c r="B210" s="287"/>
      <c r="C210" s="230"/>
      <c r="D210" s="230"/>
      <c r="E210" s="230"/>
      <c r="F210" s="230"/>
      <c r="G210" s="287"/>
      <c r="H210" s="287"/>
      <c r="I210" s="230"/>
      <c r="J210" s="230"/>
      <c r="K210" s="230"/>
      <c r="L210" s="230"/>
      <c r="M210" s="230"/>
      <c r="N210" s="230"/>
      <c r="O210" s="230"/>
      <c r="P210" s="230"/>
      <c r="Q210" s="230"/>
      <c r="R210" s="230"/>
      <c r="S210" s="230"/>
      <c r="T210" s="230"/>
      <c r="U210" s="230"/>
      <c r="V210" s="230"/>
      <c r="W210" s="230"/>
      <c r="X210" s="230"/>
      <c r="Y210" s="230"/>
      <c r="Z210" s="230"/>
    </row>
    <row r="211" ht="15.75" customHeight="1" spans="1:26">
      <c r="A211" s="230"/>
      <c r="B211" s="287"/>
      <c r="C211" s="230"/>
      <c r="D211" s="230"/>
      <c r="E211" s="230"/>
      <c r="F211" s="230"/>
      <c r="G211" s="287"/>
      <c r="H211" s="287"/>
      <c r="I211" s="230"/>
      <c r="J211" s="230"/>
      <c r="K211" s="230"/>
      <c r="L211" s="230"/>
      <c r="M211" s="230"/>
      <c r="N211" s="230"/>
      <c r="O211" s="230"/>
      <c r="P211" s="230"/>
      <c r="Q211" s="230"/>
      <c r="R211" s="230"/>
      <c r="S211" s="230"/>
      <c r="T211" s="230"/>
      <c r="U211" s="230"/>
      <c r="V211" s="230"/>
      <c r="W211" s="230"/>
      <c r="X211" s="230"/>
      <c r="Y211" s="230"/>
      <c r="Z211" s="230"/>
    </row>
    <row r="212" ht="15.75" customHeight="1" spans="1:26">
      <c r="A212" s="230"/>
      <c r="B212" s="287"/>
      <c r="C212" s="230"/>
      <c r="D212" s="230"/>
      <c r="E212" s="230"/>
      <c r="F212" s="230"/>
      <c r="G212" s="287"/>
      <c r="H212" s="287"/>
      <c r="I212" s="230"/>
      <c r="J212" s="230"/>
      <c r="K212" s="230"/>
      <c r="L212" s="230"/>
      <c r="M212" s="230"/>
      <c r="N212" s="230"/>
      <c r="O212" s="230"/>
      <c r="P212" s="230"/>
      <c r="Q212" s="230"/>
      <c r="R212" s="230"/>
      <c r="S212" s="230"/>
      <c r="T212" s="230"/>
      <c r="U212" s="230"/>
      <c r="V212" s="230"/>
      <c r="W212" s="230"/>
      <c r="X212" s="230"/>
      <c r="Y212" s="230"/>
      <c r="Z212" s="230"/>
    </row>
    <row r="213" ht="15.75" customHeight="1" spans="1:26">
      <c r="A213" s="230"/>
      <c r="B213" s="287"/>
      <c r="C213" s="230"/>
      <c r="D213" s="230"/>
      <c r="E213" s="230"/>
      <c r="F213" s="230"/>
      <c r="G213" s="287"/>
      <c r="H213" s="287"/>
      <c r="I213" s="230"/>
      <c r="J213" s="230"/>
      <c r="K213" s="230"/>
      <c r="L213" s="230"/>
      <c r="M213" s="230"/>
      <c r="N213" s="230"/>
      <c r="O213" s="230"/>
      <c r="P213" s="230"/>
      <c r="Q213" s="230"/>
      <c r="R213" s="230"/>
      <c r="S213" s="230"/>
      <c r="T213" s="230"/>
      <c r="U213" s="230"/>
      <c r="V213" s="230"/>
      <c r="W213" s="230"/>
      <c r="X213" s="230"/>
      <c r="Y213" s="230"/>
      <c r="Z213" s="230"/>
    </row>
    <row r="214" ht="15.75" customHeight="1" spans="1:26">
      <c r="A214" s="230"/>
      <c r="B214" s="287"/>
      <c r="C214" s="230"/>
      <c r="D214" s="230"/>
      <c r="E214" s="230"/>
      <c r="F214" s="230"/>
      <c r="G214" s="287"/>
      <c r="H214" s="287"/>
      <c r="I214" s="230"/>
      <c r="J214" s="230"/>
      <c r="K214" s="230"/>
      <c r="L214" s="230"/>
      <c r="M214" s="230"/>
      <c r="N214" s="230"/>
      <c r="O214" s="230"/>
      <c r="P214" s="230"/>
      <c r="Q214" s="230"/>
      <c r="R214" s="230"/>
      <c r="S214" s="230"/>
      <c r="T214" s="230"/>
      <c r="U214" s="230"/>
      <c r="V214" s="230"/>
      <c r="W214" s="230"/>
      <c r="X214" s="230"/>
      <c r="Y214" s="230"/>
      <c r="Z214" s="230"/>
    </row>
    <row r="215" ht="15.75" customHeight="1" spans="1:26">
      <c r="A215" s="230"/>
      <c r="B215" s="287"/>
      <c r="C215" s="230"/>
      <c r="D215" s="230"/>
      <c r="E215" s="230"/>
      <c r="F215" s="230"/>
      <c r="G215" s="287"/>
      <c r="H215" s="287"/>
      <c r="I215" s="230"/>
      <c r="J215" s="230"/>
      <c r="K215" s="230"/>
      <c r="L215" s="230"/>
      <c r="M215" s="230"/>
      <c r="N215" s="230"/>
      <c r="O215" s="230"/>
      <c r="P215" s="230"/>
      <c r="Q215" s="230"/>
      <c r="R215" s="230"/>
      <c r="S215" s="230"/>
      <c r="T215" s="230"/>
      <c r="U215" s="230"/>
      <c r="V215" s="230"/>
      <c r="W215" s="230"/>
      <c r="X215" s="230"/>
      <c r="Y215" s="230"/>
      <c r="Z215" s="230"/>
    </row>
    <row r="216" ht="15.75" customHeight="1" spans="1:26">
      <c r="A216" s="230"/>
      <c r="B216" s="287"/>
      <c r="C216" s="230"/>
      <c r="D216" s="230"/>
      <c r="E216" s="230"/>
      <c r="F216" s="230"/>
      <c r="G216" s="287"/>
      <c r="H216" s="287"/>
      <c r="I216" s="230"/>
      <c r="J216" s="230"/>
      <c r="K216" s="230"/>
      <c r="L216" s="230"/>
      <c r="M216" s="230"/>
      <c r="N216" s="230"/>
      <c r="O216" s="230"/>
      <c r="P216" s="230"/>
      <c r="Q216" s="230"/>
      <c r="R216" s="230"/>
      <c r="S216" s="230"/>
      <c r="T216" s="230"/>
      <c r="U216" s="230"/>
      <c r="V216" s="230"/>
      <c r="W216" s="230"/>
      <c r="X216" s="230"/>
      <c r="Y216" s="230"/>
      <c r="Z216" s="230"/>
    </row>
    <row r="217" ht="15.75" customHeight="1" spans="1:26">
      <c r="A217" s="230"/>
      <c r="B217" s="287"/>
      <c r="C217" s="230"/>
      <c r="D217" s="230"/>
      <c r="E217" s="230"/>
      <c r="F217" s="230"/>
      <c r="G217" s="287"/>
      <c r="H217" s="287"/>
      <c r="I217" s="230"/>
      <c r="J217" s="230"/>
      <c r="K217" s="230"/>
      <c r="L217" s="230"/>
      <c r="M217" s="230"/>
      <c r="N217" s="230"/>
      <c r="O217" s="230"/>
      <c r="P217" s="230"/>
      <c r="Q217" s="230"/>
      <c r="R217" s="230"/>
      <c r="S217" s="230"/>
      <c r="T217" s="230"/>
      <c r="U217" s="230"/>
      <c r="V217" s="230"/>
      <c r="W217" s="230"/>
      <c r="X217" s="230"/>
      <c r="Y217" s="230"/>
      <c r="Z217" s="230"/>
    </row>
    <row r="218" ht="15.75" customHeight="1" spans="1:26">
      <c r="A218" s="230"/>
      <c r="B218" s="287"/>
      <c r="C218" s="230"/>
      <c r="D218" s="230"/>
      <c r="E218" s="230"/>
      <c r="F218" s="230"/>
      <c r="G218" s="287"/>
      <c r="H218" s="287"/>
      <c r="I218" s="230"/>
      <c r="J218" s="230"/>
      <c r="K218" s="230"/>
      <c r="L218" s="230"/>
      <c r="M218" s="230"/>
      <c r="N218" s="230"/>
      <c r="O218" s="230"/>
      <c r="P218" s="230"/>
      <c r="Q218" s="230"/>
      <c r="R218" s="230"/>
      <c r="S218" s="230"/>
      <c r="T218" s="230"/>
      <c r="U218" s="230"/>
      <c r="V218" s="230"/>
      <c r="W218" s="230"/>
      <c r="X218" s="230"/>
      <c r="Y218" s="230"/>
      <c r="Z218" s="230"/>
    </row>
    <row r="219" ht="15.75" customHeight="1" spans="1:26">
      <c r="A219" s="230"/>
      <c r="B219" s="287"/>
      <c r="C219" s="230"/>
      <c r="D219" s="230"/>
      <c r="E219" s="230"/>
      <c r="F219" s="230"/>
      <c r="G219" s="287"/>
      <c r="H219" s="287"/>
      <c r="I219" s="230"/>
      <c r="J219" s="230"/>
      <c r="K219" s="230"/>
      <c r="L219" s="230"/>
      <c r="M219" s="230"/>
      <c r="N219" s="230"/>
      <c r="O219" s="230"/>
      <c r="P219" s="230"/>
      <c r="Q219" s="230"/>
      <c r="R219" s="230"/>
      <c r="S219" s="230"/>
      <c r="T219" s="230"/>
      <c r="U219" s="230"/>
      <c r="V219" s="230"/>
      <c r="W219" s="230"/>
      <c r="X219" s="230"/>
      <c r="Y219" s="230"/>
      <c r="Z219" s="230"/>
    </row>
    <row r="220" ht="15.75" customHeight="1" spans="1:26">
      <c r="A220" s="230"/>
      <c r="B220" s="287"/>
      <c r="C220" s="230"/>
      <c r="D220" s="230"/>
      <c r="E220" s="230"/>
      <c r="F220" s="230"/>
      <c r="G220" s="287"/>
      <c r="H220" s="287"/>
      <c r="I220" s="230"/>
      <c r="J220" s="230"/>
      <c r="K220" s="230"/>
      <c r="L220" s="230"/>
      <c r="M220" s="230"/>
      <c r="N220" s="230"/>
      <c r="O220" s="230"/>
      <c r="P220" s="230"/>
      <c r="Q220" s="230"/>
      <c r="R220" s="230"/>
      <c r="S220" s="230"/>
      <c r="T220" s="230"/>
      <c r="U220" s="230"/>
      <c r="V220" s="230"/>
      <c r="W220" s="230"/>
      <c r="X220" s="230"/>
      <c r="Y220" s="230"/>
      <c r="Z220" s="230"/>
    </row>
    <row r="221" ht="15.75" customHeight="1" spans="1:26">
      <c r="A221" s="230"/>
      <c r="B221" s="287"/>
      <c r="C221" s="230"/>
      <c r="D221" s="230"/>
      <c r="E221" s="230"/>
      <c r="F221" s="230"/>
      <c r="G221" s="287"/>
      <c r="H221" s="287"/>
      <c r="I221" s="230"/>
      <c r="J221" s="230"/>
      <c r="K221" s="230"/>
      <c r="L221" s="230"/>
      <c r="M221" s="230"/>
      <c r="N221" s="230"/>
      <c r="O221" s="230"/>
      <c r="P221" s="230"/>
      <c r="Q221" s="230"/>
      <c r="R221" s="230"/>
      <c r="S221" s="230"/>
      <c r="T221" s="230"/>
      <c r="U221" s="230"/>
      <c r="V221" s="230"/>
      <c r="W221" s="230"/>
      <c r="X221" s="230"/>
      <c r="Y221" s="230"/>
      <c r="Z221" s="230"/>
    </row>
    <row r="222" ht="15.75" customHeight="1" spans="1:26">
      <c r="A222" s="230"/>
      <c r="B222" s="287"/>
      <c r="C222" s="230"/>
      <c r="D222" s="230"/>
      <c r="E222" s="230"/>
      <c r="F222" s="230"/>
      <c r="G222" s="287"/>
      <c r="H222" s="287"/>
      <c r="I222" s="230"/>
      <c r="J222" s="230"/>
      <c r="K222" s="230"/>
      <c r="L222" s="230"/>
      <c r="M222" s="230"/>
      <c r="N222" s="230"/>
      <c r="O222" s="230"/>
      <c r="P222" s="230"/>
      <c r="Q222" s="230"/>
      <c r="R222" s="230"/>
      <c r="S222" s="230"/>
      <c r="T222" s="230"/>
      <c r="U222" s="230"/>
      <c r="V222" s="230"/>
      <c r="W222" s="230"/>
      <c r="X222" s="230"/>
      <c r="Y222" s="230"/>
      <c r="Z222" s="230"/>
    </row>
    <row r="223" ht="15.75" customHeight="1" spans="1:26">
      <c r="A223" s="230"/>
      <c r="B223" s="287"/>
      <c r="C223" s="230"/>
      <c r="D223" s="230"/>
      <c r="E223" s="230"/>
      <c r="F223" s="230"/>
      <c r="G223" s="287"/>
      <c r="H223" s="287"/>
      <c r="I223" s="230"/>
      <c r="J223" s="230"/>
      <c r="K223" s="230"/>
      <c r="L223" s="230"/>
      <c r="M223" s="230"/>
      <c r="N223" s="230"/>
      <c r="O223" s="230"/>
      <c r="P223" s="230"/>
      <c r="Q223" s="230"/>
      <c r="R223" s="230"/>
      <c r="S223" s="230"/>
      <c r="T223" s="230"/>
      <c r="U223" s="230"/>
      <c r="V223" s="230"/>
      <c r="W223" s="230"/>
      <c r="X223" s="230"/>
      <c r="Y223" s="230"/>
      <c r="Z223" s="230"/>
    </row>
    <row r="224" ht="15.75" customHeight="1" spans="1:26">
      <c r="A224" s="230"/>
      <c r="B224" s="287"/>
      <c r="C224" s="230"/>
      <c r="D224" s="230"/>
      <c r="E224" s="230"/>
      <c r="F224" s="230"/>
      <c r="G224" s="287"/>
      <c r="H224" s="287"/>
      <c r="I224" s="230"/>
      <c r="J224" s="230"/>
      <c r="K224" s="230"/>
      <c r="L224" s="230"/>
      <c r="M224" s="230"/>
      <c r="N224" s="230"/>
      <c r="O224" s="230"/>
      <c r="P224" s="230"/>
      <c r="Q224" s="230"/>
      <c r="R224" s="230"/>
      <c r="S224" s="230"/>
      <c r="T224" s="230"/>
      <c r="U224" s="230"/>
      <c r="V224" s="230"/>
      <c r="W224" s="230"/>
      <c r="X224" s="230"/>
      <c r="Y224" s="230"/>
      <c r="Z224" s="230"/>
    </row>
    <row r="225" ht="15.75" customHeight="1" spans="1:26">
      <c r="A225" s="230"/>
      <c r="B225" s="287"/>
      <c r="C225" s="230"/>
      <c r="D225" s="230"/>
      <c r="E225" s="230"/>
      <c r="F225" s="230"/>
      <c r="G225" s="287"/>
      <c r="H225" s="287"/>
      <c r="I225" s="230"/>
      <c r="J225" s="230"/>
      <c r="K225" s="230"/>
      <c r="L225" s="230"/>
      <c r="M225" s="230"/>
      <c r="N225" s="230"/>
      <c r="O225" s="230"/>
      <c r="P225" s="230"/>
      <c r="Q225" s="230"/>
      <c r="R225" s="230"/>
      <c r="S225" s="230"/>
      <c r="T225" s="230"/>
      <c r="U225" s="230"/>
      <c r="V225" s="230"/>
      <c r="W225" s="230"/>
      <c r="X225" s="230"/>
      <c r="Y225" s="230"/>
      <c r="Z225" s="230"/>
    </row>
    <row r="226" ht="15.75" customHeight="1" spans="1:26">
      <c r="A226" s="230"/>
      <c r="B226" s="287"/>
      <c r="C226" s="230"/>
      <c r="D226" s="230"/>
      <c r="E226" s="230"/>
      <c r="F226" s="230"/>
      <c r="G226" s="287"/>
      <c r="H226" s="287"/>
      <c r="I226" s="230"/>
      <c r="J226" s="230"/>
      <c r="K226" s="230"/>
      <c r="L226" s="230"/>
      <c r="M226" s="230"/>
      <c r="N226" s="230"/>
      <c r="O226" s="230"/>
      <c r="P226" s="230"/>
      <c r="Q226" s="230"/>
      <c r="R226" s="230"/>
      <c r="S226" s="230"/>
      <c r="T226" s="230"/>
      <c r="U226" s="230"/>
      <c r="V226" s="230"/>
      <c r="W226" s="230"/>
      <c r="X226" s="230"/>
      <c r="Y226" s="230"/>
      <c r="Z226" s="230"/>
    </row>
    <row r="227" ht="15.75" customHeight="1" spans="1:26">
      <c r="A227" s="230"/>
      <c r="B227" s="287"/>
      <c r="C227" s="230"/>
      <c r="D227" s="230"/>
      <c r="E227" s="230"/>
      <c r="F227" s="230"/>
      <c r="G227" s="287"/>
      <c r="H227" s="287"/>
      <c r="I227" s="230"/>
      <c r="J227" s="230"/>
      <c r="K227" s="230"/>
      <c r="L227" s="230"/>
      <c r="M227" s="230"/>
      <c r="N227" s="230"/>
      <c r="O227" s="230"/>
      <c r="P227" s="230"/>
      <c r="Q227" s="230"/>
      <c r="R227" s="230"/>
      <c r="S227" s="230"/>
      <c r="T227" s="230"/>
      <c r="U227" s="230"/>
      <c r="V227" s="230"/>
      <c r="W227" s="230"/>
      <c r="X227" s="230"/>
      <c r="Y227" s="230"/>
      <c r="Z227" s="230"/>
    </row>
    <row r="228" ht="15.75" customHeight="1" spans="1:26">
      <c r="A228" s="230"/>
      <c r="B228" s="287"/>
      <c r="C228" s="230"/>
      <c r="D228" s="230"/>
      <c r="E228" s="230"/>
      <c r="F228" s="230"/>
      <c r="G228" s="287"/>
      <c r="H228" s="287"/>
      <c r="I228" s="230"/>
      <c r="J228" s="230"/>
      <c r="K228" s="230"/>
      <c r="L228" s="230"/>
      <c r="M228" s="230"/>
      <c r="N228" s="230"/>
      <c r="O228" s="230"/>
      <c r="P228" s="230"/>
      <c r="Q228" s="230"/>
      <c r="R228" s="230"/>
      <c r="S228" s="230"/>
      <c r="T228" s="230"/>
      <c r="U228" s="230"/>
      <c r="V228" s="230"/>
      <c r="W228" s="230"/>
      <c r="X228" s="230"/>
      <c r="Y228" s="230"/>
      <c r="Z228" s="230"/>
    </row>
    <row r="229" ht="15.75" customHeight="1" spans="1:26">
      <c r="A229" s="230"/>
      <c r="B229" s="287"/>
      <c r="C229" s="230"/>
      <c r="D229" s="230"/>
      <c r="E229" s="230"/>
      <c r="F229" s="230"/>
      <c r="G229" s="287"/>
      <c r="H229" s="287"/>
      <c r="I229" s="230"/>
      <c r="J229" s="230"/>
      <c r="K229" s="230"/>
      <c r="L229" s="230"/>
      <c r="M229" s="230"/>
      <c r="N229" s="230"/>
      <c r="O229" s="230"/>
      <c r="P229" s="230"/>
      <c r="Q229" s="230"/>
      <c r="R229" s="230"/>
      <c r="S229" s="230"/>
      <c r="T229" s="230"/>
      <c r="U229" s="230"/>
      <c r="V229" s="230"/>
      <c r="W229" s="230"/>
      <c r="X229" s="230"/>
      <c r="Y229" s="230"/>
      <c r="Z229" s="230"/>
    </row>
    <row r="230" ht="15.75" customHeight="1" spans="1:26">
      <c r="A230" s="230"/>
      <c r="B230" s="287"/>
      <c r="C230" s="230"/>
      <c r="D230" s="230"/>
      <c r="E230" s="230"/>
      <c r="F230" s="230"/>
      <c r="G230" s="287"/>
      <c r="H230" s="287"/>
      <c r="I230" s="230"/>
      <c r="J230" s="230"/>
      <c r="K230" s="230"/>
      <c r="L230" s="230"/>
      <c r="M230" s="230"/>
      <c r="N230" s="230"/>
      <c r="O230" s="230"/>
      <c r="P230" s="230"/>
      <c r="Q230" s="230"/>
      <c r="R230" s="230"/>
      <c r="S230" s="230"/>
      <c r="T230" s="230"/>
      <c r="U230" s="230"/>
      <c r="V230" s="230"/>
      <c r="W230" s="230"/>
      <c r="X230" s="230"/>
      <c r="Y230" s="230"/>
      <c r="Z230" s="230"/>
    </row>
    <row r="231" ht="15.75" customHeight="1" spans="1:26">
      <c r="A231" s="230"/>
      <c r="B231" s="287"/>
      <c r="C231" s="230"/>
      <c r="D231" s="230"/>
      <c r="E231" s="230"/>
      <c r="F231" s="230"/>
      <c r="G231" s="287"/>
      <c r="H231" s="287"/>
      <c r="I231" s="230"/>
      <c r="J231" s="230"/>
      <c r="K231" s="230"/>
      <c r="L231" s="230"/>
      <c r="M231" s="230"/>
      <c r="N231" s="230"/>
      <c r="O231" s="230"/>
      <c r="P231" s="230"/>
      <c r="Q231" s="230"/>
      <c r="R231" s="230"/>
      <c r="S231" s="230"/>
      <c r="T231" s="230"/>
      <c r="U231" s="230"/>
      <c r="V231" s="230"/>
      <c r="W231" s="230"/>
      <c r="X231" s="230"/>
      <c r="Y231" s="230"/>
      <c r="Z231" s="230"/>
    </row>
    <row r="232" ht="15.75" customHeight="1" spans="1:26">
      <c r="A232" s="230"/>
      <c r="B232" s="287"/>
      <c r="C232" s="230"/>
      <c r="D232" s="230"/>
      <c r="E232" s="230"/>
      <c r="F232" s="230"/>
      <c r="G232" s="287"/>
      <c r="H232" s="287"/>
      <c r="I232" s="230"/>
      <c r="J232" s="230"/>
      <c r="K232" s="230"/>
      <c r="L232" s="230"/>
      <c r="M232" s="230"/>
      <c r="N232" s="230"/>
      <c r="O232" s="230"/>
      <c r="P232" s="230"/>
      <c r="Q232" s="230"/>
      <c r="R232" s="230"/>
      <c r="S232" s="230"/>
      <c r="T232" s="230"/>
      <c r="U232" s="230"/>
      <c r="V232" s="230"/>
      <c r="W232" s="230"/>
      <c r="X232" s="230"/>
      <c r="Y232" s="230"/>
      <c r="Z232" s="230"/>
    </row>
    <row r="233" ht="15.75" customHeight="1" spans="1:26">
      <c r="A233" s="230"/>
      <c r="B233" s="287"/>
      <c r="C233" s="230"/>
      <c r="D233" s="230"/>
      <c r="E233" s="230"/>
      <c r="F233" s="230"/>
      <c r="G233" s="287"/>
      <c r="H233" s="287"/>
      <c r="I233" s="230"/>
      <c r="J233" s="230"/>
      <c r="K233" s="230"/>
      <c r="L233" s="230"/>
      <c r="M233" s="230"/>
      <c r="N233" s="230"/>
      <c r="O233" s="230"/>
      <c r="P233" s="230"/>
      <c r="Q233" s="230"/>
      <c r="R233" s="230"/>
      <c r="S233" s="230"/>
      <c r="T233" s="230"/>
      <c r="U233" s="230"/>
      <c r="V233" s="230"/>
      <c r="W233" s="230"/>
      <c r="X233" s="230"/>
      <c r="Y233" s="230"/>
      <c r="Z233" s="230"/>
    </row>
    <row r="234" ht="15.75" customHeight="1" spans="1:26">
      <c r="A234" s="230"/>
      <c r="B234" s="287"/>
      <c r="C234" s="230"/>
      <c r="D234" s="230"/>
      <c r="E234" s="230"/>
      <c r="F234" s="230"/>
      <c r="G234" s="287"/>
      <c r="H234" s="287"/>
      <c r="I234" s="230"/>
      <c r="J234" s="230"/>
      <c r="K234" s="230"/>
      <c r="L234" s="230"/>
      <c r="M234" s="230"/>
      <c r="N234" s="230"/>
      <c r="O234" s="230"/>
      <c r="P234" s="230"/>
      <c r="Q234" s="230"/>
      <c r="R234" s="230"/>
      <c r="S234" s="230"/>
      <c r="T234" s="230"/>
      <c r="U234" s="230"/>
      <c r="V234" s="230"/>
      <c r="W234" s="230"/>
      <c r="X234" s="230"/>
      <c r="Y234" s="230"/>
      <c r="Z234" s="230"/>
    </row>
    <row r="235" ht="15.75" customHeight="1" spans="1:26">
      <c r="A235" s="230"/>
      <c r="B235" s="287"/>
      <c r="C235" s="230"/>
      <c r="D235" s="230"/>
      <c r="E235" s="230"/>
      <c r="F235" s="230"/>
      <c r="G235" s="287"/>
      <c r="H235" s="287"/>
      <c r="I235" s="230"/>
      <c r="J235" s="230"/>
      <c r="K235" s="230"/>
      <c r="L235" s="230"/>
      <c r="M235" s="230"/>
      <c r="N235" s="230"/>
      <c r="O235" s="230"/>
      <c r="P235" s="230"/>
      <c r="Q235" s="230"/>
      <c r="R235" s="230"/>
      <c r="S235" s="230"/>
      <c r="T235" s="230"/>
      <c r="U235" s="230"/>
      <c r="V235" s="230"/>
      <c r="W235" s="230"/>
      <c r="X235" s="230"/>
      <c r="Y235" s="230"/>
      <c r="Z235" s="230"/>
    </row>
    <row r="236" ht="15.75" customHeight="1" spans="1:26">
      <c r="A236" s="230"/>
      <c r="B236" s="287"/>
      <c r="C236" s="230"/>
      <c r="D236" s="230"/>
      <c r="E236" s="230"/>
      <c r="F236" s="230"/>
      <c r="G236" s="287"/>
      <c r="H236" s="287"/>
      <c r="I236" s="230"/>
      <c r="J236" s="230"/>
      <c r="K236" s="230"/>
      <c r="L236" s="230"/>
      <c r="M236" s="230"/>
      <c r="N236" s="230"/>
      <c r="O236" s="230"/>
      <c r="P236" s="230"/>
      <c r="Q236" s="230"/>
      <c r="R236" s="230"/>
      <c r="S236" s="230"/>
      <c r="T236" s="230"/>
      <c r="U236" s="230"/>
      <c r="V236" s="230"/>
      <c r="W236" s="230"/>
      <c r="X236" s="230"/>
      <c r="Y236" s="230"/>
      <c r="Z236" s="230"/>
    </row>
    <row r="237" ht="15.75" customHeight="1" spans="1:26">
      <c r="A237" s="230"/>
      <c r="B237" s="287"/>
      <c r="C237" s="230"/>
      <c r="D237" s="230"/>
      <c r="E237" s="230"/>
      <c r="F237" s="230"/>
      <c r="G237" s="287"/>
      <c r="H237" s="287"/>
      <c r="I237" s="230"/>
      <c r="J237" s="230"/>
      <c r="K237" s="230"/>
      <c r="L237" s="230"/>
      <c r="M237" s="230"/>
      <c r="N237" s="230"/>
      <c r="O237" s="230"/>
      <c r="P237" s="230"/>
      <c r="Q237" s="230"/>
      <c r="R237" s="230"/>
      <c r="S237" s="230"/>
      <c r="T237" s="230"/>
      <c r="U237" s="230"/>
      <c r="V237" s="230"/>
      <c r="W237" s="230"/>
      <c r="X237" s="230"/>
      <c r="Y237" s="230"/>
      <c r="Z237" s="230"/>
    </row>
    <row r="238" ht="15.75" customHeight="1" spans="1:26">
      <c r="A238" s="230"/>
      <c r="B238" s="287"/>
      <c r="C238" s="230"/>
      <c r="D238" s="230"/>
      <c r="E238" s="230"/>
      <c r="F238" s="230"/>
      <c r="G238" s="287"/>
      <c r="H238" s="287"/>
      <c r="I238" s="230"/>
      <c r="J238" s="230"/>
      <c r="K238" s="230"/>
      <c r="L238" s="230"/>
      <c r="M238" s="230"/>
      <c r="N238" s="230"/>
      <c r="O238" s="230"/>
      <c r="P238" s="230"/>
      <c r="Q238" s="230"/>
      <c r="R238" s="230"/>
      <c r="S238" s="230"/>
      <c r="T238" s="230"/>
      <c r="U238" s="230"/>
      <c r="V238" s="230"/>
      <c r="W238" s="230"/>
      <c r="X238" s="230"/>
      <c r="Y238" s="230"/>
      <c r="Z238" s="230"/>
    </row>
    <row r="239" ht="15.75" customHeight="1" spans="1:26">
      <c r="A239" s="230"/>
      <c r="B239" s="287"/>
      <c r="C239" s="230"/>
      <c r="D239" s="230"/>
      <c r="E239" s="230"/>
      <c r="F239" s="230"/>
      <c r="G239" s="287"/>
      <c r="H239" s="287"/>
      <c r="I239" s="230"/>
      <c r="J239" s="230"/>
      <c r="K239" s="230"/>
      <c r="L239" s="230"/>
      <c r="M239" s="230"/>
      <c r="N239" s="230"/>
      <c r="O239" s="230"/>
      <c r="P239" s="230"/>
      <c r="Q239" s="230"/>
      <c r="R239" s="230"/>
      <c r="S239" s="230"/>
      <c r="T239" s="230"/>
      <c r="U239" s="230"/>
      <c r="V239" s="230"/>
      <c r="W239" s="230"/>
      <c r="X239" s="230"/>
      <c r="Y239" s="230"/>
      <c r="Z239" s="230"/>
    </row>
    <row r="240" ht="15.75" customHeight="1" spans="1:26">
      <c r="A240" s="230"/>
      <c r="B240" s="287"/>
      <c r="C240" s="230"/>
      <c r="D240" s="230"/>
      <c r="E240" s="230"/>
      <c r="F240" s="230"/>
      <c r="G240" s="287"/>
      <c r="H240" s="287"/>
      <c r="I240" s="230"/>
      <c r="J240" s="230"/>
      <c r="K240" s="230"/>
      <c r="L240" s="230"/>
      <c r="M240" s="230"/>
      <c r="N240" s="230"/>
      <c r="O240" s="230"/>
      <c r="P240" s="230"/>
      <c r="Q240" s="230"/>
      <c r="R240" s="230"/>
      <c r="S240" s="230"/>
      <c r="T240" s="230"/>
      <c r="U240" s="230"/>
      <c r="V240" s="230"/>
      <c r="W240" s="230"/>
      <c r="X240" s="230"/>
      <c r="Y240" s="230"/>
      <c r="Z240" s="230"/>
    </row>
    <row r="241" ht="15.75" customHeight="1" spans="1:26">
      <c r="A241" s="230"/>
      <c r="B241" s="287"/>
      <c r="C241" s="230"/>
      <c r="D241" s="230"/>
      <c r="E241" s="230"/>
      <c r="F241" s="230"/>
      <c r="G241" s="287"/>
      <c r="H241" s="287"/>
      <c r="I241" s="230"/>
      <c r="J241" s="230"/>
      <c r="K241" s="230"/>
      <c r="L241" s="230"/>
      <c r="M241" s="230"/>
      <c r="N241" s="230"/>
      <c r="O241" s="230"/>
      <c r="P241" s="230"/>
      <c r="Q241" s="230"/>
      <c r="R241" s="230"/>
      <c r="S241" s="230"/>
      <c r="T241" s="230"/>
      <c r="U241" s="230"/>
      <c r="V241" s="230"/>
      <c r="W241" s="230"/>
      <c r="X241" s="230"/>
      <c r="Y241" s="230"/>
      <c r="Z241" s="230"/>
    </row>
    <row r="242" ht="15.75" customHeight="1" spans="1:26">
      <c r="A242" s="230"/>
      <c r="B242" s="287"/>
      <c r="C242" s="230"/>
      <c r="D242" s="230"/>
      <c r="E242" s="230"/>
      <c r="F242" s="230"/>
      <c r="G242" s="287"/>
      <c r="H242" s="287"/>
      <c r="I242" s="230"/>
      <c r="J242" s="230"/>
      <c r="K242" s="230"/>
      <c r="L242" s="230"/>
      <c r="M242" s="230"/>
      <c r="N242" s="230"/>
      <c r="O242" s="230"/>
      <c r="P242" s="230"/>
      <c r="Q242" s="230"/>
      <c r="R242" s="230"/>
      <c r="S242" s="230"/>
      <c r="T242" s="230"/>
      <c r="U242" s="230"/>
      <c r="V242" s="230"/>
      <c r="W242" s="230"/>
      <c r="X242" s="230"/>
      <c r="Y242" s="230"/>
      <c r="Z242" s="230"/>
    </row>
    <row r="243" ht="15.75" customHeight="1" spans="1:26">
      <c r="A243" s="230"/>
      <c r="B243" s="287"/>
      <c r="C243" s="230"/>
      <c r="D243" s="230"/>
      <c r="E243" s="230"/>
      <c r="F243" s="230"/>
      <c r="G243" s="287"/>
      <c r="H243" s="287"/>
      <c r="I243" s="230"/>
      <c r="J243" s="230"/>
      <c r="K243" s="230"/>
      <c r="L243" s="230"/>
      <c r="M243" s="230"/>
      <c r="N243" s="230"/>
      <c r="O243" s="230"/>
      <c r="P243" s="230"/>
      <c r="Q243" s="230"/>
      <c r="R243" s="230"/>
      <c r="S243" s="230"/>
      <c r="T243" s="230"/>
      <c r="U243" s="230"/>
      <c r="V243" s="230"/>
      <c r="W243" s="230"/>
      <c r="X243" s="230"/>
      <c r="Y243" s="230"/>
      <c r="Z243" s="230"/>
    </row>
    <row r="244" ht="15.75" customHeight="1" spans="1:26">
      <c r="A244" s="230"/>
      <c r="B244" s="287"/>
      <c r="C244" s="230"/>
      <c r="D244" s="230"/>
      <c r="E244" s="230"/>
      <c r="F244" s="230"/>
      <c r="G244" s="287"/>
      <c r="H244" s="287"/>
      <c r="I244" s="230"/>
      <c r="J244" s="230"/>
      <c r="K244" s="230"/>
      <c r="L244" s="230"/>
      <c r="M244" s="230"/>
      <c r="N244" s="230"/>
      <c r="O244" s="230"/>
      <c r="P244" s="230"/>
      <c r="Q244" s="230"/>
      <c r="R244" s="230"/>
      <c r="S244" s="230"/>
      <c r="T244" s="230"/>
      <c r="U244" s="230"/>
      <c r="V244" s="230"/>
      <c r="W244" s="230"/>
      <c r="X244" s="230"/>
      <c r="Y244" s="230"/>
      <c r="Z244" s="230"/>
    </row>
    <row r="245" ht="15.75" customHeight="1" spans="1:26">
      <c r="A245" s="230"/>
      <c r="B245" s="287"/>
      <c r="C245" s="230"/>
      <c r="D245" s="230"/>
      <c r="E245" s="230"/>
      <c r="F245" s="230"/>
      <c r="G245" s="287"/>
      <c r="H245" s="287"/>
      <c r="I245" s="230"/>
      <c r="J245" s="230"/>
      <c r="K245" s="230"/>
      <c r="L245" s="230"/>
      <c r="M245" s="230"/>
      <c r="N245" s="230"/>
      <c r="O245" s="230"/>
      <c r="P245" s="230"/>
      <c r="Q245" s="230"/>
      <c r="R245" s="230"/>
      <c r="S245" s="230"/>
      <c r="T245" s="230"/>
      <c r="U245" s="230"/>
      <c r="V245" s="230"/>
      <c r="W245" s="230"/>
      <c r="X245" s="230"/>
      <c r="Y245" s="230"/>
      <c r="Z245" s="230"/>
    </row>
    <row r="246" ht="15.75" customHeight="1" spans="1:26">
      <c r="A246" s="230"/>
      <c r="B246" s="287"/>
      <c r="C246" s="230"/>
      <c r="D246" s="230"/>
      <c r="E246" s="230"/>
      <c r="F246" s="230"/>
      <c r="G246" s="287"/>
      <c r="H246" s="287"/>
      <c r="I246" s="230"/>
      <c r="J246" s="230"/>
      <c r="K246" s="230"/>
      <c r="L246" s="230"/>
      <c r="M246" s="230"/>
      <c r="N246" s="230"/>
      <c r="O246" s="230"/>
      <c r="P246" s="230"/>
      <c r="Q246" s="230"/>
      <c r="R246" s="230"/>
      <c r="S246" s="230"/>
      <c r="T246" s="230"/>
      <c r="U246" s="230"/>
      <c r="V246" s="230"/>
      <c r="W246" s="230"/>
      <c r="X246" s="230"/>
      <c r="Y246" s="230"/>
      <c r="Z246" s="230"/>
    </row>
    <row r="247" ht="15.75" customHeight="1" spans="1:26">
      <c r="A247" s="230"/>
      <c r="B247" s="287"/>
      <c r="C247" s="230"/>
      <c r="D247" s="230"/>
      <c r="E247" s="230"/>
      <c r="F247" s="230"/>
      <c r="G247" s="287"/>
      <c r="H247" s="287"/>
      <c r="I247" s="230"/>
      <c r="J247" s="230"/>
      <c r="K247" s="230"/>
      <c r="L247" s="230"/>
      <c r="M247" s="230"/>
      <c r="N247" s="230"/>
      <c r="O247" s="230"/>
      <c r="P247" s="230"/>
      <c r="Q247" s="230"/>
      <c r="R247" s="230"/>
      <c r="S247" s="230"/>
      <c r="T247" s="230"/>
      <c r="U247" s="230"/>
      <c r="V247" s="230"/>
      <c r="W247" s="230"/>
      <c r="X247" s="230"/>
      <c r="Y247" s="230"/>
      <c r="Z247" s="230"/>
    </row>
    <row r="248" ht="15.75" customHeight="1" spans="1:26">
      <c r="A248" s="230"/>
      <c r="B248" s="287"/>
      <c r="C248" s="230"/>
      <c r="D248" s="230"/>
      <c r="E248" s="230"/>
      <c r="F248" s="230"/>
      <c r="G248" s="287"/>
      <c r="H248" s="287"/>
      <c r="I248" s="230"/>
      <c r="J248" s="230"/>
      <c r="K248" s="230"/>
      <c r="L248" s="230"/>
      <c r="M248" s="230"/>
      <c r="N248" s="230"/>
      <c r="O248" s="230"/>
      <c r="P248" s="230"/>
      <c r="Q248" s="230"/>
      <c r="R248" s="230"/>
      <c r="S248" s="230"/>
      <c r="T248" s="230"/>
      <c r="U248" s="230"/>
      <c r="V248" s="230"/>
      <c r="W248" s="230"/>
      <c r="X248" s="230"/>
      <c r="Y248" s="230"/>
      <c r="Z248" s="230"/>
    </row>
    <row r="249" ht="15.75" customHeight="1" spans="1:26">
      <c r="A249" s="230"/>
      <c r="B249" s="287"/>
      <c r="C249" s="230"/>
      <c r="D249" s="230"/>
      <c r="E249" s="230"/>
      <c r="F249" s="230"/>
      <c r="G249" s="287"/>
      <c r="H249" s="287"/>
      <c r="I249" s="230"/>
      <c r="J249" s="230"/>
      <c r="K249" s="230"/>
      <c r="L249" s="230"/>
      <c r="M249" s="230"/>
      <c r="N249" s="230"/>
      <c r="O249" s="230"/>
      <c r="P249" s="230"/>
      <c r="Q249" s="230"/>
      <c r="R249" s="230"/>
      <c r="S249" s="230"/>
      <c r="T249" s="230"/>
      <c r="U249" s="230"/>
      <c r="V249" s="230"/>
      <c r="W249" s="230"/>
      <c r="X249" s="230"/>
      <c r="Y249" s="230"/>
      <c r="Z249" s="230"/>
    </row>
    <row r="250" ht="15.75" customHeight="1" spans="1:26">
      <c r="A250" s="230"/>
      <c r="B250" s="287"/>
      <c r="C250" s="230"/>
      <c r="D250" s="230"/>
      <c r="E250" s="230"/>
      <c r="F250" s="230"/>
      <c r="G250" s="287"/>
      <c r="H250" s="287"/>
      <c r="I250" s="230"/>
      <c r="J250" s="230"/>
      <c r="K250" s="230"/>
      <c r="L250" s="230"/>
      <c r="M250" s="230"/>
      <c r="N250" s="230"/>
      <c r="O250" s="230"/>
      <c r="P250" s="230"/>
      <c r="Q250" s="230"/>
      <c r="R250" s="230"/>
      <c r="S250" s="230"/>
      <c r="T250" s="230"/>
      <c r="U250" s="230"/>
      <c r="V250" s="230"/>
      <c r="W250" s="230"/>
      <c r="X250" s="230"/>
      <c r="Y250" s="230"/>
      <c r="Z250" s="230"/>
    </row>
    <row r="251" ht="15.75" customHeight="1" spans="1:26">
      <c r="A251" s="230"/>
      <c r="B251" s="287"/>
      <c r="C251" s="230"/>
      <c r="D251" s="230"/>
      <c r="E251" s="230"/>
      <c r="F251" s="230"/>
      <c r="G251" s="287"/>
      <c r="H251" s="287"/>
      <c r="I251" s="230"/>
      <c r="J251" s="230"/>
      <c r="K251" s="230"/>
      <c r="L251" s="230"/>
      <c r="M251" s="230"/>
      <c r="N251" s="230"/>
      <c r="O251" s="230"/>
      <c r="P251" s="230"/>
      <c r="Q251" s="230"/>
      <c r="R251" s="230"/>
      <c r="S251" s="230"/>
      <c r="T251" s="230"/>
      <c r="U251" s="230"/>
      <c r="V251" s="230"/>
      <c r="W251" s="230"/>
      <c r="X251" s="230"/>
      <c r="Y251" s="230"/>
      <c r="Z251" s="230"/>
    </row>
    <row r="252" ht="15.75" customHeight="1" spans="1:26">
      <c r="A252" s="230"/>
      <c r="B252" s="287"/>
      <c r="C252" s="230"/>
      <c r="D252" s="230"/>
      <c r="E252" s="230"/>
      <c r="F252" s="230"/>
      <c r="G252" s="287"/>
      <c r="H252" s="287"/>
      <c r="I252" s="230"/>
      <c r="J252" s="230"/>
      <c r="K252" s="230"/>
      <c r="L252" s="230"/>
      <c r="M252" s="230"/>
      <c r="N252" s="230"/>
      <c r="O252" s="230"/>
      <c r="P252" s="230"/>
      <c r="Q252" s="230"/>
      <c r="R252" s="230"/>
      <c r="S252" s="230"/>
      <c r="T252" s="230"/>
      <c r="U252" s="230"/>
      <c r="V252" s="230"/>
      <c r="W252" s="230"/>
      <c r="X252" s="230"/>
      <c r="Y252" s="230"/>
      <c r="Z252" s="230"/>
    </row>
    <row r="253" ht="15.75" customHeight="1" spans="1:26">
      <c r="A253" s="230"/>
      <c r="B253" s="287"/>
      <c r="C253" s="230"/>
      <c r="D253" s="230"/>
      <c r="E253" s="230"/>
      <c r="F253" s="230"/>
      <c r="G253" s="287"/>
      <c r="H253" s="287"/>
      <c r="I253" s="230"/>
      <c r="J253" s="230"/>
      <c r="K253" s="230"/>
      <c r="L253" s="230"/>
      <c r="M253" s="230"/>
      <c r="N253" s="230"/>
      <c r="O253" s="230"/>
      <c r="P253" s="230"/>
      <c r="Q253" s="230"/>
      <c r="R253" s="230"/>
      <c r="S253" s="230"/>
      <c r="T253" s="230"/>
      <c r="U253" s="230"/>
      <c r="V253" s="230"/>
      <c r="W253" s="230"/>
      <c r="X253" s="230"/>
      <c r="Y253" s="230"/>
      <c r="Z253" s="230"/>
    </row>
    <row r="254" ht="15.75" customHeight="1" spans="1:26">
      <c r="A254" s="230"/>
      <c r="B254" s="287"/>
      <c r="C254" s="230"/>
      <c r="D254" s="230"/>
      <c r="E254" s="230"/>
      <c r="F254" s="230"/>
      <c r="G254" s="287"/>
      <c r="H254" s="287"/>
      <c r="I254" s="230"/>
      <c r="J254" s="230"/>
      <c r="K254" s="230"/>
      <c r="L254" s="230"/>
      <c r="M254" s="230"/>
      <c r="N254" s="230"/>
      <c r="O254" s="230"/>
      <c r="P254" s="230"/>
      <c r="Q254" s="230"/>
      <c r="R254" s="230"/>
      <c r="S254" s="230"/>
      <c r="T254" s="230"/>
      <c r="U254" s="230"/>
      <c r="V254" s="230"/>
      <c r="W254" s="230"/>
      <c r="X254" s="230"/>
      <c r="Y254" s="230"/>
      <c r="Z254" s="230"/>
    </row>
    <row r="255" ht="15.75" customHeight="1" spans="1:26">
      <c r="A255" s="230"/>
      <c r="B255" s="287"/>
      <c r="C255" s="230"/>
      <c r="D255" s="230"/>
      <c r="E255" s="230"/>
      <c r="F255" s="230"/>
      <c r="G255" s="287"/>
      <c r="H255" s="287"/>
      <c r="I255" s="230"/>
      <c r="J255" s="230"/>
      <c r="K255" s="230"/>
      <c r="L255" s="230"/>
      <c r="M255" s="230"/>
      <c r="N255" s="230"/>
      <c r="O255" s="230"/>
      <c r="P255" s="230"/>
      <c r="Q255" s="230"/>
      <c r="R255" s="230"/>
      <c r="S255" s="230"/>
      <c r="T255" s="230"/>
      <c r="U255" s="230"/>
      <c r="V255" s="230"/>
      <c r="W255" s="230"/>
      <c r="X255" s="230"/>
      <c r="Y255" s="230"/>
      <c r="Z255" s="230"/>
    </row>
    <row r="256" ht="15.75" customHeight="1" spans="1:26">
      <c r="A256" s="230"/>
      <c r="B256" s="287"/>
      <c r="C256" s="230"/>
      <c r="D256" s="230"/>
      <c r="E256" s="230"/>
      <c r="F256" s="230"/>
      <c r="G256" s="287"/>
      <c r="H256" s="287"/>
      <c r="I256" s="230"/>
      <c r="J256" s="230"/>
      <c r="K256" s="230"/>
      <c r="L256" s="230"/>
      <c r="M256" s="230"/>
      <c r="N256" s="230"/>
      <c r="O256" s="230"/>
      <c r="P256" s="230"/>
      <c r="Q256" s="230"/>
      <c r="R256" s="230"/>
      <c r="S256" s="230"/>
      <c r="T256" s="230"/>
      <c r="U256" s="230"/>
      <c r="V256" s="230"/>
      <c r="W256" s="230"/>
      <c r="X256" s="230"/>
      <c r="Y256" s="230"/>
      <c r="Z256" s="230"/>
    </row>
    <row r="257" ht="15.75" customHeight="1" spans="1:26">
      <c r="A257" s="230"/>
      <c r="B257" s="287"/>
      <c r="C257" s="230"/>
      <c r="D257" s="230"/>
      <c r="E257" s="230"/>
      <c r="F257" s="230"/>
      <c r="G257" s="287"/>
      <c r="H257" s="287"/>
      <c r="I257" s="230"/>
      <c r="J257" s="230"/>
      <c r="K257" s="230"/>
      <c r="L257" s="230"/>
      <c r="M257" s="230"/>
      <c r="N257" s="230"/>
      <c r="O257" s="230"/>
      <c r="P257" s="230"/>
      <c r="Q257" s="230"/>
      <c r="R257" s="230"/>
      <c r="S257" s="230"/>
      <c r="T257" s="230"/>
      <c r="U257" s="230"/>
      <c r="V257" s="230"/>
      <c r="W257" s="230"/>
      <c r="X257" s="230"/>
      <c r="Y257" s="230"/>
      <c r="Z257" s="230"/>
    </row>
    <row r="258" ht="15.75" customHeight="1" spans="1:26">
      <c r="A258" s="230"/>
      <c r="B258" s="287"/>
      <c r="C258" s="230"/>
      <c r="D258" s="230"/>
      <c r="E258" s="230"/>
      <c r="F258" s="230"/>
      <c r="G258" s="287"/>
      <c r="H258" s="287"/>
      <c r="I258" s="230"/>
      <c r="J258" s="230"/>
      <c r="K258" s="230"/>
      <c r="L258" s="230"/>
      <c r="M258" s="230"/>
      <c r="N258" s="230"/>
      <c r="O258" s="230"/>
      <c r="P258" s="230"/>
      <c r="Q258" s="230"/>
      <c r="R258" s="230"/>
      <c r="S258" s="230"/>
      <c r="T258" s="230"/>
      <c r="U258" s="230"/>
      <c r="V258" s="230"/>
      <c r="W258" s="230"/>
      <c r="X258" s="230"/>
      <c r="Y258" s="230"/>
      <c r="Z258" s="230"/>
    </row>
    <row r="259" ht="15.75" customHeight="1" spans="1:26">
      <c r="A259" s="230"/>
      <c r="B259" s="287"/>
      <c r="C259" s="230"/>
      <c r="D259" s="230"/>
      <c r="E259" s="230"/>
      <c r="F259" s="230"/>
      <c r="G259" s="287"/>
      <c r="H259" s="287"/>
      <c r="I259" s="230"/>
      <c r="J259" s="230"/>
      <c r="K259" s="230"/>
      <c r="L259" s="230"/>
      <c r="M259" s="230"/>
      <c r="N259" s="230"/>
      <c r="O259" s="230"/>
      <c r="P259" s="230"/>
      <c r="Q259" s="230"/>
      <c r="R259" s="230"/>
      <c r="S259" s="230"/>
      <c r="T259" s="230"/>
      <c r="U259" s="230"/>
      <c r="V259" s="230"/>
      <c r="W259" s="230"/>
      <c r="X259" s="230"/>
      <c r="Y259" s="230"/>
      <c r="Z259" s="230"/>
    </row>
    <row r="260" ht="15.75" customHeight="1" spans="1:26">
      <c r="A260" s="230"/>
      <c r="B260" s="287"/>
      <c r="C260" s="230"/>
      <c r="D260" s="230"/>
      <c r="E260" s="230"/>
      <c r="F260" s="230"/>
      <c r="G260" s="287"/>
      <c r="H260" s="287"/>
      <c r="I260" s="230"/>
      <c r="J260" s="230"/>
      <c r="K260" s="230"/>
      <c r="L260" s="230"/>
      <c r="M260" s="230"/>
      <c r="N260" s="230"/>
      <c r="O260" s="230"/>
      <c r="P260" s="230"/>
      <c r="Q260" s="230"/>
      <c r="R260" s="230"/>
      <c r="S260" s="230"/>
      <c r="T260" s="230"/>
      <c r="U260" s="230"/>
      <c r="V260" s="230"/>
      <c r="W260" s="230"/>
      <c r="X260" s="230"/>
      <c r="Y260" s="230"/>
      <c r="Z260" s="230"/>
    </row>
    <row r="261" ht="15.75" customHeight="1" spans="1:26">
      <c r="A261" s="230"/>
      <c r="B261" s="287"/>
      <c r="C261" s="230"/>
      <c r="D261" s="230"/>
      <c r="E261" s="230"/>
      <c r="F261" s="230"/>
      <c r="G261" s="287"/>
      <c r="H261" s="287"/>
      <c r="I261" s="230"/>
      <c r="J261" s="230"/>
      <c r="K261" s="230"/>
      <c r="L261" s="230"/>
      <c r="M261" s="230"/>
      <c r="N261" s="230"/>
      <c r="O261" s="230"/>
      <c r="P261" s="230"/>
      <c r="Q261" s="230"/>
      <c r="R261" s="230"/>
      <c r="S261" s="230"/>
      <c r="T261" s="230"/>
      <c r="U261" s="230"/>
      <c r="V261" s="230"/>
      <c r="W261" s="230"/>
      <c r="X261" s="230"/>
      <c r="Y261" s="230"/>
      <c r="Z261" s="230"/>
    </row>
    <row r="262" ht="15.75" customHeight="1" spans="1:26">
      <c r="A262" s="230"/>
      <c r="B262" s="287"/>
      <c r="C262" s="230"/>
      <c r="D262" s="230"/>
      <c r="E262" s="230"/>
      <c r="F262" s="230"/>
      <c r="G262" s="287"/>
      <c r="H262" s="287"/>
      <c r="I262" s="230"/>
      <c r="J262" s="230"/>
      <c r="K262" s="230"/>
      <c r="L262" s="230"/>
      <c r="M262" s="230"/>
      <c r="N262" s="230"/>
      <c r="O262" s="230"/>
      <c r="P262" s="230"/>
      <c r="Q262" s="230"/>
      <c r="R262" s="230"/>
      <c r="S262" s="230"/>
      <c r="T262" s="230"/>
      <c r="U262" s="230"/>
      <c r="V262" s="230"/>
      <c r="W262" s="230"/>
      <c r="X262" s="230"/>
      <c r="Y262" s="230"/>
      <c r="Z262" s="230"/>
    </row>
    <row r="263" ht="15.75" customHeight="1" spans="1:26">
      <c r="A263" s="230"/>
      <c r="B263" s="287"/>
      <c r="C263" s="230"/>
      <c r="D263" s="230"/>
      <c r="E263" s="230"/>
      <c r="F263" s="230"/>
      <c r="G263" s="287"/>
      <c r="H263" s="287"/>
      <c r="I263" s="230"/>
      <c r="J263" s="230"/>
      <c r="K263" s="230"/>
      <c r="L263" s="230"/>
      <c r="M263" s="230"/>
      <c r="N263" s="230"/>
      <c r="O263" s="230"/>
      <c r="P263" s="230"/>
      <c r="Q263" s="230"/>
      <c r="R263" s="230"/>
      <c r="S263" s="230"/>
      <c r="T263" s="230"/>
      <c r="U263" s="230"/>
      <c r="V263" s="230"/>
      <c r="W263" s="230"/>
      <c r="X263" s="230"/>
      <c r="Y263" s="230"/>
      <c r="Z263" s="230"/>
    </row>
    <row r="264" ht="15.75" customHeight="1" spans="1:26">
      <c r="A264" s="230"/>
      <c r="B264" s="287"/>
      <c r="C264" s="230"/>
      <c r="D264" s="230"/>
      <c r="E264" s="230"/>
      <c r="F264" s="230"/>
      <c r="G264" s="287"/>
      <c r="H264" s="287"/>
      <c r="I264" s="230"/>
      <c r="J264" s="230"/>
      <c r="K264" s="230"/>
      <c r="L264" s="230"/>
      <c r="M264" s="230"/>
      <c r="N264" s="230"/>
      <c r="O264" s="230"/>
      <c r="P264" s="230"/>
      <c r="Q264" s="230"/>
      <c r="R264" s="230"/>
      <c r="S264" s="230"/>
      <c r="T264" s="230"/>
      <c r="U264" s="230"/>
      <c r="V264" s="230"/>
      <c r="W264" s="230"/>
      <c r="X264" s="230"/>
      <c r="Y264" s="230"/>
      <c r="Z264" s="230"/>
    </row>
    <row r="265" ht="15.75" customHeight="1" spans="1:26">
      <c r="A265" s="230"/>
      <c r="B265" s="287"/>
      <c r="C265" s="230"/>
      <c r="D265" s="230"/>
      <c r="E265" s="230"/>
      <c r="F265" s="230"/>
      <c r="G265" s="287"/>
      <c r="H265" s="287"/>
      <c r="I265" s="230"/>
      <c r="J265" s="230"/>
      <c r="K265" s="230"/>
      <c r="L265" s="230"/>
      <c r="M265" s="230"/>
      <c r="N265" s="230"/>
      <c r="O265" s="230"/>
      <c r="P265" s="230"/>
      <c r="Q265" s="230"/>
      <c r="R265" s="230"/>
      <c r="S265" s="230"/>
      <c r="T265" s="230"/>
      <c r="U265" s="230"/>
      <c r="V265" s="230"/>
      <c r="W265" s="230"/>
      <c r="X265" s="230"/>
      <c r="Y265" s="230"/>
      <c r="Z265" s="230"/>
    </row>
    <row r="266" ht="15.75" customHeight="1" spans="1:26">
      <c r="A266" s="230"/>
      <c r="B266" s="287"/>
      <c r="C266" s="230"/>
      <c r="D266" s="230"/>
      <c r="E266" s="230"/>
      <c r="F266" s="230"/>
      <c r="G266" s="287"/>
      <c r="H266" s="287"/>
      <c r="I266" s="230"/>
      <c r="J266" s="230"/>
      <c r="K266" s="230"/>
      <c r="L266" s="230"/>
      <c r="M266" s="230"/>
      <c r="N266" s="230"/>
      <c r="O266" s="230"/>
      <c r="P266" s="230"/>
      <c r="Q266" s="230"/>
      <c r="R266" s="230"/>
      <c r="S266" s="230"/>
      <c r="T266" s="230"/>
      <c r="U266" s="230"/>
      <c r="V266" s="230"/>
      <c r="W266" s="230"/>
      <c r="X266" s="230"/>
      <c r="Y266" s="230"/>
      <c r="Z266" s="230"/>
    </row>
    <row r="267" ht="15.75" customHeight="1" spans="1:26">
      <c r="A267" s="230"/>
      <c r="B267" s="287"/>
      <c r="C267" s="230"/>
      <c r="D267" s="230"/>
      <c r="E267" s="230"/>
      <c r="F267" s="230"/>
      <c r="G267" s="287"/>
      <c r="H267" s="287"/>
      <c r="I267" s="230"/>
      <c r="J267" s="230"/>
      <c r="K267" s="230"/>
      <c r="L267" s="230"/>
      <c r="M267" s="230"/>
      <c r="N267" s="230"/>
      <c r="O267" s="230"/>
      <c r="P267" s="230"/>
      <c r="Q267" s="230"/>
      <c r="R267" s="230"/>
      <c r="S267" s="230"/>
      <c r="T267" s="230"/>
      <c r="U267" s="230"/>
      <c r="V267" s="230"/>
      <c r="W267" s="230"/>
      <c r="X267" s="230"/>
      <c r="Y267" s="230"/>
      <c r="Z267" s="230"/>
    </row>
    <row r="268" ht="15.75" customHeight="1" spans="1:26">
      <c r="A268" s="230"/>
      <c r="B268" s="287"/>
      <c r="C268" s="230"/>
      <c r="D268" s="230"/>
      <c r="E268" s="230"/>
      <c r="F268" s="230"/>
      <c r="G268" s="287"/>
      <c r="H268" s="287"/>
      <c r="I268" s="230"/>
      <c r="J268" s="230"/>
      <c r="K268" s="230"/>
      <c r="L268" s="230"/>
      <c r="M268" s="230"/>
      <c r="N268" s="230"/>
      <c r="O268" s="230"/>
      <c r="P268" s="230"/>
      <c r="Q268" s="230"/>
      <c r="R268" s="230"/>
      <c r="S268" s="230"/>
      <c r="T268" s="230"/>
      <c r="U268" s="230"/>
      <c r="V268" s="230"/>
      <c r="W268" s="230"/>
      <c r="X268" s="230"/>
      <c r="Y268" s="230"/>
      <c r="Z268" s="230"/>
    </row>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7">
    <mergeCell ref="A11:I11"/>
    <mergeCell ref="A12:D12"/>
    <mergeCell ref="E12:G12"/>
    <mergeCell ref="H12:I12"/>
    <mergeCell ref="A13:D13"/>
    <mergeCell ref="E13:G13"/>
    <mergeCell ref="H13:I13"/>
    <mergeCell ref="A14:D14"/>
    <mergeCell ref="A15:D15"/>
    <mergeCell ref="A60:B60"/>
    <mergeCell ref="F60:G60"/>
    <mergeCell ref="A67:B67"/>
    <mergeCell ref="C67:F67"/>
    <mergeCell ref="H67:I67"/>
    <mergeCell ref="A68:B68"/>
    <mergeCell ref="C68:F68"/>
    <mergeCell ref="A1:I10"/>
  </mergeCells>
  <pageMargins left="0.7" right="0.7" top="0.75" bottom="0.75" header="0" footer="0"/>
  <pageSetup paperSize="9" scale="61" fitToHeight="0"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8"/>
  <sheetViews>
    <sheetView showGridLines="0" zoomScale="80" zoomScaleNormal="80" workbookViewId="0">
      <selection activeCell="A56" sqref="A56:C56"/>
    </sheetView>
  </sheetViews>
  <sheetFormatPr defaultColWidth="14.4380952380952" defaultRowHeight="15" customHeight="1"/>
  <cols>
    <col min="1" max="1" width="15.8857142857143" style="1" customWidth="1"/>
    <col min="2" max="2" width="14.4380952380952" style="1" customWidth="1"/>
    <col min="3" max="3" width="118.666666666667" style="2" customWidth="1"/>
    <col min="4" max="5" width="14.4380952380952" style="1" customWidth="1"/>
    <col min="6" max="6" width="18.1047619047619" style="1" customWidth="1"/>
    <col min="7" max="7" width="14.4380952380952" style="1"/>
    <col min="8" max="8" width="15.3333333333333" style="1" customWidth="1"/>
    <col min="9" max="25" width="14.4380952380952" style="1"/>
    <col min="26" max="26" width="8" style="1" customWidth="1"/>
    <col min="27" max="16384" width="14.4380952380952" style="1"/>
  </cols>
  <sheetData>
    <row r="1" spans="1:26">
      <c r="A1" s="3"/>
      <c r="B1" s="4"/>
      <c r="C1" s="4"/>
      <c r="D1" s="4"/>
      <c r="E1" s="4"/>
      <c r="F1" s="4"/>
      <c r="G1" s="4"/>
      <c r="H1" s="4"/>
      <c r="I1" s="78"/>
      <c r="J1" s="79"/>
      <c r="K1" s="79"/>
      <c r="L1" s="79"/>
      <c r="M1" s="79"/>
      <c r="N1" s="79"/>
      <c r="O1" s="79"/>
      <c r="P1" s="79"/>
      <c r="Q1" s="79"/>
      <c r="R1" s="79"/>
      <c r="S1" s="79"/>
      <c r="T1" s="79"/>
      <c r="U1" s="79"/>
      <c r="V1" s="79"/>
      <c r="W1" s="79"/>
      <c r="X1" s="79"/>
      <c r="Y1" s="79"/>
      <c r="Z1" s="96"/>
    </row>
    <row r="2" spans="1:26">
      <c r="A2" s="5"/>
      <c r="C2" s="1"/>
      <c r="I2" s="80"/>
      <c r="J2" s="79"/>
      <c r="K2" s="79"/>
      <c r="L2" s="79"/>
      <c r="M2" s="79"/>
      <c r="N2" s="79"/>
      <c r="O2" s="79"/>
      <c r="P2" s="79"/>
      <c r="Q2" s="79"/>
      <c r="R2" s="79"/>
      <c r="S2" s="79"/>
      <c r="T2" s="79"/>
      <c r="U2" s="79"/>
      <c r="V2" s="79"/>
      <c r="W2" s="79"/>
      <c r="X2" s="79"/>
      <c r="Y2" s="79"/>
      <c r="Z2" s="96"/>
    </row>
    <row r="3" spans="1:26">
      <c r="A3" s="5"/>
      <c r="C3" s="1"/>
      <c r="I3" s="80"/>
      <c r="J3" s="79"/>
      <c r="K3" s="79"/>
      <c r="L3" s="79"/>
      <c r="M3" s="79"/>
      <c r="N3" s="79"/>
      <c r="O3" s="79"/>
      <c r="P3" s="79"/>
      <c r="Q3" s="79"/>
      <c r="R3" s="79"/>
      <c r="S3" s="79"/>
      <c r="T3" s="79"/>
      <c r="U3" s="79"/>
      <c r="V3" s="79"/>
      <c r="W3" s="79"/>
      <c r="X3" s="79"/>
      <c r="Y3" s="79"/>
      <c r="Z3" s="96"/>
    </row>
    <row r="4" spans="1:26">
      <c r="A4" s="5"/>
      <c r="C4" s="1"/>
      <c r="I4" s="80"/>
      <c r="J4" s="79"/>
      <c r="K4" s="79"/>
      <c r="L4" s="79"/>
      <c r="M4" s="79"/>
      <c r="N4" s="79"/>
      <c r="O4" s="79"/>
      <c r="P4" s="79"/>
      <c r="Q4" s="79"/>
      <c r="R4" s="79"/>
      <c r="S4" s="79"/>
      <c r="T4" s="79"/>
      <c r="U4" s="79"/>
      <c r="V4" s="79"/>
      <c r="W4" s="79"/>
      <c r="X4" s="79"/>
      <c r="Y4" s="79"/>
      <c r="Z4" s="96"/>
    </row>
    <row r="5" spans="1:26">
      <c r="A5" s="5"/>
      <c r="C5" s="1"/>
      <c r="I5" s="80"/>
      <c r="J5" s="79"/>
      <c r="K5" s="79"/>
      <c r="L5" s="79"/>
      <c r="M5" s="79"/>
      <c r="N5" s="79"/>
      <c r="O5" s="79"/>
      <c r="P5" s="79"/>
      <c r="Q5" s="79"/>
      <c r="R5" s="79"/>
      <c r="S5" s="79"/>
      <c r="T5" s="79"/>
      <c r="U5" s="79"/>
      <c r="V5" s="79"/>
      <c r="W5" s="79"/>
      <c r="X5" s="79"/>
      <c r="Y5" s="79"/>
      <c r="Z5" s="97"/>
    </row>
    <row r="6" spans="1:26">
      <c r="A6" s="5"/>
      <c r="C6" s="1"/>
      <c r="I6" s="80"/>
      <c r="J6" s="79"/>
      <c r="K6" s="79"/>
      <c r="L6" s="79"/>
      <c r="M6" s="79"/>
      <c r="N6" s="79"/>
      <c r="O6" s="79"/>
      <c r="P6" s="79"/>
      <c r="Q6" s="79"/>
      <c r="R6" s="79"/>
      <c r="S6" s="79"/>
      <c r="T6" s="79"/>
      <c r="U6" s="79"/>
      <c r="V6" s="79"/>
      <c r="W6" s="79"/>
      <c r="X6" s="79"/>
      <c r="Y6" s="79"/>
      <c r="Z6" s="97"/>
    </row>
    <row r="7" spans="1:26">
      <c r="A7" s="5"/>
      <c r="C7" s="1"/>
      <c r="I7" s="80"/>
      <c r="J7" s="79"/>
      <c r="K7" s="79"/>
      <c r="L7" s="79"/>
      <c r="M7" s="79"/>
      <c r="N7" s="79"/>
      <c r="O7" s="79"/>
      <c r="P7" s="79"/>
      <c r="Q7" s="79"/>
      <c r="R7" s="79"/>
      <c r="S7" s="79"/>
      <c r="T7" s="79"/>
      <c r="U7" s="79"/>
      <c r="V7" s="79"/>
      <c r="W7" s="79"/>
      <c r="X7" s="79"/>
      <c r="Y7" s="79"/>
      <c r="Z7" s="97"/>
    </row>
    <row r="8" spans="1:26">
      <c r="A8" s="5"/>
      <c r="C8" s="1"/>
      <c r="I8" s="80"/>
      <c r="J8" s="79"/>
      <c r="K8" s="79"/>
      <c r="L8" s="79"/>
      <c r="M8" s="79"/>
      <c r="N8" s="79"/>
      <c r="O8" s="79"/>
      <c r="P8" s="79"/>
      <c r="Q8" s="79"/>
      <c r="R8" s="79"/>
      <c r="S8" s="79"/>
      <c r="T8" s="79"/>
      <c r="U8" s="79"/>
      <c r="V8" s="79"/>
      <c r="W8" s="79"/>
      <c r="X8" s="79"/>
      <c r="Y8" s="79"/>
      <c r="Z8" s="97"/>
    </row>
    <row r="9" spans="1:26">
      <c r="A9" s="5"/>
      <c r="C9" s="1"/>
      <c r="I9" s="80"/>
      <c r="J9" s="79"/>
      <c r="K9" s="79"/>
      <c r="L9" s="79"/>
      <c r="M9" s="79"/>
      <c r="N9" s="79"/>
      <c r="O9" s="79"/>
      <c r="P9" s="79"/>
      <c r="Q9" s="79"/>
      <c r="R9" s="79"/>
      <c r="S9" s="79"/>
      <c r="T9" s="79"/>
      <c r="U9" s="79"/>
      <c r="V9" s="79"/>
      <c r="W9" s="79"/>
      <c r="X9" s="79"/>
      <c r="Y9" s="79"/>
      <c r="Z9" s="97"/>
    </row>
    <row r="10" ht="37.8" customHeight="1" spans="1:26">
      <c r="A10" s="6"/>
      <c r="B10" s="7"/>
      <c r="C10" s="7"/>
      <c r="D10" s="7"/>
      <c r="E10" s="7"/>
      <c r="F10" s="7"/>
      <c r="G10" s="7"/>
      <c r="H10" s="7"/>
      <c r="I10" s="81"/>
      <c r="J10" s="79"/>
      <c r="K10" s="79"/>
      <c r="L10" s="79"/>
      <c r="M10" s="79"/>
      <c r="N10" s="79"/>
      <c r="O10" s="79"/>
      <c r="P10" s="79"/>
      <c r="Q10" s="79"/>
      <c r="R10" s="79"/>
      <c r="S10" s="79"/>
      <c r="T10" s="79"/>
      <c r="U10" s="79"/>
      <c r="V10" s="79"/>
      <c r="W10" s="79"/>
      <c r="X10" s="79"/>
      <c r="Y10" s="79"/>
      <c r="Z10" s="96"/>
    </row>
    <row r="11" ht="15.75" spans="1:26">
      <c r="A11" s="8" t="s">
        <v>3712</v>
      </c>
      <c r="B11" s="9"/>
      <c r="C11" s="9"/>
      <c r="D11" s="9"/>
      <c r="E11" s="9"/>
      <c r="F11" s="9"/>
      <c r="G11" s="9"/>
      <c r="H11" s="9"/>
      <c r="I11" s="82"/>
      <c r="J11" s="79"/>
      <c r="K11" s="79"/>
      <c r="L11" s="79"/>
      <c r="M11" s="79"/>
      <c r="N11" s="79"/>
      <c r="O11" s="79"/>
      <c r="P11" s="79"/>
      <c r="Q11" s="79"/>
      <c r="R11" s="79"/>
      <c r="S11" s="79"/>
      <c r="T11" s="79"/>
      <c r="U11" s="79"/>
      <c r="V11" s="79"/>
      <c r="W11" s="79"/>
      <c r="X11" s="79"/>
      <c r="Y11" s="79"/>
      <c r="Z11" s="96"/>
    </row>
    <row r="12" spans="1:26">
      <c r="A12" s="10" t="str">
        <f>[1]Planilha!A12</f>
        <v>UFF- CAMPUS NITERÓI</v>
      </c>
      <c r="B12" s="11"/>
      <c r="C12" s="11"/>
      <c r="D12" s="11"/>
      <c r="E12" s="12" t="str">
        <f>[1]Planilha!E12</f>
        <v>AUTOR:</v>
      </c>
      <c r="F12" s="13"/>
      <c r="G12" s="14"/>
      <c r="H12" s="15" t="str">
        <f>[1]Planilha!H12</f>
        <v>FUNÇÃO:</v>
      </c>
      <c r="I12" s="83"/>
      <c r="J12" s="79"/>
      <c r="K12" s="79"/>
      <c r="L12" s="79"/>
      <c r="M12" s="79"/>
      <c r="N12" s="79"/>
      <c r="O12" s="79"/>
      <c r="P12" s="79"/>
      <c r="Q12" s="79"/>
      <c r="R12" s="79"/>
      <c r="S12" s="79"/>
      <c r="T12" s="79"/>
      <c r="U12" s="79"/>
      <c r="V12" s="79"/>
      <c r="W12" s="79"/>
      <c r="X12" s="79"/>
      <c r="Y12" s="79"/>
      <c r="Z12" s="96"/>
    </row>
    <row r="13" ht="15.75" spans="1:26">
      <c r="A13" s="16" t="str">
        <f>[1]Planilha!A13</f>
        <v>LOCAL: RUA VERA CRISPINO DE FREITAS, 190-2 - BOA VIAGEM, NITERÓI-RJ</v>
      </c>
      <c r="B13" s="17"/>
      <c r="C13" s="17"/>
      <c r="D13" s="17"/>
      <c r="E13" s="18" t="str">
        <f>[1]Planilha!E13</f>
        <v>PROCESSO: </v>
      </c>
      <c r="F13" s="19"/>
      <c r="G13" s="20"/>
      <c r="H13" s="21" t="str">
        <f>[1]Planilha!H13</f>
        <v>ART/RRT:</v>
      </c>
      <c r="I13" s="84"/>
      <c r="J13" s="79"/>
      <c r="K13" s="79"/>
      <c r="L13" s="79"/>
      <c r="M13" s="79"/>
      <c r="N13" s="79"/>
      <c r="O13" s="79"/>
      <c r="P13" s="79"/>
      <c r="Q13" s="79"/>
      <c r="R13" s="79"/>
      <c r="S13" s="79"/>
      <c r="T13" s="79"/>
      <c r="U13" s="79"/>
      <c r="V13" s="79"/>
      <c r="W13" s="79"/>
      <c r="X13" s="79"/>
      <c r="Y13" s="79"/>
      <c r="Z13" s="96"/>
    </row>
    <row r="14" ht="15.75" spans="1:26">
      <c r="A14" s="16" t="str">
        <f>[1]Planilha!A14</f>
        <v>NOME DA OBRA: AGÊNCIA DE INOVAÇÃO DA UFF</v>
      </c>
      <c r="B14" s="17"/>
      <c r="C14" s="17"/>
      <c r="D14" s="17"/>
      <c r="E14" s="22" t="str">
        <f>[1]Planilha!E14</f>
        <v>BDI</v>
      </c>
      <c r="F14" s="22" t="str">
        <f>[1]Planilha!F14</f>
        <v>BDI EQUIP.</v>
      </c>
      <c r="G14" s="22" t="str">
        <f>[1]Planilha!G14</f>
        <v>SIAPE</v>
      </c>
      <c r="H14" s="22" t="str">
        <f>[1]Planilha!H14</f>
        <v>DATA</v>
      </c>
      <c r="I14" s="22" t="str">
        <f>[1]Planilha!I14</f>
        <v>REVISÃO</v>
      </c>
      <c r="J14" s="79"/>
      <c r="K14" s="79"/>
      <c r="L14" s="79"/>
      <c r="M14" s="79"/>
      <c r="N14" s="79"/>
      <c r="O14" s="79"/>
      <c r="P14" s="79"/>
      <c r="Q14" s="79"/>
      <c r="R14" s="79"/>
      <c r="S14" s="79"/>
      <c r="T14" s="79"/>
      <c r="U14" s="79"/>
      <c r="V14" s="79"/>
      <c r="W14" s="79"/>
      <c r="X14" s="79"/>
      <c r="Y14" s="79"/>
      <c r="Z14" s="96"/>
    </row>
    <row r="15" ht="15.75" spans="1:26">
      <c r="A15" s="23" t="str">
        <f>[1]Planilha!A15</f>
        <v>BASE DE DADOS: SINAPI/2025.7 - EMOP/2025.7 - SCO/2025.7 - SBC/2025.7</v>
      </c>
      <c r="B15" s="24"/>
      <c r="C15" s="24"/>
      <c r="D15" s="24"/>
      <c r="E15" s="25">
        <f>[1]Planilha!E15</f>
        <v>0.24657</v>
      </c>
      <c r="F15" s="26">
        <f>[1]Planilha!F15</f>
        <v>0</v>
      </c>
      <c r="G15" s="27" t="str">
        <f>[1]Planilha!G15</f>
        <v>0000000</v>
      </c>
      <c r="H15" s="28">
        <f>Planilha!H15</f>
        <v>45957</v>
      </c>
      <c r="I15" s="85" t="s">
        <v>15</v>
      </c>
      <c r="J15" s="79"/>
      <c r="K15" s="79"/>
      <c r="L15" s="79"/>
      <c r="M15" s="79"/>
      <c r="N15" s="79"/>
      <c r="O15" s="79"/>
      <c r="P15" s="79"/>
      <c r="Q15" s="79"/>
      <c r="R15" s="79"/>
      <c r="S15" s="79"/>
      <c r="T15" s="79"/>
      <c r="U15" s="79"/>
      <c r="V15" s="79"/>
      <c r="W15" s="79"/>
      <c r="X15" s="79"/>
      <c r="Y15" s="79"/>
      <c r="Z15" s="96"/>
    </row>
    <row r="16" ht="15.75" spans="1:26">
      <c r="A16" s="29" t="s">
        <v>17</v>
      </c>
      <c r="B16" s="30" t="s">
        <v>51</v>
      </c>
      <c r="C16" s="31" t="s">
        <v>53</v>
      </c>
      <c r="D16" s="30" t="s">
        <v>54</v>
      </c>
      <c r="E16" s="30" t="s">
        <v>55</v>
      </c>
      <c r="F16" s="32" t="s">
        <v>3713</v>
      </c>
      <c r="G16" s="9"/>
      <c r="H16" s="9"/>
      <c r="I16" s="82"/>
      <c r="J16" s="79"/>
      <c r="K16" s="79"/>
      <c r="L16" s="79"/>
      <c r="M16" s="79"/>
      <c r="N16" s="79"/>
      <c r="O16" s="79"/>
      <c r="P16" s="79"/>
      <c r="Q16" s="79"/>
      <c r="R16" s="79"/>
      <c r="S16" s="79"/>
      <c r="T16" s="79"/>
      <c r="U16" s="79"/>
      <c r="V16" s="79"/>
      <c r="W16" s="79"/>
      <c r="X16" s="79"/>
      <c r="Y16" s="79"/>
      <c r="Z16" s="96"/>
    </row>
    <row r="17" spans="1:26">
      <c r="A17" s="33"/>
      <c r="B17" s="34"/>
      <c r="C17" s="35"/>
      <c r="D17" s="36"/>
      <c r="E17" s="37">
        <v>0</v>
      </c>
      <c r="F17" s="38"/>
      <c r="G17" s="11"/>
      <c r="H17" s="11"/>
      <c r="I17" s="86"/>
      <c r="J17" s="79"/>
      <c r="K17" s="79"/>
      <c r="L17" s="79"/>
      <c r="M17" s="79"/>
      <c r="N17" s="79"/>
      <c r="O17" s="79"/>
      <c r="P17" s="79"/>
      <c r="Q17" s="79"/>
      <c r="R17" s="79"/>
      <c r="S17" s="79"/>
      <c r="T17" s="79"/>
      <c r="U17" s="79"/>
      <c r="V17" s="79"/>
      <c r="W17" s="79"/>
      <c r="X17" s="79"/>
      <c r="Y17" s="79"/>
      <c r="Z17" s="96"/>
    </row>
    <row r="18" spans="1:26">
      <c r="A18" s="39">
        <v>1</v>
      </c>
      <c r="B18" s="40"/>
      <c r="C18" s="41" t="s">
        <v>20</v>
      </c>
      <c r="D18" s="42"/>
      <c r="E18" s="43"/>
      <c r="F18" s="44"/>
      <c r="G18" s="45"/>
      <c r="H18" s="45"/>
      <c r="I18" s="87"/>
      <c r="J18" s="79"/>
      <c r="K18" s="79"/>
      <c r="L18" s="79"/>
      <c r="M18" s="79"/>
      <c r="N18" s="79"/>
      <c r="O18" s="79"/>
      <c r="P18" s="79"/>
      <c r="Q18" s="79"/>
      <c r="R18" s="79"/>
      <c r="S18" s="79"/>
      <c r="T18" s="79"/>
      <c r="U18" s="79"/>
      <c r="V18" s="79"/>
      <c r="W18" s="79"/>
      <c r="X18" s="79"/>
      <c r="Y18" s="79"/>
      <c r="Z18" s="96"/>
    </row>
    <row r="19" spans="1:26">
      <c r="A19" s="33" t="s">
        <v>3714</v>
      </c>
      <c r="B19" s="34" t="s">
        <v>3715</v>
      </c>
      <c r="C19" s="46" t="s">
        <v>66</v>
      </c>
      <c r="D19" s="36" t="s">
        <v>3716</v>
      </c>
      <c r="E19" s="37">
        <v>13</v>
      </c>
      <c r="F19" s="47" t="s">
        <v>3717</v>
      </c>
      <c r="G19" s="48"/>
      <c r="H19" s="48"/>
      <c r="I19" s="88">
        <v>13</v>
      </c>
      <c r="J19" s="79"/>
      <c r="K19" s="79"/>
      <c r="L19" s="79"/>
      <c r="M19" s="79"/>
      <c r="N19" s="79"/>
      <c r="O19" s="79"/>
      <c r="P19" s="79"/>
      <c r="Q19" s="79"/>
      <c r="R19" s="79"/>
      <c r="S19" s="79"/>
      <c r="T19" s="79"/>
      <c r="U19" s="79"/>
      <c r="V19" s="79"/>
      <c r="W19" s="79"/>
      <c r="X19" s="79"/>
      <c r="Y19" s="79"/>
      <c r="Z19" s="96"/>
    </row>
    <row r="20" ht="15.75" customHeight="1" spans="1:26">
      <c r="A20" s="39">
        <v>2</v>
      </c>
      <c r="B20" s="40"/>
      <c r="C20" s="41" t="s">
        <v>21</v>
      </c>
      <c r="D20" s="42"/>
      <c r="E20" s="43"/>
      <c r="F20" s="44"/>
      <c r="G20" s="45"/>
      <c r="H20" s="45"/>
      <c r="I20" s="87"/>
      <c r="J20" s="79"/>
      <c r="K20" s="79"/>
      <c r="L20" s="79"/>
      <c r="M20" s="79"/>
      <c r="N20" s="79"/>
      <c r="O20" s="79"/>
      <c r="P20" s="79"/>
      <c r="Q20" s="79"/>
      <c r="R20" s="79"/>
      <c r="S20" s="79"/>
      <c r="T20" s="79"/>
      <c r="U20" s="79"/>
      <c r="V20" s="79"/>
      <c r="W20" s="79"/>
      <c r="X20" s="79"/>
      <c r="Y20" s="79"/>
      <c r="Z20" s="96"/>
    </row>
    <row r="21" ht="39.75" customHeight="1" spans="1:26">
      <c r="A21" s="33" t="s">
        <v>3718</v>
      </c>
      <c r="B21" s="34">
        <v>103689</v>
      </c>
      <c r="C21" s="46" t="s">
        <v>72</v>
      </c>
      <c r="D21" s="36" t="s">
        <v>3719</v>
      </c>
      <c r="E21" s="37">
        <v>6</v>
      </c>
      <c r="F21" s="47" t="s">
        <v>3720</v>
      </c>
      <c r="G21" s="48"/>
      <c r="H21" s="48"/>
      <c r="I21" s="88">
        <f>2*2*1.5</f>
        <v>6</v>
      </c>
      <c r="J21" s="79"/>
      <c r="K21" s="79"/>
      <c r="L21" s="79"/>
      <c r="M21" s="79"/>
      <c r="N21" s="79"/>
      <c r="O21" s="79"/>
      <c r="P21" s="79"/>
      <c r="Q21" s="79"/>
      <c r="R21" s="79"/>
      <c r="S21" s="79"/>
      <c r="T21" s="79"/>
      <c r="U21" s="79"/>
      <c r="V21" s="79"/>
      <c r="W21" s="79"/>
      <c r="X21" s="79"/>
      <c r="Y21" s="79"/>
      <c r="Z21" s="96"/>
    </row>
    <row r="22" ht="54.6" customHeight="1" spans="1:26">
      <c r="A22" s="33" t="s">
        <v>3721</v>
      </c>
      <c r="B22" s="34" t="s">
        <v>3722</v>
      </c>
      <c r="C22" s="46" t="s">
        <v>3723</v>
      </c>
      <c r="D22" s="36" t="s">
        <v>78</v>
      </c>
      <c r="E22" s="37">
        <v>941.81</v>
      </c>
      <c r="F22" s="49" t="s">
        <v>3724</v>
      </c>
      <c r="G22" s="50" t="s">
        <v>3725</v>
      </c>
      <c r="H22" s="19"/>
      <c r="I22" s="89">
        <v>941.81</v>
      </c>
      <c r="J22" s="79"/>
      <c r="K22" s="79"/>
      <c r="L22" s="79"/>
      <c r="M22" s="79"/>
      <c r="N22" s="79"/>
      <c r="O22" s="79"/>
      <c r="P22" s="79"/>
      <c r="Q22" s="79"/>
      <c r="R22" s="79"/>
      <c r="S22" s="79"/>
      <c r="T22" s="79"/>
      <c r="U22" s="79"/>
      <c r="V22" s="79"/>
      <c r="W22" s="79"/>
      <c r="X22" s="79"/>
      <c r="Y22" s="79"/>
      <c r="Z22" s="96"/>
    </row>
    <row r="23" ht="54.6" customHeight="1" spans="1:26">
      <c r="A23" s="51" t="s">
        <v>79</v>
      </c>
      <c r="B23" s="37" t="s">
        <v>80</v>
      </c>
      <c r="C23" s="37" t="s">
        <v>81</v>
      </c>
      <c r="D23" s="37" t="s">
        <v>82</v>
      </c>
      <c r="E23" s="52">
        <v>16</v>
      </c>
      <c r="F23" s="53"/>
      <c r="G23" s="54"/>
      <c r="H23" s="55"/>
      <c r="I23" s="90"/>
      <c r="J23" s="79"/>
      <c r="K23" s="79"/>
      <c r="L23" s="79"/>
      <c r="M23" s="79"/>
      <c r="N23" s="79"/>
      <c r="O23" s="79"/>
      <c r="P23" s="79"/>
      <c r="Q23" s="79"/>
      <c r="R23" s="79"/>
      <c r="S23" s="79"/>
      <c r="T23" s="79"/>
      <c r="U23" s="79"/>
      <c r="V23" s="79"/>
      <c r="W23" s="79"/>
      <c r="X23" s="79"/>
      <c r="Y23" s="79"/>
      <c r="Z23" s="96"/>
    </row>
    <row r="24" ht="15.75" customHeight="1" spans="1:26">
      <c r="A24" s="39">
        <v>3</v>
      </c>
      <c r="B24" s="40"/>
      <c r="C24" s="41" t="s">
        <v>22</v>
      </c>
      <c r="D24" s="42"/>
      <c r="E24" s="43"/>
      <c r="F24" s="56"/>
      <c r="G24" s="57"/>
      <c r="H24" s="57"/>
      <c r="I24" s="57"/>
      <c r="J24" s="79"/>
      <c r="K24" s="79"/>
      <c r="L24" s="79"/>
      <c r="M24" s="79"/>
      <c r="N24" s="79"/>
      <c r="O24" s="79"/>
      <c r="P24" s="79"/>
      <c r="Q24" s="79"/>
      <c r="R24" s="79"/>
      <c r="S24" s="79"/>
      <c r="T24" s="79"/>
      <c r="U24" s="79"/>
      <c r="V24" s="79"/>
      <c r="W24" s="79"/>
      <c r="X24" s="79"/>
      <c r="Y24" s="79"/>
      <c r="Z24" s="96"/>
    </row>
    <row r="25" ht="39.6" customHeight="1" spans="1:26">
      <c r="A25" s="34" t="s">
        <v>3726</v>
      </c>
      <c r="B25" s="34" t="s">
        <v>3727</v>
      </c>
      <c r="C25" s="58" t="s">
        <v>86</v>
      </c>
      <c r="D25" s="36" t="s">
        <v>82</v>
      </c>
      <c r="E25" s="37">
        <f>I25</f>
        <v>1</v>
      </c>
      <c r="F25" s="59" t="s">
        <v>3728</v>
      </c>
      <c r="G25" s="60"/>
      <c r="H25" s="60"/>
      <c r="I25" s="88">
        <v>1</v>
      </c>
      <c r="J25" s="79"/>
      <c r="K25" s="79"/>
      <c r="L25" s="79"/>
      <c r="M25" s="79"/>
      <c r="N25" s="79"/>
      <c r="O25" s="79"/>
      <c r="P25" s="79"/>
      <c r="Q25" s="79"/>
      <c r="R25" s="79"/>
      <c r="S25" s="79"/>
      <c r="T25" s="79"/>
      <c r="U25" s="79"/>
      <c r="V25" s="79"/>
      <c r="W25" s="79"/>
      <c r="X25" s="79"/>
      <c r="Y25" s="79"/>
      <c r="Z25" s="96"/>
    </row>
    <row r="26" ht="15.75" customHeight="1" spans="1:26">
      <c r="A26" s="34" t="s">
        <v>3729</v>
      </c>
      <c r="B26" s="34">
        <v>98459</v>
      </c>
      <c r="C26" s="58" t="s">
        <v>89</v>
      </c>
      <c r="D26" s="36" t="s">
        <v>3719</v>
      </c>
      <c r="E26" s="37">
        <f>I26</f>
        <v>711.38</v>
      </c>
      <c r="F26" s="61" t="s">
        <v>3730</v>
      </c>
      <c r="G26" s="62"/>
      <c r="H26" s="62"/>
      <c r="I26" s="88">
        <v>711.38</v>
      </c>
      <c r="J26" s="79"/>
      <c r="K26" s="79"/>
      <c r="L26" s="79"/>
      <c r="M26" s="79"/>
      <c r="N26" s="79"/>
      <c r="O26" s="79"/>
      <c r="P26" s="79"/>
      <c r="Q26" s="79"/>
      <c r="R26" s="79"/>
      <c r="S26" s="79"/>
      <c r="T26" s="79"/>
      <c r="U26" s="79"/>
      <c r="V26" s="79"/>
      <c r="W26" s="79"/>
      <c r="X26" s="79"/>
      <c r="Y26" s="79"/>
      <c r="Z26" s="96"/>
    </row>
    <row r="27" ht="78.6" customHeight="1" spans="1:26">
      <c r="A27" s="34" t="s">
        <v>3731</v>
      </c>
      <c r="B27" s="34" t="s">
        <v>3732</v>
      </c>
      <c r="C27" s="58" t="s">
        <v>3733</v>
      </c>
      <c r="D27" s="36" t="s">
        <v>93</v>
      </c>
      <c r="E27" s="37">
        <v>13</v>
      </c>
      <c r="F27" s="63" t="s">
        <v>3734</v>
      </c>
      <c r="G27" s="64"/>
      <c r="H27" s="64"/>
      <c r="I27" s="88">
        <v>13</v>
      </c>
      <c r="J27" s="79"/>
      <c r="K27" s="79"/>
      <c r="L27" s="79"/>
      <c r="M27" s="79"/>
      <c r="N27" s="79"/>
      <c r="O27" s="79"/>
      <c r="P27" s="79"/>
      <c r="Q27" s="79"/>
      <c r="R27" s="79"/>
      <c r="S27" s="79"/>
      <c r="T27" s="79"/>
      <c r="U27" s="79"/>
      <c r="V27" s="79"/>
      <c r="W27" s="79"/>
      <c r="X27" s="79"/>
      <c r="Y27" s="79"/>
      <c r="Z27" s="96"/>
    </row>
    <row r="28" ht="55.2" customHeight="1" spans="1:26">
      <c r="A28" s="34" t="s">
        <v>3735</v>
      </c>
      <c r="B28" s="58" t="s">
        <v>3736</v>
      </c>
      <c r="C28" s="58" t="s">
        <v>3737</v>
      </c>
      <c r="D28" s="36" t="s">
        <v>93</v>
      </c>
      <c r="E28" s="37">
        <v>13</v>
      </c>
      <c r="F28" s="59" t="s">
        <v>3734</v>
      </c>
      <c r="G28" s="60"/>
      <c r="H28" s="60"/>
      <c r="I28" s="88">
        <v>13</v>
      </c>
      <c r="J28" s="79"/>
      <c r="K28" s="79"/>
      <c r="L28" s="79"/>
      <c r="M28" s="79"/>
      <c r="N28" s="79"/>
      <c r="O28" s="79"/>
      <c r="P28" s="79"/>
      <c r="Q28" s="79"/>
      <c r="R28" s="79"/>
      <c r="S28" s="79"/>
      <c r="T28" s="79"/>
      <c r="U28" s="79"/>
      <c r="V28" s="79"/>
      <c r="W28" s="79"/>
      <c r="X28" s="79"/>
      <c r="Y28" s="79"/>
      <c r="Z28" s="96"/>
    </row>
    <row r="29" ht="27.6" customHeight="1" spans="1:26">
      <c r="A29" s="34" t="s">
        <v>3738</v>
      </c>
      <c r="B29" s="58">
        <v>12095</v>
      </c>
      <c r="C29" s="58" t="s">
        <v>3739</v>
      </c>
      <c r="D29" s="36" t="s">
        <v>3740</v>
      </c>
      <c r="E29" s="37">
        <v>13</v>
      </c>
      <c r="F29" s="59" t="s">
        <v>3734</v>
      </c>
      <c r="G29" s="60"/>
      <c r="H29" s="60"/>
      <c r="I29" s="88">
        <v>13</v>
      </c>
      <c r="J29" s="79"/>
      <c r="K29" s="79"/>
      <c r="L29" s="79"/>
      <c r="M29" s="79"/>
      <c r="N29" s="79"/>
      <c r="O29" s="79"/>
      <c r="P29" s="79"/>
      <c r="Q29" s="79"/>
      <c r="R29" s="79"/>
      <c r="S29" s="79"/>
      <c r="T29" s="79"/>
      <c r="U29" s="79"/>
      <c r="V29" s="79"/>
      <c r="W29" s="79"/>
      <c r="X29" s="79"/>
      <c r="Y29" s="79"/>
      <c r="Z29" s="96"/>
    </row>
    <row r="30" ht="27.6" customHeight="1" spans="1:26">
      <c r="A30" s="65" t="s">
        <v>102</v>
      </c>
      <c r="B30" s="58" t="s">
        <v>103</v>
      </c>
      <c r="C30" s="58" t="s">
        <v>104</v>
      </c>
      <c r="D30" s="37" t="s">
        <v>105</v>
      </c>
      <c r="E30" s="37">
        <v>1</v>
      </c>
      <c r="F30" s="61" t="s">
        <v>3730</v>
      </c>
      <c r="G30" s="60"/>
      <c r="H30" s="60"/>
      <c r="I30" s="91"/>
      <c r="J30" s="79"/>
      <c r="K30" s="79"/>
      <c r="L30" s="79"/>
      <c r="M30" s="79"/>
      <c r="N30" s="79"/>
      <c r="O30" s="79"/>
      <c r="P30" s="79"/>
      <c r="Q30" s="79"/>
      <c r="R30" s="79"/>
      <c r="S30" s="79"/>
      <c r="T30" s="79"/>
      <c r="U30" s="79"/>
      <c r="V30" s="79"/>
      <c r="W30" s="79"/>
      <c r="X30" s="79"/>
      <c r="Y30" s="79"/>
      <c r="Z30" s="96"/>
    </row>
    <row r="31" ht="27.6" customHeight="1" spans="1:26">
      <c r="A31" s="65" t="s">
        <v>106</v>
      </c>
      <c r="B31" s="58" t="s">
        <v>107</v>
      </c>
      <c r="C31" s="58" t="s">
        <v>108</v>
      </c>
      <c r="D31" s="37" t="s">
        <v>105</v>
      </c>
      <c r="E31" s="37">
        <v>1</v>
      </c>
      <c r="F31" s="61" t="s">
        <v>3730</v>
      </c>
      <c r="G31" s="60"/>
      <c r="H31" s="60"/>
      <c r="I31" s="91"/>
      <c r="J31" s="79"/>
      <c r="K31" s="79"/>
      <c r="L31" s="79"/>
      <c r="M31" s="79"/>
      <c r="N31" s="79"/>
      <c r="O31" s="79"/>
      <c r="P31" s="79"/>
      <c r="Q31" s="79"/>
      <c r="R31" s="79"/>
      <c r="S31" s="79"/>
      <c r="T31" s="79"/>
      <c r="U31" s="79"/>
      <c r="V31" s="79"/>
      <c r="W31" s="79"/>
      <c r="X31" s="79"/>
      <c r="Y31" s="79"/>
      <c r="Z31" s="96"/>
    </row>
    <row r="32" ht="27.6" customHeight="1" spans="1:26">
      <c r="A32" s="65" t="s">
        <v>109</v>
      </c>
      <c r="B32" s="58" t="s">
        <v>110</v>
      </c>
      <c r="C32" s="58" t="s">
        <v>111</v>
      </c>
      <c r="D32" s="37" t="s">
        <v>73</v>
      </c>
      <c r="E32" s="37">
        <v>840</v>
      </c>
      <c r="F32" s="59"/>
      <c r="G32" s="60"/>
      <c r="H32" s="60"/>
      <c r="I32" s="91"/>
      <c r="J32" s="79"/>
      <c r="K32" s="79"/>
      <c r="L32" s="79"/>
      <c r="M32" s="79"/>
      <c r="N32" s="79"/>
      <c r="O32" s="79"/>
      <c r="P32" s="79"/>
      <c r="Q32" s="79"/>
      <c r="R32" s="79"/>
      <c r="S32" s="79"/>
      <c r="T32" s="79"/>
      <c r="U32" s="79"/>
      <c r="V32" s="79"/>
      <c r="W32" s="79"/>
      <c r="X32" s="79"/>
      <c r="Y32" s="79"/>
      <c r="Z32" s="96"/>
    </row>
    <row r="33" ht="27.6" customHeight="1" spans="1:26">
      <c r="A33" s="65" t="s">
        <v>112</v>
      </c>
      <c r="B33" s="58" t="s">
        <v>113</v>
      </c>
      <c r="C33" s="58" t="s">
        <v>114</v>
      </c>
      <c r="D33" s="37" t="s">
        <v>67</v>
      </c>
      <c r="E33" s="37">
        <v>1680</v>
      </c>
      <c r="F33" s="59"/>
      <c r="G33" s="60"/>
      <c r="H33" s="60"/>
      <c r="I33" s="91"/>
      <c r="J33" s="79"/>
      <c r="K33" s="79"/>
      <c r="L33" s="79"/>
      <c r="M33" s="79"/>
      <c r="N33" s="79"/>
      <c r="O33" s="79"/>
      <c r="P33" s="79"/>
      <c r="Q33" s="79"/>
      <c r="R33" s="79"/>
      <c r="S33" s="79"/>
      <c r="T33" s="79"/>
      <c r="U33" s="79"/>
      <c r="V33" s="79"/>
      <c r="W33" s="79"/>
      <c r="X33" s="79"/>
      <c r="Y33" s="79"/>
      <c r="Z33" s="96"/>
    </row>
    <row r="34" ht="27.6" customHeight="1" spans="1:26">
      <c r="A34" s="65" t="s">
        <v>115</v>
      </c>
      <c r="B34" s="58" t="s">
        <v>116</v>
      </c>
      <c r="C34" s="58" t="s">
        <v>117</v>
      </c>
      <c r="D34" s="37" t="s">
        <v>78</v>
      </c>
      <c r="E34" s="37">
        <v>13</v>
      </c>
      <c r="F34" s="59"/>
      <c r="G34" s="60"/>
      <c r="H34" s="60"/>
      <c r="I34" s="91"/>
      <c r="J34" s="79"/>
      <c r="K34" s="79"/>
      <c r="L34" s="79"/>
      <c r="M34" s="79"/>
      <c r="N34" s="79"/>
      <c r="O34" s="79"/>
      <c r="P34" s="79"/>
      <c r="Q34" s="79"/>
      <c r="R34" s="79"/>
      <c r="S34" s="79"/>
      <c r="T34" s="79"/>
      <c r="U34" s="79"/>
      <c r="V34" s="79"/>
      <c r="W34" s="79"/>
      <c r="X34" s="79"/>
      <c r="Y34" s="79"/>
      <c r="Z34" s="96"/>
    </row>
    <row r="35" ht="27.6" customHeight="1" spans="1:26">
      <c r="A35" s="65" t="s">
        <v>118</v>
      </c>
      <c r="B35" s="58" t="s">
        <v>119</v>
      </c>
      <c r="C35" s="58" t="s">
        <v>120</v>
      </c>
      <c r="D35" s="37" t="s">
        <v>121</v>
      </c>
      <c r="E35" s="37">
        <v>26</v>
      </c>
      <c r="F35" s="59"/>
      <c r="G35" s="60"/>
      <c r="H35" s="60"/>
      <c r="I35" s="91"/>
      <c r="J35" s="79"/>
      <c r="K35" s="79"/>
      <c r="L35" s="79"/>
      <c r="M35" s="79"/>
      <c r="N35" s="79"/>
      <c r="O35" s="79"/>
      <c r="P35" s="79"/>
      <c r="Q35" s="79"/>
      <c r="R35" s="79"/>
      <c r="S35" s="79"/>
      <c r="T35" s="79"/>
      <c r="U35" s="79"/>
      <c r="V35" s="79"/>
      <c r="W35" s="79"/>
      <c r="X35" s="79"/>
      <c r="Y35" s="79"/>
      <c r="Z35" s="96"/>
    </row>
    <row r="36" ht="49.2" customHeight="1" spans="1:26">
      <c r="A36" s="65" t="s">
        <v>122</v>
      </c>
      <c r="B36" s="58" t="s">
        <v>123</v>
      </c>
      <c r="C36" s="58" t="s">
        <v>124</v>
      </c>
      <c r="D36" s="37" t="s">
        <v>105</v>
      </c>
      <c r="E36" s="37">
        <v>40</v>
      </c>
      <c r="F36" s="59"/>
      <c r="G36" s="60"/>
      <c r="H36" s="60"/>
      <c r="I36" s="91"/>
      <c r="J36" s="79"/>
      <c r="K36" s="79"/>
      <c r="L36" s="79"/>
      <c r="M36" s="79"/>
      <c r="N36" s="79"/>
      <c r="O36" s="79"/>
      <c r="P36" s="79"/>
      <c r="Q36" s="79"/>
      <c r="R36" s="79"/>
      <c r="S36" s="79"/>
      <c r="T36" s="79"/>
      <c r="U36" s="79"/>
      <c r="V36" s="79"/>
      <c r="W36" s="79"/>
      <c r="X36" s="79"/>
      <c r="Y36" s="79"/>
      <c r="Z36" s="96"/>
    </row>
    <row r="37" ht="15.75" customHeight="1" spans="1:26">
      <c r="A37" s="39">
        <v>4</v>
      </c>
      <c r="B37" s="40"/>
      <c r="C37" s="41" t="s">
        <v>23</v>
      </c>
      <c r="D37" s="42"/>
      <c r="E37" s="43"/>
      <c r="F37" s="66"/>
      <c r="G37" s="67"/>
      <c r="H37" s="67"/>
      <c r="I37" s="67"/>
      <c r="J37" s="79"/>
      <c r="K37" s="79"/>
      <c r="L37" s="79"/>
      <c r="M37" s="79"/>
      <c r="N37" s="79"/>
      <c r="O37" s="79"/>
      <c r="P37" s="79"/>
      <c r="Q37" s="79"/>
      <c r="R37" s="79"/>
      <c r="S37" s="79"/>
      <c r="T37" s="79"/>
      <c r="U37" s="79"/>
      <c r="V37" s="79"/>
      <c r="W37" s="79"/>
      <c r="X37" s="79"/>
      <c r="Y37" s="79"/>
      <c r="Z37" s="96"/>
    </row>
    <row r="38" ht="35.4" customHeight="1" spans="1:26">
      <c r="A38" s="33" t="s">
        <v>3741</v>
      </c>
      <c r="B38" s="34">
        <v>101114</v>
      </c>
      <c r="C38" s="46" t="s">
        <v>128</v>
      </c>
      <c r="D38" s="36" t="s">
        <v>3742</v>
      </c>
      <c r="E38" s="37">
        <v>419.38</v>
      </c>
      <c r="F38" s="47" t="s">
        <v>3743</v>
      </c>
      <c r="G38" s="48"/>
      <c r="H38" s="48"/>
      <c r="I38" s="92">
        <v>17854</v>
      </c>
      <c r="J38" s="79"/>
      <c r="K38" s="79"/>
      <c r="L38" s="79"/>
      <c r="M38" s="79"/>
      <c r="N38" s="79"/>
      <c r="O38" s="79"/>
      <c r="P38" s="79"/>
      <c r="Q38" s="79"/>
      <c r="R38" s="79"/>
      <c r="S38" s="79"/>
      <c r="T38" s="79"/>
      <c r="U38" s="79"/>
      <c r="V38" s="79"/>
      <c r="W38" s="79"/>
      <c r="X38" s="79"/>
      <c r="Y38" s="79"/>
      <c r="Z38" s="96"/>
    </row>
    <row r="39" ht="32.4" customHeight="1" spans="1:26">
      <c r="A39" s="33" t="s">
        <v>3744</v>
      </c>
      <c r="B39" s="34">
        <v>100974</v>
      </c>
      <c r="C39" s="46" t="s">
        <v>132</v>
      </c>
      <c r="D39" s="36" t="s">
        <v>3742</v>
      </c>
      <c r="E39" s="37">
        <v>502.05</v>
      </c>
      <c r="F39" s="47" t="s">
        <v>3743</v>
      </c>
      <c r="G39" s="48"/>
      <c r="H39" s="48"/>
      <c r="I39" s="92">
        <v>17854</v>
      </c>
      <c r="J39" s="79"/>
      <c r="K39" s="79"/>
      <c r="L39" s="79"/>
      <c r="M39" s="79"/>
      <c r="N39" s="79"/>
      <c r="O39" s="79"/>
      <c r="P39" s="79"/>
      <c r="Q39" s="79"/>
      <c r="R39" s="79"/>
      <c r="S39" s="79"/>
      <c r="T39" s="79"/>
      <c r="U39" s="79"/>
      <c r="V39" s="79"/>
      <c r="W39" s="79"/>
      <c r="X39" s="79"/>
      <c r="Y39" s="79"/>
      <c r="Z39" s="96"/>
    </row>
    <row r="40" ht="28.2" customHeight="1" spans="1:26">
      <c r="A40" s="33" t="s">
        <v>3745</v>
      </c>
      <c r="B40" s="34">
        <v>96385</v>
      </c>
      <c r="C40" s="46" t="s">
        <v>3746</v>
      </c>
      <c r="D40" s="36" t="s">
        <v>3742</v>
      </c>
      <c r="E40" s="37">
        <v>335.4</v>
      </c>
      <c r="F40" s="47" t="s">
        <v>3743</v>
      </c>
      <c r="G40" s="48"/>
      <c r="H40" s="48"/>
      <c r="I40" s="92">
        <v>4774</v>
      </c>
      <c r="J40" s="79"/>
      <c r="K40" s="79"/>
      <c r="L40" s="79"/>
      <c r="M40" s="79"/>
      <c r="N40" s="79"/>
      <c r="O40" s="79"/>
      <c r="P40" s="79"/>
      <c r="Q40" s="79"/>
      <c r="R40" s="79"/>
      <c r="S40" s="79"/>
      <c r="T40" s="79"/>
      <c r="U40" s="79"/>
      <c r="V40" s="79"/>
      <c r="W40" s="79"/>
      <c r="X40" s="79"/>
      <c r="Y40" s="79"/>
      <c r="Z40" s="96"/>
    </row>
    <row r="41" ht="28.2" customHeight="1" spans="1:26">
      <c r="A41" s="33" t="s">
        <v>3747</v>
      </c>
      <c r="B41" s="34">
        <v>93590</v>
      </c>
      <c r="C41" s="46" t="s">
        <v>138</v>
      </c>
      <c r="D41" s="36" t="s">
        <v>139</v>
      </c>
      <c r="E41" s="37">
        <v>10041.72</v>
      </c>
      <c r="F41" s="47" t="s">
        <v>3743</v>
      </c>
      <c r="G41" s="68" t="s">
        <v>3748</v>
      </c>
      <c r="H41" s="48"/>
      <c r="I41" s="92">
        <v>274680</v>
      </c>
      <c r="J41" s="79"/>
      <c r="K41" s="79"/>
      <c r="L41" s="79"/>
      <c r="M41" s="79"/>
      <c r="N41" s="79"/>
      <c r="O41" s="79"/>
      <c r="P41" s="79"/>
      <c r="Q41" s="79"/>
      <c r="R41" s="79"/>
      <c r="S41" s="79"/>
      <c r="T41" s="79"/>
      <c r="U41" s="79"/>
      <c r="V41" s="79"/>
      <c r="W41" s="79"/>
      <c r="X41" s="79"/>
      <c r="Y41" s="79"/>
      <c r="Z41" s="96"/>
    </row>
    <row r="42" ht="15.75" customHeight="1" spans="1:26">
      <c r="A42" s="69" t="s">
        <v>140</v>
      </c>
      <c r="B42" s="34" t="s">
        <v>141</v>
      </c>
      <c r="C42" s="46" t="s">
        <v>142</v>
      </c>
      <c r="D42" s="36" t="s">
        <v>129</v>
      </c>
      <c r="E42" s="36">
        <v>502.05</v>
      </c>
      <c r="F42" s="47"/>
      <c r="G42" s="68"/>
      <c r="H42" s="48"/>
      <c r="I42" s="92"/>
      <c r="J42" s="79"/>
      <c r="K42" s="79"/>
      <c r="L42" s="79"/>
      <c r="M42" s="79"/>
      <c r="N42" s="79"/>
      <c r="O42" s="79"/>
      <c r="P42" s="79"/>
      <c r="Q42" s="79"/>
      <c r="R42" s="79"/>
      <c r="S42" s="79"/>
      <c r="T42" s="79"/>
      <c r="U42" s="79"/>
      <c r="V42" s="79"/>
      <c r="W42" s="79"/>
      <c r="X42" s="79"/>
      <c r="Y42" s="79"/>
      <c r="Z42" s="96"/>
    </row>
    <row r="43" ht="15.75" customHeight="1" spans="1:26">
      <c r="A43" s="70">
        <v>5</v>
      </c>
      <c r="B43" s="70"/>
      <c r="C43" s="70" t="s">
        <v>24</v>
      </c>
      <c r="D43" s="70"/>
      <c r="E43" s="71"/>
      <c r="F43" s="72"/>
      <c r="G43" s="73"/>
      <c r="H43" s="74"/>
      <c r="I43" s="93"/>
      <c r="J43" s="79"/>
      <c r="K43" s="79"/>
      <c r="L43" s="79"/>
      <c r="M43" s="79"/>
      <c r="N43" s="79"/>
      <c r="O43" s="79"/>
      <c r="P43" s="79"/>
      <c r="Q43" s="79"/>
      <c r="R43" s="79"/>
      <c r="S43" s="79"/>
      <c r="T43" s="79"/>
      <c r="U43" s="79"/>
      <c r="V43" s="79"/>
      <c r="W43" s="79"/>
      <c r="X43" s="79"/>
      <c r="Y43" s="79"/>
      <c r="Z43" s="96"/>
    </row>
    <row r="44" ht="15.75" customHeight="1" spans="1:26">
      <c r="A44" s="70" t="s">
        <v>3749</v>
      </c>
      <c r="B44" s="70"/>
      <c r="C44" s="70" t="s">
        <v>145</v>
      </c>
      <c r="D44" s="70"/>
      <c r="E44" s="71"/>
      <c r="F44" s="72"/>
      <c r="G44" s="73"/>
      <c r="H44" s="74"/>
      <c r="I44" s="94"/>
      <c r="J44" s="79"/>
      <c r="K44" s="79"/>
      <c r="L44" s="79"/>
      <c r="M44" s="79"/>
      <c r="N44" s="79"/>
      <c r="O44" s="79"/>
      <c r="P44" s="79"/>
      <c r="Q44" s="79"/>
      <c r="R44" s="79"/>
      <c r="S44" s="79"/>
      <c r="T44" s="79"/>
      <c r="U44" s="79"/>
      <c r="V44" s="79"/>
      <c r="W44" s="79"/>
      <c r="X44" s="79"/>
      <c r="Y44" s="79"/>
      <c r="Z44" s="96"/>
    </row>
    <row r="45" ht="33.75" customHeight="1" spans="1:26">
      <c r="A45" s="33" t="s">
        <v>3750</v>
      </c>
      <c r="B45" s="34">
        <v>96523</v>
      </c>
      <c r="C45" s="46" t="s">
        <v>148</v>
      </c>
      <c r="D45" s="37" t="s">
        <v>3742</v>
      </c>
      <c r="E45" s="37">
        <v>283.16</v>
      </c>
      <c r="F45" s="75" t="s">
        <v>3751</v>
      </c>
      <c r="G45" s="68"/>
      <c r="H45" s="48"/>
      <c r="I45" s="92"/>
      <c r="J45" s="79">
        <f>(6.37+30.56+6.08+9.68+22.63+18.52+10.72+8.82+9.16+3.7+3.07+2.98+2.5+2.47+1.8+1.43+2.57+1.44+7.32+10.05+34.05+10.98+7.33+17.6+3.01+61.57)*2.4</f>
        <v>711.384</v>
      </c>
      <c r="K45" s="79"/>
      <c r="L45" s="79"/>
      <c r="M45" s="79"/>
      <c r="N45" s="79"/>
      <c r="O45" s="79"/>
      <c r="P45" s="79"/>
      <c r="Q45" s="79"/>
      <c r="R45" s="79"/>
      <c r="S45" s="79"/>
      <c r="T45" s="79"/>
      <c r="U45" s="79"/>
      <c r="V45" s="79"/>
      <c r="W45" s="79"/>
      <c r="X45" s="79"/>
      <c r="Y45" s="79"/>
      <c r="Z45" s="96"/>
    </row>
    <row r="46" ht="33.75" customHeight="1" spans="1:26">
      <c r="A46" s="33" t="s">
        <v>3752</v>
      </c>
      <c r="B46" s="34">
        <v>96529</v>
      </c>
      <c r="C46" s="46" t="s">
        <v>151</v>
      </c>
      <c r="D46" s="37" t="s">
        <v>3719</v>
      </c>
      <c r="E46" s="37">
        <v>197.8</v>
      </c>
      <c r="F46" s="75" t="s">
        <v>3751</v>
      </c>
      <c r="G46" s="68"/>
      <c r="H46" s="48"/>
      <c r="I46" s="92"/>
      <c r="J46" s="79"/>
      <c r="K46" s="79"/>
      <c r="L46" s="79"/>
      <c r="M46" s="79"/>
      <c r="N46" s="79"/>
      <c r="O46" s="79"/>
      <c r="P46" s="79"/>
      <c r="Q46" s="79"/>
      <c r="R46" s="79"/>
      <c r="S46" s="79"/>
      <c r="T46" s="79"/>
      <c r="U46" s="79"/>
      <c r="V46" s="79"/>
      <c r="W46" s="79"/>
      <c r="X46" s="79"/>
      <c r="Y46" s="79"/>
      <c r="Z46" s="96"/>
    </row>
    <row r="47" ht="33.75" customHeight="1" spans="1:26">
      <c r="A47" s="33" t="s">
        <v>3753</v>
      </c>
      <c r="B47" s="34">
        <v>96528</v>
      </c>
      <c r="C47" s="46" t="s">
        <v>154</v>
      </c>
      <c r="D47" s="37" t="s">
        <v>3719</v>
      </c>
      <c r="E47" s="37">
        <v>53.11</v>
      </c>
      <c r="F47" s="75" t="s">
        <v>3751</v>
      </c>
      <c r="G47" s="68"/>
      <c r="H47" s="48"/>
      <c r="I47" s="92"/>
      <c r="J47" s="79"/>
      <c r="K47" s="79"/>
      <c r="L47" s="79"/>
      <c r="M47" s="79"/>
      <c r="N47" s="79"/>
      <c r="O47" s="79"/>
      <c r="P47" s="79"/>
      <c r="Q47" s="79"/>
      <c r="R47" s="79"/>
      <c r="S47" s="79"/>
      <c r="T47" s="79"/>
      <c r="U47" s="79"/>
      <c r="V47" s="79"/>
      <c r="W47" s="79"/>
      <c r="X47" s="79"/>
      <c r="Y47" s="79"/>
      <c r="Z47" s="96"/>
    </row>
    <row r="48" ht="33.75" customHeight="1" spans="1:26">
      <c r="A48" s="33" t="s">
        <v>3754</v>
      </c>
      <c r="B48" s="34">
        <v>96543</v>
      </c>
      <c r="C48" s="46" t="s">
        <v>157</v>
      </c>
      <c r="D48" s="37" t="s">
        <v>158</v>
      </c>
      <c r="E48" s="37">
        <v>10</v>
      </c>
      <c r="F48" s="75" t="s">
        <v>3751</v>
      </c>
      <c r="G48" s="68"/>
      <c r="H48" s="48"/>
      <c r="I48" s="92"/>
      <c r="J48" s="79"/>
      <c r="K48" s="79"/>
      <c r="L48" s="79"/>
      <c r="M48" s="79"/>
      <c r="N48" s="79"/>
      <c r="O48" s="79"/>
      <c r="P48" s="79"/>
      <c r="Q48" s="79"/>
      <c r="R48" s="79"/>
      <c r="S48" s="79"/>
      <c r="T48" s="79"/>
      <c r="U48" s="79"/>
      <c r="V48" s="79"/>
      <c r="W48" s="79"/>
      <c r="X48" s="79"/>
      <c r="Y48" s="79"/>
      <c r="Z48" s="96"/>
    </row>
    <row r="49" ht="22.5" customHeight="1" spans="1:26">
      <c r="A49" s="33" t="s">
        <v>3755</v>
      </c>
      <c r="B49" s="34">
        <v>96546</v>
      </c>
      <c r="C49" s="46" t="s">
        <v>161</v>
      </c>
      <c r="D49" s="37" t="s">
        <v>158</v>
      </c>
      <c r="E49" s="37">
        <v>41</v>
      </c>
      <c r="F49" s="75" t="s">
        <v>3751</v>
      </c>
      <c r="G49" s="68"/>
      <c r="H49" s="48"/>
      <c r="I49" s="92"/>
      <c r="J49" s="79"/>
      <c r="K49" s="79"/>
      <c r="L49" s="79"/>
      <c r="M49" s="79"/>
      <c r="N49" s="79"/>
      <c r="O49" s="79"/>
      <c r="P49" s="79"/>
      <c r="Q49" s="79"/>
      <c r="R49" s="79"/>
      <c r="S49" s="79"/>
      <c r="T49" s="79"/>
      <c r="U49" s="79"/>
      <c r="V49" s="79"/>
      <c r="W49" s="79"/>
      <c r="X49" s="79"/>
      <c r="Y49" s="79"/>
      <c r="Z49" s="96"/>
    </row>
    <row r="50" ht="33.75" customHeight="1" spans="1:26">
      <c r="A50" s="33" t="s">
        <v>3756</v>
      </c>
      <c r="B50" s="34">
        <v>104916</v>
      </c>
      <c r="C50" s="46" t="s">
        <v>164</v>
      </c>
      <c r="D50" s="37" t="s">
        <v>158</v>
      </c>
      <c r="E50" s="37">
        <v>26</v>
      </c>
      <c r="F50" s="75" t="s">
        <v>3751</v>
      </c>
      <c r="G50" s="68"/>
      <c r="H50" s="48"/>
      <c r="I50" s="92"/>
      <c r="J50" s="79"/>
      <c r="K50" s="79"/>
      <c r="L50" s="79"/>
      <c r="M50" s="79"/>
      <c r="N50" s="79"/>
      <c r="O50" s="79"/>
      <c r="P50" s="79"/>
      <c r="Q50" s="79"/>
      <c r="R50" s="79"/>
      <c r="S50" s="79"/>
      <c r="T50" s="79"/>
      <c r="U50" s="79"/>
      <c r="V50" s="79"/>
      <c r="W50" s="79"/>
      <c r="X50" s="79"/>
      <c r="Y50" s="79"/>
      <c r="Z50" s="96"/>
    </row>
    <row r="51" ht="22.5" customHeight="1" spans="1:26">
      <c r="A51" s="33" t="s">
        <v>3757</v>
      </c>
      <c r="B51" s="34">
        <v>104918</v>
      </c>
      <c r="C51" s="46" t="s">
        <v>167</v>
      </c>
      <c r="D51" s="37" t="s">
        <v>158</v>
      </c>
      <c r="E51" s="37">
        <v>3</v>
      </c>
      <c r="F51" s="75" t="s">
        <v>3751</v>
      </c>
      <c r="G51" s="68"/>
      <c r="H51" s="48"/>
      <c r="I51" s="92"/>
      <c r="J51" s="79"/>
      <c r="K51" s="79"/>
      <c r="L51" s="79"/>
      <c r="M51" s="79"/>
      <c r="N51" s="79"/>
      <c r="O51" s="79"/>
      <c r="P51" s="79"/>
      <c r="Q51" s="79"/>
      <c r="R51" s="79"/>
      <c r="S51" s="79"/>
      <c r="T51" s="79"/>
      <c r="U51" s="79"/>
      <c r="V51" s="79"/>
      <c r="W51" s="79"/>
      <c r="X51" s="79"/>
      <c r="Y51" s="79"/>
      <c r="Z51" s="96"/>
    </row>
    <row r="52" ht="22.5" customHeight="1" spans="1:26">
      <c r="A52" s="33" t="s">
        <v>3758</v>
      </c>
      <c r="B52" s="34">
        <v>104919</v>
      </c>
      <c r="C52" s="46" t="s">
        <v>170</v>
      </c>
      <c r="D52" s="37" t="s">
        <v>158</v>
      </c>
      <c r="E52" s="37">
        <v>1076</v>
      </c>
      <c r="F52" s="75" t="s">
        <v>3751</v>
      </c>
      <c r="G52" s="68"/>
      <c r="H52" s="48"/>
      <c r="I52" s="92"/>
      <c r="J52" s="79"/>
      <c r="K52" s="79"/>
      <c r="L52" s="79"/>
      <c r="M52" s="79"/>
      <c r="N52" s="79"/>
      <c r="O52" s="79"/>
      <c r="P52" s="79"/>
      <c r="Q52" s="79"/>
      <c r="R52" s="79"/>
      <c r="S52" s="79"/>
      <c r="T52" s="79"/>
      <c r="U52" s="79"/>
      <c r="V52" s="79"/>
      <c r="W52" s="79"/>
      <c r="X52" s="79"/>
      <c r="Y52" s="79"/>
      <c r="Z52" s="96"/>
    </row>
    <row r="53" ht="33.75" customHeight="1" spans="1:26">
      <c r="A53" s="33" t="s">
        <v>3759</v>
      </c>
      <c r="B53" s="34">
        <v>104920</v>
      </c>
      <c r="C53" s="46" t="s">
        <v>173</v>
      </c>
      <c r="D53" s="37" t="s">
        <v>158</v>
      </c>
      <c r="E53" s="37">
        <v>1382</v>
      </c>
      <c r="F53" s="75" t="s">
        <v>3751</v>
      </c>
      <c r="G53" s="68"/>
      <c r="H53" s="48"/>
      <c r="I53" s="92"/>
      <c r="J53" s="79"/>
      <c r="K53" s="79"/>
      <c r="L53" s="79"/>
      <c r="M53" s="79"/>
      <c r="N53" s="79"/>
      <c r="O53" s="79"/>
      <c r="P53" s="79"/>
      <c r="Q53" s="79"/>
      <c r="R53" s="79"/>
      <c r="S53" s="79"/>
      <c r="T53" s="79"/>
      <c r="U53" s="79"/>
      <c r="V53" s="79"/>
      <c r="W53" s="79"/>
      <c r="X53" s="79"/>
      <c r="Y53" s="79"/>
      <c r="Z53" s="96"/>
    </row>
    <row r="54" ht="33.75" customHeight="1" spans="1:26">
      <c r="A54" s="33" t="s">
        <v>3760</v>
      </c>
      <c r="B54" s="34">
        <v>104921</v>
      </c>
      <c r="C54" s="46" t="s">
        <v>176</v>
      </c>
      <c r="D54" s="37" t="s">
        <v>158</v>
      </c>
      <c r="E54" s="37">
        <v>1139</v>
      </c>
      <c r="F54" s="75" t="s">
        <v>3751</v>
      </c>
      <c r="G54" s="68"/>
      <c r="H54" s="48"/>
      <c r="I54" s="92"/>
      <c r="J54" s="79"/>
      <c r="K54" s="79"/>
      <c r="L54" s="79"/>
      <c r="M54" s="79"/>
      <c r="N54" s="79"/>
      <c r="O54" s="79"/>
      <c r="P54" s="79"/>
      <c r="Q54" s="79"/>
      <c r="R54" s="79"/>
      <c r="S54" s="79"/>
      <c r="T54" s="79"/>
      <c r="U54" s="79"/>
      <c r="V54" s="79"/>
      <c r="W54" s="79"/>
      <c r="X54" s="79"/>
      <c r="Y54" s="79"/>
      <c r="Z54" s="96"/>
    </row>
    <row r="55" ht="22.2" customHeight="1" spans="1:26">
      <c r="A55" s="33" t="s">
        <v>3761</v>
      </c>
      <c r="B55" s="34">
        <v>96558</v>
      </c>
      <c r="C55" s="46" t="s">
        <v>179</v>
      </c>
      <c r="D55" s="37" t="s">
        <v>3742</v>
      </c>
      <c r="E55" s="37">
        <v>101.26</v>
      </c>
      <c r="F55" s="75" t="s">
        <v>3751</v>
      </c>
      <c r="G55" s="68"/>
      <c r="H55" s="48"/>
      <c r="I55" s="92"/>
      <c r="J55" s="79"/>
      <c r="K55" s="79"/>
      <c r="L55" s="79"/>
      <c r="M55" s="79"/>
      <c r="N55" s="79"/>
      <c r="O55" s="79"/>
      <c r="P55" s="79"/>
      <c r="Q55" s="79"/>
      <c r="R55" s="79"/>
      <c r="S55" s="79"/>
      <c r="T55" s="79"/>
      <c r="U55" s="79"/>
      <c r="V55" s="79"/>
      <c r="W55" s="79"/>
      <c r="X55" s="79"/>
      <c r="Y55" s="79"/>
      <c r="Z55" s="96"/>
    </row>
    <row r="56" ht="22.2" customHeight="1" spans="1:26">
      <c r="A56" s="51" t="s">
        <v>180</v>
      </c>
      <c r="B56" s="76" t="s">
        <v>181</v>
      </c>
      <c r="C56" s="77" t="s">
        <v>182</v>
      </c>
      <c r="D56" s="37" t="s">
        <v>129</v>
      </c>
      <c r="E56" s="37">
        <v>30.8</v>
      </c>
      <c r="F56" s="75" t="s">
        <v>3751</v>
      </c>
      <c r="G56" s="68"/>
      <c r="H56" s="48"/>
      <c r="I56" s="92"/>
      <c r="J56" s="79"/>
      <c r="K56" s="79"/>
      <c r="L56" s="79"/>
      <c r="M56" s="79"/>
      <c r="N56" s="79"/>
      <c r="O56" s="79"/>
      <c r="P56" s="79"/>
      <c r="Q56" s="79"/>
      <c r="R56" s="79"/>
      <c r="S56" s="79"/>
      <c r="T56" s="79"/>
      <c r="U56" s="79"/>
      <c r="V56" s="79"/>
      <c r="W56" s="79"/>
      <c r="X56" s="79"/>
      <c r="Y56" s="79"/>
      <c r="Z56" s="96"/>
    </row>
    <row r="57" ht="33.75" customHeight="1" spans="1:26">
      <c r="A57" s="39" t="s">
        <v>3762</v>
      </c>
      <c r="B57" s="40"/>
      <c r="C57" s="41" t="s">
        <v>184</v>
      </c>
      <c r="D57" s="42"/>
      <c r="E57" s="43"/>
      <c r="F57" s="66"/>
      <c r="G57" s="67"/>
      <c r="H57" s="67"/>
      <c r="I57" s="95"/>
      <c r="J57" s="79"/>
      <c r="K57" s="79"/>
      <c r="L57" s="79"/>
      <c r="M57" s="79"/>
      <c r="N57" s="79"/>
      <c r="O57" s="79"/>
      <c r="P57" s="79"/>
      <c r="Q57" s="79"/>
      <c r="R57" s="79"/>
      <c r="S57" s="79"/>
      <c r="T57" s="79"/>
      <c r="U57" s="79"/>
      <c r="V57" s="79"/>
      <c r="W57" s="79"/>
      <c r="X57" s="79"/>
      <c r="Y57" s="79"/>
      <c r="Z57" s="96"/>
    </row>
    <row r="58" ht="15.75" customHeight="1" spans="1:26">
      <c r="A58" s="33" t="s">
        <v>3763</v>
      </c>
      <c r="B58" s="34">
        <v>96527</v>
      </c>
      <c r="C58" s="46" t="s">
        <v>187</v>
      </c>
      <c r="D58" s="37" t="s">
        <v>3742</v>
      </c>
      <c r="E58" s="37">
        <v>5.2</v>
      </c>
      <c r="F58" s="75" t="s">
        <v>3751</v>
      </c>
      <c r="G58" s="68"/>
      <c r="H58" s="48"/>
      <c r="I58" s="92"/>
      <c r="J58" s="79"/>
      <c r="K58" s="79"/>
      <c r="L58" s="79"/>
      <c r="M58" s="79"/>
      <c r="N58" s="79"/>
      <c r="O58" s="79"/>
      <c r="P58" s="79"/>
      <c r="Q58" s="79"/>
      <c r="R58" s="79"/>
      <c r="S58" s="79"/>
      <c r="T58" s="79"/>
      <c r="U58" s="79"/>
      <c r="V58" s="79"/>
      <c r="W58" s="79"/>
      <c r="X58" s="79"/>
      <c r="Y58" s="79"/>
      <c r="Z58" s="96"/>
    </row>
    <row r="59" ht="15.75" customHeight="1" spans="1:26">
      <c r="A59" s="33" t="s">
        <v>3764</v>
      </c>
      <c r="B59" s="34">
        <v>96536</v>
      </c>
      <c r="C59" s="46" t="s">
        <v>190</v>
      </c>
      <c r="D59" s="37" t="s">
        <v>3719</v>
      </c>
      <c r="E59" s="37">
        <v>25.99</v>
      </c>
      <c r="F59" s="75" t="s">
        <v>3751</v>
      </c>
      <c r="G59" s="68"/>
      <c r="H59" s="48"/>
      <c r="I59" s="92"/>
      <c r="J59" s="79"/>
      <c r="K59" s="79"/>
      <c r="L59" s="79"/>
      <c r="M59" s="79"/>
      <c r="N59" s="79"/>
      <c r="O59" s="79"/>
      <c r="P59" s="79"/>
      <c r="Q59" s="79"/>
      <c r="R59" s="79"/>
      <c r="S59" s="79"/>
      <c r="T59" s="79"/>
      <c r="U59" s="79"/>
      <c r="V59" s="79"/>
      <c r="W59" s="79"/>
      <c r="X59" s="79"/>
      <c r="Y59" s="79"/>
      <c r="Z59" s="96"/>
    </row>
    <row r="60" ht="33.75" customHeight="1" spans="1:26">
      <c r="A60" s="33" t="s">
        <v>3765</v>
      </c>
      <c r="B60" s="34">
        <v>104919</v>
      </c>
      <c r="C60" s="46" t="s">
        <v>170</v>
      </c>
      <c r="D60" s="37" t="s">
        <v>158</v>
      </c>
      <c r="E60" s="37">
        <v>131</v>
      </c>
      <c r="F60" s="75" t="s">
        <v>3751</v>
      </c>
      <c r="G60" s="68"/>
      <c r="H60" s="48"/>
      <c r="I60" s="92"/>
      <c r="J60" s="79"/>
      <c r="K60" s="79"/>
      <c r="L60" s="79"/>
      <c r="M60" s="79"/>
      <c r="N60" s="79"/>
      <c r="O60" s="79"/>
      <c r="P60" s="79"/>
      <c r="Q60" s="79"/>
      <c r="R60" s="79"/>
      <c r="S60" s="79"/>
      <c r="T60" s="79"/>
      <c r="U60" s="79"/>
      <c r="V60" s="79"/>
      <c r="W60" s="79"/>
      <c r="X60" s="79"/>
      <c r="Y60" s="79"/>
      <c r="Z60" s="96"/>
    </row>
    <row r="61" ht="33.75" customHeight="1" spans="1:26">
      <c r="A61" s="33" t="s">
        <v>3766</v>
      </c>
      <c r="B61" s="34">
        <v>104920</v>
      </c>
      <c r="C61" s="46" t="s">
        <v>173</v>
      </c>
      <c r="D61" s="37" t="s">
        <v>158</v>
      </c>
      <c r="E61" s="37">
        <v>72</v>
      </c>
      <c r="F61" s="75" t="s">
        <v>3751</v>
      </c>
      <c r="G61" s="68"/>
      <c r="H61" s="48"/>
      <c r="I61" s="92"/>
      <c r="J61" s="79"/>
      <c r="K61" s="79"/>
      <c r="L61" s="79"/>
      <c r="M61" s="79"/>
      <c r="N61" s="79"/>
      <c r="O61" s="79"/>
      <c r="P61" s="79"/>
      <c r="Q61" s="79"/>
      <c r="R61" s="79"/>
      <c r="S61" s="79"/>
      <c r="T61" s="79"/>
      <c r="U61" s="79"/>
      <c r="V61" s="79"/>
      <c r="W61" s="79"/>
      <c r="X61" s="79"/>
      <c r="Y61" s="79"/>
      <c r="Z61" s="96"/>
    </row>
    <row r="62" ht="33.75" customHeight="1" spans="1:26">
      <c r="A62" s="33" t="s">
        <v>3767</v>
      </c>
      <c r="B62" s="34">
        <v>104921</v>
      </c>
      <c r="C62" s="46" t="s">
        <v>176</v>
      </c>
      <c r="D62" s="37" t="s">
        <v>158</v>
      </c>
      <c r="E62" s="37">
        <v>476</v>
      </c>
      <c r="F62" s="75" t="s">
        <v>3751</v>
      </c>
      <c r="G62" s="68"/>
      <c r="H62" s="48"/>
      <c r="I62" s="92"/>
      <c r="J62" s="79"/>
      <c r="K62" s="79"/>
      <c r="L62" s="79"/>
      <c r="M62" s="79"/>
      <c r="N62" s="79"/>
      <c r="O62" s="79"/>
      <c r="P62" s="79"/>
      <c r="Q62" s="79"/>
      <c r="R62" s="79"/>
      <c r="S62" s="79"/>
      <c r="T62" s="79"/>
      <c r="U62" s="79"/>
      <c r="V62" s="79"/>
      <c r="W62" s="79"/>
      <c r="X62" s="79"/>
      <c r="Y62" s="79"/>
      <c r="Z62" s="96"/>
    </row>
    <row r="63" ht="33.75" customHeight="1" spans="1:26">
      <c r="A63" s="33" t="s">
        <v>3768</v>
      </c>
      <c r="B63" s="34">
        <v>96557</v>
      </c>
      <c r="C63" s="46" t="s">
        <v>182</v>
      </c>
      <c r="D63" s="37" t="s">
        <v>3742</v>
      </c>
      <c r="E63" s="37">
        <v>5.2</v>
      </c>
      <c r="F63" s="75" t="s">
        <v>3751</v>
      </c>
      <c r="G63" s="68"/>
      <c r="H63" s="48"/>
      <c r="I63" s="92"/>
      <c r="J63" s="79"/>
      <c r="K63" s="79"/>
      <c r="L63" s="79"/>
      <c r="M63" s="79"/>
      <c r="N63" s="79"/>
      <c r="O63" s="79"/>
      <c r="P63" s="79"/>
      <c r="Q63" s="79"/>
      <c r="R63" s="79"/>
      <c r="S63" s="79"/>
      <c r="T63" s="79"/>
      <c r="U63" s="79"/>
      <c r="V63" s="79"/>
      <c r="W63" s="79"/>
      <c r="X63" s="79"/>
      <c r="Y63" s="79"/>
      <c r="Z63" s="96"/>
    </row>
    <row r="64" ht="33.75" customHeight="1" spans="1:26">
      <c r="A64" s="39">
        <v>6</v>
      </c>
      <c r="B64" s="40"/>
      <c r="C64" s="41" t="s">
        <v>25</v>
      </c>
      <c r="D64" s="42"/>
      <c r="E64" s="43"/>
      <c r="F64" s="66"/>
      <c r="G64" s="67"/>
      <c r="H64" s="67"/>
      <c r="I64" s="95"/>
      <c r="J64" s="79"/>
      <c r="K64" s="79"/>
      <c r="L64" s="79"/>
      <c r="M64" s="79"/>
      <c r="N64" s="79"/>
      <c r="O64" s="79"/>
      <c r="P64" s="79"/>
      <c r="Q64" s="79"/>
      <c r="R64" s="79"/>
      <c r="S64" s="79"/>
      <c r="T64" s="79"/>
      <c r="U64" s="79"/>
      <c r="V64" s="79"/>
      <c r="W64" s="79"/>
      <c r="X64" s="79"/>
      <c r="Y64" s="79"/>
      <c r="Z64" s="96"/>
    </row>
    <row r="65" ht="33.75" customHeight="1" spans="1:26">
      <c r="A65" s="33" t="s">
        <v>3769</v>
      </c>
      <c r="B65" s="34" t="s">
        <v>3770</v>
      </c>
      <c r="C65" s="46" t="s">
        <v>3771</v>
      </c>
      <c r="D65" s="37" t="s">
        <v>78</v>
      </c>
      <c r="E65" s="37">
        <v>180</v>
      </c>
      <c r="F65" s="75" t="s">
        <v>3772</v>
      </c>
      <c r="G65" s="68"/>
      <c r="H65" s="48"/>
      <c r="I65" s="92"/>
      <c r="J65" s="79"/>
      <c r="K65" s="79"/>
      <c r="L65" s="79"/>
      <c r="M65" s="79"/>
      <c r="N65" s="79"/>
      <c r="O65" s="79"/>
      <c r="P65" s="79"/>
      <c r="Q65" s="79"/>
      <c r="R65" s="79"/>
      <c r="S65" s="79"/>
      <c r="T65" s="79"/>
      <c r="U65" s="79"/>
      <c r="V65" s="79"/>
      <c r="W65" s="79"/>
      <c r="X65" s="79"/>
      <c r="Y65" s="79"/>
      <c r="Z65" s="96"/>
    </row>
    <row r="66" ht="33.75" customHeight="1" spans="1:26">
      <c r="A66" s="33" t="s">
        <v>3773</v>
      </c>
      <c r="B66" s="34">
        <v>95602</v>
      </c>
      <c r="C66" s="46" t="s">
        <v>201</v>
      </c>
      <c r="D66" s="37" t="s">
        <v>105</v>
      </c>
      <c r="E66" s="37">
        <v>12</v>
      </c>
      <c r="F66" s="75" t="s">
        <v>3774</v>
      </c>
      <c r="G66" s="68"/>
      <c r="H66" s="48"/>
      <c r="I66" s="92"/>
      <c r="J66" s="79"/>
      <c r="K66" s="79"/>
      <c r="L66" s="79"/>
      <c r="M66" s="79"/>
      <c r="N66" s="79"/>
      <c r="O66" s="79"/>
      <c r="P66" s="79"/>
      <c r="Q66" s="79"/>
      <c r="R66" s="79"/>
      <c r="S66" s="79"/>
      <c r="T66" s="79"/>
      <c r="U66" s="79"/>
      <c r="V66" s="79"/>
      <c r="W66" s="79"/>
      <c r="X66" s="79"/>
      <c r="Y66" s="79"/>
      <c r="Z66" s="96"/>
    </row>
    <row r="67" ht="33.75" customHeight="1" spans="1:26">
      <c r="A67" s="33" t="s">
        <v>202</v>
      </c>
      <c r="B67" s="37" t="s">
        <v>203</v>
      </c>
      <c r="C67" s="37" t="s">
        <v>204</v>
      </c>
      <c r="D67" s="37" t="s">
        <v>67</v>
      </c>
      <c r="E67" s="37">
        <v>12</v>
      </c>
      <c r="F67" s="75" t="s">
        <v>3774</v>
      </c>
      <c r="G67" s="68"/>
      <c r="H67" s="48"/>
      <c r="I67" s="92"/>
      <c r="J67" s="79"/>
      <c r="K67" s="79"/>
      <c r="L67" s="79"/>
      <c r="M67" s="79"/>
      <c r="N67" s="79"/>
      <c r="O67" s="79"/>
      <c r="P67" s="79"/>
      <c r="Q67" s="79"/>
      <c r="R67" s="79"/>
      <c r="S67" s="79"/>
      <c r="T67" s="79"/>
      <c r="U67" s="79"/>
      <c r="V67" s="79"/>
      <c r="W67" s="79"/>
      <c r="X67" s="79"/>
      <c r="Y67" s="79"/>
      <c r="Z67" s="96"/>
    </row>
    <row r="68" ht="33.75" customHeight="1" spans="1:26">
      <c r="A68" s="39">
        <v>7</v>
      </c>
      <c r="B68" s="40"/>
      <c r="C68" s="41" t="s">
        <v>26</v>
      </c>
      <c r="D68" s="42"/>
      <c r="E68" s="43"/>
      <c r="F68" s="66"/>
      <c r="G68" s="67"/>
      <c r="H68" s="67"/>
      <c r="I68" s="95"/>
      <c r="J68" s="79"/>
      <c r="K68" s="79"/>
      <c r="L68" s="79"/>
      <c r="M68" s="79"/>
      <c r="N68" s="79"/>
      <c r="O68" s="79"/>
      <c r="P68" s="79"/>
      <c r="Q68" s="79"/>
      <c r="R68" s="79"/>
      <c r="S68" s="79"/>
      <c r="T68" s="79"/>
      <c r="U68" s="79"/>
      <c r="V68" s="79"/>
      <c r="W68" s="79"/>
      <c r="X68" s="79"/>
      <c r="Y68" s="79"/>
      <c r="Z68" s="96"/>
    </row>
    <row r="69" ht="15.75" customHeight="1" spans="1:26">
      <c r="A69" s="39" t="s">
        <v>3775</v>
      </c>
      <c r="B69" s="40"/>
      <c r="C69" s="41" t="s">
        <v>207</v>
      </c>
      <c r="D69" s="42"/>
      <c r="E69" s="43"/>
      <c r="F69" s="66"/>
      <c r="G69" s="67"/>
      <c r="H69" s="67"/>
      <c r="I69" s="95"/>
      <c r="J69" s="79"/>
      <c r="K69" s="79"/>
      <c r="L69" s="79"/>
      <c r="M69" s="79"/>
      <c r="N69" s="79"/>
      <c r="O69" s="79"/>
      <c r="P69" s="79"/>
      <c r="Q69" s="79"/>
      <c r="R69" s="79"/>
      <c r="S69" s="79"/>
      <c r="T69" s="79"/>
      <c r="U69" s="79"/>
      <c r="V69" s="79"/>
      <c r="W69" s="79"/>
      <c r="X69" s="79"/>
      <c r="Y69" s="79"/>
      <c r="Z69" s="96"/>
    </row>
    <row r="70" ht="15.75" customHeight="1" spans="1:26">
      <c r="A70" s="33" t="s">
        <v>3776</v>
      </c>
      <c r="B70" s="34">
        <v>92413</v>
      </c>
      <c r="C70" s="46" t="s">
        <v>210</v>
      </c>
      <c r="D70" s="37" t="s">
        <v>3719</v>
      </c>
      <c r="E70" s="37">
        <v>415.76</v>
      </c>
      <c r="F70" s="75" t="s">
        <v>3751</v>
      </c>
      <c r="G70" s="68"/>
      <c r="H70" s="48"/>
      <c r="I70" s="92"/>
      <c r="J70" s="79">
        <f>42*15</f>
        <v>630</v>
      </c>
      <c r="K70" s="79"/>
      <c r="L70" s="79"/>
      <c r="M70" s="79"/>
      <c r="N70" s="79"/>
      <c r="O70" s="79"/>
      <c r="P70" s="79"/>
      <c r="Q70" s="79"/>
      <c r="R70" s="79"/>
      <c r="S70" s="79"/>
      <c r="T70" s="79"/>
      <c r="U70" s="79"/>
      <c r="V70" s="79"/>
      <c r="W70" s="79"/>
      <c r="X70" s="79"/>
      <c r="Y70" s="79"/>
      <c r="Z70" s="96"/>
    </row>
    <row r="71" ht="15.75" customHeight="1" spans="1:26">
      <c r="A71" s="33" t="s">
        <v>3777</v>
      </c>
      <c r="B71" s="34">
        <v>92759</v>
      </c>
      <c r="C71" s="46" t="s">
        <v>213</v>
      </c>
      <c r="D71" s="37" t="s">
        <v>158</v>
      </c>
      <c r="E71" s="37">
        <v>476</v>
      </c>
      <c r="F71" s="75" t="s">
        <v>3751</v>
      </c>
      <c r="G71" s="68"/>
      <c r="H71" s="48"/>
      <c r="I71" s="92"/>
      <c r="J71" s="79"/>
      <c r="K71" s="79"/>
      <c r="L71" s="79"/>
      <c r="M71" s="79"/>
      <c r="N71" s="79"/>
      <c r="O71" s="79"/>
      <c r="P71" s="79"/>
      <c r="Q71" s="79"/>
      <c r="R71" s="79"/>
      <c r="S71" s="79"/>
      <c r="T71" s="79"/>
      <c r="U71" s="79"/>
      <c r="V71" s="79"/>
      <c r="W71" s="79"/>
      <c r="X71" s="79"/>
      <c r="Y71" s="79"/>
      <c r="Z71" s="96"/>
    </row>
    <row r="72" ht="15.75" customHeight="1" spans="1:26">
      <c r="A72" s="33" t="s">
        <v>3778</v>
      </c>
      <c r="B72" s="34">
        <v>92760</v>
      </c>
      <c r="C72" s="46" t="s">
        <v>216</v>
      </c>
      <c r="D72" s="37" t="s">
        <v>158</v>
      </c>
      <c r="E72" s="37">
        <v>208</v>
      </c>
      <c r="F72" s="75" t="s">
        <v>3751</v>
      </c>
      <c r="G72" s="68"/>
      <c r="H72" s="48"/>
      <c r="I72" s="92"/>
      <c r="J72" s="79"/>
      <c r="K72" s="79"/>
      <c r="L72" s="79"/>
      <c r="M72" s="79"/>
      <c r="N72" s="79"/>
      <c r="O72" s="79"/>
      <c r="P72" s="79"/>
      <c r="Q72" s="79"/>
      <c r="R72" s="79"/>
      <c r="S72" s="79"/>
      <c r="T72" s="79"/>
      <c r="U72" s="79"/>
      <c r="V72" s="79"/>
      <c r="W72" s="79"/>
      <c r="X72" s="79"/>
      <c r="Y72" s="79"/>
      <c r="Z72" s="96"/>
    </row>
    <row r="73" ht="15.75" customHeight="1" spans="1:26">
      <c r="A73" s="33" t="s">
        <v>3779</v>
      </c>
      <c r="B73" s="34">
        <v>92761</v>
      </c>
      <c r="C73" s="46" t="s">
        <v>219</v>
      </c>
      <c r="D73" s="37" t="s">
        <v>158</v>
      </c>
      <c r="E73" s="37">
        <v>39</v>
      </c>
      <c r="F73" s="75" t="s">
        <v>3751</v>
      </c>
      <c r="G73" s="68"/>
      <c r="H73" s="48"/>
      <c r="I73" s="92"/>
      <c r="J73" s="79"/>
      <c r="K73" s="79"/>
      <c r="L73" s="79"/>
      <c r="M73" s="79"/>
      <c r="N73" s="79"/>
      <c r="O73" s="79"/>
      <c r="P73" s="79"/>
      <c r="Q73" s="79"/>
      <c r="R73" s="79"/>
      <c r="S73" s="79"/>
      <c r="T73" s="79"/>
      <c r="U73" s="79"/>
      <c r="V73" s="79"/>
      <c r="W73" s="79"/>
      <c r="X73" s="79"/>
      <c r="Y73" s="79"/>
      <c r="Z73" s="96"/>
    </row>
    <row r="74" ht="15.75" customHeight="1" spans="1:26">
      <c r="A74" s="33" t="s">
        <v>3780</v>
      </c>
      <c r="B74" s="34">
        <v>92762</v>
      </c>
      <c r="C74" s="46" t="s">
        <v>222</v>
      </c>
      <c r="D74" s="37" t="s">
        <v>158</v>
      </c>
      <c r="E74" s="37">
        <v>810</v>
      </c>
      <c r="F74" s="75" t="s">
        <v>3751</v>
      </c>
      <c r="G74" s="68"/>
      <c r="H74" s="48"/>
      <c r="I74" s="92"/>
      <c r="J74" s="79"/>
      <c r="K74" s="79"/>
      <c r="L74" s="79"/>
      <c r="M74" s="79"/>
      <c r="N74" s="79"/>
      <c r="O74" s="79"/>
      <c r="P74" s="79"/>
      <c r="Q74" s="79"/>
      <c r="R74" s="79"/>
      <c r="S74" s="79"/>
      <c r="T74" s="79"/>
      <c r="U74" s="79"/>
      <c r="V74" s="79"/>
      <c r="W74" s="79"/>
      <c r="X74" s="79"/>
      <c r="Y74" s="79"/>
      <c r="Z74" s="96"/>
    </row>
    <row r="75" ht="15.75" customHeight="1" spans="1:26">
      <c r="A75" s="33" t="s">
        <v>3781</v>
      </c>
      <c r="B75" s="34">
        <v>92763</v>
      </c>
      <c r="C75" s="46" t="s">
        <v>225</v>
      </c>
      <c r="D75" s="37" t="s">
        <v>158</v>
      </c>
      <c r="E75" s="37">
        <v>1390</v>
      </c>
      <c r="F75" s="75" t="s">
        <v>3751</v>
      </c>
      <c r="G75" s="68"/>
      <c r="H75" s="48"/>
      <c r="I75" s="92"/>
      <c r="J75" s="79"/>
      <c r="K75" s="79"/>
      <c r="L75" s="79"/>
      <c r="M75" s="79"/>
      <c r="N75" s="79"/>
      <c r="O75" s="79"/>
      <c r="P75" s="79"/>
      <c r="Q75" s="79"/>
      <c r="R75" s="79"/>
      <c r="S75" s="79"/>
      <c r="T75" s="79"/>
      <c r="U75" s="79"/>
      <c r="V75" s="79"/>
      <c r="W75" s="79"/>
      <c r="X75" s="79"/>
      <c r="Y75" s="79"/>
      <c r="Z75" s="96"/>
    </row>
    <row r="76" ht="15.75" customHeight="1" spans="1:26">
      <c r="A76" s="33" t="s">
        <v>3782</v>
      </c>
      <c r="B76" s="34">
        <v>92764</v>
      </c>
      <c r="C76" s="46" t="s">
        <v>228</v>
      </c>
      <c r="D76" s="37" t="s">
        <v>158</v>
      </c>
      <c r="E76" s="37">
        <v>1730</v>
      </c>
      <c r="F76" s="75" t="s">
        <v>3751</v>
      </c>
      <c r="G76" s="68"/>
      <c r="H76" s="48"/>
      <c r="I76" s="92"/>
      <c r="J76" s="79"/>
      <c r="K76" s="79"/>
      <c r="L76" s="79"/>
      <c r="M76" s="79"/>
      <c r="N76" s="79"/>
      <c r="O76" s="79"/>
      <c r="P76" s="79"/>
      <c r="Q76" s="79"/>
      <c r="R76" s="79"/>
      <c r="S76" s="79"/>
      <c r="T76" s="79"/>
      <c r="U76" s="79"/>
      <c r="V76" s="79"/>
      <c r="W76" s="79"/>
      <c r="X76" s="79"/>
      <c r="Y76" s="79"/>
      <c r="Z76" s="96"/>
    </row>
    <row r="77" ht="15.75" customHeight="1" spans="1:26">
      <c r="A77" s="33" t="s">
        <v>3783</v>
      </c>
      <c r="B77" s="34">
        <v>103672</v>
      </c>
      <c r="C77" s="46" t="s">
        <v>231</v>
      </c>
      <c r="D77" s="37" t="s">
        <v>3742</v>
      </c>
      <c r="E77" s="37">
        <v>24.6</v>
      </c>
      <c r="F77" s="75" t="s">
        <v>3751</v>
      </c>
      <c r="G77" s="68"/>
      <c r="H77" s="48"/>
      <c r="I77" s="92"/>
      <c r="J77" s="79"/>
      <c r="K77" s="79"/>
      <c r="L77" s="79"/>
      <c r="M77" s="79"/>
      <c r="N77" s="79"/>
      <c r="O77" s="79"/>
      <c r="P77" s="79"/>
      <c r="Q77" s="79"/>
      <c r="R77" s="79"/>
      <c r="S77" s="79"/>
      <c r="T77" s="79"/>
      <c r="U77" s="79"/>
      <c r="V77" s="79"/>
      <c r="W77" s="79"/>
      <c r="X77" s="79"/>
      <c r="Y77" s="79"/>
      <c r="Z77" s="96"/>
    </row>
    <row r="78" ht="15.75" customHeight="1" spans="1:26">
      <c r="A78" s="39" t="s">
        <v>3784</v>
      </c>
      <c r="B78" s="40"/>
      <c r="C78" s="41" t="s">
        <v>233</v>
      </c>
      <c r="D78" s="42"/>
      <c r="E78" s="43"/>
      <c r="F78" s="66"/>
      <c r="G78" s="67"/>
      <c r="H78" s="67"/>
      <c r="I78" s="95"/>
      <c r="J78" s="79"/>
      <c r="K78" s="79"/>
      <c r="L78" s="79"/>
      <c r="M78" s="79"/>
      <c r="N78" s="79"/>
      <c r="O78" s="79"/>
      <c r="P78" s="79"/>
      <c r="Q78" s="79"/>
      <c r="R78" s="79"/>
      <c r="S78" s="79"/>
      <c r="T78" s="79"/>
      <c r="U78" s="79"/>
      <c r="V78" s="79"/>
      <c r="W78" s="79"/>
      <c r="X78" s="79"/>
      <c r="Y78" s="79"/>
      <c r="Z78" s="96"/>
    </row>
    <row r="79" ht="15.75" customHeight="1" spans="1:26">
      <c r="A79" s="33" t="s">
        <v>3785</v>
      </c>
      <c r="B79" s="34">
        <v>92455</v>
      </c>
      <c r="C79" s="46" t="s">
        <v>236</v>
      </c>
      <c r="D79" s="37" t="s">
        <v>3719</v>
      </c>
      <c r="E79" s="37">
        <v>444.1</v>
      </c>
      <c r="F79" s="75" t="s">
        <v>3751</v>
      </c>
      <c r="G79" s="68"/>
      <c r="H79" s="48"/>
      <c r="I79" s="92"/>
      <c r="J79" s="79"/>
      <c r="K79" s="79"/>
      <c r="L79" s="79"/>
      <c r="M79" s="79"/>
      <c r="N79" s="79"/>
      <c r="O79" s="79"/>
      <c r="P79" s="79"/>
      <c r="Q79" s="79"/>
      <c r="R79" s="79"/>
      <c r="S79" s="79"/>
      <c r="T79" s="79"/>
      <c r="U79" s="79"/>
      <c r="V79" s="79"/>
      <c r="W79" s="79"/>
      <c r="X79" s="79"/>
      <c r="Y79" s="79"/>
      <c r="Z79" s="96"/>
    </row>
    <row r="80" ht="15.75" customHeight="1" spans="1:26">
      <c r="A80" s="33" t="s">
        <v>3786</v>
      </c>
      <c r="B80" s="34">
        <v>92759</v>
      </c>
      <c r="C80" s="46" t="s">
        <v>213</v>
      </c>
      <c r="D80" s="37" t="s">
        <v>158</v>
      </c>
      <c r="E80" s="37">
        <v>715</v>
      </c>
      <c r="F80" s="75" t="s">
        <v>3751</v>
      </c>
      <c r="G80" s="68"/>
      <c r="H80" s="48"/>
      <c r="I80" s="92"/>
      <c r="J80" s="79"/>
      <c r="K80" s="79"/>
      <c r="L80" s="79"/>
      <c r="M80" s="79"/>
      <c r="N80" s="79"/>
      <c r="O80" s="79"/>
      <c r="P80" s="79"/>
      <c r="Q80" s="79"/>
      <c r="R80" s="79"/>
      <c r="S80" s="79"/>
      <c r="T80" s="79"/>
      <c r="U80" s="79"/>
      <c r="V80" s="79"/>
      <c r="W80" s="79"/>
      <c r="X80" s="79"/>
      <c r="Y80" s="79"/>
      <c r="Z80" s="96"/>
    </row>
    <row r="81" ht="15.75" customHeight="1" spans="1:26">
      <c r="A81" s="33" t="s">
        <v>3787</v>
      </c>
      <c r="B81" s="34">
        <v>92760</v>
      </c>
      <c r="C81" s="46" t="s">
        <v>216</v>
      </c>
      <c r="D81" s="37" t="s">
        <v>158</v>
      </c>
      <c r="E81" s="37">
        <v>1922</v>
      </c>
      <c r="F81" s="75" t="s">
        <v>3751</v>
      </c>
      <c r="G81" s="68"/>
      <c r="H81" s="48"/>
      <c r="I81" s="92"/>
      <c r="J81" s="79"/>
      <c r="K81" s="79"/>
      <c r="L81" s="79"/>
      <c r="M81" s="79"/>
      <c r="N81" s="79"/>
      <c r="O81" s="79"/>
      <c r="P81" s="79"/>
      <c r="Q81" s="79"/>
      <c r="R81" s="79"/>
      <c r="S81" s="79"/>
      <c r="T81" s="79"/>
      <c r="U81" s="79"/>
      <c r="V81" s="79"/>
      <c r="W81" s="79"/>
      <c r="X81" s="79"/>
      <c r="Y81" s="79"/>
      <c r="Z81" s="96"/>
    </row>
    <row r="82" ht="15.75" customHeight="1" spans="1:26">
      <c r="A82" s="33" t="s">
        <v>3788</v>
      </c>
      <c r="B82" s="34">
        <v>92761</v>
      </c>
      <c r="C82" s="46" t="s">
        <v>219</v>
      </c>
      <c r="D82" s="37" t="s">
        <v>158</v>
      </c>
      <c r="E82" s="37">
        <v>141</v>
      </c>
      <c r="F82" s="75" t="s">
        <v>3751</v>
      </c>
      <c r="G82" s="68"/>
      <c r="H82" s="48"/>
      <c r="I82" s="92"/>
      <c r="J82" s="79"/>
      <c r="K82" s="79"/>
      <c r="L82" s="79"/>
      <c r="M82" s="79"/>
      <c r="N82" s="79"/>
      <c r="O82" s="79"/>
      <c r="P82" s="79"/>
      <c r="Q82" s="79"/>
      <c r="R82" s="79"/>
      <c r="S82" s="79"/>
      <c r="T82" s="79"/>
      <c r="U82" s="79"/>
      <c r="V82" s="79"/>
      <c r="W82" s="79"/>
      <c r="X82" s="79"/>
      <c r="Y82" s="79"/>
      <c r="Z82" s="96"/>
    </row>
    <row r="83" ht="15.75" customHeight="1" spans="1:26">
      <c r="A83" s="33" t="s">
        <v>3789</v>
      </c>
      <c r="B83" s="34">
        <v>92762</v>
      </c>
      <c r="C83" s="46" t="s">
        <v>222</v>
      </c>
      <c r="D83" s="37" t="s">
        <v>158</v>
      </c>
      <c r="E83" s="37">
        <v>1826</v>
      </c>
      <c r="F83" s="75" t="s">
        <v>3751</v>
      </c>
      <c r="G83" s="68"/>
      <c r="H83" s="48"/>
      <c r="I83" s="92"/>
      <c r="J83" s="79"/>
      <c r="K83" s="79"/>
      <c r="L83" s="79"/>
      <c r="M83" s="79"/>
      <c r="N83" s="79"/>
      <c r="O83" s="79"/>
      <c r="P83" s="79"/>
      <c r="Q83" s="79"/>
      <c r="R83" s="79"/>
      <c r="S83" s="79"/>
      <c r="T83" s="79"/>
      <c r="U83" s="79"/>
      <c r="V83" s="79"/>
      <c r="W83" s="79"/>
      <c r="X83" s="79"/>
      <c r="Y83" s="79"/>
      <c r="Z83" s="96"/>
    </row>
    <row r="84" ht="33.75" customHeight="1" spans="1:26">
      <c r="A84" s="33" t="s">
        <v>3790</v>
      </c>
      <c r="B84" s="34">
        <v>92763</v>
      </c>
      <c r="C84" s="46" t="s">
        <v>225</v>
      </c>
      <c r="D84" s="37" t="s">
        <v>158</v>
      </c>
      <c r="E84" s="37">
        <v>1108</v>
      </c>
      <c r="F84" s="75" t="s">
        <v>3751</v>
      </c>
      <c r="G84" s="68"/>
      <c r="H84" s="48"/>
      <c r="I84" s="92"/>
      <c r="J84" s="79"/>
      <c r="K84" s="79"/>
      <c r="L84" s="79"/>
      <c r="M84" s="79"/>
      <c r="N84" s="79"/>
      <c r="O84" s="79"/>
      <c r="P84" s="79"/>
      <c r="Q84" s="79"/>
      <c r="R84" s="79"/>
      <c r="S84" s="79"/>
      <c r="T84" s="79"/>
      <c r="U84" s="79"/>
      <c r="V84" s="79"/>
      <c r="W84" s="79"/>
      <c r="X84" s="79"/>
      <c r="Y84" s="79"/>
      <c r="Z84" s="96"/>
    </row>
    <row r="85" ht="33.75" customHeight="1" spans="1:26">
      <c r="A85" s="33" t="s">
        <v>3791</v>
      </c>
      <c r="B85" s="34">
        <v>92764</v>
      </c>
      <c r="C85" s="46" t="s">
        <v>228</v>
      </c>
      <c r="D85" s="37" t="s">
        <v>158</v>
      </c>
      <c r="E85" s="37">
        <v>3552</v>
      </c>
      <c r="F85" s="75" t="s">
        <v>3751</v>
      </c>
      <c r="G85" s="68"/>
      <c r="H85" s="48"/>
      <c r="I85" s="92"/>
      <c r="J85" s="79"/>
      <c r="K85" s="79"/>
      <c r="L85" s="79"/>
      <c r="M85" s="79"/>
      <c r="N85" s="79"/>
      <c r="O85" s="79"/>
      <c r="P85" s="79"/>
      <c r="Q85" s="79"/>
      <c r="R85" s="79"/>
      <c r="S85" s="79"/>
      <c r="T85" s="79"/>
      <c r="U85" s="79"/>
      <c r="V85" s="79"/>
      <c r="W85" s="79"/>
      <c r="X85" s="79"/>
      <c r="Y85" s="79"/>
      <c r="Z85" s="96"/>
    </row>
    <row r="86" ht="33.75" customHeight="1" spans="1:26">
      <c r="A86" s="33" t="s">
        <v>3792</v>
      </c>
      <c r="B86" s="34">
        <v>92765</v>
      </c>
      <c r="C86" s="46" t="s">
        <v>245</v>
      </c>
      <c r="D86" s="37" t="s">
        <v>158</v>
      </c>
      <c r="E86" s="37">
        <v>1035</v>
      </c>
      <c r="F86" s="75" t="s">
        <v>3751</v>
      </c>
      <c r="G86" s="68"/>
      <c r="H86" s="48"/>
      <c r="I86" s="92"/>
      <c r="J86" s="79"/>
      <c r="K86" s="79"/>
      <c r="L86" s="79"/>
      <c r="M86" s="79"/>
      <c r="N86" s="79"/>
      <c r="O86" s="79"/>
      <c r="P86" s="79"/>
      <c r="Q86" s="79"/>
      <c r="R86" s="79"/>
      <c r="S86" s="79"/>
      <c r="T86" s="79"/>
      <c r="U86" s="79"/>
      <c r="V86" s="79"/>
      <c r="W86" s="79"/>
      <c r="X86" s="79"/>
      <c r="Y86" s="79"/>
      <c r="Z86" s="96"/>
    </row>
    <row r="87" ht="33.75" customHeight="1" spans="1:26">
      <c r="A87" s="39" t="s">
        <v>3793</v>
      </c>
      <c r="B87" s="40"/>
      <c r="C87" s="41" t="s">
        <v>247</v>
      </c>
      <c r="D87" s="42"/>
      <c r="E87" s="43"/>
      <c r="F87" s="66"/>
      <c r="G87" s="67"/>
      <c r="H87" s="67"/>
      <c r="I87" s="95"/>
      <c r="J87" s="79"/>
      <c r="K87" s="79"/>
      <c r="L87" s="79"/>
      <c r="M87" s="79"/>
      <c r="N87" s="79"/>
      <c r="O87" s="79"/>
      <c r="P87" s="79"/>
      <c r="Q87" s="79"/>
      <c r="R87" s="79"/>
      <c r="S87" s="79"/>
      <c r="T87" s="79"/>
      <c r="U87" s="79"/>
      <c r="V87" s="79"/>
      <c r="W87" s="79"/>
      <c r="X87" s="79"/>
      <c r="Y87" s="79"/>
      <c r="Z87" s="96"/>
    </row>
    <row r="88" ht="33.75" customHeight="1" spans="1:26">
      <c r="A88" s="33" t="s">
        <v>3794</v>
      </c>
      <c r="B88" s="34">
        <v>92510</v>
      </c>
      <c r="C88" s="46" t="s">
        <v>250</v>
      </c>
      <c r="D88" s="37" t="s">
        <v>3719</v>
      </c>
      <c r="E88" s="37">
        <v>157.24</v>
      </c>
      <c r="F88" s="75" t="s">
        <v>3751</v>
      </c>
      <c r="G88" s="68"/>
      <c r="H88" s="48"/>
      <c r="I88" s="92"/>
      <c r="J88" s="79"/>
      <c r="K88" s="79"/>
      <c r="L88" s="79"/>
      <c r="M88" s="79"/>
      <c r="N88" s="79"/>
      <c r="O88" s="79"/>
      <c r="P88" s="79"/>
      <c r="Q88" s="79"/>
      <c r="R88" s="79"/>
      <c r="S88" s="79"/>
      <c r="T88" s="79"/>
      <c r="U88" s="79"/>
      <c r="V88" s="79"/>
      <c r="W88" s="79"/>
      <c r="X88" s="79"/>
      <c r="Y88" s="79"/>
      <c r="Z88" s="96"/>
    </row>
    <row r="89" ht="33.75" customHeight="1" spans="1:26">
      <c r="A89" s="33" t="s">
        <v>3795</v>
      </c>
      <c r="B89" s="34">
        <v>92768</v>
      </c>
      <c r="C89" s="46" t="s">
        <v>253</v>
      </c>
      <c r="D89" s="37" t="s">
        <v>158</v>
      </c>
      <c r="E89" s="37">
        <v>664</v>
      </c>
      <c r="F89" s="75" t="s">
        <v>3751</v>
      </c>
      <c r="G89" s="68"/>
      <c r="H89" s="48"/>
      <c r="I89" s="92"/>
      <c r="J89" s="79"/>
      <c r="K89" s="79"/>
      <c r="L89" s="79"/>
      <c r="M89" s="79"/>
      <c r="N89" s="79"/>
      <c r="O89" s="79"/>
      <c r="P89" s="79"/>
      <c r="Q89" s="79"/>
      <c r="R89" s="79"/>
      <c r="S89" s="79"/>
      <c r="T89" s="79"/>
      <c r="U89" s="79"/>
      <c r="V89" s="79"/>
      <c r="W89" s="79"/>
      <c r="X89" s="79"/>
      <c r="Y89" s="79"/>
      <c r="Z89" s="96"/>
    </row>
    <row r="90" ht="33.75" customHeight="1" spans="1:26">
      <c r="A90" s="33" t="s">
        <v>3796</v>
      </c>
      <c r="B90" s="34">
        <v>92769</v>
      </c>
      <c r="C90" s="46" t="s">
        <v>256</v>
      </c>
      <c r="D90" s="37" t="s">
        <v>158</v>
      </c>
      <c r="E90" s="37">
        <v>490</v>
      </c>
      <c r="F90" s="75" t="s">
        <v>3751</v>
      </c>
      <c r="G90" s="68"/>
      <c r="H90" s="48"/>
      <c r="I90" s="92"/>
      <c r="J90" s="79"/>
      <c r="K90" s="79"/>
      <c r="L90" s="79"/>
      <c r="M90" s="79"/>
      <c r="N90" s="79"/>
      <c r="O90" s="79"/>
      <c r="P90" s="79"/>
      <c r="Q90" s="79"/>
      <c r="R90" s="79"/>
      <c r="S90" s="79"/>
      <c r="T90" s="79"/>
      <c r="U90" s="79"/>
      <c r="V90" s="79"/>
      <c r="W90" s="79"/>
      <c r="X90" s="79"/>
      <c r="Y90" s="79"/>
      <c r="Z90" s="96"/>
    </row>
    <row r="91" ht="33.75" customHeight="1" spans="1:26">
      <c r="A91" s="33" t="s">
        <v>3797</v>
      </c>
      <c r="B91" s="34">
        <v>92770</v>
      </c>
      <c r="C91" s="46" t="s">
        <v>259</v>
      </c>
      <c r="D91" s="37" t="s">
        <v>158</v>
      </c>
      <c r="E91" s="37">
        <v>129</v>
      </c>
      <c r="F91" s="75" t="s">
        <v>3751</v>
      </c>
      <c r="G91" s="68"/>
      <c r="H91" s="48"/>
      <c r="I91" s="92"/>
      <c r="J91" s="79"/>
      <c r="K91" s="79"/>
      <c r="L91" s="79"/>
      <c r="M91" s="79"/>
      <c r="N91" s="79"/>
      <c r="O91" s="79"/>
      <c r="P91" s="79"/>
      <c r="Q91" s="79"/>
      <c r="R91" s="79"/>
      <c r="S91" s="79"/>
      <c r="T91" s="79"/>
      <c r="U91" s="79"/>
      <c r="V91" s="79"/>
      <c r="W91" s="79"/>
      <c r="X91" s="79"/>
      <c r="Y91" s="79"/>
      <c r="Z91" s="96"/>
    </row>
    <row r="92" ht="33.75" customHeight="1" spans="1:26">
      <c r="A92" s="33" t="s">
        <v>3798</v>
      </c>
      <c r="B92" s="34">
        <v>92771</v>
      </c>
      <c r="C92" s="46" t="s">
        <v>262</v>
      </c>
      <c r="D92" s="37" t="s">
        <v>158</v>
      </c>
      <c r="E92" s="37">
        <v>2048</v>
      </c>
      <c r="F92" s="75" t="s">
        <v>3751</v>
      </c>
      <c r="G92" s="68"/>
      <c r="H92" s="48"/>
      <c r="I92" s="92"/>
      <c r="J92" s="79"/>
      <c r="K92" s="79"/>
      <c r="L92" s="79"/>
      <c r="M92" s="79"/>
      <c r="N92" s="79"/>
      <c r="O92" s="79"/>
      <c r="P92" s="79"/>
      <c r="Q92" s="79"/>
      <c r="R92" s="79"/>
      <c r="S92" s="79"/>
      <c r="T92" s="79"/>
      <c r="U92" s="79"/>
      <c r="V92" s="79"/>
      <c r="W92" s="79"/>
      <c r="X92" s="79"/>
      <c r="Y92" s="79"/>
      <c r="Z92" s="96"/>
    </row>
    <row r="93" ht="15.75" customHeight="1" spans="1:26">
      <c r="A93" s="33" t="s">
        <v>3799</v>
      </c>
      <c r="B93" s="34">
        <v>92772</v>
      </c>
      <c r="C93" s="46" t="s">
        <v>265</v>
      </c>
      <c r="D93" s="37" t="s">
        <v>158</v>
      </c>
      <c r="E93" s="37">
        <v>4619</v>
      </c>
      <c r="F93" s="75" t="s">
        <v>3751</v>
      </c>
      <c r="G93" s="68"/>
      <c r="H93" s="48"/>
      <c r="I93" s="92"/>
      <c r="J93" s="79"/>
      <c r="K93" s="79"/>
      <c r="L93" s="79"/>
      <c r="M93" s="79"/>
      <c r="N93" s="79"/>
      <c r="O93" s="79"/>
      <c r="P93" s="79"/>
      <c r="Q93" s="79"/>
      <c r="R93" s="79"/>
      <c r="S93" s="79"/>
      <c r="T93" s="79"/>
      <c r="U93" s="79"/>
      <c r="V93" s="79"/>
      <c r="W93" s="79"/>
      <c r="X93" s="79"/>
      <c r="Y93" s="79"/>
      <c r="Z93" s="96"/>
    </row>
    <row r="94" ht="33.75" customHeight="1" spans="1:26">
      <c r="A94" s="33" t="s">
        <v>3800</v>
      </c>
      <c r="B94" s="34">
        <v>92773</v>
      </c>
      <c r="C94" s="46" t="s">
        <v>268</v>
      </c>
      <c r="D94" s="37" t="s">
        <v>158</v>
      </c>
      <c r="E94" s="37">
        <v>43</v>
      </c>
      <c r="F94" s="75" t="s">
        <v>3751</v>
      </c>
      <c r="G94" s="68"/>
      <c r="H94" s="48"/>
      <c r="I94" s="92"/>
      <c r="J94" s="79"/>
      <c r="K94" s="79"/>
      <c r="L94" s="79"/>
      <c r="M94" s="79"/>
      <c r="N94" s="79"/>
      <c r="O94" s="79"/>
      <c r="P94" s="79"/>
      <c r="Q94" s="79"/>
      <c r="R94" s="79"/>
      <c r="S94" s="79"/>
      <c r="T94" s="79"/>
      <c r="U94" s="79"/>
      <c r="V94" s="79"/>
      <c r="W94" s="79"/>
      <c r="X94" s="79"/>
      <c r="Y94" s="79"/>
      <c r="Z94" s="96"/>
    </row>
    <row r="95" ht="33.75" customHeight="1" spans="1:26">
      <c r="A95" s="33" t="s">
        <v>3801</v>
      </c>
      <c r="B95" s="34">
        <v>92774</v>
      </c>
      <c r="C95" s="46" t="s">
        <v>3802</v>
      </c>
      <c r="D95" s="37" t="s">
        <v>158</v>
      </c>
      <c r="E95" s="37">
        <v>0</v>
      </c>
      <c r="F95" s="75" t="s">
        <v>3751</v>
      </c>
      <c r="G95" s="68"/>
      <c r="H95" s="48"/>
      <c r="I95" s="92"/>
      <c r="J95" s="79"/>
      <c r="K95" s="79"/>
      <c r="L95" s="79"/>
      <c r="M95" s="79"/>
      <c r="N95" s="79"/>
      <c r="O95" s="79"/>
      <c r="P95" s="79"/>
      <c r="Q95" s="79"/>
      <c r="R95" s="79"/>
      <c r="S95" s="79"/>
      <c r="T95" s="79"/>
      <c r="U95" s="79"/>
      <c r="V95" s="79"/>
      <c r="W95" s="79"/>
      <c r="X95" s="79"/>
      <c r="Y95" s="79"/>
      <c r="Z95" s="96"/>
    </row>
    <row r="96" ht="33.75" customHeight="1" spans="1:26">
      <c r="A96" s="33" t="s">
        <v>3803</v>
      </c>
      <c r="B96" s="34">
        <v>101963</v>
      </c>
      <c r="C96" s="46" t="s">
        <v>3804</v>
      </c>
      <c r="D96" s="37" t="s">
        <v>3719</v>
      </c>
      <c r="E96" s="37">
        <v>53.41</v>
      </c>
      <c r="F96" s="75" t="s">
        <v>3751</v>
      </c>
      <c r="G96" s="68"/>
      <c r="H96" s="48"/>
      <c r="I96" s="92"/>
      <c r="J96" s="79"/>
      <c r="K96" s="79"/>
      <c r="L96" s="79"/>
      <c r="M96" s="79"/>
      <c r="N96" s="79"/>
      <c r="O96" s="79"/>
      <c r="P96" s="79"/>
      <c r="Q96" s="79"/>
      <c r="R96" s="79"/>
      <c r="S96" s="79"/>
      <c r="T96" s="79"/>
      <c r="U96" s="79"/>
      <c r="V96" s="79"/>
      <c r="W96" s="79"/>
      <c r="X96" s="79"/>
      <c r="Y96" s="79"/>
      <c r="Z96" s="96"/>
    </row>
    <row r="97" ht="33.75" customHeight="1" spans="1:26">
      <c r="A97" s="33" t="s">
        <v>3805</v>
      </c>
      <c r="B97" s="34">
        <v>92490</v>
      </c>
      <c r="C97" s="46" t="s">
        <v>274</v>
      </c>
      <c r="D97" s="37" t="s">
        <v>3719</v>
      </c>
      <c r="E97" s="37">
        <v>652.15</v>
      </c>
      <c r="F97" s="75" t="s">
        <v>3751</v>
      </c>
      <c r="G97" s="68"/>
      <c r="H97" s="48"/>
      <c r="I97" s="92"/>
      <c r="J97" s="79"/>
      <c r="K97" s="79"/>
      <c r="L97" s="79"/>
      <c r="M97" s="79"/>
      <c r="N97" s="79"/>
      <c r="O97" s="79"/>
      <c r="P97" s="79"/>
      <c r="Q97" s="79"/>
      <c r="R97" s="79"/>
      <c r="S97" s="79"/>
      <c r="T97" s="79"/>
      <c r="U97" s="79"/>
      <c r="V97" s="79"/>
      <c r="W97" s="79"/>
      <c r="X97" s="79"/>
      <c r="Y97" s="79"/>
      <c r="Z97" s="96"/>
    </row>
    <row r="98" ht="33.75" customHeight="1" spans="1:26">
      <c r="A98" s="33" t="s">
        <v>3806</v>
      </c>
      <c r="B98" s="34">
        <v>103675</v>
      </c>
      <c r="C98" s="46" t="s">
        <v>277</v>
      </c>
      <c r="D98" s="36" t="s">
        <v>3742</v>
      </c>
      <c r="E98" s="37">
        <v>233.45</v>
      </c>
      <c r="F98" s="75" t="s">
        <v>3751</v>
      </c>
      <c r="G98" s="68"/>
      <c r="H98" s="48"/>
      <c r="I98" s="92"/>
      <c r="J98" s="79"/>
      <c r="K98" s="79"/>
      <c r="L98" s="79"/>
      <c r="M98" s="79"/>
      <c r="N98" s="79"/>
      <c r="O98" s="79"/>
      <c r="P98" s="79"/>
      <c r="Q98" s="79"/>
      <c r="R98" s="79"/>
      <c r="S98" s="79"/>
      <c r="T98" s="79"/>
      <c r="U98" s="79"/>
      <c r="V98" s="79"/>
      <c r="W98" s="79"/>
      <c r="X98" s="79"/>
      <c r="Y98" s="79"/>
      <c r="Z98" s="96"/>
    </row>
    <row r="99" ht="33.75" customHeight="1" spans="1:26">
      <c r="A99" s="39" t="s">
        <v>3807</v>
      </c>
      <c r="B99" s="40"/>
      <c r="C99" s="41" t="s">
        <v>279</v>
      </c>
      <c r="D99" s="42"/>
      <c r="E99" s="43"/>
      <c r="F99" s="66"/>
      <c r="G99" s="67"/>
      <c r="H99" s="67"/>
      <c r="I99" s="95"/>
      <c r="J99" s="79"/>
      <c r="K99" s="79"/>
      <c r="L99" s="79"/>
      <c r="M99" s="79"/>
      <c r="N99" s="79"/>
      <c r="O99" s="79"/>
      <c r="P99" s="79"/>
      <c r="Q99" s="79"/>
      <c r="R99" s="79"/>
      <c r="S99" s="79"/>
      <c r="T99" s="79"/>
      <c r="U99" s="79"/>
      <c r="V99" s="79"/>
      <c r="W99" s="79"/>
      <c r="X99" s="79"/>
      <c r="Y99" s="79"/>
      <c r="Z99" s="96"/>
    </row>
    <row r="100" ht="33.75" customHeight="1" spans="1:26">
      <c r="A100" s="33" t="s">
        <v>3808</v>
      </c>
      <c r="B100" s="34">
        <v>102040</v>
      </c>
      <c r="C100" s="46" t="s">
        <v>282</v>
      </c>
      <c r="D100" s="36" t="s">
        <v>3719</v>
      </c>
      <c r="E100" s="37">
        <v>1.55</v>
      </c>
      <c r="F100" s="75" t="s">
        <v>3751</v>
      </c>
      <c r="G100" s="68"/>
      <c r="H100" s="48"/>
      <c r="I100" s="92"/>
      <c r="J100" s="79"/>
      <c r="K100" s="79"/>
      <c r="L100" s="79"/>
      <c r="M100" s="79"/>
      <c r="N100" s="79"/>
      <c r="O100" s="79"/>
      <c r="P100" s="79"/>
      <c r="Q100" s="79"/>
      <c r="R100" s="79"/>
      <c r="S100" s="79"/>
      <c r="T100" s="79"/>
      <c r="U100" s="79"/>
      <c r="V100" s="79"/>
      <c r="W100" s="79"/>
      <c r="X100" s="79"/>
      <c r="Y100" s="79"/>
      <c r="Z100" s="96"/>
    </row>
    <row r="101" ht="33.75" customHeight="1" spans="1:26">
      <c r="A101" s="33" t="s">
        <v>3809</v>
      </c>
      <c r="B101" s="34">
        <v>95943</v>
      </c>
      <c r="C101" s="46" t="s">
        <v>285</v>
      </c>
      <c r="D101" s="36" t="s">
        <v>158</v>
      </c>
      <c r="E101" s="37">
        <v>12</v>
      </c>
      <c r="F101" s="75" t="s">
        <v>3751</v>
      </c>
      <c r="G101" s="68"/>
      <c r="H101" s="48"/>
      <c r="I101" s="92"/>
      <c r="J101" s="79"/>
      <c r="K101" s="79"/>
      <c r="L101" s="79"/>
      <c r="M101" s="79"/>
      <c r="N101" s="79"/>
      <c r="O101" s="79"/>
      <c r="P101" s="79"/>
      <c r="Q101" s="79"/>
      <c r="R101" s="79"/>
      <c r="S101" s="79"/>
      <c r="T101" s="79"/>
      <c r="U101" s="79"/>
      <c r="V101" s="79"/>
      <c r="W101" s="79"/>
      <c r="X101" s="79"/>
      <c r="Y101" s="79"/>
      <c r="Z101" s="96"/>
    </row>
    <row r="102" ht="33.75" customHeight="1" spans="1:26">
      <c r="A102" s="33" t="s">
        <v>3810</v>
      </c>
      <c r="B102" s="34">
        <v>95944</v>
      </c>
      <c r="C102" s="46" t="s">
        <v>288</v>
      </c>
      <c r="D102" s="36" t="s">
        <v>158</v>
      </c>
      <c r="E102" s="37">
        <v>10</v>
      </c>
      <c r="F102" s="75" t="s">
        <v>3751</v>
      </c>
      <c r="G102" s="68"/>
      <c r="H102" s="48"/>
      <c r="I102" s="92"/>
      <c r="J102" s="79"/>
      <c r="K102" s="79"/>
      <c r="L102" s="79"/>
      <c r="M102" s="79"/>
      <c r="N102" s="79"/>
      <c r="O102" s="79"/>
      <c r="P102" s="79"/>
      <c r="Q102" s="79"/>
      <c r="R102" s="79"/>
      <c r="S102" s="79"/>
      <c r="T102" s="79"/>
      <c r="U102" s="79"/>
      <c r="V102" s="79"/>
      <c r="W102" s="79"/>
      <c r="X102" s="79"/>
      <c r="Y102" s="79"/>
      <c r="Z102" s="96"/>
    </row>
    <row r="103" ht="33.75" customHeight="1" spans="1:26">
      <c r="A103" s="33" t="s">
        <v>3811</v>
      </c>
      <c r="B103" s="34">
        <v>95945</v>
      </c>
      <c r="C103" s="46" t="s">
        <v>291</v>
      </c>
      <c r="D103" s="36" t="s">
        <v>158</v>
      </c>
      <c r="E103" s="37">
        <v>98</v>
      </c>
      <c r="F103" s="75" t="s">
        <v>3751</v>
      </c>
      <c r="G103" s="68"/>
      <c r="H103" s="48"/>
      <c r="I103" s="92"/>
      <c r="J103" s="79"/>
      <c r="K103" s="79"/>
      <c r="L103" s="79"/>
      <c r="M103" s="79"/>
      <c r="N103" s="79"/>
      <c r="O103" s="79"/>
      <c r="P103" s="79"/>
      <c r="Q103" s="79"/>
      <c r="R103" s="79"/>
      <c r="S103" s="79"/>
      <c r="T103" s="79"/>
      <c r="U103" s="79"/>
      <c r="V103" s="79"/>
      <c r="W103" s="79"/>
      <c r="X103" s="79"/>
      <c r="Y103" s="79"/>
      <c r="Z103" s="96"/>
    </row>
    <row r="104" ht="15.75" customHeight="1" spans="1:26">
      <c r="A104" s="33" t="s">
        <v>3812</v>
      </c>
      <c r="B104" s="34">
        <v>95946</v>
      </c>
      <c r="C104" s="46" t="s">
        <v>294</v>
      </c>
      <c r="D104" s="36" t="s">
        <v>158</v>
      </c>
      <c r="E104" s="37">
        <v>303</v>
      </c>
      <c r="F104" s="75" t="s">
        <v>3751</v>
      </c>
      <c r="G104" s="68"/>
      <c r="H104" s="48"/>
      <c r="I104" s="92"/>
      <c r="J104" s="79"/>
      <c r="K104" s="79"/>
      <c r="L104" s="79"/>
      <c r="M104" s="79"/>
      <c r="N104" s="79"/>
      <c r="O104" s="79"/>
      <c r="P104" s="79"/>
      <c r="Q104" s="79"/>
      <c r="R104" s="79"/>
      <c r="S104" s="79"/>
      <c r="T104" s="79"/>
      <c r="U104" s="79"/>
      <c r="V104" s="79"/>
      <c r="W104" s="79"/>
      <c r="X104" s="79"/>
      <c r="Y104" s="79"/>
      <c r="Z104" s="96"/>
    </row>
    <row r="105" ht="122.25" customHeight="1" spans="1:26">
      <c r="A105" s="33" t="s">
        <v>3813</v>
      </c>
      <c r="B105" s="34">
        <v>95947</v>
      </c>
      <c r="C105" s="46" t="s">
        <v>297</v>
      </c>
      <c r="D105" s="36" t="s">
        <v>158</v>
      </c>
      <c r="E105" s="37">
        <v>414</v>
      </c>
      <c r="F105" s="75" t="s">
        <v>3751</v>
      </c>
      <c r="G105" s="68"/>
      <c r="H105" s="48"/>
      <c r="I105" s="92"/>
      <c r="J105" s="79"/>
      <c r="K105" s="79"/>
      <c r="L105" s="79"/>
      <c r="M105" s="79"/>
      <c r="N105" s="79"/>
      <c r="O105" s="79"/>
      <c r="P105" s="79"/>
      <c r="Q105" s="79"/>
      <c r="R105" s="79"/>
      <c r="S105" s="79"/>
      <c r="T105" s="79"/>
      <c r="U105" s="79"/>
      <c r="V105" s="79"/>
      <c r="W105" s="79"/>
      <c r="X105" s="79"/>
      <c r="Y105" s="79"/>
      <c r="Z105" s="96"/>
    </row>
    <row r="106" ht="26.25" customHeight="1" spans="1:26">
      <c r="A106" s="33" t="s">
        <v>3814</v>
      </c>
      <c r="B106" s="34">
        <v>103686</v>
      </c>
      <c r="C106" s="46" t="s">
        <v>300</v>
      </c>
      <c r="D106" s="36" t="s">
        <v>3742</v>
      </c>
      <c r="E106" s="37">
        <v>0.25</v>
      </c>
      <c r="F106" s="75" t="s">
        <v>3751</v>
      </c>
      <c r="G106" s="68"/>
      <c r="H106" s="48"/>
      <c r="I106" s="92"/>
      <c r="J106" s="79"/>
      <c r="K106" s="79"/>
      <c r="L106" s="79"/>
      <c r="M106" s="79"/>
      <c r="N106" s="79"/>
      <c r="O106" s="79"/>
      <c r="P106" s="79"/>
      <c r="Q106" s="79"/>
      <c r="R106" s="79"/>
      <c r="S106" s="79"/>
      <c r="T106" s="79"/>
      <c r="U106" s="79"/>
      <c r="V106" s="79"/>
      <c r="W106" s="79"/>
      <c r="X106" s="79"/>
      <c r="Y106" s="79"/>
      <c r="Z106" s="96"/>
    </row>
    <row r="107" ht="15.75" customHeight="1" spans="1:26">
      <c r="A107" s="33" t="s">
        <v>3815</v>
      </c>
      <c r="B107" s="34">
        <v>92510</v>
      </c>
      <c r="C107" s="46" t="s">
        <v>250</v>
      </c>
      <c r="D107" s="36" t="s">
        <v>3719</v>
      </c>
      <c r="E107" s="37">
        <v>28.18</v>
      </c>
      <c r="F107" s="75" t="s">
        <v>3751</v>
      </c>
      <c r="G107" s="68"/>
      <c r="H107" s="48"/>
      <c r="I107" s="92"/>
      <c r="J107" s="79"/>
      <c r="K107" s="79"/>
      <c r="L107" s="79"/>
      <c r="M107" s="79"/>
      <c r="N107" s="79"/>
      <c r="O107" s="79"/>
      <c r="P107" s="79"/>
      <c r="Q107" s="79"/>
      <c r="R107" s="79"/>
      <c r="S107" s="79"/>
      <c r="T107" s="79"/>
      <c r="U107" s="79"/>
      <c r="V107" s="79"/>
      <c r="W107" s="79"/>
      <c r="X107" s="79"/>
      <c r="Y107" s="79"/>
      <c r="Z107" s="96"/>
    </row>
    <row r="108" ht="15.75" customHeight="1" spans="1:26">
      <c r="A108" s="33" t="s">
        <v>3816</v>
      </c>
      <c r="B108" s="34">
        <v>103675</v>
      </c>
      <c r="C108" s="46" t="s">
        <v>277</v>
      </c>
      <c r="D108" s="36" t="s">
        <v>3742</v>
      </c>
      <c r="E108" s="37">
        <v>3.43</v>
      </c>
      <c r="F108" s="75" t="s">
        <v>3751</v>
      </c>
      <c r="G108" s="68"/>
      <c r="H108" s="48"/>
      <c r="I108" s="92"/>
      <c r="J108" s="79"/>
      <c r="K108" s="79"/>
      <c r="L108" s="79"/>
      <c r="M108" s="79"/>
      <c r="N108" s="79"/>
      <c r="O108" s="79"/>
      <c r="P108" s="79"/>
      <c r="Q108" s="79"/>
      <c r="R108" s="79"/>
      <c r="S108" s="79"/>
      <c r="T108" s="79"/>
      <c r="U108" s="79"/>
      <c r="V108" s="79"/>
      <c r="W108" s="79"/>
      <c r="X108" s="79"/>
      <c r="Y108" s="79"/>
      <c r="Z108" s="96"/>
    </row>
    <row r="109" ht="15.75" customHeight="1" spans="1:26">
      <c r="A109" s="39" t="s">
        <v>3817</v>
      </c>
      <c r="B109" s="40"/>
      <c r="C109" s="41" t="s">
        <v>304</v>
      </c>
      <c r="D109" s="42"/>
      <c r="E109" s="43"/>
      <c r="F109" s="66"/>
      <c r="G109" s="67"/>
      <c r="H109" s="67"/>
      <c r="I109" s="95"/>
      <c r="J109" s="79"/>
      <c r="K109" s="79"/>
      <c r="L109" s="79"/>
      <c r="M109" s="79"/>
      <c r="N109" s="79"/>
      <c r="O109" s="79"/>
      <c r="P109" s="79"/>
      <c r="Q109" s="79"/>
      <c r="R109" s="79"/>
      <c r="S109" s="79"/>
      <c r="T109" s="79"/>
      <c r="U109" s="79"/>
      <c r="V109" s="79"/>
      <c r="W109" s="79"/>
      <c r="X109" s="79"/>
      <c r="Y109" s="79"/>
      <c r="Z109" s="96"/>
    </row>
    <row r="110" ht="15.75" customHeight="1" spans="1:26">
      <c r="A110" s="33" t="s">
        <v>3818</v>
      </c>
      <c r="B110" s="34">
        <v>92759</v>
      </c>
      <c r="C110" s="46" t="s">
        <v>213</v>
      </c>
      <c r="D110" s="36" t="s">
        <v>158</v>
      </c>
      <c r="E110" s="37">
        <v>6</v>
      </c>
      <c r="F110" s="75" t="s">
        <v>3751</v>
      </c>
      <c r="G110" s="68"/>
      <c r="H110" s="48"/>
      <c r="I110" s="92"/>
      <c r="J110" s="79"/>
      <c r="K110" s="79"/>
      <c r="L110" s="79"/>
      <c r="M110" s="79"/>
      <c r="N110" s="79"/>
      <c r="O110" s="79"/>
      <c r="P110" s="79"/>
      <c r="Q110" s="79"/>
      <c r="R110" s="79"/>
      <c r="S110" s="79"/>
      <c r="T110" s="79"/>
      <c r="U110" s="79"/>
      <c r="V110" s="79"/>
      <c r="W110" s="79"/>
      <c r="X110" s="79"/>
      <c r="Y110" s="79"/>
      <c r="Z110" s="96"/>
    </row>
    <row r="111" ht="15.75" customHeight="1" spans="1:26">
      <c r="A111" s="33" t="s">
        <v>3819</v>
      </c>
      <c r="B111" s="34">
        <v>92762</v>
      </c>
      <c r="C111" s="46" t="s">
        <v>222</v>
      </c>
      <c r="D111" s="36" t="s">
        <v>158</v>
      </c>
      <c r="E111" s="37">
        <v>27</v>
      </c>
      <c r="F111" s="75" t="s">
        <v>3751</v>
      </c>
      <c r="G111" s="68"/>
      <c r="H111" s="48"/>
      <c r="I111" s="92"/>
      <c r="J111" s="79"/>
      <c r="K111" s="79"/>
      <c r="L111" s="79"/>
      <c r="M111" s="79"/>
      <c r="N111" s="79"/>
      <c r="O111" s="79"/>
      <c r="P111" s="79"/>
      <c r="Q111" s="79"/>
      <c r="R111" s="79"/>
      <c r="S111" s="79"/>
      <c r="T111" s="79"/>
      <c r="U111" s="79"/>
      <c r="V111" s="79"/>
      <c r="W111" s="79"/>
      <c r="X111" s="79"/>
      <c r="Y111" s="79"/>
      <c r="Z111" s="96"/>
    </row>
    <row r="112" ht="15.75" customHeight="1" spans="1:26">
      <c r="A112" s="33" t="s">
        <v>3820</v>
      </c>
      <c r="B112" s="34">
        <v>89996</v>
      </c>
      <c r="C112" s="46" t="s">
        <v>307</v>
      </c>
      <c r="D112" s="36" t="s">
        <v>158</v>
      </c>
      <c r="E112" s="37">
        <v>18</v>
      </c>
      <c r="F112" s="75" t="s">
        <v>3751</v>
      </c>
      <c r="G112" s="68"/>
      <c r="H112" s="48"/>
      <c r="I112" s="92"/>
      <c r="J112" s="79"/>
      <c r="K112" s="79"/>
      <c r="L112" s="79"/>
      <c r="M112" s="79"/>
      <c r="N112" s="79"/>
      <c r="O112" s="79"/>
      <c r="P112" s="79"/>
      <c r="Q112" s="79"/>
      <c r="R112" s="79"/>
      <c r="S112" s="79"/>
      <c r="T112" s="79"/>
      <c r="U112" s="79"/>
      <c r="V112" s="79"/>
      <c r="W112" s="79"/>
      <c r="X112" s="79"/>
      <c r="Y112" s="79"/>
      <c r="Z112" s="96"/>
    </row>
    <row r="113" ht="15.75" customHeight="1" spans="1:26">
      <c r="A113" s="33" t="s">
        <v>3821</v>
      </c>
      <c r="B113" s="34">
        <v>89998</v>
      </c>
      <c r="C113" s="46" t="s">
        <v>3822</v>
      </c>
      <c r="D113" s="36" t="s">
        <v>158</v>
      </c>
      <c r="E113" s="37">
        <v>21</v>
      </c>
      <c r="F113" s="75" t="s">
        <v>3751</v>
      </c>
      <c r="G113" s="68"/>
      <c r="H113" s="48"/>
      <c r="I113" s="92"/>
      <c r="J113" s="79"/>
      <c r="K113" s="79"/>
      <c r="L113" s="79"/>
      <c r="M113" s="79"/>
      <c r="N113" s="79"/>
      <c r="O113" s="79"/>
      <c r="P113" s="79"/>
      <c r="Q113" s="79"/>
      <c r="R113" s="79"/>
      <c r="S113" s="79"/>
      <c r="T113" s="79"/>
      <c r="U113" s="79"/>
      <c r="V113" s="79"/>
      <c r="W113" s="79"/>
      <c r="X113" s="79"/>
      <c r="Y113" s="79"/>
      <c r="Z113" s="96"/>
    </row>
    <row r="114" ht="15.75" customHeight="1" spans="1:26">
      <c r="A114" s="39">
        <v>8</v>
      </c>
      <c r="B114" s="40"/>
      <c r="C114" s="41" t="s">
        <v>27</v>
      </c>
      <c r="D114" s="42"/>
      <c r="E114" s="43"/>
      <c r="F114" s="66"/>
      <c r="G114" s="67"/>
      <c r="H114" s="67"/>
      <c r="I114" s="95"/>
      <c r="J114" s="79"/>
      <c r="K114" s="79"/>
      <c r="L114" s="79"/>
      <c r="M114" s="79"/>
      <c r="N114" s="79"/>
      <c r="O114" s="79"/>
      <c r="P114" s="79"/>
      <c r="Q114" s="79"/>
      <c r="R114" s="79"/>
      <c r="S114" s="79"/>
      <c r="T114" s="79"/>
      <c r="U114" s="79"/>
      <c r="V114" s="79"/>
      <c r="W114" s="79"/>
      <c r="X114" s="79"/>
      <c r="Y114" s="79"/>
      <c r="Z114" s="96"/>
    </row>
    <row r="115" ht="39.75" customHeight="1" spans="1:26">
      <c r="A115" s="33" t="s">
        <v>3823</v>
      </c>
      <c r="B115" s="34">
        <v>103336</v>
      </c>
      <c r="C115" s="46" t="s">
        <v>325</v>
      </c>
      <c r="D115" s="36" t="s">
        <v>3719</v>
      </c>
      <c r="E115" s="37">
        <f>I115</f>
        <v>93.778</v>
      </c>
      <c r="F115" s="98" t="s">
        <v>3824</v>
      </c>
      <c r="G115" s="99" t="s">
        <v>3825</v>
      </c>
      <c r="H115" s="17"/>
      <c r="I115" s="109">
        <f>((12.61+7.6+1.5+3.06+1.5)*2.9)-(1.5*2.1+1.2*1.2+0.9*2.1+1.5*2.1)+(8.25*3.3)</f>
        <v>93.778</v>
      </c>
      <c r="J115" s="79"/>
      <c r="K115" s="79"/>
      <c r="L115" s="79"/>
      <c r="M115" s="79"/>
      <c r="N115" s="79"/>
      <c r="O115" s="79"/>
      <c r="P115" s="79"/>
      <c r="Q115" s="79"/>
      <c r="R115" s="79"/>
      <c r="S115" s="79"/>
      <c r="T115" s="79"/>
      <c r="U115" s="79"/>
      <c r="V115" s="79"/>
      <c r="W115" s="79"/>
      <c r="X115" s="79"/>
      <c r="Y115" s="79"/>
      <c r="Z115" s="96"/>
    </row>
    <row r="116" ht="36.75" customHeight="1" spans="1:26">
      <c r="A116" s="100" t="s">
        <v>3826</v>
      </c>
      <c r="B116" s="101">
        <v>96368</v>
      </c>
      <c r="C116" s="102" t="s">
        <v>350</v>
      </c>
      <c r="D116" s="103" t="s">
        <v>3719</v>
      </c>
      <c r="E116" s="104">
        <f>I130</f>
        <v>277.6</v>
      </c>
      <c r="F116" s="98" t="s">
        <v>3827</v>
      </c>
      <c r="G116" s="48" t="s">
        <v>3828</v>
      </c>
      <c r="H116" s="48" t="s">
        <v>3829</v>
      </c>
      <c r="I116" s="92" t="s">
        <v>3830</v>
      </c>
      <c r="J116" s="79"/>
      <c r="K116" s="79"/>
      <c r="L116" s="79"/>
      <c r="M116" s="79"/>
      <c r="N116" s="79"/>
      <c r="O116" s="79"/>
      <c r="P116" s="79"/>
      <c r="Q116" s="79"/>
      <c r="R116" s="79"/>
      <c r="S116" s="79"/>
      <c r="T116" s="79"/>
      <c r="U116" s="79"/>
      <c r="V116" s="79"/>
      <c r="W116" s="79"/>
      <c r="X116" s="79"/>
      <c r="Y116" s="79"/>
      <c r="Z116" s="96"/>
    </row>
    <row r="117" ht="15.75" customHeight="1" spans="1:26">
      <c r="A117" s="105"/>
      <c r="B117" s="105"/>
      <c r="C117" s="106"/>
      <c r="D117" s="105"/>
      <c r="E117" s="105"/>
      <c r="F117" s="107" t="s">
        <v>3831</v>
      </c>
      <c r="G117" s="62">
        <f>5.83+1.32</f>
        <v>7.15</v>
      </c>
      <c r="H117" s="108">
        <v>2.9</v>
      </c>
      <c r="I117" s="110">
        <f t="shared" ref="I117:I129" si="0">TRUNC(PRODUCT(G117:H117),2)</f>
        <v>20.73</v>
      </c>
      <c r="J117" s="79"/>
      <c r="K117" s="79"/>
      <c r="L117" s="79"/>
      <c r="M117" s="79"/>
      <c r="N117" s="79"/>
      <c r="O117" s="79"/>
      <c r="P117" s="79"/>
      <c r="Q117" s="79"/>
      <c r="R117" s="79"/>
      <c r="S117" s="79"/>
      <c r="T117" s="79"/>
      <c r="U117" s="79"/>
      <c r="V117" s="79"/>
      <c r="W117" s="79"/>
      <c r="X117" s="79"/>
      <c r="Y117" s="79"/>
      <c r="Z117" s="96"/>
    </row>
    <row r="118" ht="15.75" customHeight="1" spans="1:26">
      <c r="A118" s="105"/>
      <c r="B118" s="105"/>
      <c r="C118" s="106"/>
      <c r="D118" s="105"/>
      <c r="E118" s="105"/>
      <c r="F118" s="107" t="s">
        <v>3832</v>
      </c>
      <c r="G118" s="62">
        <f>5.84+0.89</f>
        <v>6.73</v>
      </c>
      <c r="H118" s="108">
        <v>2.9</v>
      </c>
      <c r="I118" s="110">
        <f t="shared" si="0"/>
        <v>19.51</v>
      </c>
      <c r="J118" s="79"/>
      <c r="K118" s="79"/>
      <c r="L118" s="79"/>
      <c r="M118" s="79"/>
      <c r="N118" s="79"/>
      <c r="O118" s="79"/>
      <c r="P118" s="79"/>
      <c r="Q118" s="79"/>
      <c r="R118" s="79"/>
      <c r="S118" s="79"/>
      <c r="T118" s="79"/>
      <c r="U118" s="79"/>
      <c r="V118" s="79"/>
      <c r="W118" s="79"/>
      <c r="X118" s="79"/>
      <c r="Y118" s="79"/>
      <c r="Z118" s="96"/>
    </row>
    <row r="119" ht="15.75" customHeight="1" spans="1:26">
      <c r="A119" s="105"/>
      <c r="B119" s="105"/>
      <c r="C119" s="106"/>
      <c r="D119" s="105"/>
      <c r="E119" s="105"/>
      <c r="F119" s="107" t="s">
        <v>3833</v>
      </c>
      <c r="G119" s="62">
        <f>6.59+0.89</f>
        <v>7.48</v>
      </c>
      <c r="H119" s="108">
        <v>2.9</v>
      </c>
      <c r="I119" s="110">
        <f t="shared" si="0"/>
        <v>21.69</v>
      </c>
      <c r="J119" s="79"/>
      <c r="K119" s="79"/>
      <c r="L119" s="79"/>
      <c r="M119" s="79"/>
      <c r="N119" s="79"/>
      <c r="O119" s="79"/>
      <c r="P119" s="79"/>
      <c r="Q119" s="79"/>
      <c r="R119" s="79"/>
      <c r="S119" s="79"/>
      <c r="T119" s="79"/>
      <c r="U119" s="79"/>
      <c r="V119" s="79"/>
      <c r="W119" s="79"/>
      <c r="X119" s="79"/>
      <c r="Y119" s="79"/>
      <c r="Z119" s="96"/>
    </row>
    <row r="120" ht="15.75" customHeight="1" spans="1:26">
      <c r="A120" s="105"/>
      <c r="B120" s="105"/>
      <c r="C120" s="106"/>
      <c r="D120" s="105"/>
      <c r="E120" s="105"/>
      <c r="F120" s="107" t="s">
        <v>3834</v>
      </c>
      <c r="G120" s="62">
        <f>3.52+3.52</f>
        <v>7.04</v>
      </c>
      <c r="H120" s="108">
        <v>2.9</v>
      </c>
      <c r="I120" s="110">
        <f t="shared" si="0"/>
        <v>20.41</v>
      </c>
      <c r="J120" s="79"/>
      <c r="K120" s="79"/>
      <c r="L120" s="79"/>
      <c r="M120" s="79"/>
      <c r="N120" s="79"/>
      <c r="O120" s="79"/>
      <c r="P120" s="79"/>
      <c r="Q120" s="79"/>
      <c r="R120" s="79"/>
      <c r="S120" s="79"/>
      <c r="T120" s="79"/>
      <c r="U120" s="79"/>
      <c r="V120" s="79"/>
      <c r="W120" s="79"/>
      <c r="X120" s="79"/>
      <c r="Y120" s="79"/>
      <c r="Z120" s="96"/>
    </row>
    <row r="121" ht="15.75" customHeight="1" spans="1:26">
      <c r="A121" s="105"/>
      <c r="B121" s="105"/>
      <c r="C121" s="106"/>
      <c r="D121" s="105"/>
      <c r="E121" s="105"/>
      <c r="F121" s="107" t="s">
        <v>3835</v>
      </c>
      <c r="G121" s="62">
        <f>3.85+3.55+3.55</f>
        <v>10.95</v>
      </c>
      <c r="H121" s="108">
        <v>2.9</v>
      </c>
      <c r="I121" s="110">
        <f t="shared" si="0"/>
        <v>31.75</v>
      </c>
      <c r="J121" s="79"/>
      <c r="K121" s="79"/>
      <c r="L121" s="79"/>
      <c r="M121" s="79"/>
      <c r="N121" s="79"/>
      <c r="O121" s="79"/>
      <c r="P121" s="79"/>
      <c r="Q121" s="79"/>
      <c r="R121" s="79"/>
      <c r="S121" s="79"/>
      <c r="T121" s="79"/>
      <c r="U121" s="79"/>
      <c r="V121" s="79"/>
      <c r="W121" s="79"/>
      <c r="X121" s="79"/>
      <c r="Y121" s="79"/>
      <c r="Z121" s="96"/>
    </row>
    <row r="122" ht="15.75" customHeight="1" spans="1:26">
      <c r="A122" s="105"/>
      <c r="B122" s="105"/>
      <c r="C122" s="106"/>
      <c r="D122" s="105"/>
      <c r="E122" s="105"/>
      <c r="F122" s="107" t="s">
        <v>3836</v>
      </c>
      <c r="G122" s="62">
        <f>3.45+0.25+0.8+4.33</f>
        <v>8.83</v>
      </c>
      <c r="H122" s="108">
        <v>2.9</v>
      </c>
      <c r="I122" s="110">
        <f t="shared" si="0"/>
        <v>25.6</v>
      </c>
      <c r="J122" s="79"/>
      <c r="K122" s="79"/>
      <c r="L122" s="79"/>
      <c r="M122" s="79"/>
      <c r="N122" s="79"/>
      <c r="O122" s="79"/>
      <c r="P122" s="79"/>
      <c r="Q122" s="79"/>
      <c r="R122" s="79"/>
      <c r="S122" s="79"/>
      <c r="T122" s="79"/>
      <c r="U122" s="79"/>
      <c r="V122" s="79"/>
      <c r="W122" s="79"/>
      <c r="X122" s="79"/>
      <c r="Y122" s="79"/>
      <c r="Z122" s="96"/>
    </row>
    <row r="123" ht="15.75" customHeight="1" spans="1:26">
      <c r="A123" s="105"/>
      <c r="B123" s="105"/>
      <c r="C123" s="106"/>
      <c r="D123" s="105"/>
      <c r="E123" s="105"/>
      <c r="F123" s="107" t="s">
        <v>3837</v>
      </c>
      <c r="G123" s="62">
        <f>4.33+0.07+0.8+4.34</f>
        <v>9.54</v>
      </c>
      <c r="H123" s="108">
        <v>2.9</v>
      </c>
      <c r="I123" s="110">
        <f t="shared" si="0"/>
        <v>27.66</v>
      </c>
      <c r="J123" s="79"/>
      <c r="K123" s="79"/>
      <c r="L123" s="79"/>
      <c r="M123" s="79"/>
      <c r="N123" s="79"/>
      <c r="O123" s="79"/>
      <c r="P123" s="79"/>
      <c r="Q123" s="79"/>
      <c r="R123" s="79"/>
      <c r="S123" s="79"/>
      <c r="T123" s="79"/>
      <c r="U123" s="79"/>
      <c r="V123" s="79"/>
      <c r="W123" s="79"/>
      <c r="X123" s="79"/>
      <c r="Y123" s="79"/>
      <c r="Z123" s="96"/>
    </row>
    <row r="124" ht="15.75" customHeight="1" spans="1:26">
      <c r="A124" s="105"/>
      <c r="B124" s="105"/>
      <c r="C124" s="106"/>
      <c r="D124" s="105"/>
      <c r="E124" s="105"/>
      <c r="F124" s="107" t="s">
        <v>3838</v>
      </c>
      <c r="G124" s="62">
        <v>1.34</v>
      </c>
      <c r="H124" s="108">
        <v>2.9</v>
      </c>
      <c r="I124" s="110">
        <f t="shared" si="0"/>
        <v>3.88</v>
      </c>
      <c r="J124" s="79"/>
      <c r="K124" s="79"/>
      <c r="L124" s="79"/>
      <c r="M124" s="79"/>
      <c r="N124" s="79"/>
      <c r="O124" s="79"/>
      <c r="P124" s="79"/>
      <c r="Q124" s="79"/>
      <c r="R124" s="79"/>
      <c r="S124" s="79"/>
      <c r="T124" s="79"/>
      <c r="U124" s="79"/>
      <c r="V124" s="79"/>
      <c r="W124" s="79"/>
      <c r="X124" s="79"/>
      <c r="Y124" s="79"/>
      <c r="Z124" s="96"/>
    </row>
    <row r="125" ht="15.75" customHeight="1" spans="1:26">
      <c r="A125" s="105"/>
      <c r="B125" s="105"/>
      <c r="C125" s="106"/>
      <c r="D125" s="105"/>
      <c r="E125" s="105"/>
      <c r="F125" s="107" t="s">
        <v>3839</v>
      </c>
      <c r="G125" s="62">
        <f>5.75</f>
        <v>5.75</v>
      </c>
      <c r="H125" s="108">
        <v>2.9</v>
      </c>
      <c r="I125" s="110">
        <f t="shared" si="0"/>
        <v>16.67</v>
      </c>
      <c r="J125" s="79"/>
      <c r="K125" s="79"/>
      <c r="L125" s="79"/>
      <c r="M125" s="79"/>
      <c r="N125" s="79"/>
      <c r="O125" s="79"/>
      <c r="P125" s="79"/>
      <c r="Q125" s="79"/>
      <c r="R125" s="79"/>
      <c r="S125" s="79"/>
      <c r="T125" s="79"/>
      <c r="U125" s="79"/>
      <c r="V125" s="79"/>
      <c r="W125" s="79"/>
      <c r="X125" s="79"/>
      <c r="Y125" s="79"/>
      <c r="Z125" s="96"/>
    </row>
    <row r="126" ht="15.75" customHeight="1" spans="1:26">
      <c r="A126" s="105"/>
      <c r="B126" s="105"/>
      <c r="C126" s="106"/>
      <c r="D126" s="105"/>
      <c r="E126" s="105"/>
      <c r="F126" s="107" t="s">
        <v>3840</v>
      </c>
      <c r="G126" s="62">
        <f>0.82+0.04+6.76</f>
        <v>7.62</v>
      </c>
      <c r="H126" s="108">
        <v>2.9</v>
      </c>
      <c r="I126" s="110">
        <f t="shared" si="0"/>
        <v>22.09</v>
      </c>
      <c r="J126" s="79"/>
      <c r="K126" s="79"/>
      <c r="L126" s="79"/>
      <c r="M126" s="79"/>
      <c r="N126" s="79"/>
      <c r="O126" s="79"/>
      <c r="P126" s="79"/>
      <c r="Q126" s="79"/>
      <c r="R126" s="79"/>
      <c r="S126" s="79"/>
      <c r="T126" s="79"/>
      <c r="U126" s="79"/>
      <c r="V126" s="79"/>
      <c r="W126" s="79"/>
      <c r="X126" s="79"/>
      <c r="Y126" s="79"/>
      <c r="Z126" s="96"/>
    </row>
    <row r="127" ht="15.75" customHeight="1" spans="1:26">
      <c r="A127" s="105"/>
      <c r="B127" s="105"/>
      <c r="C127" s="106"/>
      <c r="D127" s="105"/>
      <c r="E127" s="105"/>
      <c r="F127" s="107" t="s">
        <v>3841</v>
      </c>
      <c r="G127" s="62">
        <f>0.86+0.6+6.72</f>
        <v>8.18</v>
      </c>
      <c r="H127" s="108">
        <v>2.9</v>
      </c>
      <c r="I127" s="110">
        <f t="shared" si="0"/>
        <v>23.72</v>
      </c>
      <c r="J127" s="79"/>
      <c r="K127" s="79"/>
      <c r="L127" s="79"/>
      <c r="M127" s="79"/>
      <c r="N127" s="79"/>
      <c r="O127" s="79"/>
      <c r="P127" s="79"/>
      <c r="Q127" s="79"/>
      <c r="R127" s="79"/>
      <c r="S127" s="79"/>
      <c r="T127" s="79"/>
      <c r="U127" s="79"/>
      <c r="V127" s="79"/>
      <c r="W127" s="79"/>
      <c r="X127" s="79"/>
      <c r="Y127" s="79"/>
      <c r="Z127" s="96"/>
    </row>
    <row r="128" ht="15.75" customHeight="1" spans="1:26">
      <c r="A128" s="105"/>
      <c r="B128" s="105"/>
      <c r="C128" s="106"/>
      <c r="D128" s="105"/>
      <c r="E128" s="105"/>
      <c r="F128" s="107" t="s">
        <v>3842</v>
      </c>
      <c r="G128" s="62">
        <f>0.82+0.04+6.66</f>
        <v>7.52</v>
      </c>
      <c r="H128" s="108">
        <v>2.9</v>
      </c>
      <c r="I128" s="110">
        <f t="shared" si="0"/>
        <v>21.8</v>
      </c>
      <c r="J128" s="79"/>
      <c r="K128" s="79"/>
      <c r="L128" s="79"/>
      <c r="M128" s="79"/>
      <c r="N128" s="79"/>
      <c r="O128" s="79"/>
      <c r="P128" s="79"/>
      <c r="Q128" s="79"/>
      <c r="R128" s="79"/>
      <c r="S128" s="79"/>
      <c r="T128" s="79"/>
      <c r="U128" s="79"/>
      <c r="V128" s="79"/>
      <c r="W128" s="79"/>
      <c r="X128" s="79"/>
      <c r="Y128" s="79"/>
      <c r="Z128" s="96"/>
    </row>
    <row r="129" ht="15.75" customHeight="1" spans="1:26">
      <c r="A129" s="105"/>
      <c r="B129" s="105"/>
      <c r="C129" s="106"/>
      <c r="D129" s="105"/>
      <c r="E129" s="105"/>
      <c r="F129" s="107" t="s">
        <v>3843</v>
      </c>
      <c r="G129" s="62">
        <f>0.86+0.06+6.7</f>
        <v>7.62</v>
      </c>
      <c r="H129" s="108">
        <v>2.9</v>
      </c>
      <c r="I129" s="110">
        <f t="shared" si="0"/>
        <v>22.09</v>
      </c>
      <c r="J129" s="79"/>
      <c r="K129" s="79"/>
      <c r="L129" s="79"/>
      <c r="M129" s="79"/>
      <c r="N129" s="79"/>
      <c r="O129" s="79"/>
      <c r="P129" s="79"/>
      <c r="Q129" s="79"/>
      <c r="R129" s="79"/>
      <c r="S129" s="79"/>
      <c r="T129" s="79"/>
      <c r="U129" s="79"/>
      <c r="V129" s="79"/>
      <c r="W129" s="79"/>
      <c r="X129" s="79"/>
      <c r="Y129" s="79"/>
      <c r="Z129" s="96"/>
    </row>
    <row r="130" ht="15.75" customHeight="1" spans="1:26">
      <c r="A130" s="105"/>
      <c r="B130" s="105"/>
      <c r="C130" s="106"/>
      <c r="D130" s="105"/>
      <c r="E130" s="105"/>
      <c r="F130" s="107"/>
      <c r="G130" s="111"/>
      <c r="H130" s="112" t="s">
        <v>3689</v>
      </c>
      <c r="I130" s="123">
        <f>TRUNC(SUM(I117:I129),2)</f>
        <v>277.6</v>
      </c>
      <c r="J130" s="79"/>
      <c r="K130" s="79"/>
      <c r="L130" s="79"/>
      <c r="M130" s="79"/>
      <c r="N130" s="79"/>
      <c r="O130" s="79"/>
      <c r="P130" s="79"/>
      <c r="Q130" s="79"/>
      <c r="R130" s="79"/>
      <c r="S130" s="79"/>
      <c r="T130" s="79"/>
      <c r="U130" s="79"/>
      <c r="V130" s="79"/>
      <c r="W130" s="79"/>
      <c r="X130" s="79"/>
      <c r="Y130" s="79"/>
      <c r="Z130" s="96"/>
    </row>
    <row r="131" ht="18.75" customHeight="1" spans="1:26">
      <c r="A131" s="100" t="s">
        <v>3844</v>
      </c>
      <c r="B131" s="101">
        <v>96369</v>
      </c>
      <c r="C131" s="102" t="s">
        <v>353</v>
      </c>
      <c r="D131" s="103" t="s">
        <v>3719</v>
      </c>
      <c r="E131" s="104">
        <f>I146</f>
        <v>24.36</v>
      </c>
      <c r="F131" s="98" t="s">
        <v>3827</v>
      </c>
      <c r="G131" s="48" t="s">
        <v>3845</v>
      </c>
      <c r="H131" s="48" t="s">
        <v>3846</v>
      </c>
      <c r="I131" s="92"/>
      <c r="J131" s="79"/>
      <c r="K131" s="79"/>
      <c r="L131" s="79"/>
      <c r="M131" s="79"/>
      <c r="N131" s="79"/>
      <c r="O131" s="79"/>
      <c r="P131" s="79"/>
      <c r="Q131" s="79"/>
      <c r="R131" s="79"/>
      <c r="S131" s="79"/>
      <c r="T131" s="79"/>
      <c r="U131" s="79"/>
      <c r="V131" s="79"/>
      <c r="W131" s="79"/>
      <c r="X131" s="79"/>
      <c r="Y131" s="79"/>
      <c r="Z131" s="96"/>
    </row>
    <row r="132" ht="15.75" customHeight="1" spans="1:26">
      <c r="A132" s="105"/>
      <c r="B132" s="105"/>
      <c r="C132" s="106"/>
      <c r="D132" s="105"/>
      <c r="E132" s="105"/>
      <c r="F132" s="107" t="s">
        <v>3831</v>
      </c>
      <c r="G132" s="113">
        <f>1.4*2.9</f>
        <v>4.06</v>
      </c>
      <c r="H132" s="113">
        <f>1.2*2.5</f>
        <v>3</v>
      </c>
      <c r="I132" s="110">
        <f t="shared" ref="I132:I145" si="1">TRUNC(G132-H132,2)</f>
        <v>1.06</v>
      </c>
      <c r="J132" s="79"/>
      <c r="K132" s="79"/>
      <c r="L132" s="79"/>
      <c r="M132" s="79"/>
      <c r="N132" s="79"/>
      <c r="O132" s="79"/>
      <c r="P132" s="79"/>
      <c r="Q132" s="79"/>
      <c r="R132" s="79"/>
      <c r="S132" s="79"/>
      <c r="T132" s="79"/>
      <c r="U132" s="79"/>
      <c r="V132" s="79"/>
      <c r="W132" s="79"/>
      <c r="X132" s="79"/>
      <c r="Y132" s="79"/>
      <c r="Z132" s="96"/>
    </row>
    <row r="133" ht="15.75" customHeight="1" spans="1:26">
      <c r="A133" s="105"/>
      <c r="B133" s="105"/>
      <c r="C133" s="106"/>
      <c r="D133" s="105"/>
      <c r="E133" s="105"/>
      <c r="F133" s="107" t="s">
        <v>3832</v>
      </c>
      <c r="G133" s="113">
        <f>1.31*2.9</f>
        <v>3.799</v>
      </c>
      <c r="H133" s="113">
        <f>1.2*2.5</f>
        <v>3</v>
      </c>
      <c r="I133" s="110">
        <f t="shared" si="1"/>
        <v>0.79</v>
      </c>
      <c r="J133" s="79"/>
      <c r="K133" s="79"/>
      <c r="L133" s="79"/>
      <c r="M133" s="79"/>
      <c r="N133" s="79"/>
      <c r="O133" s="79"/>
      <c r="P133" s="79"/>
      <c r="Q133" s="79"/>
      <c r="R133" s="79"/>
      <c r="S133" s="79"/>
      <c r="T133" s="79"/>
      <c r="U133" s="79"/>
      <c r="V133" s="79"/>
      <c r="W133" s="79"/>
      <c r="X133" s="79"/>
      <c r="Y133" s="79"/>
      <c r="Z133" s="96"/>
    </row>
    <row r="134" ht="15.75" customHeight="1" spans="1:26">
      <c r="A134" s="105"/>
      <c r="B134" s="105"/>
      <c r="C134" s="106"/>
      <c r="D134" s="105"/>
      <c r="E134" s="105"/>
      <c r="F134" s="107" t="s">
        <v>3833</v>
      </c>
      <c r="G134" s="113">
        <f>1.31*2.9</f>
        <v>3.799</v>
      </c>
      <c r="H134" s="113">
        <f>1.2*2.5</f>
        <v>3</v>
      </c>
      <c r="I134" s="110">
        <f t="shared" si="1"/>
        <v>0.79</v>
      </c>
      <c r="J134" s="79"/>
      <c r="K134" s="79"/>
      <c r="L134" s="79"/>
      <c r="M134" s="79"/>
      <c r="N134" s="79"/>
      <c r="O134" s="79"/>
      <c r="P134" s="79"/>
      <c r="Q134" s="79"/>
      <c r="R134" s="79"/>
      <c r="S134" s="79"/>
      <c r="T134" s="79"/>
      <c r="U134" s="79"/>
      <c r="V134" s="79"/>
      <c r="W134" s="79"/>
      <c r="X134" s="79"/>
      <c r="Y134" s="79"/>
      <c r="Z134" s="96"/>
    </row>
    <row r="135" ht="15.75" customHeight="1" spans="1:26">
      <c r="A135" s="105"/>
      <c r="B135" s="105"/>
      <c r="C135" s="106"/>
      <c r="D135" s="105"/>
      <c r="E135" s="105"/>
      <c r="F135" s="107" t="s">
        <v>3834</v>
      </c>
      <c r="G135" s="113">
        <f>1.89*2.9</f>
        <v>5.481</v>
      </c>
      <c r="H135" s="113">
        <f>0.9*2.1</f>
        <v>1.89</v>
      </c>
      <c r="I135" s="110">
        <f t="shared" si="1"/>
        <v>3.59</v>
      </c>
      <c r="J135" s="79"/>
      <c r="K135" s="79"/>
      <c r="L135" s="79"/>
      <c r="M135" s="79"/>
      <c r="N135" s="79"/>
      <c r="O135" s="79"/>
      <c r="P135" s="79"/>
      <c r="Q135" s="79"/>
      <c r="R135" s="79"/>
      <c r="S135" s="79"/>
      <c r="T135" s="79"/>
      <c r="U135" s="79"/>
      <c r="V135" s="79"/>
      <c r="W135" s="79"/>
      <c r="X135" s="79"/>
      <c r="Y135" s="79"/>
      <c r="Z135" s="96"/>
    </row>
    <row r="136" ht="15.75" customHeight="1" spans="1:26">
      <c r="A136" s="105"/>
      <c r="B136" s="105"/>
      <c r="C136" s="106"/>
      <c r="D136" s="105"/>
      <c r="E136" s="105"/>
      <c r="F136" s="107" t="s">
        <v>3835</v>
      </c>
      <c r="G136" s="113">
        <f>1.89*2.9</f>
        <v>5.481</v>
      </c>
      <c r="H136" s="113">
        <f>0.9*2.1</f>
        <v>1.89</v>
      </c>
      <c r="I136" s="110">
        <f t="shared" si="1"/>
        <v>3.59</v>
      </c>
      <c r="J136" s="79"/>
      <c r="K136" s="79"/>
      <c r="L136" s="79"/>
      <c r="M136" s="79"/>
      <c r="N136" s="79"/>
      <c r="O136" s="79"/>
      <c r="P136" s="79"/>
      <c r="Q136" s="79"/>
      <c r="R136" s="79"/>
      <c r="S136" s="79"/>
      <c r="T136" s="79"/>
      <c r="U136" s="79"/>
      <c r="V136" s="79"/>
      <c r="W136" s="79"/>
      <c r="X136" s="79"/>
      <c r="Y136" s="79"/>
      <c r="Z136" s="96"/>
    </row>
    <row r="137" ht="15.75" customHeight="1" spans="1:26">
      <c r="A137" s="105"/>
      <c r="B137" s="105"/>
      <c r="C137" s="106"/>
      <c r="D137" s="105"/>
      <c r="E137" s="105"/>
      <c r="F137" s="107" t="s">
        <v>3847</v>
      </c>
      <c r="G137" s="113">
        <v>2.8</v>
      </c>
      <c r="H137" s="113">
        <f>0.9*2.1</f>
        <v>1.89</v>
      </c>
      <c r="I137" s="110">
        <f t="shared" si="1"/>
        <v>0.91</v>
      </c>
      <c r="J137" s="79"/>
      <c r="K137" s="79"/>
      <c r="L137" s="79"/>
      <c r="M137" s="79"/>
      <c r="N137" s="79"/>
      <c r="O137" s="79"/>
      <c r="P137" s="79"/>
      <c r="Q137" s="79"/>
      <c r="R137" s="79"/>
      <c r="S137" s="79"/>
      <c r="T137" s="79"/>
      <c r="U137" s="79"/>
      <c r="V137" s="79"/>
      <c r="W137" s="79"/>
      <c r="X137" s="79"/>
      <c r="Y137" s="79"/>
      <c r="Z137" s="96"/>
    </row>
    <row r="138" ht="42.75" customHeight="1" spans="1:26">
      <c r="A138" s="105"/>
      <c r="B138" s="105"/>
      <c r="C138" s="106"/>
      <c r="D138" s="105"/>
      <c r="E138" s="105"/>
      <c r="F138" s="107" t="s">
        <v>3836</v>
      </c>
      <c r="G138" s="113">
        <f>1.5*2.9</f>
        <v>4.35</v>
      </c>
      <c r="H138" s="113">
        <f>1.2*2.5</f>
        <v>3</v>
      </c>
      <c r="I138" s="110">
        <f t="shared" si="1"/>
        <v>1.35</v>
      </c>
      <c r="J138" s="79"/>
      <c r="K138" s="79"/>
      <c r="L138" s="79"/>
      <c r="M138" s="79"/>
      <c r="N138" s="79"/>
      <c r="O138" s="79"/>
      <c r="P138" s="79"/>
      <c r="Q138" s="79"/>
      <c r="R138" s="79"/>
      <c r="S138" s="79"/>
      <c r="T138" s="79"/>
      <c r="U138" s="79"/>
      <c r="V138" s="79"/>
      <c r="W138" s="79"/>
      <c r="X138" s="79"/>
      <c r="Y138" s="79"/>
      <c r="Z138" s="96"/>
    </row>
    <row r="139" ht="75" customHeight="1" spans="1:26">
      <c r="A139" s="105"/>
      <c r="B139" s="105"/>
      <c r="C139" s="106"/>
      <c r="D139" s="105"/>
      <c r="E139" s="105"/>
      <c r="F139" s="107" t="s">
        <v>3837</v>
      </c>
      <c r="G139" s="113">
        <f>1.5*2.9</f>
        <v>4.35</v>
      </c>
      <c r="H139" s="113">
        <f>1.2*2.5</f>
        <v>3</v>
      </c>
      <c r="I139" s="110">
        <f t="shared" si="1"/>
        <v>1.35</v>
      </c>
      <c r="J139" s="79"/>
      <c r="K139" s="79"/>
      <c r="L139" s="79"/>
      <c r="M139" s="79"/>
      <c r="N139" s="79"/>
      <c r="O139" s="79"/>
      <c r="P139" s="79"/>
      <c r="Q139" s="79"/>
      <c r="R139" s="79"/>
      <c r="S139" s="79"/>
      <c r="T139" s="79"/>
      <c r="U139" s="79"/>
      <c r="V139" s="79"/>
      <c r="W139" s="79"/>
      <c r="X139" s="79"/>
      <c r="Y139" s="79"/>
      <c r="Z139" s="96"/>
    </row>
    <row r="140" ht="93.75" customHeight="1" spans="1:26">
      <c r="A140" s="105"/>
      <c r="B140" s="105"/>
      <c r="C140" s="106"/>
      <c r="D140" s="105"/>
      <c r="E140" s="105"/>
      <c r="F140" s="107" t="s">
        <v>3838</v>
      </c>
      <c r="G140" s="113">
        <f>2.8*2.9</f>
        <v>8.12</v>
      </c>
      <c r="H140" s="113">
        <f>0.9*2.1</f>
        <v>1.89</v>
      </c>
      <c r="I140" s="110">
        <f t="shared" si="1"/>
        <v>6.23</v>
      </c>
      <c r="J140" s="79"/>
      <c r="K140" s="79"/>
      <c r="L140" s="79"/>
      <c r="M140" s="79"/>
      <c r="N140" s="79"/>
      <c r="O140" s="79"/>
      <c r="P140" s="79"/>
      <c r="Q140" s="79"/>
      <c r="R140" s="79"/>
      <c r="S140" s="79"/>
      <c r="T140" s="79"/>
      <c r="U140" s="79"/>
      <c r="V140" s="79"/>
      <c r="W140" s="79"/>
      <c r="X140" s="79"/>
      <c r="Y140" s="79"/>
      <c r="Z140" s="96"/>
    </row>
    <row r="141" ht="93.75" customHeight="1" spans="1:26">
      <c r="A141" s="105"/>
      <c r="B141" s="105"/>
      <c r="C141" s="106"/>
      <c r="D141" s="105"/>
      <c r="E141" s="105"/>
      <c r="F141" s="107" t="s">
        <v>3839</v>
      </c>
      <c r="G141" s="113">
        <f>1.23*2.9</f>
        <v>3.567</v>
      </c>
      <c r="H141" s="113">
        <f>1.2*2.5</f>
        <v>3</v>
      </c>
      <c r="I141" s="110">
        <f t="shared" si="1"/>
        <v>0.56</v>
      </c>
      <c r="J141" s="79"/>
      <c r="K141" s="79"/>
      <c r="L141" s="79"/>
      <c r="M141" s="79"/>
      <c r="N141" s="79"/>
      <c r="O141" s="79"/>
      <c r="P141" s="79"/>
      <c r="Q141" s="79"/>
      <c r="R141" s="79"/>
      <c r="S141" s="79"/>
      <c r="T141" s="79"/>
      <c r="U141" s="79"/>
      <c r="V141" s="79"/>
      <c r="W141" s="79"/>
      <c r="X141" s="79"/>
      <c r="Y141" s="79"/>
      <c r="Z141" s="96"/>
    </row>
    <row r="142" ht="15.75" customHeight="1" spans="1:26">
      <c r="A142" s="105"/>
      <c r="B142" s="105"/>
      <c r="C142" s="106"/>
      <c r="D142" s="105"/>
      <c r="E142" s="105"/>
      <c r="F142" s="107" t="s">
        <v>3840</v>
      </c>
      <c r="G142" s="113">
        <f>1.39*2.9</f>
        <v>4.031</v>
      </c>
      <c r="H142" s="113">
        <f>1.2*2.5</f>
        <v>3</v>
      </c>
      <c r="I142" s="110">
        <f t="shared" si="1"/>
        <v>1.03</v>
      </c>
      <c r="J142" s="79"/>
      <c r="K142" s="79"/>
      <c r="L142" s="79"/>
      <c r="M142" s="79"/>
      <c r="N142" s="79"/>
      <c r="O142" s="79"/>
      <c r="P142" s="79"/>
      <c r="Q142" s="79"/>
      <c r="R142" s="79"/>
      <c r="S142" s="79"/>
      <c r="T142" s="79"/>
      <c r="U142" s="79"/>
      <c r="V142" s="79"/>
      <c r="W142" s="79"/>
      <c r="X142" s="79"/>
      <c r="Y142" s="79"/>
      <c r="Z142" s="96"/>
    </row>
    <row r="143" ht="15.75" customHeight="1" spans="1:26">
      <c r="A143" s="105"/>
      <c r="B143" s="105"/>
      <c r="C143" s="106"/>
      <c r="D143" s="105"/>
      <c r="E143" s="105"/>
      <c r="F143" s="107" t="s">
        <v>3841</v>
      </c>
      <c r="G143" s="113">
        <f>1.38*2.9</f>
        <v>4.002</v>
      </c>
      <c r="H143" s="113">
        <f>1.2*2.5</f>
        <v>3</v>
      </c>
      <c r="I143" s="110">
        <f t="shared" si="1"/>
        <v>1</v>
      </c>
      <c r="J143" s="79"/>
      <c r="K143" s="79"/>
      <c r="L143" s="79"/>
      <c r="M143" s="79"/>
      <c r="N143" s="79"/>
      <c r="O143" s="79"/>
      <c r="P143" s="79"/>
      <c r="Q143" s="79"/>
      <c r="R143" s="79"/>
      <c r="S143" s="79"/>
      <c r="T143" s="79"/>
      <c r="U143" s="79"/>
      <c r="V143" s="79"/>
      <c r="W143" s="79"/>
      <c r="X143" s="79"/>
      <c r="Y143" s="79"/>
      <c r="Z143" s="96"/>
    </row>
    <row r="144" ht="15.75" customHeight="1" spans="1:26">
      <c r="A144" s="105"/>
      <c r="B144" s="105"/>
      <c r="C144" s="106"/>
      <c r="D144" s="105"/>
      <c r="E144" s="105"/>
      <c r="F144" s="107" t="s">
        <v>3842</v>
      </c>
      <c r="G144" s="113">
        <f>1.39*2.9</f>
        <v>4.031</v>
      </c>
      <c r="H144" s="113">
        <f>1.2*2.5</f>
        <v>3</v>
      </c>
      <c r="I144" s="110">
        <f t="shared" si="1"/>
        <v>1.03</v>
      </c>
      <c r="J144" s="79"/>
      <c r="K144" s="79"/>
      <c r="L144" s="79"/>
      <c r="M144" s="79"/>
      <c r="N144" s="79"/>
      <c r="O144" s="79"/>
      <c r="P144" s="79"/>
      <c r="Q144" s="79"/>
      <c r="R144" s="79"/>
      <c r="S144" s="79"/>
      <c r="T144" s="79"/>
      <c r="U144" s="79"/>
      <c r="V144" s="79"/>
      <c r="W144" s="79"/>
      <c r="X144" s="79"/>
      <c r="Y144" s="79"/>
      <c r="Z144" s="96"/>
    </row>
    <row r="145" ht="45.75" customHeight="1" spans="1:26">
      <c r="A145" s="105"/>
      <c r="B145" s="105"/>
      <c r="C145" s="106"/>
      <c r="D145" s="105"/>
      <c r="E145" s="105"/>
      <c r="F145" s="107" t="s">
        <v>3843</v>
      </c>
      <c r="G145" s="113">
        <f>1.41*2.9</f>
        <v>4.089</v>
      </c>
      <c r="H145" s="113">
        <f>1.2*2.5</f>
        <v>3</v>
      </c>
      <c r="I145" s="110">
        <f t="shared" si="1"/>
        <v>1.08</v>
      </c>
      <c r="J145" s="79"/>
      <c r="K145" s="79"/>
      <c r="L145" s="79"/>
      <c r="M145" s="79"/>
      <c r="N145" s="79"/>
      <c r="O145" s="79"/>
      <c r="P145" s="79"/>
      <c r="Q145" s="79"/>
      <c r="R145" s="79"/>
      <c r="S145" s="79"/>
      <c r="T145" s="79"/>
      <c r="U145" s="79"/>
      <c r="V145" s="79"/>
      <c r="W145" s="79"/>
      <c r="X145" s="79"/>
      <c r="Y145" s="79"/>
      <c r="Z145" s="96"/>
    </row>
    <row r="146" ht="45.75" customHeight="1" spans="1:26">
      <c r="A146" s="105"/>
      <c r="B146" s="105"/>
      <c r="C146" s="106"/>
      <c r="D146" s="105"/>
      <c r="E146" s="114"/>
      <c r="F146" s="115"/>
      <c r="G146" s="113"/>
      <c r="H146" s="116" t="s">
        <v>3689</v>
      </c>
      <c r="I146" s="124">
        <f>SUM(I132:I145)</f>
        <v>24.36</v>
      </c>
      <c r="J146" s="79"/>
      <c r="K146" s="79"/>
      <c r="L146" s="79"/>
      <c r="M146" s="79"/>
      <c r="N146" s="79"/>
      <c r="O146" s="79"/>
      <c r="P146" s="79"/>
      <c r="Q146" s="79"/>
      <c r="R146" s="79"/>
      <c r="S146" s="79"/>
      <c r="T146" s="79"/>
      <c r="U146" s="79"/>
      <c r="V146" s="79"/>
      <c r="W146" s="79"/>
      <c r="X146" s="79"/>
      <c r="Y146" s="79"/>
      <c r="Z146" s="96"/>
    </row>
    <row r="147" ht="15.75" customHeight="1" spans="1:26">
      <c r="A147" s="33" t="s">
        <v>3848</v>
      </c>
      <c r="B147" s="34">
        <v>101162</v>
      </c>
      <c r="C147" s="46" t="s">
        <v>3849</v>
      </c>
      <c r="D147" s="36" t="s">
        <v>3719</v>
      </c>
      <c r="E147" s="37">
        <f>I147</f>
        <v>18.876</v>
      </c>
      <c r="F147" s="61" t="s">
        <v>3850</v>
      </c>
      <c r="G147" s="62"/>
      <c r="H147" s="62" t="s">
        <v>3851</v>
      </c>
      <c r="I147" s="123">
        <f>5.72*3.3</f>
        <v>18.876</v>
      </c>
      <c r="J147" s="79"/>
      <c r="K147" s="79"/>
      <c r="L147" s="79"/>
      <c r="M147" s="79"/>
      <c r="N147" s="79"/>
      <c r="O147" s="79"/>
      <c r="P147" s="79"/>
      <c r="Q147" s="79"/>
      <c r="R147" s="79"/>
      <c r="S147" s="79"/>
      <c r="T147" s="79"/>
      <c r="U147" s="79"/>
      <c r="V147" s="79"/>
      <c r="W147" s="79"/>
      <c r="X147" s="79"/>
      <c r="Y147" s="79"/>
      <c r="Z147" s="96"/>
    </row>
    <row r="148" ht="35.25" customHeight="1" spans="1:26">
      <c r="A148" s="33" t="s">
        <v>3852</v>
      </c>
      <c r="B148" s="34" t="s">
        <v>3853</v>
      </c>
      <c r="C148" s="46" t="s">
        <v>3854</v>
      </c>
      <c r="D148" s="36" t="s">
        <v>3719</v>
      </c>
      <c r="E148" s="37">
        <f>I148</f>
        <v>11.19</v>
      </c>
      <c r="F148" s="61" t="s">
        <v>3855</v>
      </c>
      <c r="G148" s="117" t="s">
        <v>3856</v>
      </c>
      <c r="H148" s="17"/>
      <c r="I148" s="88">
        <f>(0.67*13)+(1.24*2)</f>
        <v>11.19</v>
      </c>
      <c r="J148" s="79"/>
      <c r="K148" s="79"/>
      <c r="L148" s="79"/>
      <c r="M148" s="79"/>
      <c r="N148" s="79"/>
      <c r="O148" s="79"/>
      <c r="P148" s="79"/>
      <c r="Q148" s="79"/>
      <c r="R148" s="79"/>
      <c r="S148" s="79"/>
      <c r="T148" s="79"/>
      <c r="U148" s="79"/>
      <c r="V148" s="79"/>
      <c r="W148" s="79"/>
      <c r="X148" s="79"/>
      <c r="Y148" s="79"/>
      <c r="Z148" s="96"/>
    </row>
    <row r="149" ht="32.25" customHeight="1" spans="1:26">
      <c r="A149" s="33" t="s">
        <v>3857</v>
      </c>
      <c r="B149" s="34">
        <v>103356</v>
      </c>
      <c r="C149" s="46" t="s">
        <v>328</v>
      </c>
      <c r="D149" s="36" t="s">
        <v>3719</v>
      </c>
      <c r="E149" s="37">
        <f>I149</f>
        <v>886.5787</v>
      </c>
      <c r="F149" s="98" t="s">
        <v>3850</v>
      </c>
      <c r="G149" s="118" t="s">
        <v>3858</v>
      </c>
      <c r="H149" s="17"/>
      <c r="I149" s="125">
        <f>((30.4+30.4+30.4+30.4)*5.62)+((7.2+2.57+7.2+3.6)*1.71)+(30.4+30.4+30.4+30.4)*1.17+((2.6*3*3.3))</f>
        <v>886.5787</v>
      </c>
      <c r="J149" s="79"/>
      <c r="K149" s="79"/>
      <c r="L149" s="79"/>
      <c r="M149" s="79"/>
      <c r="N149" s="79"/>
      <c r="O149" s="79"/>
      <c r="P149" s="79"/>
      <c r="Q149" s="79"/>
      <c r="R149" s="79"/>
      <c r="S149" s="79"/>
      <c r="T149" s="79"/>
      <c r="U149" s="79"/>
      <c r="V149" s="79"/>
      <c r="W149" s="79"/>
      <c r="X149" s="79"/>
      <c r="Y149" s="79"/>
      <c r="Z149" s="96"/>
    </row>
    <row r="150" ht="15.75" customHeight="1" spans="1:26">
      <c r="A150" s="39">
        <v>9</v>
      </c>
      <c r="B150" s="40"/>
      <c r="C150" s="41" t="s">
        <v>28</v>
      </c>
      <c r="D150" s="42"/>
      <c r="E150" s="43"/>
      <c r="F150" s="66"/>
      <c r="G150" s="67"/>
      <c r="H150" s="67"/>
      <c r="I150" s="67"/>
      <c r="J150" s="79"/>
      <c r="K150" s="79"/>
      <c r="L150" s="79"/>
      <c r="M150" s="79"/>
      <c r="N150" s="79"/>
      <c r="O150" s="79"/>
      <c r="P150" s="79"/>
      <c r="Q150" s="79"/>
      <c r="R150" s="79"/>
      <c r="S150" s="79"/>
      <c r="T150" s="79"/>
      <c r="U150" s="79"/>
      <c r="V150" s="79"/>
      <c r="W150" s="79"/>
      <c r="X150" s="79"/>
      <c r="Y150" s="79"/>
      <c r="Z150" s="96"/>
    </row>
    <row r="151" ht="15.75" customHeight="1" spans="1:26">
      <c r="A151" s="39" t="s">
        <v>3859</v>
      </c>
      <c r="B151" s="40"/>
      <c r="C151" s="41" t="s">
        <v>364</v>
      </c>
      <c r="D151" s="42"/>
      <c r="E151" s="43"/>
      <c r="F151" s="66"/>
      <c r="G151" s="67"/>
      <c r="H151" s="67"/>
      <c r="I151" s="67"/>
      <c r="J151" s="79"/>
      <c r="K151" s="79"/>
      <c r="L151" s="79"/>
      <c r="M151" s="79"/>
      <c r="N151" s="79"/>
      <c r="O151" s="79"/>
      <c r="P151" s="79"/>
      <c r="Q151" s="79"/>
      <c r="R151" s="79"/>
      <c r="S151" s="79"/>
      <c r="T151" s="79"/>
      <c r="U151" s="79"/>
      <c r="V151" s="79"/>
      <c r="W151" s="79"/>
      <c r="X151" s="79"/>
      <c r="Y151" s="79"/>
      <c r="Z151" s="96"/>
    </row>
    <row r="152" ht="15.75" customHeight="1" spans="1:26">
      <c r="A152" s="33" t="s">
        <v>3860</v>
      </c>
      <c r="B152" s="34" t="s">
        <v>3861</v>
      </c>
      <c r="C152" s="46" t="s">
        <v>3862</v>
      </c>
      <c r="D152" s="36" t="s">
        <v>3719</v>
      </c>
      <c r="E152" s="37">
        <f>I152</f>
        <v>1.44</v>
      </c>
      <c r="F152" s="61" t="s">
        <v>3863</v>
      </c>
      <c r="G152" s="117" t="s">
        <v>3864</v>
      </c>
      <c r="H152" s="17"/>
      <c r="I152" s="88">
        <f>1.2*1.2</f>
        <v>1.44</v>
      </c>
      <c r="J152" s="79"/>
      <c r="K152" s="79"/>
      <c r="L152" s="79"/>
      <c r="M152" s="79"/>
      <c r="N152" s="79"/>
      <c r="O152" s="79"/>
      <c r="P152" s="79"/>
      <c r="Q152" s="79"/>
      <c r="R152" s="79"/>
      <c r="S152" s="79"/>
      <c r="T152" s="79"/>
      <c r="U152" s="79"/>
      <c r="V152" s="79"/>
      <c r="W152" s="79"/>
      <c r="X152" s="79"/>
      <c r="Y152" s="79"/>
      <c r="Z152" s="96"/>
    </row>
    <row r="153" ht="15.75" customHeight="1" spans="1:26">
      <c r="A153" s="33" t="s">
        <v>3865</v>
      </c>
      <c r="B153" s="33">
        <v>94569</v>
      </c>
      <c r="C153" s="46" t="s">
        <v>3866</v>
      </c>
      <c r="D153" s="36" t="s">
        <v>3719</v>
      </c>
      <c r="E153" s="37">
        <f>I153</f>
        <v>110.88</v>
      </c>
      <c r="F153" s="61" t="s">
        <v>3863</v>
      </c>
      <c r="G153" s="119" t="s">
        <v>3867</v>
      </c>
      <c r="H153" s="17"/>
      <c r="I153" s="88">
        <f>(32*1.2*1.2)+(144*0.3*1.5)</f>
        <v>110.88</v>
      </c>
      <c r="J153" s="79"/>
      <c r="K153" s="79"/>
      <c r="L153" s="79"/>
      <c r="M153" s="79"/>
      <c r="N153" s="79"/>
      <c r="O153" s="79"/>
      <c r="P153" s="79"/>
      <c r="Q153" s="79"/>
      <c r="R153" s="79"/>
      <c r="S153" s="79"/>
      <c r="T153" s="79"/>
      <c r="U153" s="79"/>
      <c r="V153" s="79"/>
      <c r="W153" s="79"/>
      <c r="X153" s="79"/>
      <c r="Y153" s="79"/>
      <c r="Z153" s="96"/>
    </row>
    <row r="154" ht="15.75" customHeight="1" spans="1:26">
      <c r="A154" s="33" t="s">
        <v>3868</v>
      </c>
      <c r="B154" s="33" t="s">
        <v>3869</v>
      </c>
      <c r="C154" s="46" t="s">
        <v>3870</v>
      </c>
      <c r="D154" s="36" t="s">
        <v>3719</v>
      </c>
      <c r="E154" s="37">
        <f>I154</f>
        <v>9.25</v>
      </c>
      <c r="F154" s="61" t="s">
        <v>3863</v>
      </c>
      <c r="G154" s="120"/>
      <c r="H154" s="120"/>
      <c r="I154" s="88">
        <v>9.25</v>
      </c>
      <c r="J154" s="79"/>
      <c r="K154" s="79"/>
      <c r="L154" s="79"/>
      <c r="M154" s="79"/>
      <c r="N154" s="79"/>
      <c r="O154" s="79"/>
      <c r="P154" s="79"/>
      <c r="Q154" s="79"/>
      <c r="R154" s="79"/>
      <c r="S154" s="79"/>
      <c r="T154" s="79"/>
      <c r="U154" s="79"/>
      <c r="V154" s="79"/>
      <c r="W154" s="79"/>
      <c r="X154" s="79"/>
      <c r="Y154" s="79"/>
      <c r="Z154" s="96"/>
    </row>
    <row r="155" ht="15.75" customHeight="1" spans="1:26">
      <c r="A155" s="39" t="s">
        <v>3871</v>
      </c>
      <c r="B155" s="40"/>
      <c r="C155" s="41" t="s">
        <v>372</v>
      </c>
      <c r="D155" s="42"/>
      <c r="E155" s="43"/>
      <c r="F155" s="66"/>
      <c r="G155" s="67"/>
      <c r="H155" s="67"/>
      <c r="I155" s="67"/>
      <c r="J155" s="126"/>
      <c r="K155" s="79"/>
      <c r="L155" s="79"/>
      <c r="M155" s="79"/>
      <c r="N155" s="79"/>
      <c r="O155" s="79"/>
      <c r="P155" s="79"/>
      <c r="Q155" s="79"/>
      <c r="R155" s="79"/>
      <c r="S155" s="79"/>
      <c r="T155" s="79"/>
      <c r="U155" s="79"/>
      <c r="V155" s="79"/>
      <c r="W155" s="79"/>
      <c r="X155" s="79"/>
      <c r="Y155" s="79"/>
      <c r="Z155" s="96"/>
    </row>
    <row r="156" ht="15.75" customHeight="1" spans="1:26">
      <c r="A156" s="33" t="s">
        <v>3872</v>
      </c>
      <c r="B156" s="33">
        <v>150210</v>
      </c>
      <c r="C156" s="46" t="s">
        <v>375</v>
      </c>
      <c r="D156" s="36" t="s">
        <v>3719</v>
      </c>
      <c r="E156" s="37">
        <f>I156</f>
        <v>4.2</v>
      </c>
      <c r="F156" s="61" t="s">
        <v>3863</v>
      </c>
      <c r="G156" s="117" t="s">
        <v>3873</v>
      </c>
      <c r="H156" s="17"/>
      <c r="I156" s="125">
        <f>(1*2*2.1)</f>
        <v>4.2</v>
      </c>
      <c r="J156" s="126"/>
      <c r="K156" s="79"/>
      <c r="L156" s="79"/>
      <c r="M156" s="79"/>
      <c r="N156" s="79"/>
      <c r="O156" s="79"/>
      <c r="P156" s="79"/>
      <c r="Q156" s="79"/>
      <c r="R156" s="79"/>
      <c r="S156" s="79"/>
      <c r="T156" s="79"/>
      <c r="U156" s="79"/>
      <c r="V156" s="79"/>
      <c r="W156" s="79"/>
      <c r="X156" s="79"/>
      <c r="Y156" s="79"/>
      <c r="Z156" s="96"/>
    </row>
    <row r="157" ht="56.25" customHeight="1" spans="1:26">
      <c r="A157" s="33" t="s">
        <v>3874</v>
      </c>
      <c r="B157" s="33">
        <v>90797</v>
      </c>
      <c r="C157" s="46" t="s">
        <v>378</v>
      </c>
      <c r="D157" s="36" t="s">
        <v>3719</v>
      </c>
      <c r="E157" s="37">
        <f>I157</f>
        <v>6.594</v>
      </c>
      <c r="F157" s="61" t="s">
        <v>3863</v>
      </c>
      <c r="G157" s="117" t="s">
        <v>3875</v>
      </c>
      <c r="H157" s="17"/>
      <c r="I157" s="125">
        <f>(2*1.57*2.1)</f>
        <v>6.594</v>
      </c>
      <c r="J157" s="79"/>
      <c r="K157" s="79"/>
      <c r="L157" s="79"/>
      <c r="M157" s="79"/>
      <c r="N157" s="79"/>
      <c r="O157" s="79"/>
      <c r="P157" s="79"/>
      <c r="Q157" s="79"/>
      <c r="R157" s="79"/>
      <c r="S157" s="79"/>
      <c r="T157" s="79"/>
      <c r="U157" s="79"/>
      <c r="V157" s="79"/>
      <c r="W157" s="79"/>
      <c r="X157" s="79"/>
      <c r="Y157" s="79"/>
      <c r="Z157" s="96"/>
    </row>
    <row r="158" ht="27.75" customHeight="1" spans="1:26">
      <c r="A158" s="33" t="s">
        <v>3868</v>
      </c>
      <c r="B158" s="34" t="s">
        <v>3869</v>
      </c>
      <c r="C158" s="46" t="s">
        <v>3870</v>
      </c>
      <c r="D158" s="36" t="s">
        <v>3719</v>
      </c>
      <c r="E158" s="37">
        <f>I158</f>
        <v>9.245</v>
      </c>
      <c r="F158" s="61" t="s">
        <v>3863</v>
      </c>
      <c r="G158" s="119" t="s">
        <v>3876</v>
      </c>
      <c r="H158" s="17"/>
      <c r="I158" s="125">
        <f>(2*0.8*2.15)+(3*0.9*2.15)</f>
        <v>9.245</v>
      </c>
      <c r="J158" s="79"/>
      <c r="K158" s="79"/>
      <c r="L158" s="79"/>
      <c r="M158" s="79"/>
      <c r="N158" s="79"/>
      <c r="O158" s="79"/>
      <c r="P158" s="79"/>
      <c r="Q158" s="79"/>
      <c r="R158" s="79"/>
      <c r="S158" s="79"/>
      <c r="T158" s="79"/>
      <c r="U158" s="79"/>
      <c r="V158" s="79"/>
      <c r="W158" s="79"/>
      <c r="X158" s="79"/>
      <c r="Y158" s="79"/>
      <c r="Z158" s="96"/>
    </row>
    <row r="159" ht="15.75" customHeight="1" spans="1:26">
      <c r="A159" s="39">
        <v>10</v>
      </c>
      <c r="B159" s="40"/>
      <c r="C159" s="41" t="s">
        <v>29</v>
      </c>
      <c r="D159" s="42"/>
      <c r="E159" s="43"/>
      <c r="F159" s="66"/>
      <c r="G159" s="67"/>
      <c r="H159" s="67"/>
      <c r="I159" s="67"/>
      <c r="J159" s="79"/>
      <c r="K159" s="79"/>
      <c r="L159" s="79"/>
      <c r="M159" s="79"/>
      <c r="N159" s="79"/>
      <c r="O159" s="79"/>
      <c r="P159" s="79"/>
      <c r="Q159" s="79"/>
      <c r="R159" s="79"/>
      <c r="S159" s="79"/>
      <c r="T159" s="79"/>
      <c r="U159" s="79"/>
      <c r="V159" s="79"/>
      <c r="W159" s="79"/>
      <c r="X159" s="79"/>
      <c r="Y159" s="79"/>
      <c r="Z159" s="96"/>
    </row>
    <row r="160" ht="15.75" customHeight="1" spans="1:26">
      <c r="A160" s="39" t="s">
        <v>3877</v>
      </c>
      <c r="B160" s="40"/>
      <c r="C160" s="41" t="s">
        <v>409</v>
      </c>
      <c r="D160" s="42"/>
      <c r="E160" s="43"/>
      <c r="F160" s="66"/>
      <c r="G160" s="67"/>
      <c r="H160" s="67"/>
      <c r="I160" s="67"/>
      <c r="J160" s="79"/>
      <c r="K160" s="79"/>
      <c r="L160" s="79"/>
      <c r="M160" s="79"/>
      <c r="N160" s="79"/>
      <c r="O160" s="79"/>
      <c r="P160" s="79"/>
      <c r="Q160" s="79"/>
      <c r="R160" s="79"/>
      <c r="S160" s="79"/>
      <c r="T160" s="79"/>
      <c r="U160" s="79"/>
      <c r="V160" s="79"/>
      <c r="W160" s="79"/>
      <c r="X160" s="79"/>
      <c r="Y160" s="79"/>
      <c r="Z160" s="96"/>
    </row>
    <row r="161" ht="15.75" customHeight="1" spans="1:26">
      <c r="A161" s="39" t="s">
        <v>3878</v>
      </c>
      <c r="B161" s="40"/>
      <c r="C161" s="41" t="s">
        <v>411</v>
      </c>
      <c r="D161" s="42"/>
      <c r="E161" s="43"/>
      <c r="F161" s="66"/>
      <c r="G161" s="67"/>
      <c r="H161" s="67"/>
      <c r="I161" s="67"/>
      <c r="J161" s="79"/>
      <c r="K161" s="79"/>
      <c r="L161" s="79"/>
      <c r="M161" s="79"/>
      <c r="N161" s="79"/>
      <c r="O161" s="79"/>
      <c r="P161" s="79"/>
      <c r="Q161" s="79"/>
      <c r="R161" s="79"/>
      <c r="S161" s="79"/>
      <c r="T161" s="79"/>
      <c r="U161" s="79"/>
      <c r="V161" s="79"/>
      <c r="W161" s="79"/>
      <c r="X161" s="79"/>
      <c r="Y161" s="79"/>
      <c r="Z161" s="96"/>
    </row>
    <row r="162" ht="15.75" customHeight="1" spans="1:26">
      <c r="A162" s="33" t="s">
        <v>3879</v>
      </c>
      <c r="B162" s="34">
        <v>89355</v>
      </c>
      <c r="C162" s="46" t="s">
        <v>3880</v>
      </c>
      <c r="D162" s="37" t="s">
        <v>78</v>
      </c>
      <c r="E162" s="115">
        <v>10</v>
      </c>
      <c r="F162" s="121" t="s">
        <v>3881</v>
      </c>
      <c r="G162" s="117"/>
      <c r="H162" s="117"/>
      <c r="I162" s="127"/>
      <c r="J162" s="79"/>
      <c r="K162" s="79"/>
      <c r="L162" s="79"/>
      <c r="M162" s="79"/>
      <c r="N162" s="79"/>
      <c r="O162" s="79"/>
      <c r="P162" s="79"/>
      <c r="Q162" s="79"/>
      <c r="R162" s="79"/>
      <c r="S162" s="79"/>
      <c r="T162" s="79"/>
      <c r="U162" s="79"/>
      <c r="V162" s="79"/>
      <c r="W162" s="79"/>
      <c r="X162" s="79"/>
      <c r="Y162" s="79"/>
      <c r="Z162" s="96"/>
    </row>
    <row r="163" ht="15.75" customHeight="1" spans="1:26">
      <c r="A163" s="33" t="s">
        <v>3882</v>
      </c>
      <c r="B163" s="34">
        <v>89356</v>
      </c>
      <c r="C163" s="46" t="s">
        <v>3883</v>
      </c>
      <c r="D163" s="37" t="s">
        <v>78</v>
      </c>
      <c r="E163" s="115">
        <v>165</v>
      </c>
      <c r="F163" s="121" t="s">
        <v>3881</v>
      </c>
      <c r="G163" s="117"/>
      <c r="H163" s="117"/>
      <c r="I163" s="127"/>
      <c r="J163" s="79"/>
      <c r="K163" s="79"/>
      <c r="L163" s="79"/>
      <c r="M163" s="79"/>
      <c r="N163" s="79"/>
      <c r="O163" s="79"/>
      <c r="P163" s="79"/>
      <c r="Q163" s="79"/>
      <c r="R163" s="79"/>
      <c r="S163" s="79"/>
      <c r="T163" s="79"/>
      <c r="U163" s="79"/>
      <c r="V163" s="79"/>
      <c r="W163" s="79"/>
      <c r="X163" s="79"/>
      <c r="Y163" s="79"/>
      <c r="Z163" s="96"/>
    </row>
    <row r="164" ht="15.75" customHeight="1" spans="1:26">
      <c r="A164" s="33" t="s">
        <v>3884</v>
      </c>
      <c r="B164" s="34">
        <v>89357</v>
      </c>
      <c r="C164" s="46" t="s">
        <v>3885</v>
      </c>
      <c r="D164" s="37" t="s">
        <v>78</v>
      </c>
      <c r="E164" s="115">
        <v>218</v>
      </c>
      <c r="F164" s="121" t="s">
        <v>3881</v>
      </c>
      <c r="G164" s="117"/>
      <c r="H164" s="117"/>
      <c r="I164" s="127"/>
      <c r="J164" s="79"/>
      <c r="K164" s="79"/>
      <c r="L164" s="79"/>
      <c r="M164" s="79"/>
      <c r="N164" s="79"/>
      <c r="O164" s="79"/>
      <c r="P164" s="79"/>
      <c r="Q164" s="79"/>
      <c r="R164" s="79"/>
      <c r="S164" s="79"/>
      <c r="T164" s="79"/>
      <c r="U164" s="79"/>
      <c r="V164" s="79"/>
      <c r="W164" s="79"/>
      <c r="X164" s="79"/>
      <c r="Y164" s="79"/>
      <c r="Z164" s="96"/>
    </row>
    <row r="165" ht="15.75" customHeight="1" spans="1:26">
      <c r="A165" s="33" t="s">
        <v>3886</v>
      </c>
      <c r="B165" s="34">
        <v>103978</v>
      </c>
      <c r="C165" s="46" t="s">
        <v>3887</v>
      </c>
      <c r="D165" s="37" t="s">
        <v>78</v>
      </c>
      <c r="E165" s="115">
        <v>10</v>
      </c>
      <c r="F165" s="121" t="s">
        <v>3881</v>
      </c>
      <c r="G165" s="117"/>
      <c r="H165" s="117"/>
      <c r="I165" s="127"/>
      <c r="J165" s="79"/>
      <c r="K165" s="79"/>
      <c r="L165" s="79"/>
      <c r="M165" s="79"/>
      <c r="N165" s="79"/>
      <c r="O165" s="79"/>
      <c r="P165" s="79"/>
      <c r="Q165" s="79"/>
      <c r="R165" s="79"/>
      <c r="S165" s="79"/>
      <c r="T165" s="79"/>
      <c r="U165" s="79"/>
      <c r="V165" s="79"/>
      <c r="W165" s="79"/>
      <c r="X165" s="79"/>
      <c r="Y165" s="79"/>
      <c r="Z165" s="96"/>
    </row>
    <row r="166" ht="15.75" customHeight="1" spans="1:26">
      <c r="A166" s="33" t="s">
        <v>3888</v>
      </c>
      <c r="B166" s="34">
        <v>89379</v>
      </c>
      <c r="C166" s="46" t="s">
        <v>426</v>
      </c>
      <c r="D166" s="37" t="s">
        <v>105</v>
      </c>
      <c r="E166" s="115">
        <v>10</v>
      </c>
      <c r="F166" s="121" t="s">
        <v>3881</v>
      </c>
      <c r="G166" s="117"/>
      <c r="H166" s="117"/>
      <c r="I166" s="127"/>
      <c r="J166" s="79"/>
      <c r="K166" s="79"/>
      <c r="L166" s="79"/>
      <c r="M166" s="79"/>
      <c r="N166" s="79"/>
      <c r="O166" s="79"/>
      <c r="P166" s="79"/>
      <c r="Q166" s="79"/>
      <c r="R166" s="79"/>
      <c r="S166" s="79"/>
      <c r="T166" s="79"/>
      <c r="U166" s="79"/>
      <c r="V166" s="79"/>
      <c r="W166" s="79"/>
      <c r="X166" s="79"/>
      <c r="Y166" s="79"/>
      <c r="Z166" s="96"/>
    </row>
    <row r="167" ht="15.75" customHeight="1" spans="1:26">
      <c r="A167" s="33" t="s">
        <v>3889</v>
      </c>
      <c r="B167" s="34">
        <v>89387</v>
      </c>
      <c r="C167" s="46" t="s">
        <v>429</v>
      </c>
      <c r="D167" s="122" t="s">
        <v>105</v>
      </c>
      <c r="E167" s="115">
        <v>1</v>
      </c>
      <c r="F167" s="121" t="s">
        <v>3881</v>
      </c>
      <c r="G167" s="117"/>
      <c r="H167" s="117"/>
      <c r="I167" s="127"/>
      <c r="J167" s="79"/>
      <c r="K167" s="79"/>
      <c r="L167" s="79"/>
      <c r="M167" s="79"/>
      <c r="N167" s="79"/>
      <c r="O167" s="79"/>
      <c r="P167" s="79"/>
      <c r="Q167" s="79"/>
      <c r="R167" s="79"/>
      <c r="S167" s="79"/>
      <c r="T167" s="79"/>
      <c r="U167" s="79"/>
      <c r="V167" s="79"/>
      <c r="W167" s="79"/>
      <c r="X167" s="79"/>
      <c r="Y167" s="79"/>
      <c r="Z167" s="96"/>
    </row>
    <row r="168" ht="15.75" customHeight="1" spans="1:26">
      <c r="A168" s="33" t="s">
        <v>3890</v>
      </c>
      <c r="B168" s="34">
        <v>104159</v>
      </c>
      <c r="C168" s="46" t="s">
        <v>432</v>
      </c>
      <c r="D168" s="122" t="s">
        <v>105</v>
      </c>
      <c r="E168" s="115">
        <v>1</v>
      </c>
      <c r="F168" s="121" t="s">
        <v>3881</v>
      </c>
      <c r="G168" s="117"/>
      <c r="H168" s="117"/>
      <c r="I168" s="127"/>
      <c r="J168" s="79"/>
      <c r="K168" s="79"/>
      <c r="L168" s="79"/>
      <c r="M168" s="79"/>
      <c r="N168" s="79"/>
      <c r="O168" s="79"/>
      <c r="P168" s="79"/>
      <c r="Q168" s="79"/>
      <c r="R168" s="79"/>
      <c r="S168" s="79"/>
      <c r="T168" s="79"/>
      <c r="U168" s="79"/>
      <c r="V168" s="79"/>
      <c r="W168" s="79"/>
      <c r="X168" s="79"/>
      <c r="Y168" s="79"/>
      <c r="Z168" s="96"/>
    </row>
    <row r="169" ht="15.75" customHeight="1" spans="1:26">
      <c r="A169" s="33" t="s">
        <v>3891</v>
      </c>
      <c r="B169" s="34">
        <v>89358</v>
      </c>
      <c r="C169" s="46" t="s">
        <v>435</v>
      </c>
      <c r="D169" s="122" t="s">
        <v>105</v>
      </c>
      <c r="E169" s="115">
        <v>9</v>
      </c>
      <c r="F169" s="121" t="s">
        <v>3881</v>
      </c>
      <c r="G169" s="117"/>
      <c r="H169" s="117"/>
      <c r="I169" s="127"/>
      <c r="J169" s="79"/>
      <c r="K169" s="79"/>
      <c r="L169" s="79"/>
      <c r="M169" s="79"/>
      <c r="N169" s="79"/>
      <c r="O169" s="79"/>
      <c r="P169" s="79"/>
      <c r="Q169" s="79"/>
      <c r="R169" s="79"/>
      <c r="S169" s="79"/>
      <c r="T169" s="79"/>
      <c r="U169" s="79"/>
      <c r="V169" s="79"/>
      <c r="W169" s="79"/>
      <c r="X169" s="79"/>
      <c r="Y169" s="79"/>
      <c r="Z169" s="96"/>
    </row>
    <row r="170" ht="15.75" customHeight="1" spans="1:26">
      <c r="A170" s="33" t="s">
        <v>3892</v>
      </c>
      <c r="B170" s="34">
        <v>89362</v>
      </c>
      <c r="C170" s="46" t="s">
        <v>438</v>
      </c>
      <c r="D170" s="122" t="s">
        <v>105</v>
      </c>
      <c r="E170" s="115">
        <v>35</v>
      </c>
      <c r="F170" s="121" t="s">
        <v>3881</v>
      </c>
      <c r="G170" s="117"/>
      <c r="H170" s="117"/>
      <c r="I170" s="127"/>
      <c r="J170" s="79"/>
      <c r="K170" s="79"/>
      <c r="L170" s="79"/>
      <c r="M170" s="79"/>
      <c r="N170" s="79"/>
      <c r="O170" s="79"/>
      <c r="P170" s="79"/>
      <c r="Q170" s="79"/>
      <c r="R170" s="79"/>
      <c r="S170" s="79"/>
      <c r="T170" s="79"/>
      <c r="U170" s="79"/>
      <c r="V170" s="79"/>
      <c r="W170" s="79"/>
      <c r="X170" s="79"/>
      <c r="Y170" s="79"/>
      <c r="Z170" s="96"/>
    </row>
    <row r="171" ht="15.75" customHeight="1" spans="1:26">
      <c r="A171" s="33" t="s">
        <v>3893</v>
      </c>
      <c r="B171" s="34">
        <v>89492</v>
      </c>
      <c r="C171" s="46" t="s">
        <v>441</v>
      </c>
      <c r="D171" s="122" t="s">
        <v>105</v>
      </c>
      <c r="E171" s="115">
        <v>11</v>
      </c>
      <c r="F171" s="121" t="s">
        <v>3881</v>
      </c>
      <c r="G171" s="117"/>
      <c r="H171" s="117"/>
      <c r="I171" s="127"/>
      <c r="J171" s="79"/>
      <c r="K171" s="79"/>
      <c r="L171" s="79"/>
      <c r="M171" s="79"/>
      <c r="N171" s="79"/>
      <c r="O171" s="79"/>
      <c r="P171" s="79"/>
      <c r="Q171" s="79"/>
      <c r="R171" s="79"/>
      <c r="S171" s="79"/>
      <c r="T171" s="79"/>
      <c r="U171" s="79"/>
      <c r="V171" s="79"/>
      <c r="W171" s="79"/>
      <c r="X171" s="79"/>
      <c r="Y171" s="79"/>
      <c r="Z171" s="96"/>
    </row>
    <row r="172" ht="15.75" customHeight="1" spans="1:26">
      <c r="A172" s="33" t="s">
        <v>3894</v>
      </c>
      <c r="B172" s="34">
        <v>89497</v>
      </c>
      <c r="C172" s="46" t="s">
        <v>444</v>
      </c>
      <c r="D172" s="122" t="s">
        <v>105</v>
      </c>
      <c r="E172" s="115">
        <v>2</v>
      </c>
      <c r="F172" s="121" t="s">
        <v>3881</v>
      </c>
      <c r="G172" s="117"/>
      <c r="H172" s="117"/>
      <c r="I172" s="127"/>
      <c r="J172" s="79"/>
      <c r="K172" s="79"/>
      <c r="L172" s="79"/>
      <c r="M172" s="79"/>
      <c r="N172" s="79"/>
      <c r="O172" s="79"/>
      <c r="P172" s="79"/>
      <c r="Q172" s="79"/>
      <c r="R172" s="79"/>
      <c r="S172" s="79"/>
      <c r="T172" s="79"/>
      <c r="U172" s="79"/>
      <c r="V172" s="79"/>
      <c r="W172" s="79"/>
      <c r="X172" s="79"/>
      <c r="Y172" s="79"/>
      <c r="Z172" s="96"/>
    </row>
    <row r="173" ht="15.75" customHeight="1" spans="1:26">
      <c r="A173" s="33" t="s">
        <v>3895</v>
      </c>
      <c r="B173" s="34">
        <v>103981</v>
      </c>
      <c r="C173" s="46" t="s">
        <v>447</v>
      </c>
      <c r="D173" s="122" t="s">
        <v>105</v>
      </c>
      <c r="E173" s="115">
        <v>1</v>
      </c>
      <c r="F173" s="121" t="s">
        <v>3881</v>
      </c>
      <c r="G173" s="117"/>
      <c r="H173" s="117"/>
      <c r="I173" s="127"/>
      <c r="J173" s="79"/>
      <c r="K173" s="79"/>
      <c r="L173" s="79"/>
      <c r="M173" s="79"/>
      <c r="N173" s="79"/>
      <c r="O173" s="79"/>
      <c r="P173" s="79"/>
      <c r="Q173" s="79"/>
      <c r="R173" s="79"/>
      <c r="S173" s="79"/>
      <c r="T173" s="79"/>
      <c r="U173" s="79"/>
      <c r="V173" s="79"/>
      <c r="W173" s="79"/>
      <c r="X173" s="79"/>
      <c r="Y173" s="79"/>
      <c r="Z173" s="96"/>
    </row>
    <row r="174" ht="15.75" customHeight="1" spans="1:26">
      <c r="A174" s="33" t="s">
        <v>3896</v>
      </c>
      <c r="B174" s="34">
        <v>103964</v>
      </c>
      <c r="C174" s="46" t="s">
        <v>3897</v>
      </c>
      <c r="D174" s="122" t="s">
        <v>105</v>
      </c>
      <c r="E174" s="115">
        <v>0</v>
      </c>
      <c r="F174" s="121" t="s">
        <v>3881</v>
      </c>
      <c r="G174" s="117"/>
      <c r="H174" s="117"/>
      <c r="I174" s="127"/>
      <c r="J174" s="79"/>
      <c r="K174" s="79"/>
      <c r="L174" s="79"/>
      <c r="M174" s="79"/>
      <c r="N174" s="79"/>
      <c r="O174" s="79"/>
      <c r="P174" s="79"/>
      <c r="Q174" s="79"/>
      <c r="R174" s="79"/>
      <c r="S174" s="79"/>
      <c r="T174" s="79"/>
      <c r="U174" s="79"/>
      <c r="V174" s="79"/>
      <c r="W174" s="79"/>
      <c r="X174" s="79"/>
      <c r="Y174" s="79"/>
      <c r="Z174" s="96"/>
    </row>
    <row r="175" ht="15.75" customHeight="1" spans="1:26">
      <c r="A175" s="33" t="s">
        <v>3898</v>
      </c>
      <c r="B175" s="34">
        <v>90373</v>
      </c>
      <c r="C175" s="46" t="s">
        <v>450</v>
      </c>
      <c r="D175" s="122" t="s">
        <v>105</v>
      </c>
      <c r="E175" s="115">
        <v>12</v>
      </c>
      <c r="F175" s="121" t="s">
        <v>3881</v>
      </c>
      <c r="G175" s="117"/>
      <c r="H175" s="117"/>
      <c r="I175" s="127"/>
      <c r="J175" s="79"/>
      <c r="K175" s="79"/>
      <c r="L175" s="79"/>
      <c r="M175" s="79"/>
      <c r="N175" s="79"/>
      <c r="O175" s="79"/>
      <c r="P175" s="79"/>
      <c r="Q175" s="79"/>
      <c r="R175" s="79"/>
      <c r="S175" s="79"/>
      <c r="T175" s="79"/>
      <c r="U175" s="79"/>
      <c r="V175" s="79"/>
      <c r="W175" s="79"/>
      <c r="X175" s="79"/>
      <c r="Y175" s="79"/>
      <c r="Z175" s="96"/>
    </row>
    <row r="176" ht="15.75" customHeight="1" spans="1:26">
      <c r="A176" s="33" t="s">
        <v>3899</v>
      </c>
      <c r="B176" s="34">
        <v>96841</v>
      </c>
      <c r="C176" s="46" t="s">
        <v>453</v>
      </c>
      <c r="D176" s="122" t="s">
        <v>105</v>
      </c>
      <c r="E176" s="115">
        <v>20</v>
      </c>
      <c r="F176" s="121" t="s">
        <v>3881</v>
      </c>
      <c r="G176" s="117"/>
      <c r="H176" s="117"/>
      <c r="I176" s="127"/>
      <c r="J176" s="79"/>
      <c r="K176" s="79"/>
      <c r="L176" s="79"/>
      <c r="M176" s="79"/>
      <c r="N176" s="79"/>
      <c r="O176" s="79"/>
      <c r="P176" s="79"/>
      <c r="Q176" s="79"/>
      <c r="R176" s="79"/>
      <c r="S176" s="79"/>
      <c r="T176" s="79"/>
      <c r="U176" s="79"/>
      <c r="V176" s="79"/>
      <c r="W176" s="79"/>
      <c r="X176" s="79"/>
      <c r="Y176" s="79"/>
      <c r="Z176" s="96"/>
    </row>
    <row r="177" ht="15.75" customHeight="1" spans="1:26">
      <c r="A177" s="33" t="s">
        <v>3900</v>
      </c>
      <c r="B177" s="34">
        <v>89366</v>
      </c>
      <c r="C177" s="46" t="s">
        <v>456</v>
      </c>
      <c r="D177" s="122" t="s">
        <v>105</v>
      </c>
      <c r="E177" s="115">
        <v>1</v>
      </c>
      <c r="F177" s="121" t="s">
        <v>3881</v>
      </c>
      <c r="G177" s="117"/>
      <c r="H177" s="117"/>
      <c r="I177" s="127"/>
      <c r="J177" s="79"/>
      <c r="K177" s="79"/>
      <c r="L177" s="79"/>
      <c r="M177" s="79"/>
      <c r="N177" s="79"/>
      <c r="O177" s="79"/>
      <c r="P177" s="79"/>
      <c r="Q177" s="79"/>
      <c r="R177" s="79"/>
      <c r="S177" s="79"/>
      <c r="T177" s="79"/>
      <c r="U177" s="79"/>
      <c r="V177" s="79"/>
      <c r="W177" s="79"/>
      <c r="X177" s="79"/>
      <c r="Y177" s="79"/>
      <c r="Z177" s="96"/>
    </row>
    <row r="178" ht="15.75" customHeight="1" spans="1:26">
      <c r="A178" s="33" t="s">
        <v>3901</v>
      </c>
      <c r="B178" s="34">
        <v>89445</v>
      </c>
      <c r="C178" s="46" t="s">
        <v>459</v>
      </c>
      <c r="D178" s="122" t="s">
        <v>105</v>
      </c>
      <c r="E178" s="115">
        <v>4</v>
      </c>
      <c r="F178" s="121" t="s">
        <v>3881</v>
      </c>
      <c r="G178" s="117"/>
      <c r="H178" s="117"/>
      <c r="I178" s="127"/>
      <c r="J178" s="79"/>
      <c r="K178" s="79"/>
      <c r="L178" s="79"/>
      <c r="M178" s="79"/>
      <c r="N178" s="79"/>
      <c r="O178" s="79"/>
      <c r="P178" s="79"/>
      <c r="Q178" s="79"/>
      <c r="R178" s="79"/>
      <c r="S178" s="79"/>
      <c r="T178" s="79"/>
      <c r="U178" s="79"/>
      <c r="V178" s="79"/>
      <c r="W178" s="79"/>
      <c r="X178" s="79"/>
      <c r="Y178" s="79"/>
      <c r="Z178" s="96"/>
    </row>
    <row r="179" ht="15.75" customHeight="1" spans="1:26">
      <c r="A179" s="33" t="s">
        <v>3902</v>
      </c>
      <c r="B179" s="34">
        <v>104012</v>
      </c>
      <c r="C179" s="46" t="s">
        <v>462</v>
      </c>
      <c r="D179" s="122" t="s">
        <v>105</v>
      </c>
      <c r="E179" s="115">
        <v>2</v>
      </c>
      <c r="F179" s="121" t="s">
        <v>3881</v>
      </c>
      <c r="G179" s="117"/>
      <c r="H179" s="117"/>
      <c r="I179" s="127"/>
      <c r="J179" s="79"/>
      <c r="K179" s="79"/>
      <c r="L179" s="79"/>
      <c r="M179" s="79"/>
      <c r="N179" s="79"/>
      <c r="O179" s="79"/>
      <c r="P179" s="79"/>
      <c r="Q179" s="79"/>
      <c r="R179" s="79"/>
      <c r="S179" s="79"/>
      <c r="T179" s="79"/>
      <c r="U179" s="79"/>
      <c r="V179" s="79"/>
      <c r="W179" s="79"/>
      <c r="X179" s="79"/>
      <c r="Y179" s="79"/>
      <c r="Z179" s="96"/>
    </row>
    <row r="180" ht="15.75" customHeight="1" spans="1:26">
      <c r="A180" s="33" t="s">
        <v>3903</v>
      </c>
      <c r="B180" s="34">
        <v>89623</v>
      </c>
      <c r="C180" s="46" t="s">
        <v>465</v>
      </c>
      <c r="D180" s="122" t="s">
        <v>105</v>
      </c>
      <c r="E180" s="115">
        <v>2</v>
      </c>
      <c r="F180" s="121" t="s">
        <v>3881</v>
      </c>
      <c r="G180" s="117"/>
      <c r="H180" s="117"/>
      <c r="I180" s="127"/>
      <c r="J180" s="79"/>
      <c r="K180" s="79"/>
      <c r="L180" s="79"/>
      <c r="M180" s="79"/>
      <c r="N180" s="79"/>
      <c r="O180" s="79"/>
      <c r="P180" s="79"/>
      <c r="Q180" s="79"/>
      <c r="R180" s="79"/>
      <c r="S180" s="79"/>
      <c r="T180" s="79"/>
      <c r="U180" s="79"/>
      <c r="V180" s="79"/>
      <c r="W180" s="79"/>
      <c r="X180" s="79"/>
      <c r="Y180" s="79"/>
      <c r="Z180" s="96"/>
    </row>
    <row r="181" ht="15.75" customHeight="1" spans="1:26">
      <c r="A181" s="33" t="s">
        <v>3904</v>
      </c>
      <c r="B181" s="34">
        <v>89617</v>
      </c>
      <c r="C181" s="46" t="s">
        <v>468</v>
      </c>
      <c r="D181" s="122" t="s">
        <v>105</v>
      </c>
      <c r="E181" s="115">
        <v>15</v>
      </c>
      <c r="F181" s="121" t="s">
        <v>3881</v>
      </c>
      <c r="G181" s="117"/>
      <c r="H181" s="117"/>
      <c r="I181" s="127"/>
      <c r="J181" s="79"/>
      <c r="K181" s="79"/>
      <c r="L181" s="79"/>
      <c r="M181" s="79"/>
      <c r="N181" s="79"/>
      <c r="O181" s="79"/>
      <c r="P181" s="79"/>
      <c r="Q181" s="79"/>
      <c r="R181" s="79"/>
      <c r="S181" s="79"/>
      <c r="T181" s="79"/>
      <c r="U181" s="79"/>
      <c r="V181" s="79"/>
      <c r="W181" s="79"/>
      <c r="X181" s="79"/>
      <c r="Y181" s="79"/>
      <c r="Z181" s="96"/>
    </row>
    <row r="182" ht="15.75" customHeight="1" spans="1:26">
      <c r="A182" s="33" t="s">
        <v>3905</v>
      </c>
      <c r="B182" s="34">
        <v>89620</v>
      </c>
      <c r="C182" s="46" t="s">
        <v>471</v>
      </c>
      <c r="D182" s="122" t="s">
        <v>105</v>
      </c>
      <c r="E182" s="115">
        <v>6</v>
      </c>
      <c r="F182" s="121" t="s">
        <v>3881</v>
      </c>
      <c r="G182" s="117"/>
      <c r="H182" s="117"/>
      <c r="I182" s="127"/>
      <c r="J182" s="79"/>
      <c r="K182" s="79"/>
      <c r="L182" s="79"/>
      <c r="M182" s="79"/>
      <c r="N182" s="79"/>
      <c r="O182" s="79"/>
      <c r="P182" s="79"/>
      <c r="Q182" s="79"/>
      <c r="R182" s="79"/>
      <c r="S182" s="79"/>
      <c r="T182" s="79"/>
      <c r="U182" s="79"/>
      <c r="V182" s="79"/>
      <c r="W182" s="79"/>
      <c r="X182" s="79"/>
      <c r="Y182" s="79"/>
      <c r="Z182" s="96"/>
    </row>
    <row r="183" ht="46.5" customHeight="1" spans="1:26">
      <c r="A183" s="33" t="s">
        <v>3906</v>
      </c>
      <c r="B183" s="34">
        <v>89442</v>
      </c>
      <c r="C183" s="46" t="s">
        <v>474</v>
      </c>
      <c r="D183" s="122" t="s">
        <v>105</v>
      </c>
      <c r="E183" s="115">
        <v>8</v>
      </c>
      <c r="F183" s="121" t="s">
        <v>3881</v>
      </c>
      <c r="G183" s="117"/>
      <c r="H183" s="117"/>
      <c r="I183" s="127"/>
      <c r="J183" s="79"/>
      <c r="K183" s="79"/>
      <c r="L183" s="79"/>
      <c r="M183" s="79"/>
      <c r="N183" s="79"/>
      <c r="O183" s="79"/>
      <c r="P183" s="79"/>
      <c r="Q183" s="79"/>
      <c r="R183" s="79"/>
      <c r="S183" s="79"/>
      <c r="T183" s="79"/>
      <c r="U183" s="79"/>
      <c r="V183" s="79"/>
      <c r="W183" s="79"/>
      <c r="X183" s="79"/>
      <c r="Y183" s="79"/>
      <c r="Z183" s="96"/>
    </row>
    <row r="184" ht="15.75" customHeight="1" spans="1:26">
      <c r="A184" s="33" t="s">
        <v>3907</v>
      </c>
      <c r="B184" s="34">
        <v>89396</v>
      </c>
      <c r="C184" s="46" t="s">
        <v>3908</v>
      </c>
      <c r="D184" s="122" t="s">
        <v>105</v>
      </c>
      <c r="E184" s="115">
        <v>3</v>
      </c>
      <c r="F184" s="121" t="s">
        <v>3881</v>
      </c>
      <c r="G184" s="117"/>
      <c r="H184" s="117"/>
      <c r="I184" s="127"/>
      <c r="J184" s="79"/>
      <c r="K184" s="79"/>
      <c r="L184" s="79"/>
      <c r="M184" s="79"/>
      <c r="N184" s="79"/>
      <c r="O184" s="79"/>
      <c r="P184" s="79"/>
      <c r="Q184" s="79"/>
      <c r="R184" s="79"/>
      <c r="S184" s="79"/>
      <c r="T184" s="79"/>
      <c r="U184" s="79"/>
      <c r="V184" s="79"/>
      <c r="W184" s="79"/>
      <c r="X184" s="79"/>
      <c r="Y184" s="79"/>
      <c r="Z184" s="96"/>
    </row>
    <row r="185" ht="15.75" customHeight="1" spans="1:26">
      <c r="A185" s="33" t="s">
        <v>3909</v>
      </c>
      <c r="B185" s="34">
        <v>103947</v>
      </c>
      <c r="C185" s="46" t="s">
        <v>480</v>
      </c>
      <c r="D185" s="122" t="s">
        <v>105</v>
      </c>
      <c r="E185" s="115">
        <v>2</v>
      </c>
      <c r="F185" s="121" t="s">
        <v>3881</v>
      </c>
      <c r="G185" s="117"/>
      <c r="H185" s="117"/>
      <c r="I185" s="127"/>
      <c r="J185" s="79"/>
      <c r="K185" s="79"/>
      <c r="L185" s="79"/>
      <c r="M185" s="79"/>
      <c r="N185" s="79"/>
      <c r="O185" s="79"/>
      <c r="P185" s="79"/>
      <c r="Q185" s="79"/>
      <c r="R185" s="79"/>
      <c r="S185" s="79"/>
      <c r="T185" s="79"/>
      <c r="U185" s="79"/>
      <c r="V185" s="79"/>
      <c r="W185" s="79"/>
      <c r="X185" s="79"/>
      <c r="Y185" s="79"/>
      <c r="Z185" s="96"/>
    </row>
    <row r="186" ht="54.75" customHeight="1" spans="1:26">
      <c r="A186" s="33" t="s">
        <v>3910</v>
      </c>
      <c r="B186" s="34">
        <v>103948</v>
      </c>
      <c r="C186" s="46" t="s">
        <v>483</v>
      </c>
      <c r="D186" s="122" t="s">
        <v>105</v>
      </c>
      <c r="E186" s="115">
        <v>3</v>
      </c>
      <c r="F186" s="121" t="s">
        <v>3881</v>
      </c>
      <c r="G186" s="117"/>
      <c r="H186" s="117"/>
      <c r="I186" s="127"/>
      <c r="J186" s="79"/>
      <c r="K186" s="79"/>
      <c r="L186" s="79"/>
      <c r="M186" s="79"/>
      <c r="N186" s="79"/>
      <c r="O186" s="79"/>
      <c r="P186" s="79"/>
      <c r="Q186" s="79"/>
      <c r="R186" s="79"/>
      <c r="S186" s="79"/>
      <c r="T186" s="79"/>
      <c r="U186" s="79"/>
      <c r="V186" s="79"/>
      <c r="W186" s="79"/>
      <c r="X186" s="79"/>
      <c r="Y186" s="79"/>
      <c r="Z186" s="96"/>
    </row>
    <row r="187" ht="56.25" customHeight="1" spans="1:26">
      <c r="A187" s="33" t="s">
        <v>3911</v>
      </c>
      <c r="B187" s="34">
        <v>94703</v>
      </c>
      <c r="C187" s="46" t="s">
        <v>486</v>
      </c>
      <c r="D187" s="122" t="s">
        <v>105</v>
      </c>
      <c r="E187" s="115">
        <v>3</v>
      </c>
      <c r="F187" s="121" t="s">
        <v>3881</v>
      </c>
      <c r="G187" s="117"/>
      <c r="H187" s="117"/>
      <c r="I187" s="127"/>
      <c r="J187" s="79"/>
      <c r="K187" s="79"/>
      <c r="L187" s="79"/>
      <c r="M187" s="79"/>
      <c r="N187" s="79"/>
      <c r="O187" s="79"/>
      <c r="P187" s="79"/>
      <c r="Q187" s="79"/>
      <c r="R187" s="79"/>
      <c r="S187" s="79"/>
      <c r="T187" s="79"/>
      <c r="U187" s="79"/>
      <c r="V187" s="79"/>
      <c r="W187" s="79"/>
      <c r="X187" s="79"/>
      <c r="Y187" s="79"/>
      <c r="Z187" s="96"/>
    </row>
    <row r="188" ht="15.75" customHeight="1" spans="1:26">
      <c r="A188" s="33" t="s">
        <v>3912</v>
      </c>
      <c r="B188" s="34">
        <v>94704</v>
      </c>
      <c r="C188" s="46" t="s">
        <v>489</v>
      </c>
      <c r="D188" s="122" t="s">
        <v>105</v>
      </c>
      <c r="E188" s="115">
        <v>3</v>
      </c>
      <c r="F188" s="121" t="s">
        <v>3881</v>
      </c>
      <c r="G188" s="117"/>
      <c r="H188" s="117"/>
      <c r="I188" s="127"/>
      <c r="J188" s="79"/>
      <c r="K188" s="79"/>
      <c r="L188" s="79"/>
      <c r="M188" s="79"/>
      <c r="N188" s="79"/>
      <c r="O188" s="79"/>
      <c r="P188" s="79"/>
      <c r="Q188" s="79"/>
      <c r="R188" s="79"/>
      <c r="S188" s="79"/>
      <c r="T188" s="79"/>
      <c r="U188" s="79"/>
      <c r="V188" s="79"/>
      <c r="W188" s="79"/>
      <c r="X188" s="79"/>
      <c r="Y188" s="79"/>
      <c r="Z188" s="96"/>
    </row>
    <row r="189" ht="15.75" customHeight="1" spans="1:26">
      <c r="A189" s="33" t="s">
        <v>3913</v>
      </c>
      <c r="B189" s="34">
        <v>94705</v>
      </c>
      <c r="C189" s="46" t="s">
        <v>492</v>
      </c>
      <c r="D189" s="122" t="s">
        <v>105</v>
      </c>
      <c r="E189" s="115">
        <v>2</v>
      </c>
      <c r="F189" s="121" t="s">
        <v>3881</v>
      </c>
      <c r="G189" s="117"/>
      <c r="H189" s="117"/>
      <c r="I189" s="127"/>
      <c r="J189" s="79"/>
      <c r="K189" s="79"/>
      <c r="L189" s="79"/>
      <c r="M189" s="79"/>
      <c r="N189" s="79"/>
      <c r="O189" s="79"/>
      <c r="P189" s="79"/>
      <c r="Q189" s="79"/>
      <c r="R189" s="79"/>
      <c r="S189" s="79"/>
      <c r="T189" s="79"/>
      <c r="U189" s="79"/>
      <c r="V189" s="79"/>
      <c r="W189" s="79"/>
      <c r="X189" s="79"/>
      <c r="Y189" s="79"/>
      <c r="Z189" s="96"/>
    </row>
    <row r="190" ht="15.75" customHeight="1" spans="1:26">
      <c r="A190" s="33" t="s">
        <v>3914</v>
      </c>
      <c r="B190" s="34">
        <v>89987</v>
      </c>
      <c r="C190" s="46" t="s">
        <v>495</v>
      </c>
      <c r="D190" s="122" t="s">
        <v>105</v>
      </c>
      <c r="E190" s="115">
        <v>18</v>
      </c>
      <c r="F190" s="121" t="s">
        <v>3881</v>
      </c>
      <c r="G190" s="117"/>
      <c r="H190" s="117"/>
      <c r="I190" s="127"/>
      <c r="J190" s="79"/>
      <c r="K190" s="79"/>
      <c r="L190" s="79"/>
      <c r="M190" s="79"/>
      <c r="N190" s="79"/>
      <c r="O190" s="79"/>
      <c r="P190" s="79"/>
      <c r="Q190" s="79"/>
      <c r="R190" s="79"/>
      <c r="S190" s="79"/>
      <c r="T190" s="79"/>
      <c r="U190" s="79"/>
      <c r="V190" s="79"/>
      <c r="W190" s="79"/>
      <c r="X190" s="79"/>
      <c r="Y190" s="79"/>
      <c r="Z190" s="96"/>
    </row>
    <row r="191" ht="15.75" customHeight="1" spans="1:26">
      <c r="A191" s="33" t="s">
        <v>3915</v>
      </c>
      <c r="B191" s="34">
        <v>94792</v>
      </c>
      <c r="C191" s="46" t="s">
        <v>498</v>
      </c>
      <c r="D191" s="122" t="s">
        <v>105</v>
      </c>
      <c r="E191" s="115">
        <v>4</v>
      </c>
      <c r="F191" s="121" t="s">
        <v>3881</v>
      </c>
      <c r="G191" s="117"/>
      <c r="H191" s="117"/>
      <c r="I191" s="127"/>
      <c r="J191" s="79"/>
      <c r="K191" s="79"/>
      <c r="L191" s="79"/>
      <c r="M191" s="79"/>
      <c r="N191" s="79"/>
      <c r="O191" s="79"/>
      <c r="P191" s="79"/>
      <c r="Q191" s="79"/>
      <c r="R191" s="79"/>
      <c r="S191" s="79"/>
      <c r="T191" s="79"/>
      <c r="U191" s="79"/>
      <c r="V191" s="79"/>
      <c r="W191" s="79"/>
      <c r="X191" s="79"/>
      <c r="Y191" s="79"/>
      <c r="Z191" s="96"/>
    </row>
    <row r="192" ht="15.75" customHeight="1" spans="1:26">
      <c r="A192" s="33" t="s">
        <v>3916</v>
      </c>
      <c r="B192" s="34">
        <v>94793</v>
      </c>
      <c r="C192" s="46" t="s">
        <v>501</v>
      </c>
      <c r="D192" s="122" t="s">
        <v>105</v>
      </c>
      <c r="E192" s="115">
        <v>2</v>
      </c>
      <c r="F192" s="121" t="s">
        <v>3881</v>
      </c>
      <c r="G192" s="117"/>
      <c r="H192" s="117"/>
      <c r="I192" s="127"/>
      <c r="J192" s="79"/>
      <c r="K192" s="79"/>
      <c r="L192" s="79"/>
      <c r="M192" s="79"/>
      <c r="N192" s="79"/>
      <c r="O192" s="79"/>
      <c r="P192" s="79"/>
      <c r="Q192" s="79"/>
      <c r="R192" s="79"/>
      <c r="S192" s="79"/>
      <c r="T192" s="79"/>
      <c r="U192" s="79"/>
      <c r="V192" s="79"/>
      <c r="W192" s="79"/>
      <c r="X192" s="79"/>
      <c r="Y192" s="79"/>
      <c r="Z192" s="96"/>
    </row>
    <row r="193" ht="15.75" customHeight="1" spans="1:26">
      <c r="A193" s="33" t="s">
        <v>3917</v>
      </c>
      <c r="B193" s="34">
        <v>102609</v>
      </c>
      <c r="C193" s="46" t="s">
        <v>504</v>
      </c>
      <c r="D193" s="122" t="s">
        <v>105</v>
      </c>
      <c r="E193" s="115">
        <v>2</v>
      </c>
      <c r="F193" s="121" t="s">
        <v>3881</v>
      </c>
      <c r="G193" s="117"/>
      <c r="H193" s="117"/>
      <c r="I193" s="127"/>
      <c r="J193" s="79"/>
      <c r="K193" s="79"/>
      <c r="L193" s="79"/>
      <c r="M193" s="79"/>
      <c r="N193" s="79"/>
      <c r="O193" s="79"/>
      <c r="P193" s="79"/>
      <c r="Q193" s="79"/>
      <c r="R193" s="79"/>
      <c r="S193" s="79"/>
      <c r="T193" s="79"/>
      <c r="U193" s="79"/>
      <c r="V193" s="79"/>
      <c r="W193" s="79"/>
      <c r="X193" s="79"/>
      <c r="Y193" s="79"/>
      <c r="Z193" s="96"/>
    </row>
    <row r="194" ht="15.75" customHeight="1" spans="1:26">
      <c r="A194" s="33" t="s">
        <v>3918</v>
      </c>
      <c r="B194" s="34" t="s">
        <v>3919</v>
      </c>
      <c r="C194" s="46" t="s">
        <v>507</v>
      </c>
      <c r="D194" s="122" t="s">
        <v>105</v>
      </c>
      <c r="E194" s="115">
        <v>7</v>
      </c>
      <c r="F194" s="121" t="s">
        <v>3881</v>
      </c>
      <c r="G194" s="117"/>
      <c r="H194" s="117"/>
      <c r="I194" s="127"/>
      <c r="J194" s="79"/>
      <c r="K194" s="79"/>
      <c r="L194" s="79"/>
      <c r="M194" s="79"/>
      <c r="N194" s="79"/>
      <c r="O194" s="79"/>
      <c r="P194" s="79"/>
      <c r="Q194" s="79"/>
      <c r="R194" s="79"/>
      <c r="S194" s="79"/>
      <c r="T194" s="79"/>
      <c r="U194" s="79"/>
      <c r="V194" s="79"/>
      <c r="W194" s="79"/>
      <c r="X194" s="79"/>
      <c r="Y194" s="79"/>
      <c r="Z194" s="96"/>
    </row>
    <row r="195" ht="15.75" customHeight="1" spans="1:26">
      <c r="A195" s="39" t="s">
        <v>3877</v>
      </c>
      <c r="B195" s="40"/>
      <c r="C195" s="41" t="s">
        <v>509</v>
      </c>
      <c r="D195" s="42"/>
      <c r="E195" s="43"/>
      <c r="F195" s="66"/>
      <c r="G195" s="67"/>
      <c r="H195" s="67"/>
      <c r="I195" s="95"/>
      <c r="J195" s="79"/>
      <c r="K195" s="79"/>
      <c r="L195" s="79"/>
      <c r="M195" s="79"/>
      <c r="N195" s="79"/>
      <c r="O195" s="79"/>
      <c r="P195" s="79"/>
      <c r="Q195" s="79"/>
      <c r="R195" s="79"/>
      <c r="S195" s="79"/>
      <c r="T195" s="79"/>
      <c r="U195" s="79"/>
      <c r="V195" s="79"/>
      <c r="W195" s="79"/>
      <c r="X195" s="79"/>
      <c r="Y195" s="79"/>
      <c r="Z195" s="96"/>
    </row>
    <row r="196" ht="15.75" customHeight="1" spans="1:26">
      <c r="A196" s="33" t="s">
        <v>3920</v>
      </c>
      <c r="B196" s="34" t="s">
        <v>3921</v>
      </c>
      <c r="C196" s="46" t="s">
        <v>3922</v>
      </c>
      <c r="D196" s="122" t="s">
        <v>3719</v>
      </c>
      <c r="E196" s="115">
        <v>3.6</v>
      </c>
      <c r="F196" s="121" t="s">
        <v>3881</v>
      </c>
      <c r="G196" s="117"/>
      <c r="H196" s="117"/>
      <c r="I196" s="127"/>
      <c r="J196" s="79"/>
      <c r="K196" s="79"/>
      <c r="L196" s="79"/>
      <c r="M196" s="79"/>
      <c r="N196" s="79"/>
      <c r="O196" s="79"/>
      <c r="P196" s="79"/>
      <c r="Q196" s="79"/>
      <c r="R196" s="79"/>
      <c r="S196" s="79"/>
      <c r="T196" s="79"/>
      <c r="U196" s="79"/>
      <c r="V196" s="79"/>
      <c r="W196" s="79"/>
      <c r="X196" s="79"/>
      <c r="Y196" s="79"/>
      <c r="Z196" s="96"/>
    </row>
    <row r="197" ht="15.75" customHeight="1" spans="1:26">
      <c r="A197" s="33" t="s">
        <v>3923</v>
      </c>
      <c r="B197" s="34" t="s">
        <v>3924</v>
      </c>
      <c r="C197" s="46" t="s">
        <v>3925</v>
      </c>
      <c r="D197" s="122" t="s">
        <v>105</v>
      </c>
      <c r="E197" s="115">
        <v>6</v>
      </c>
      <c r="F197" s="121" t="s">
        <v>3881</v>
      </c>
      <c r="G197" s="117"/>
      <c r="H197" s="117"/>
      <c r="I197" s="127"/>
      <c r="J197" s="79"/>
      <c r="K197" s="79"/>
      <c r="L197" s="79"/>
      <c r="M197" s="79"/>
      <c r="N197" s="79"/>
      <c r="O197" s="79"/>
      <c r="P197" s="79"/>
      <c r="Q197" s="79"/>
      <c r="R197" s="79"/>
      <c r="S197" s="79"/>
      <c r="T197" s="79"/>
      <c r="U197" s="79"/>
      <c r="V197" s="79"/>
      <c r="W197" s="79"/>
      <c r="X197" s="79"/>
      <c r="Y197" s="79"/>
      <c r="Z197" s="96"/>
    </row>
    <row r="198" ht="15.75" customHeight="1" spans="1:26">
      <c r="A198" s="33" t="s">
        <v>3926</v>
      </c>
      <c r="B198" s="34">
        <v>2393</v>
      </c>
      <c r="C198" s="46" t="s">
        <v>3927</v>
      </c>
      <c r="D198" s="122" t="s">
        <v>105</v>
      </c>
      <c r="E198" s="115">
        <v>6</v>
      </c>
      <c r="F198" s="121" t="s">
        <v>3881</v>
      </c>
      <c r="G198" s="117"/>
      <c r="H198" s="117"/>
      <c r="I198" s="127"/>
      <c r="J198" s="79"/>
      <c r="K198" s="79"/>
      <c r="L198" s="79"/>
      <c r="M198" s="79"/>
      <c r="N198" s="79"/>
      <c r="O198" s="79"/>
      <c r="P198" s="79"/>
      <c r="Q198" s="79"/>
      <c r="R198" s="79"/>
      <c r="S198" s="79"/>
      <c r="T198" s="79"/>
      <c r="U198" s="79"/>
      <c r="V198" s="79"/>
      <c r="W198" s="79"/>
      <c r="X198" s="79"/>
      <c r="Y198" s="79"/>
      <c r="Z198" s="96"/>
    </row>
    <row r="199" ht="15.75" customHeight="1" spans="1:26">
      <c r="A199" s="33" t="s">
        <v>3928</v>
      </c>
      <c r="B199" s="34">
        <v>89353</v>
      </c>
      <c r="C199" s="46" t="s">
        <v>522</v>
      </c>
      <c r="D199" s="122" t="s">
        <v>105</v>
      </c>
      <c r="E199" s="115">
        <v>6</v>
      </c>
      <c r="F199" s="121" t="s">
        <v>3881</v>
      </c>
      <c r="G199" s="117"/>
      <c r="H199" s="117"/>
      <c r="I199" s="127"/>
      <c r="J199" s="79"/>
      <c r="K199" s="79"/>
      <c r="L199" s="79"/>
      <c r="M199" s="79"/>
      <c r="N199" s="79"/>
      <c r="O199" s="79"/>
      <c r="P199" s="79"/>
      <c r="Q199" s="79"/>
      <c r="R199" s="79"/>
      <c r="S199" s="79"/>
      <c r="T199" s="79"/>
      <c r="U199" s="79"/>
      <c r="V199" s="79"/>
      <c r="W199" s="79"/>
      <c r="X199" s="79"/>
      <c r="Y199" s="79"/>
      <c r="Z199" s="96"/>
    </row>
    <row r="200" ht="15.75" customHeight="1" spans="1:26">
      <c r="A200" s="33" t="s">
        <v>3929</v>
      </c>
      <c r="B200" s="34">
        <v>89429</v>
      </c>
      <c r="C200" s="46" t="s">
        <v>3930</v>
      </c>
      <c r="D200" s="122" t="s">
        <v>105</v>
      </c>
      <c r="E200" s="115">
        <v>6</v>
      </c>
      <c r="F200" s="121" t="s">
        <v>3881</v>
      </c>
      <c r="G200" s="117"/>
      <c r="H200" s="117"/>
      <c r="I200" s="127"/>
      <c r="J200" s="79"/>
      <c r="K200" s="79"/>
      <c r="L200" s="79"/>
      <c r="M200" s="79"/>
      <c r="N200" s="79"/>
      <c r="O200" s="79"/>
      <c r="P200" s="79"/>
      <c r="Q200" s="79"/>
      <c r="R200" s="79"/>
      <c r="S200" s="79"/>
      <c r="T200" s="79"/>
      <c r="U200" s="79"/>
      <c r="V200" s="79"/>
      <c r="W200" s="79"/>
      <c r="X200" s="79"/>
      <c r="Y200" s="79"/>
      <c r="Z200" s="96"/>
    </row>
    <row r="201" ht="15.75" customHeight="1" spans="1:26">
      <c r="A201" s="33" t="s">
        <v>3931</v>
      </c>
      <c r="B201" s="34">
        <v>89987</v>
      </c>
      <c r="C201" s="46" t="s">
        <v>495</v>
      </c>
      <c r="D201" s="37" t="s">
        <v>105</v>
      </c>
      <c r="E201" s="115">
        <v>7</v>
      </c>
      <c r="F201" s="121" t="s">
        <v>3881</v>
      </c>
      <c r="G201" s="117"/>
      <c r="H201" s="117"/>
      <c r="I201" s="127"/>
      <c r="J201" s="79"/>
      <c r="K201" s="79"/>
      <c r="L201" s="79"/>
      <c r="M201" s="79"/>
      <c r="N201" s="79"/>
      <c r="O201" s="79"/>
      <c r="P201" s="79"/>
      <c r="Q201" s="79"/>
      <c r="R201" s="79"/>
      <c r="S201" s="79"/>
      <c r="T201" s="79"/>
      <c r="U201" s="79"/>
      <c r="V201" s="79"/>
      <c r="W201" s="79"/>
      <c r="X201" s="79"/>
      <c r="Y201" s="79"/>
      <c r="Z201" s="96"/>
    </row>
    <row r="202" ht="15.75" customHeight="1" spans="1:26">
      <c r="A202" s="33" t="s">
        <v>3932</v>
      </c>
      <c r="B202" s="34" t="s">
        <v>3933</v>
      </c>
      <c r="C202" s="46" t="s">
        <v>529</v>
      </c>
      <c r="D202" s="37" t="s">
        <v>105</v>
      </c>
      <c r="E202" s="115">
        <v>1</v>
      </c>
      <c r="F202" s="121" t="s">
        <v>3881</v>
      </c>
      <c r="G202" s="117"/>
      <c r="H202" s="117"/>
      <c r="I202" s="127"/>
      <c r="J202" s="79"/>
      <c r="K202" s="79"/>
      <c r="L202" s="79"/>
      <c r="M202" s="79"/>
      <c r="N202" s="79"/>
      <c r="O202" s="79"/>
      <c r="P202" s="79"/>
      <c r="Q202" s="79"/>
      <c r="R202" s="79"/>
      <c r="S202" s="79"/>
      <c r="T202" s="79"/>
      <c r="U202" s="79"/>
      <c r="V202" s="79"/>
      <c r="W202" s="79"/>
      <c r="X202" s="79"/>
      <c r="Y202" s="79"/>
      <c r="Z202" s="96"/>
    </row>
    <row r="203" ht="15.75" customHeight="1" spans="1:26">
      <c r="A203" s="39" t="s">
        <v>3934</v>
      </c>
      <c r="B203" s="40"/>
      <c r="C203" s="41" t="s">
        <v>531</v>
      </c>
      <c r="D203" s="42"/>
      <c r="E203" s="43"/>
      <c r="F203" s="66"/>
      <c r="G203" s="67"/>
      <c r="H203" s="67"/>
      <c r="I203" s="67"/>
      <c r="J203" s="79"/>
      <c r="K203" s="79"/>
      <c r="L203" s="79"/>
      <c r="M203" s="79"/>
      <c r="N203" s="79"/>
      <c r="O203" s="79"/>
      <c r="P203" s="79"/>
      <c r="Q203" s="79"/>
      <c r="R203" s="79"/>
      <c r="S203" s="79"/>
      <c r="T203" s="79"/>
      <c r="U203" s="79"/>
      <c r="V203" s="79"/>
      <c r="W203" s="79"/>
      <c r="X203" s="79"/>
      <c r="Y203" s="79"/>
      <c r="Z203" s="96"/>
    </row>
    <row r="204" ht="15.75" customHeight="1" spans="1:26">
      <c r="A204" s="33" t="s">
        <v>3935</v>
      </c>
      <c r="B204" s="34" t="s">
        <v>3936</v>
      </c>
      <c r="C204" s="46" t="s">
        <v>3937</v>
      </c>
      <c r="D204" s="37" t="s">
        <v>78</v>
      </c>
      <c r="E204" s="128">
        <v>117.26</v>
      </c>
      <c r="F204" s="121" t="s">
        <v>3881</v>
      </c>
      <c r="G204" s="117"/>
      <c r="H204" s="117"/>
      <c r="I204" s="127"/>
      <c r="J204" s="79"/>
      <c r="K204" s="79"/>
      <c r="L204" s="79"/>
      <c r="M204" s="79"/>
      <c r="N204" s="79"/>
      <c r="O204" s="79"/>
      <c r="P204" s="79"/>
      <c r="Q204" s="79"/>
      <c r="R204" s="79"/>
      <c r="S204" s="79"/>
      <c r="T204" s="79"/>
      <c r="U204" s="79"/>
      <c r="V204" s="79"/>
      <c r="W204" s="79"/>
      <c r="X204" s="79"/>
      <c r="Y204" s="79"/>
      <c r="Z204" s="96"/>
    </row>
    <row r="205" ht="15.75" customHeight="1" spans="1:26">
      <c r="A205" s="33" t="s">
        <v>3938</v>
      </c>
      <c r="B205" s="34">
        <v>89711</v>
      </c>
      <c r="C205" s="46" t="s">
        <v>538</v>
      </c>
      <c r="D205" s="37" t="s">
        <v>78</v>
      </c>
      <c r="E205" s="128">
        <v>20</v>
      </c>
      <c r="F205" s="121" t="s">
        <v>3881</v>
      </c>
      <c r="G205" s="117"/>
      <c r="H205" s="117"/>
      <c r="I205" s="127"/>
      <c r="J205" s="79"/>
      <c r="K205" s="79"/>
      <c r="L205" s="79"/>
      <c r="M205" s="79"/>
      <c r="N205" s="79"/>
      <c r="O205" s="79"/>
      <c r="P205" s="79"/>
      <c r="Q205" s="79"/>
      <c r="R205" s="79"/>
      <c r="S205" s="79"/>
      <c r="T205" s="79"/>
      <c r="U205" s="79"/>
      <c r="V205" s="79"/>
      <c r="W205" s="79"/>
      <c r="X205" s="79"/>
      <c r="Y205" s="79"/>
      <c r="Z205" s="96"/>
    </row>
    <row r="206" ht="15.75" customHeight="1" spans="1:26">
      <c r="A206" s="33" t="s">
        <v>3939</v>
      </c>
      <c r="B206" s="34">
        <v>89712</v>
      </c>
      <c r="C206" s="46" t="s">
        <v>541</v>
      </c>
      <c r="D206" s="122" t="s">
        <v>78</v>
      </c>
      <c r="E206" s="128">
        <v>29</v>
      </c>
      <c r="F206" s="121" t="s">
        <v>3881</v>
      </c>
      <c r="G206" s="117"/>
      <c r="H206" s="117"/>
      <c r="I206" s="127"/>
      <c r="J206" s="79"/>
      <c r="K206" s="79"/>
      <c r="L206" s="79"/>
      <c r="M206" s="79"/>
      <c r="N206" s="79"/>
      <c r="O206" s="79"/>
      <c r="P206" s="79"/>
      <c r="Q206" s="79"/>
      <c r="R206" s="79"/>
      <c r="S206" s="79"/>
      <c r="T206" s="79"/>
      <c r="U206" s="79"/>
      <c r="V206" s="79"/>
      <c r="W206" s="79"/>
      <c r="X206" s="79"/>
      <c r="Y206" s="79"/>
      <c r="Z206" s="96"/>
    </row>
    <row r="207" ht="15.75" customHeight="1" spans="1:26">
      <c r="A207" s="33" t="s">
        <v>3940</v>
      </c>
      <c r="B207" s="34">
        <v>89713</v>
      </c>
      <c r="C207" s="46" t="s">
        <v>544</v>
      </c>
      <c r="D207" s="37" t="s">
        <v>78</v>
      </c>
      <c r="E207" s="128">
        <v>33</v>
      </c>
      <c r="F207" s="121" t="s">
        <v>3881</v>
      </c>
      <c r="G207" s="117"/>
      <c r="H207" s="117"/>
      <c r="I207" s="127"/>
      <c r="J207" s="79"/>
      <c r="K207" s="79"/>
      <c r="L207" s="79"/>
      <c r="M207" s="79"/>
      <c r="N207" s="79"/>
      <c r="O207" s="79"/>
      <c r="P207" s="79"/>
      <c r="Q207" s="79"/>
      <c r="R207" s="79"/>
      <c r="S207" s="79"/>
      <c r="T207" s="79"/>
      <c r="U207" s="79"/>
      <c r="V207" s="79"/>
      <c r="W207" s="79"/>
      <c r="X207" s="79"/>
      <c r="Y207" s="79"/>
      <c r="Z207" s="96"/>
    </row>
    <row r="208" ht="15.75" customHeight="1" spans="1:26">
      <c r="A208" s="33" t="s">
        <v>3941</v>
      </c>
      <c r="B208" s="34">
        <v>89714</v>
      </c>
      <c r="C208" s="46" t="s">
        <v>547</v>
      </c>
      <c r="D208" s="37" t="s">
        <v>78</v>
      </c>
      <c r="E208" s="128">
        <v>130</v>
      </c>
      <c r="F208" s="121" t="s">
        <v>3881</v>
      </c>
      <c r="G208" s="117"/>
      <c r="H208" s="117"/>
      <c r="I208" s="127"/>
      <c r="J208" s="79"/>
      <c r="K208" s="79"/>
      <c r="L208" s="79"/>
      <c r="M208" s="79"/>
      <c r="N208" s="79"/>
      <c r="O208" s="79"/>
      <c r="P208" s="79"/>
      <c r="Q208" s="79"/>
      <c r="R208" s="79"/>
      <c r="S208" s="79"/>
      <c r="T208" s="79"/>
      <c r="U208" s="79"/>
      <c r="V208" s="79"/>
      <c r="W208" s="79"/>
      <c r="X208" s="79"/>
      <c r="Y208" s="79"/>
      <c r="Z208" s="96"/>
    </row>
    <row r="209" ht="15.75" customHeight="1" spans="1:26">
      <c r="A209" s="33" t="s">
        <v>3942</v>
      </c>
      <c r="B209" s="34">
        <v>89753</v>
      </c>
      <c r="C209" s="46" t="s">
        <v>550</v>
      </c>
      <c r="D209" s="37" t="s">
        <v>105</v>
      </c>
      <c r="E209" s="128">
        <v>31</v>
      </c>
      <c r="F209" s="121" t="s">
        <v>3881</v>
      </c>
      <c r="G209" s="117"/>
      <c r="H209" s="117"/>
      <c r="I209" s="127"/>
      <c r="J209" s="79"/>
      <c r="K209" s="79"/>
      <c r="L209" s="79"/>
      <c r="M209" s="79"/>
      <c r="N209" s="79"/>
      <c r="O209" s="79"/>
      <c r="P209" s="79"/>
      <c r="Q209" s="79"/>
      <c r="R209" s="79"/>
      <c r="S209" s="79"/>
      <c r="T209" s="79"/>
      <c r="U209" s="79"/>
      <c r="V209" s="79"/>
      <c r="W209" s="79"/>
      <c r="X209" s="79"/>
      <c r="Y209" s="79"/>
      <c r="Z209" s="96"/>
    </row>
    <row r="210" ht="15.75" customHeight="1" spans="1:26">
      <c r="A210" s="33" t="s">
        <v>3943</v>
      </c>
      <c r="B210" s="34">
        <v>89774</v>
      </c>
      <c r="C210" s="46" t="s">
        <v>553</v>
      </c>
      <c r="D210" s="37" t="s">
        <v>105</v>
      </c>
      <c r="E210" s="128">
        <v>24</v>
      </c>
      <c r="F210" s="121" t="s">
        <v>3881</v>
      </c>
      <c r="G210" s="117"/>
      <c r="H210" s="117"/>
      <c r="I210" s="127"/>
      <c r="J210" s="79"/>
      <c r="K210" s="79"/>
      <c r="L210" s="79"/>
      <c r="M210" s="79"/>
      <c r="N210" s="79"/>
      <c r="O210" s="79"/>
      <c r="P210" s="79"/>
      <c r="Q210" s="79"/>
      <c r="R210" s="79"/>
      <c r="S210" s="79"/>
      <c r="T210" s="79"/>
      <c r="U210" s="79"/>
      <c r="V210" s="79"/>
      <c r="W210" s="79"/>
      <c r="X210" s="79"/>
      <c r="Y210" s="79"/>
      <c r="Z210" s="96"/>
    </row>
    <row r="211" ht="15.75" customHeight="1" spans="1:26">
      <c r="A211" s="33" t="s">
        <v>3944</v>
      </c>
      <c r="B211" s="34">
        <v>89779</v>
      </c>
      <c r="C211" s="46" t="s">
        <v>556</v>
      </c>
      <c r="D211" s="37" t="s">
        <v>105</v>
      </c>
      <c r="E211" s="128">
        <v>24</v>
      </c>
      <c r="F211" s="121" t="s">
        <v>3881</v>
      </c>
      <c r="G211" s="117"/>
      <c r="H211" s="117"/>
      <c r="I211" s="127"/>
      <c r="J211" s="79"/>
      <c r="K211" s="79"/>
      <c r="L211" s="79"/>
      <c r="M211" s="79"/>
      <c r="N211" s="79"/>
      <c r="O211" s="79"/>
      <c r="P211" s="79"/>
      <c r="Q211" s="79"/>
      <c r="R211" s="79"/>
      <c r="S211" s="79"/>
      <c r="T211" s="79"/>
      <c r="U211" s="79"/>
      <c r="V211" s="79"/>
      <c r="W211" s="79"/>
      <c r="X211" s="79"/>
      <c r="Y211" s="79"/>
      <c r="Z211" s="96"/>
    </row>
    <row r="212" ht="15.75" customHeight="1" spans="1:26">
      <c r="A212" s="33" t="s">
        <v>3945</v>
      </c>
      <c r="B212" s="34">
        <v>89732</v>
      </c>
      <c r="C212" s="46" t="s">
        <v>559</v>
      </c>
      <c r="D212" s="122" t="s">
        <v>105</v>
      </c>
      <c r="E212" s="128">
        <v>5</v>
      </c>
      <c r="F212" s="121" t="s">
        <v>3881</v>
      </c>
      <c r="G212" s="117"/>
      <c r="H212" s="117"/>
      <c r="I212" s="127"/>
      <c r="J212" s="79"/>
      <c r="K212" s="79"/>
      <c r="L212" s="79"/>
      <c r="M212" s="79"/>
      <c r="N212" s="79"/>
      <c r="O212" s="79"/>
      <c r="P212" s="79"/>
      <c r="Q212" s="79"/>
      <c r="R212" s="79"/>
      <c r="S212" s="79"/>
      <c r="T212" s="79"/>
      <c r="U212" s="79"/>
      <c r="V212" s="79"/>
      <c r="W212" s="79"/>
      <c r="X212" s="79"/>
      <c r="Y212" s="79"/>
      <c r="Z212" s="96"/>
    </row>
    <row r="213" ht="15.75" customHeight="1" spans="1:26">
      <c r="A213" s="33" t="s">
        <v>3946</v>
      </c>
      <c r="B213" s="34">
        <v>89746</v>
      </c>
      <c r="C213" s="46" t="s">
        <v>562</v>
      </c>
      <c r="D213" s="122" t="s">
        <v>105</v>
      </c>
      <c r="E213" s="128">
        <v>2</v>
      </c>
      <c r="F213" s="121" t="s">
        <v>3881</v>
      </c>
      <c r="G213" s="117"/>
      <c r="H213" s="117"/>
      <c r="I213" s="127"/>
      <c r="J213" s="79"/>
      <c r="K213" s="79"/>
      <c r="L213" s="79"/>
      <c r="M213" s="79"/>
      <c r="N213" s="79"/>
      <c r="O213" s="79"/>
      <c r="P213" s="79"/>
      <c r="Q213" s="79"/>
      <c r="R213" s="79"/>
      <c r="S213" s="79"/>
      <c r="T213" s="79"/>
      <c r="U213" s="79"/>
      <c r="V213" s="79"/>
      <c r="W213" s="79"/>
      <c r="X213" s="79"/>
      <c r="Y213" s="79"/>
      <c r="Z213" s="96"/>
    </row>
    <row r="214" ht="15.75" customHeight="1" spans="1:26">
      <c r="A214" s="33" t="s">
        <v>3947</v>
      </c>
      <c r="B214" s="34">
        <v>89744</v>
      </c>
      <c r="C214" s="46" t="s">
        <v>565</v>
      </c>
      <c r="D214" s="122" t="s">
        <v>105</v>
      </c>
      <c r="E214" s="128">
        <v>9</v>
      </c>
      <c r="F214" s="121" t="s">
        <v>3881</v>
      </c>
      <c r="G214" s="117"/>
      <c r="H214" s="117"/>
      <c r="I214" s="127"/>
      <c r="J214" s="79"/>
      <c r="K214" s="79"/>
      <c r="L214" s="79"/>
      <c r="M214" s="79"/>
      <c r="N214" s="79"/>
      <c r="O214" s="79"/>
      <c r="P214" s="79"/>
      <c r="Q214" s="79"/>
      <c r="R214" s="79"/>
      <c r="S214" s="79"/>
      <c r="T214" s="79"/>
      <c r="U214" s="79"/>
      <c r="V214" s="79"/>
      <c r="W214" s="79"/>
      <c r="X214" s="79"/>
      <c r="Y214" s="79"/>
      <c r="Z214" s="96"/>
    </row>
    <row r="215" ht="15.75" customHeight="1" spans="1:26">
      <c r="A215" s="33" t="s">
        <v>3948</v>
      </c>
      <c r="B215" s="34">
        <v>89726</v>
      </c>
      <c r="C215" s="46" t="s">
        <v>568</v>
      </c>
      <c r="D215" s="122" t="s">
        <v>105</v>
      </c>
      <c r="E215" s="128">
        <v>9</v>
      </c>
      <c r="F215" s="121" t="s">
        <v>3881</v>
      </c>
      <c r="G215" s="117"/>
      <c r="H215" s="117"/>
      <c r="I215" s="127"/>
      <c r="J215" s="79"/>
      <c r="K215" s="79"/>
      <c r="L215" s="79"/>
      <c r="M215" s="79"/>
      <c r="N215" s="79"/>
      <c r="O215" s="79"/>
      <c r="P215" s="79"/>
      <c r="Q215" s="79"/>
      <c r="R215" s="79"/>
      <c r="S215" s="79"/>
      <c r="T215" s="79"/>
      <c r="U215" s="79"/>
      <c r="V215" s="79"/>
      <c r="W215" s="79"/>
      <c r="X215" s="79"/>
      <c r="Y215" s="79"/>
      <c r="Z215" s="96"/>
    </row>
    <row r="216" ht="15.75" customHeight="1" spans="1:26">
      <c r="A216" s="33" t="s">
        <v>3949</v>
      </c>
      <c r="B216" s="34">
        <v>89724</v>
      </c>
      <c r="C216" s="46" t="s">
        <v>571</v>
      </c>
      <c r="D216" s="122" t="s">
        <v>105</v>
      </c>
      <c r="E216" s="128">
        <v>28</v>
      </c>
      <c r="F216" s="121" t="s">
        <v>3881</v>
      </c>
      <c r="G216" s="117"/>
      <c r="H216" s="117"/>
      <c r="I216" s="127"/>
      <c r="J216" s="79"/>
      <c r="K216" s="79"/>
      <c r="L216" s="79"/>
      <c r="M216" s="79"/>
      <c r="N216" s="79"/>
      <c r="O216" s="79"/>
      <c r="P216" s="79"/>
      <c r="Q216" s="79"/>
      <c r="R216" s="79"/>
      <c r="S216" s="79"/>
      <c r="T216" s="79"/>
      <c r="U216" s="79"/>
      <c r="V216" s="79"/>
      <c r="W216" s="79"/>
      <c r="X216" s="79"/>
      <c r="Y216" s="79"/>
      <c r="Z216" s="96"/>
    </row>
    <row r="217" ht="15.75" customHeight="1" spans="1:26">
      <c r="A217" s="33" t="s">
        <v>3950</v>
      </c>
      <c r="B217" s="34">
        <v>89739</v>
      </c>
      <c r="C217" s="46" t="s">
        <v>574</v>
      </c>
      <c r="D217" s="122" t="s">
        <v>105</v>
      </c>
      <c r="E217" s="128">
        <v>2</v>
      </c>
      <c r="F217" s="121" t="s">
        <v>3881</v>
      </c>
      <c r="G217" s="117"/>
      <c r="H217" s="117"/>
      <c r="I217" s="127"/>
      <c r="J217" s="79"/>
      <c r="K217" s="79"/>
      <c r="L217" s="79"/>
      <c r="M217" s="79"/>
      <c r="N217" s="79"/>
      <c r="O217" s="79"/>
      <c r="P217" s="79"/>
      <c r="Q217" s="79"/>
      <c r="R217" s="79"/>
      <c r="S217" s="79"/>
      <c r="T217" s="79"/>
      <c r="U217" s="79"/>
      <c r="V217" s="79"/>
      <c r="W217" s="79"/>
      <c r="X217" s="79"/>
      <c r="Y217" s="79"/>
      <c r="Z217" s="96"/>
    </row>
    <row r="218" ht="15.75" customHeight="1" spans="1:26">
      <c r="A218" s="33" t="s">
        <v>3951</v>
      </c>
      <c r="B218" s="34">
        <v>89731</v>
      </c>
      <c r="C218" s="46" t="s">
        <v>577</v>
      </c>
      <c r="D218" s="122" t="s">
        <v>105</v>
      </c>
      <c r="E218" s="128">
        <v>19</v>
      </c>
      <c r="F218" s="121" t="s">
        <v>3881</v>
      </c>
      <c r="G218" s="117"/>
      <c r="H218" s="117"/>
      <c r="I218" s="127"/>
      <c r="J218" s="79"/>
      <c r="K218" s="79"/>
      <c r="L218" s="79"/>
      <c r="M218" s="79"/>
      <c r="N218" s="79"/>
      <c r="O218" s="79"/>
      <c r="P218" s="79"/>
      <c r="Q218" s="79"/>
      <c r="R218" s="79"/>
      <c r="S218" s="79"/>
      <c r="T218" s="79"/>
      <c r="U218" s="79"/>
      <c r="V218" s="79"/>
      <c r="W218" s="79"/>
      <c r="X218" s="79"/>
      <c r="Y218" s="79"/>
      <c r="Z218" s="96"/>
    </row>
    <row r="219" ht="15.75" customHeight="1" spans="1:26">
      <c r="A219" s="33" t="s">
        <v>3952</v>
      </c>
      <c r="B219" s="34">
        <v>89737</v>
      </c>
      <c r="C219" s="46" t="s">
        <v>580</v>
      </c>
      <c r="D219" s="122" t="s">
        <v>105</v>
      </c>
      <c r="E219" s="128">
        <v>11</v>
      </c>
      <c r="F219" s="121" t="s">
        <v>3881</v>
      </c>
      <c r="G219" s="117"/>
      <c r="H219" s="117"/>
      <c r="I219" s="127"/>
      <c r="J219" s="79"/>
      <c r="K219" s="79"/>
      <c r="L219" s="79"/>
      <c r="M219" s="79"/>
      <c r="N219" s="79"/>
      <c r="O219" s="79"/>
      <c r="P219" s="79"/>
      <c r="Q219" s="79"/>
      <c r="R219" s="79"/>
      <c r="S219" s="79"/>
      <c r="T219" s="79"/>
      <c r="U219" s="79"/>
      <c r="V219" s="79"/>
      <c r="W219" s="79"/>
      <c r="X219" s="79"/>
      <c r="Y219" s="79"/>
      <c r="Z219" s="96"/>
    </row>
    <row r="220" ht="15.75" customHeight="1" spans="1:26">
      <c r="A220" s="33" t="s">
        <v>3953</v>
      </c>
      <c r="B220" s="34">
        <v>89783</v>
      </c>
      <c r="C220" s="46" t="s">
        <v>583</v>
      </c>
      <c r="D220" s="122" t="s">
        <v>105</v>
      </c>
      <c r="E220" s="128">
        <v>3</v>
      </c>
      <c r="F220" s="121" t="s">
        <v>3881</v>
      </c>
      <c r="G220" s="117"/>
      <c r="H220" s="117"/>
      <c r="I220" s="127"/>
      <c r="J220" s="79"/>
      <c r="K220" s="79"/>
      <c r="L220" s="79"/>
      <c r="M220" s="79"/>
      <c r="N220" s="79"/>
      <c r="O220" s="79"/>
      <c r="P220" s="79"/>
      <c r="Q220" s="79"/>
      <c r="R220" s="79"/>
      <c r="S220" s="79"/>
      <c r="T220" s="79"/>
      <c r="U220" s="79"/>
      <c r="V220" s="79"/>
      <c r="W220" s="79"/>
      <c r="X220" s="79"/>
      <c r="Y220" s="79"/>
      <c r="Z220" s="96"/>
    </row>
    <row r="221" ht="15.75" customHeight="1" spans="1:26">
      <c r="A221" s="33" t="s">
        <v>3954</v>
      </c>
      <c r="B221" s="34">
        <v>89785</v>
      </c>
      <c r="C221" s="46" t="s">
        <v>586</v>
      </c>
      <c r="D221" s="122" t="s">
        <v>105</v>
      </c>
      <c r="E221" s="128">
        <v>1</v>
      </c>
      <c r="F221" s="121" t="s">
        <v>3881</v>
      </c>
      <c r="G221" s="117"/>
      <c r="H221" s="117"/>
      <c r="I221" s="127"/>
      <c r="J221" s="79"/>
      <c r="K221" s="79"/>
      <c r="L221" s="79"/>
      <c r="M221" s="79"/>
      <c r="N221" s="79"/>
      <c r="O221" s="79"/>
      <c r="P221" s="79"/>
      <c r="Q221" s="79"/>
      <c r="R221" s="79"/>
      <c r="S221" s="79"/>
      <c r="T221" s="79"/>
      <c r="U221" s="79"/>
      <c r="V221" s="79"/>
      <c r="W221" s="79"/>
      <c r="X221" s="79"/>
      <c r="Y221" s="79"/>
      <c r="Z221" s="96"/>
    </row>
    <row r="222" ht="15.75" customHeight="1" spans="1:26">
      <c r="A222" s="33" t="s">
        <v>3955</v>
      </c>
      <c r="B222" s="34">
        <v>104345</v>
      </c>
      <c r="C222" s="46" t="s">
        <v>589</v>
      </c>
      <c r="D222" s="122" t="s">
        <v>105</v>
      </c>
      <c r="E222" s="128">
        <v>3</v>
      </c>
      <c r="F222" s="121" t="s">
        <v>3881</v>
      </c>
      <c r="G222" s="117"/>
      <c r="H222" s="117"/>
      <c r="I222" s="127"/>
      <c r="J222" s="79"/>
      <c r="K222" s="79"/>
      <c r="L222" s="79"/>
      <c r="M222" s="79"/>
      <c r="N222" s="79"/>
      <c r="O222" s="79"/>
      <c r="P222" s="79"/>
      <c r="Q222" s="79"/>
      <c r="R222" s="79"/>
      <c r="S222" s="79"/>
      <c r="T222" s="79"/>
      <c r="U222" s="79"/>
      <c r="V222" s="79"/>
      <c r="W222" s="79"/>
      <c r="X222" s="79"/>
      <c r="Y222" s="79"/>
      <c r="Z222" s="96"/>
    </row>
    <row r="223" ht="15.75" customHeight="1" spans="1:26">
      <c r="A223" s="33" t="s">
        <v>3956</v>
      </c>
      <c r="B223" s="33">
        <v>89569</v>
      </c>
      <c r="C223" s="46" t="s">
        <v>592</v>
      </c>
      <c r="D223" s="122" t="s">
        <v>105</v>
      </c>
      <c r="E223" s="128">
        <v>2</v>
      </c>
      <c r="F223" s="121" t="s">
        <v>3881</v>
      </c>
      <c r="G223" s="117"/>
      <c r="H223" s="117"/>
      <c r="I223" s="127"/>
      <c r="J223" s="79"/>
      <c r="K223" s="79"/>
      <c r="L223" s="79"/>
      <c r="M223" s="79"/>
      <c r="N223" s="79"/>
      <c r="O223" s="79"/>
      <c r="P223" s="79"/>
      <c r="Q223" s="79"/>
      <c r="R223" s="79"/>
      <c r="S223" s="79"/>
      <c r="T223" s="79"/>
      <c r="U223" s="79"/>
      <c r="V223" s="79"/>
      <c r="W223" s="79"/>
      <c r="X223" s="79"/>
      <c r="Y223" s="79"/>
      <c r="Z223" s="96"/>
    </row>
    <row r="224" ht="15.75" customHeight="1" spans="1:26">
      <c r="A224" s="33" t="s">
        <v>3957</v>
      </c>
      <c r="B224" s="33">
        <v>89797</v>
      </c>
      <c r="C224" s="46" t="s">
        <v>595</v>
      </c>
      <c r="D224" s="122" t="s">
        <v>105</v>
      </c>
      <c r="E224" s="128">
        <v>6</v>
      </c>
      <c r="F224" s="121" t="s">
        <v>3881</v>
      </c>
      <c r="G224" s="117"/>
      <c r="H224" s="117"/>
      <c r="I224" s="127"/>
      <c r="J224" s="79"/>
      <c r="K224" s="79"/>
      <c r="L224" s="79"/>
      <c r="M224" s="79"/>
      <c r="N224" s="79"/>
      <c r="O224" s="79"/>
      <c r="P224" s="79"/>
      <c r="Q224" s="79"/>
      <c r="R224" s="79"/>
      <c r="S224" s="79"/>
      <c r="T224" s="79"/>
      <c r="U224" s="79"/>
      <c r="V224" s="79"/>
      <c r="W224" s="79"/>
      <c r="X224" s="79"/>
      <c r="Y224" s="79"/>
      <c r="Z224" s="96"/>
    </row>
    <row r="225" ht="22.5" customHeight="1" spans="1:26">
      <c r="A225" s="33" t="s">
        <v>3958</v>
      </c>
      <c r="B225" s="33">
        <v>104341</v>
      </c>
      <c r="C225" s="46" t="s">
        <v>598</v>
      </c>
      <c r="D225" s="122" t="s">
        <v>105</v>
      </c>
      <c r="E225" s="128">
        <v>1</v>
      </c>
      <c r="F225" s="121" t="s">
        <v>3881</v>
      </c>
      <c r="G225" s="117"/>
      <c r="H225" s="117"/>
      <c r="I225" s="127"/>
      <c r="J225" s="79"/>
      <c r="K225" s="79"/>
      <c r="L225" s="79"/>
      <c r="M225" s="79"/>
      <c r="N225" s="79"/>
      <c r="O225" s="79"/>
      <c r="P225" s="79"/>
      <c r="Q225" s="79"/>
      <c r="R225" s="79"/>
      <c r="S225" s="79"/>
      <c r="T225" s="79"/>
      <c r="U225" s="79"/>
      <c r="V225" s="79"/>
      <c r="W225" s="79"/>
      <c r="X225" s="79"/>
      <c r="Y225" s="79"/>
      <c r="Z225" s="96"/>
    </row>
    <row r="226" ht="15.75" customHeight="1" spans="1:26">
      <c r="A226" s="33" t="s">
        <v>3959</v>
      </c>
      <c r="B226" s="33">
        <v>89549</v>
      </c>
      <c r="C226" s="46" t="s">
        <v>601</v>
      </c>
      <c r="D226" s="122" t="s">
        <v>105</v>
      </c>
      <c r="E226" s="128">
        <v>2</v>
      </c>
      <c r="F226" s="121" t="s">
        <v>3881</v>
      </c>
      <c r="G226" s="117"/>
      <c r="H226" s="117"/>
      <c r="I226" s="127"/>
      <c r="J226" s="79"/>
      <c r="K226" s="79"/>
      <c r="L226" s="79"/>
      <c r="M226" s="79"/>
      <c r="N226" s="79"/>
      <c r="O226" s="79"/>
      <c r="P226" s="79"/>
      <c r="Q226" s="79"/>
      <c r="R226" s="79"/>
      <c r="S226" s="79"/>
      <c r="T226" s="79"/>
      <c r="U226" s="79"/>
      <c r="V226" s="79"/>
      <c r="W226" s="79"/>
      <c r="X226" s="79"/>
      <c r="Y226" s="79"/>
      <c r="Z226" s="96"/>
    </row>
    <row r="227" ht="56.25" customHeight="1" spans="1:26">
      <c r="A227" s="33" t="s">
        <v>3960</v>
      </c>
      <c r="B227" s="33">
        <v>89784</v>
      </c>
      <c r="C227" s="46" t="s">
        <v>604</v>
      </c>
      <c r="D227" s="122" t="s">
        <v>105</v>
      </c>
      <c r="E227" s="128">
        <v>6</v>
      </c>
      <c r="F227" s="121" t="s">
        <v>3881</v>
      </c>
      <c r="G227" s="117"/>
      <c r="H227" s="117"/>
      <c r="I227" s="127"/>
      <c r="J227" s="79"/>
      <c r="K227" s="79"/>
      <c r="L227" s="79"/>
      <c r="M227" s="79"/>
      <c r="N227" s="79"/>
      <c r="O227" s="79"/>
      <c r="P227" s="79"/>
      <c r="Q227" s="79"/>
      <c r="R227" s="79"/>
      <c r="S227" s="79"/>
      <c r="T227" s="79"/>
      <c r="U227" s="79"/>
      <c r="V227" s="79"/>
      <c r="W227" s="79"/>
      <c r="X227" s="79"/>
      <c r="Y227" s="79"/>
      <c r="Z227" s="96"/>
    </row>
    <row r="228" ht="15.75" customHeight="1" spans="1:26">
      <c r="A228" s="33" t="s">
        <v>3961</v>
      </c>
      <c r="B228" s="33">
        <v>89786</v>
      </c>
      <c r="C228" s="46" t="s">
        <v>607</v>
      </c>
      <c r="D228" s="122" t="s">
        <v>105</v>
      </c>
      <c r="E228" s="128">
        <v>7</v>
      </c>
      <c r="F228" s="121" t="s">
        <v>3881</v>
      </c>
      <c r="G228" s="117"/>
      <c r="H228" s="117"/>
      <c r="I228" s="127"/>
      <c r="J228" s="79"/>
      <c r="K228" s="79"/>
      <c r="L228" s="79"/>
      <c r="M228" s="79"/>
      <c r="N228" s="79"/>
      <c r="O228" s="79"/>
      <c r="P228" s="79"/>
      <c r="Q228" s="79"/>
      <c r="R228" s="79"/>
      <c r="S228" s="79"/>
      <c r="T228" s="79"/>
      <c r="U228" s="79"/>
      <c r="V228" s="79"/>
      <c r="W228" s="79"/>
      <c r="X228" s="79"/>
      <c r="Y228" s="79"/>
      <c r="Z228" s="96"/>
    </row>
    <row r="229" ht="15.75" customHeight="1" spans="1:26">
      <c r="A229" s="33" t="s">
        <v>3962</v>
      </c>
      <c r="B229" s="33">
        <v>104346</v>
      </c>
      <c r="C229" s="46" t="s">
        <v>610</v>
      </c>
      <c r="D229" s="122" t="s">
        <v>105</v>
      </c>
      <c r="E229" s="128">
        <v>4</v>
      </c>
      <c r="F229" s="121" t="s">
        <v>3881</v>
      </c>
      <c r="G229" s="117"/>
      <c r="H229" s="117"/>
      <c r="I229" s="127"/>
      <c r="J229" s="79"/>
      <c r="K229" s="79"/>
      <c r="L229" s="79"/>
      <c r="M229" s="79"/>
      <c r="N229" s="79"/>
      <c r="O229" s="79"/>
      <c r="P229" s="79"/>
      <c r="Q229" s="79"/>
      <c r="R229" s="79"/>
      <c r="S229" s="79"/>
      <c r="T229" s="79"/>
      <c r="U229" s="79"/>
      <c r="V229" s="79"/>
      <c r="W229" s="79"/>
      <c r="X229" s="79"/>
      <c r="Y229" s="79"/>
      <c r="Z229" s="96"/>
    </row>
    <row r="230" ht="15.75" customHeight="1" spans="1:26">
      <c r="A230" s="33" t="s">
        <v>3963</v>
      </c>
      <c r="B230" s="33">
        <v>104344</v>
      </c>
      <c r="C230" s="46" t="s">
        <v>613</v>
      </c>
      <c r="D230" s="122" t="s">
        <v>105</v>
      </c>
      <c r="E230" s="128">
        <v>1</v>
      </c>
      <c r="F230" s="121" t="s">
        <v>3881</v>
      </c>
      <c r="G230" s="117"/>
      <c r="H230" s="117"/>
      <c r="I230" s="127"/>
      <c r="J230" s="79"/>
      <c r="K230" s="79"/>
      <c r="L230" s="79"/>
      <c r="M230" s="79"/>
      <c r="N230" s="79"/>
      <c r="O230" s="79"/>
      <c r="P230" s="79"/>
      <c r="Q230" s="79"/>
      <c r="R230" s="79"/>
      <c r="S230" s="79"/>
      <c r="T230" s="79"/>
      <c r="U230" s="79"/>
      <c r="V230" s="79"/>
      <c r="W230" s="79"/>
      <c r="X230" s="79"/>
      <c r="Y230" s="79"/>
      <c r="Z230" s="96"/>
    </row>
    <row r="231" ht="15.75" customHeight="1" spans="1:26">
      <c r="A231" s="33" t="s">
        <v>3964</v>
      </c>
      <c r="B231" s="33">
        <v>104326</v>
      </c>
      <c r="C231" s="46" t="s">
        <v>616</v>
      </c>
      <c r="D231" s="122" t="s">
        <v>105</v>
      </c>
      <c r="E231" s="128">
        <v>1</v>
      </c>
      <c r="F231" s="121" t="s">
        <v>3881</v>
      </c>
      <c r="G231" s="117"/>
      <c r="H231" s="117"/>
      <c r="I231" s="127"/>
      <c r="J231" s="79"/>
      <c r="K231" s="79"/>
      <c r="L231" s="79"/>
      <c r="M231" s="79"/>
      <c r="N231" s="79"/>
      <c r="O231" s="79"/>
      <c r="P231" s="79"/>
      <c r="Q231" s="79"/>
      <c r="R231" s="79"/>
      <c r="S231" s="79"/>
      <c r="T231" s="79"/>
      <c r="U231" s="79"/>
      <c r="V231" s="79"/>
      <c r="W231" s="79"/>
      <c r="X231" s="79"/>
      <c r="Y231" s="79"/>
      <c r="Z231" s="96"/>
    </row>
    <row r="232" ht="15.75" customHeight="1" spans="1:26">
      <c r="A232" s="33" t="s">
        <v>3965</v>
      </c>
      <c r="B232" s="33" t="s">
        <v>3966</v>
      </c>
      <c r="C232" s="46" t="s">
        <v>619</v>
      </c>
      <c r="D232" s="122" t="s">
        <v>105</v>
      </c>
      <c r="E232" s="128">
        <v>3</v>
      </c>
      <c r="F232" s="121" t="s">
        <v>3881</v>
      </c>
      <c r="G232" s="117"/>
      <c r="H232" s="117"/>
      <c r="I232" s="127"/>
      <c r="J232" s="79"/>
      <c r="K232" s="79"/>
      <c r="L232" s="79"/>
      <c r="M232" s="79"/>
      <c r="N232" s="79"/>
      <c r="O232" s="79"/>
      <c r="P232" s="79"/>
      <c r="Q232" s="79"/>
      <c r="R232" s="79"/>
      <c r="S232" s="79"/>
      <c r="T232" s="79"/>
      <c r="U232" s="79"/>
      <c r="V232" s="79"/>
      <c r="W232" s="79"/>
      <c r="X232" s="79"/>
      <c r="Y232" s="79"/>
      <c r="Z232" s="96"/>
    </row>
    <row r="233" ht="15.75" customHeight="1" spans="1:26">
      <c r="A233" s="33" t="s">
        <v>3967</v>
      </c>
      <c r="B233" s="33">
        <v>89707</v>
      </c>
      <c r="C233" s="46" t="s">
        <v>622</v>
      </c>
      <c r="D233" s="122" t="s">
        <v>105</v>
      </c>
      <c r="E233" s="128">
        <v>1</v>
      </c>
      <c r="F233" s="121" t="s">
        <v>3881</v>
      </c>
      <c r="G233" s="117"/>
      <c r="H233" s="117"/>
      <c r="I233" s="127"/>
      <c r="J233" s="79"/>
      <c r="K233" s="79"/>
      <c r="L233" s="79"/>
      <c r="M233" s="79"/>
      <c r="N233" s="79"/>
      <c r="O233" s="79"/>
      <c r="P233" s="79"/>
      <c r="Q233" s="79"/>
      <c r="R233" s="79"/>
      <c r="S233" s="79"/>
      <c r="T233" s="79"/>
      <c r="U233" s="79"/>
      <c r="V233" s="79"/>
      <c r="W233" s="79"/>
      <c r="X233" s="79"/>
      <c r="Y233" s="79"/>
      <c r="Z233" s="96"/>
    </row>
    <row r="234" ht="15.75" customHeight="1" spans="1:26">
      <c r="A234" s="33" t="s">
        <v>3968</v>
      </c>
      <c r="B234" s="33" t="s">
        <v>3969</v>
      </c>
      <c r="C234" s="46" t="s">
        <v>625</v>
      </c>
      <c r="D234" s="122" t="s">
        <v>105</v>
      </c>
      <c r="E234" s="128">
        <v>3</v>
      </c>
      <c r="F234" s="121" t="s">
        <v>3881</v>
      </c>
      <c r="G234" s="117"/>
      <c r="H234" s="117"/>
      <c r="I234" s="127"/>
      <c r="J234" s="79"/>
      <c r="K234" s="79"/>
      <c r="L234" s="79"/>
      <c r="M234" s="79"/>
      <c r="N234" s="79"/>
      <c r="O234" s="79"/>
      <c r="P234" s="79"/>
      <c r="Q234" s="79"/>
      <c r="R234" s="79"/>
      <c r="S234" s="79"/>
      <c r="T234" s="79"/>
      <c r="U234" s="79"/>
      <c r="V234" s="79"/>
      <c r="W234" s="79"/>
      <c r="X234" s="79"/>
      <c r="Y234" s="79"/>
      <c r="Z234" s="96"/>
    </row>
    <row r="235" ht="15.75" customHeight="1" spans="1:26">
      <c r="A235" s="33" t="s">
        <v>3970</v>
      </c>
      <c r="B235" s="33">
        <v>104348</v>
      </c>
      <c r="C235" s="46" t="s">
        <v>628</v>
      </c>
      <c r="D235" s="122" t="s">
        <v>105</v>
      </c>
      <c r="E235" s="128">
        <v>3</v>
      </c>
      <c r="F235" s="121" t="s">
        <v>3881</v>
      </c>
      <c r="G235" s="117"/>
      <c r="H235" s="117"/>
      <c r="I235" s="127"/>
      <c r="J235" s="79"/>
      <c r="K235" s="79"/>
      <c r="L235" s="79"/>
      <c r="M235" s="79"/>
      <c r="N235" s="79"/>
      <c r="O235" s="79"/>
      <c r="P235" s="79"/>
      <c r="Q235" s="79"/>
      <c r="R235" s="79"/>
      <c r="S235" s="79"/>
      <c r="T235" s="79"/>
      <c r="U235" s="79"/>
      <c r="V235" s="79"/>
      <c r="W235" s="79"/>
      <c r="X235" s="79"/>
      <c r="Y235" s="79"/>
      <c r="Z235" s="96"/>
    </row>
    <row r="236" ht="15.75" customHeight="1" spans="1:26">
      <c r="A236" s="33" t="s">
        <v>3971</v>
      </c>
      <c r="B236" s="33">
        <v>104351</v>
      </c>
      <c r="C236" s="46" t="s">
        <v>631</v>
      </c>
      <c r="D236" s="122" t="s">
        <v>105</v>
      </c>
      <c r="E236" s="128">
        <v>3</v>
      </c>
      <c r="F236" s="121" t="s">
        <v>3881</v>
      </c>
      <c r="G236" s="117"/>
      <c r="H236" s="117"/>
      <c r="I236" s="127"/>
      <c r="J236" s="79"/>
      <c r="K236" s="79"/>
      <c r="L236" s="79"/>
      <c r="M236" s="79"/>
      <c r="N236" s="79"/>
      <c r="O236" s="79"/>
      <c r="P236" s="79"/>
      <c r="Q236" s="79"/>
      <c r="R236" s="79"/>
      <c r="S236" s="79"/>
      <c r="T236" s="79"/>
      <c r="U236" s="79"/>
      <c r="V236" s="79"/>
      <c r="W236" s="79"/>
      <c r="X236" s="79"/>
      <c r="Y236" s="79"/>
      <c r="Z236" s="96"/>
    </row>
    <row r="237" ht="15.75" customHeight="1" spans="1:26">
      <c r="A237" s="33" t="s">
        <v>3972</v>
      </c>
      <c r="B237" s="33" t="s">
        <v>3973</v>
      </c>
      <c r="C237" s="46" t="s">
        <v>634</v>
      </c>
      <c r="D237" s="122" t="s">
        <v>78</v>
      </c>
      <c r="E237" s="128">
        <v>0.8</v>
      </c>
      <c r="F237" s="121" t="s">
        <v>3881</v>
      </c>
      <c r="G237" s="117"/>
      <c r="H237" s="117"/>
      <c r="I237" s="127"/>
      <c r="J237" s="79"/>
      <c r="K237" s="79"/>
      <c r="L237" s="79"/>
      <c r="M237" s="79"/>
      <c r="N237" s="79"/>
      <c r="O237" s="79"/>
      <c r="P237" s="79"/>
      <c r="Q237" s="79"/>
      <c r="R237" s="79"/>
      <c r="S237" s="79"/>
      <c r="T237" s="79"/>
      <c r="U237" s="79"/>
      <c r="V237" s="79"/>
      <c r="W237" s="79"/>
      <c r="X237" s="79"/>
      <c r="Y237" s="79"/>
      <c r="Z237" s="96"/>
    </row>
    <row r="238" ht="15.75" customHeight="1" spans="1:26">
      <c r="A238" s="33" t="s">
        <v>3974</v>
      </c>
      <c r="B238" s="33" t="s">
        <v>3975</v>
      </c>
      <c r="C238" s="46" t="s">
        <v>3976</v>
      </c>
      <c r="D238" s="122" t="s">
        <v>105</v>
      </c>
      <c r="E238" s="128">
        <v>10</v>
      </c>
      <c r="F238" s="121" t="s">
        <v>3881</v>
      </c>
      <c r="G238" s="117"/>
      <c r="H238" s="117"/>
      <c r="I238" s="127"/>
      <c r="J238" s="79"/>
      <c r="K238" s="79"/>
      <c r="L238" s="79"/>
      <c r="M238" s="79"/>
      <c r="N238" s="79"/>
      <c r="O238" s="79"/>
      <c r="P238" s="79"/>
      <c r="Q238" s="79"/>
      <c r="R238" s="79"/>
      <c r="S238" s="79"/>
      <c r="T238" s="79"/>
      <c r="U238" s="79"/>
      <c r="V238" s="79"/>
      <c r="W238" s="79"/>
      <c r="X238" s="79"/>
      <c r="Y238" s="79"/>
      <c r="Z238" s="96"/>
    </row>
    <row r="239" ht="15.75" customHeight="1" spans="1:26">
      <c r="A239" s="33" t="s">
        <v>3977</v>
      </c>
      <c r="B239" s="33">
        <v>98107</v>
      </c>
      <c r="C239" s="46" t="s">
        <v>640</v>
      </c>
      <c r="D239" s="122" t="s">
        <v>105</v>
      </c>
      <c r="E239" s="128">
        <v>2</v>
      </c>
      <c r="F239" s="121" t="s">
        <v>3881</v>
      </c>
      <c r="G239" s="117"/>
      <c r="H239" s="117"/>
      <c r="I239" s="127"/>
      <c r="J239" s="79"/>
      <c r="K239" s="79"/>
      <c r="L239" s="79"/>
      <c r="M239" s="79"/>
      <c r="N239" s="79"/>
      <c r="O239" s="79"/>
      <c r="P239" s="79"/>
      <c r="Q239" s="79"/>
      <c r="R239" s="79"/>
      <c r="S239" s="79"/>
      <c r="T239" s="79"/>
      <c r="U239" s="79"/>
      <c r="V239" s="79"/>
      <c r="W239" s="79"/>
      <c r="X239" s="79"/>
      <c r="Y239" s="79"/>
      <c r="Z239" s="96"/>
    </row>
    <row r="240" ht="15.75" customHeight="1" spans="1:26">
      <c r="A240" s="39" t="s">
        <v>3978</v>
      </c>
      <c r="B240" s="40"/>
      <c r="C240" s="41" t="s">
        <v>642</v>
      </c>
      <c r="D240" s="42"/>
      <c r="E240" s="43"/>
      <c r="F240" s="66"/>
      <c r="G240" s="67"/>
      <c r="H240" s="67"/>
      <c r="I240" s="67"/>
      <c r="J240" s="79"/>
      <c r="K240" s="79"/>
      <c r="L240" s="79"/>
      <c r="M240" s="79"/>
      <c r="N240" s="79"/>
      <c r="O240" s="79"/>
      <c r="P240" s="79"/>
      <c r="Q240" s="79"/>
      <c r="R240" s="79"/>
      <c r="S240" s="79"/>
      <c r="T240" s="79"/>
      <c r="U240" s="79"/>
      <c r="V240" s="79"/>
      <c r="W240" s="79"/>
      <c r="X240" s="79"/>
      <c r="Y240" s="79"/>
      <c r="Z240" s="96"/>
    </row>
    <row r="241" ht="15.75" customHeight="1" spans="1:26">
      <c r="A241" s="33" t="s">
        <v>3979</v>
      </c>
      <c r="B241" s="33">
        <v>86888</v>
      </c>
      <c r="C241" s="46" t="s">
        <v>645</v>
      </c>
      <c r="D241" s="37" t="s">
        <v>105</v>
      </c>
      <c r="E241" s="115">
        <v>8</v>
      </c>
      <c r="F241" s="121" t="s">
        <v>3881</v>
      </c>
      <c r="G241" s="117"/>
      <c r="H241" s="117"/>
      <c r="I241" s="127"/>
      <c r="J241" s="79"/>
      <c r="K241" s="79"/>
      <c r="L241" s="79"/>
      <c r="M241" s="79"/>
      <c r="N241" s="79"/>
      <c r="O241" s="79"/>
      <c r="P241" s="79"/>
      <c r="Q241" s="79"/>
      <c r="R241" s="79"/>
      <c r="S241" s="79"/>
      <c r="T241" s="79"/>
      <c r="U241" s="79"/>
      <c r="V241" s="79"/>
      <c r="W241" s="79"/>
      <c r="X241" s="79"/>
      <c r="Y241" s="79"/>
      <c r="Z241" s="96"/>
    </row>
    <row r="242" ht="15.75" customHeight="1" spans="1:26">
      <c r="A242" s="33" t="s">
        <v>3980</v>
      </c>
      <c r="B242" s="33">
        <v>100858</v>
      </c>
      <c r="C242" s="46" t="s">
        <v>648</v>
      </c>
      <c r="D242" s="37" t="s">
        <v>105</v>
      </c>
      <c r="E242" s="115">
        <v>2</v>
      </c>
      <c r="F242" s="121" t="s">
        <v>3881</v>
      </c>
      <c r="G242" s="117"/>
      <c r="H242" s="117"/>
      <c r="I242" s="127"/>
      <c r="J242" s="79"/>
      <c r="K242" s="79"/>
      <c r="L242" s="79"/>
      <c r="M242" s="79"/>
      <c r="N242" s="79"/>
      <c r="O242" s="79"/>
      <c r="P242" s="79"/>
      <c r="Q242" s="79"/>
      <c r="R242" s="79"/>
      <c r="S242" s="79"/>
      <c r="T242" s="79"/>
      <c r="U242" s="79"/>
      <c r="V242" s="79"/>
      <c r="W242" s="79"/>
      <c r="X242" s="79"/>
      <c r="Y242" s="79"/>
      <c r="Z242" s="96"/>
    </row>
    <row r="243" ht="15.75" customHeight="1" spans="1:26">
      <c r="A243" s="33" t="s">
        <v>3981</v>
      </c>
      <c r="B243" s="33">
        <v>86900</v>
      </c>
      <c r="C243" s="46" t="s">
        <v>2532</v>
      </c>
      <c r="D243" s="37" t="s">
        <v>105</v>
      </c>
      <c r="E243" s="115">
        <v>7</v>
      </c>
      <c r="F243" s="121" t="s">
        <v>3881</v>
      </c>
      <c r="G243" s="117"/>
      <c r="H243" s="117"/>
      <c r="I243" s="127"/>
      <c r="J243" s="79"/>
      <c r="K243" s="79"/>
      <c r="L243" s="79"/>
      <c r="M243" s="79"/>
      <c r="N243" s="79"/>
      <c r="O243" s="79"/>
      <c r="P243" s="79"/>
      <c r="Q243" s="79"/>
      <c r="R243" s="79"/>
      <c r="S243" s="79"/>
      <c r="T243" s="79"/>
      <c r="U243" s="79"/>
      <c r="V243" s="79"/>
      <c r="W243" s="79"/>
      <c r="X243" s="79"/>
      <c r="Y243" s="79"/>
      <c r="Z243" s="96"/>
    </row>
    <row r="244" ht="15.75" customHeight="1" spans="1:26">
      <c r="A244" s="33" t="s">
        <v>3982</v>
      </c>
      <c r="B244" s="33" t="s">
        <v>3983</v>
      </c>
      <c r="C244" s="46" t="s">
        <v>654</v>
      </c>
      <c r="D244" s="37" t="s">
        <v>105</v>
      </c>
      <c r="E244" s="115">
        <v>2</v>
      </c>
      <c r="F244" s="121" t="s">
        <v>3881</v>
      </c>
      <c r="G244" s="117"/>
      <c r="H244" s="117"/>
      <c r="I244" s="127"/>
      <c r="J244" s="79"/>
      <c r="K244" s="79"/>
      <c r="L244" s="79"/>
      <c r="M244" s="79"/>
      <c r="N244" s="79"/>
      <c r="O244" s="79"/>
      <c r="P244" s="79"/>
      <c r="Q244" s="79"/>
      <c r="R244" s="79"/>
      <c r="S244" s="79"/>
      <c r="T244" s="79"/>
      <c r="U244" s="79"/>
      <c r="V244" s="79"/>
      <c r="W244" s="79"/>
      <c r="X244" s="79"/>
      <c r="Y244" s="79"/>
      <c r="Z244" s="96"/>
    </row>
    <row r="245" ht="62.25" customHeight="1" spans="1:26">
      <c r="A245" s="33" t="s">
        <v>3984</v>
      </c>
      <c r="B245" s="33">
        <v>86935</v>
      </c>
      <c r="C245" s="46" t="s">
        <v>657</v>
      </c>
      <c r="D245" s="37" t="s">
        <v>105</v>
      </c>
      <c r="E245" s="115">
        <v>2</v>
      </c>
      <c r="F245" s="121" t="s">
        <v>3881</v>
      </c>
      <c r="G245" s="117"/>
      <c r="H245" s="117"/>
      <c r="I245" s="127"/>
      <c r="J245" s="79"/>
      <c r="K245" s="79"/>
      <c r="L245" s="79"/>
      <c r="M245" s="79"/>
      <c r="N245" s="79"/>
      <c r="O245" s="79"/>
      <c r="P245" s="79"/>
      <c r="Q245" s="79"/>
      <c r="R245" s="79"/>
      <c r="S245" s="79"/>
      <c r="T245" s="79"/>
      <c r="U245" s="79"/>
      <c r="V245" s="79"/>
      <c r="W245" s="79"/>
      <c r="X245" s="79"/>
      <c r="Y245" s="79"/>
      <c r="Z245" s="96"/>
    </row>
    <row r="246" ht="15.75" customHeight="1" spans="1:26">
      <c r="A246" s="33" t="s">
        <v>3985</v>
      </c>
      <c r="B246" s="33" t="s">
        <v>3986</v>
      </c>
      <c r="C246" s="46" t="s">
        <v>3987</v>
      </c>
      <c r="D246" s="37" t="s">
        <v>105</v>
      </c>
      <c r="E246" s="115">
        <v>1</v>
      </c>
      <c r="F246" s="121" t="s">
        <v>3881</v>
      </c>
      <c r="G246" s="117"/>
      <c r="H246" s="117"/>
      <c r="I246" s="127"/>
      <c r="J246" s="79"/>
      <c r="K246" s="79"/>
      <c r="L246" s="79"/>
      <c r="M246" s="79"/>
      <c r="N246" s="79"/>
      <c r="O246" s="79"/>
      <c r="P246" s="79"/>
      <c r="Q246" s="79"/>
      <c r="R246" s="79"/>
      <c r="S246" s="79"/>
      <c r="T246" s="79"/>
      <c r="U246" s="79"/>
      <c r="V246" s="79"/>
      <c r="W246" s="79"/>
      <c r="X246" s="79"/>
      <c r="Y246" s="79"/>
      <c r="Z246" s="96"/>
    </row>
    <row r="247" ht="15.75" customHeight="1" spans="1:26">
      <c r="A247" s="33" t="s">
        <v>3988</v>
      </c>
      <c r="B247" s="33" t="s">
        <v>3989</v>
      </c>
      <c r="C247" s="46" t="s">
        <v>3990</v>
      </c>
      <c r="D247" s="37" t="s">
        <v>105</v>
      </c>
      <c r="E247" s="115">
        <v>9</v>
      </c>
      <c r="F247" s="121" t="s">
        <v>3881</v>
      </c>
      <c r="G247" s="117"/>
      <c r="H247" s="117"/>
      <c r="I247" s="127"/>
      <c r="J247" s="79"/>
      <c r="K247" s="79"/>
      <c r="L247" s="79"/>
      <c r="M247" s="79"/>
      <c r="N247" s="79"/>
      <c r="O247" s="79"/>
      <c r="P247" s="79"/>
      <c r="Q247" s="79"/>
      <c r="R247" s="79"/>
      <c r="S247" s="79"/>
      <c r="T247" s="79"/>
      <c r="U247" s="79"/>
      <c r="V247" s="79"/>
      <c r="W247" s="79"/>
      <c r="X247" s="79"/>
      <c r="Y247" s="79"/>
      <c r="Z247" s="96"/>
    </row>
    <row r="248" ht="15.75" customHeight="1" spans="1:26">
      <c r="A248" s="33" t="s">
        <v>3991</v>
      </c>
      <c r="B248" s="33" t="s">
        <v>3992</v>
      </c>
      <c r="C248" s="46" t="s">
        <v>666</v>
      </c>
      <c r="D248" s="37" t="s">
        <v>105</v>
      </c>
      <c r="E248" s="115">
        <v>2</v>
      </c>
      <c r="F248" s="121" t="s">
        <v>3881</v>
      </c>
      <c r="G248" s="117"/>
      <c r="H248" s="117"/>
      <c r="I248" s="127"/>
      <c r="J248" s="79"/>
      <c r="K248" s="79"/>
      <c r="L248" s="79"/>
      <c r="M248" s="79"/>
      <c r="N248" s="79"/>
      <c r="O248" s="79"/>
      <c r="P248" s="79"/>
      <c r="Q248" s="79"/>
      <c r="R248" s="79"/>
      <c r="S248" s="79"/>
      <c r="T248" s="79"/>
      <c r="U248" s="79"/>
      <c r="V248" s="79"/>
      <c r="W248" s="79"/>
      <c r="X248" s="79"/>
      <c r="Y248" s="79"/>
      <c r="Z248" s="96"/>
    </row>
    <row r="249" ht="15.75" customHeight="1" spans="1:26">
      <c r="A249" s="33" t="s">
        <v>3993</v>
      </c>
      <c r="B249" s="33" t="s">
        <v>3994</v>
      </c>
      <c r="C249" s="46" t="s">
        <v>669</v>
      </c>
      <c r="D249" s="37" t="s">
        <v>105</v>
      </c>
      <c r="E249" s="115">
        <v>1</v>
      </c>
      <c r="F249" s="121" t="s">
        <v>3881</v>
      </c>
      <c r="G249" s="117"/>
      <c r="H249" s="117"/>
      <c r="I249" s="127"/>
      <c r="J249" s="79"/>
      <c r="K249" s="79"/>
      <c r="L249" s="79"/>
      <c r="M249" s="79"/>
      <c r="N249" s="79"/>
      <c r="O249" s="79"/>
      <c r="P249" s="79"/>
      <c r="Q249" s="79"/>
      <c r="R249" s="79"/>
      <c r="S249" s="79"/>
      <c r="T249" s="79"/>
      <c r="U249" s="79"/>
      <c r="V249" s="79"/>
      <c r="W249" s="79"/>
      <c r="X249" s="79"/>
      <c r="Y249" s="79"/>
      <c r="Z249" s="96"/>
    </row>
    <row r="250" ht="15.75" customHeight="1" spans="1:26">
      <c r="A250" s="33" t="s">
        <v>3995</v>
      </c>
      <c r="B250" s="33" t="s">
        <v>3996</v>
      </c>
      <c r="C250" s="46" t="s">
        <v>3997</v>
      </c>
      <c r="D250" s="37" t="s">
        <v>105</v>
      </c>
      <c r="E250" s="115">
        <v>2</v>
      </c>
      <c r="F250" s="121" t="s">
        <v>3881</v>
      </c>
      <c r="G250" s="117"/>
      <c r="H250" s="117"/>
      <c r="I250" s="127"/>
      <c r="J250" s="79"/>
      <c r="K250" s="79"/>
      <c r="L250" s="79"/>
      <c r="M250" s="79"/>
      <c r="N250" s="79"/>
      <c r="O250" s="79"/>
      <c r="P250" s="79"/>
      <c r="Q250" s="79"/>
      <c r="R250" s="79"/>
      <c r="S250" s="79"/>
      <c r="T250" s="79"/>
      <c r="U250" s="79"/>
      <c r="V250" s="79"/>
      <c r="W250" s="79"/>
      <c r="X250" s="79"/>
      <c r="Y250" s="79"/>
      <c r="Z250" s="96"/>
    </row>
    <row r="251" ht="15.75" customHeight="1" spans="1:26">
      <c r="A251" s="33" t="s">
        <v>3998</v>
      </c>
      <c r="B251" s="33">
        <v>100866</v>
      </c>
      <c r="C251" s="46" t="s">
        <v>675</v>
      </c>
      <c r="D251" s="37" t="s">
        <v>105</v>
      </c>
      <c r="E251" s="115">
        <v>4</v>
      </c>
      <c r="F251" s="121" t="s">
        <v>3881</v>
      </c>
      <c r="G251" s="117"/>
      <c r="H251" s="117"/>
      <c r="I251" s="127"/>
      <c r="J251" s="79"/>
      <c r="K251" s="79"/>
      <c r="L251" s="79"/>
      <c r="M251" s="79"/>
      <c r="N251" s="79"/>
      <c r="O251" s="79"/>
      <c r="P251" s="79"/>
      <c r="Q251" s="79"/>
      <c r="R251" s="79"/>
      <c r="S251" s="79"/>
      <c r="T251" s="79"/>
      <c r="U251" s="79"/>
      <c r="V251" s="79"/>
      <c r="W251" s="79"/>
      <c r="X251" s="79"/>
      <c r="Y251" s="79"/>
      <c r="Z251" s="96"/>
    </row>
    <row r="252" ht="15.75" customHeight="1" spans="1:26">
      <c r="A252" s="33" t="s">
        <v>3999</v>
      </c>
      <c r="B252" s="33">
        <v>100868</v>
      </c>
      <c r="C252" s="46" t="s">
        <v>678</v>
      </c>
      <c r="D252" s="37" t="s">
        <v>105</v>
      </c>
      <c r="E252" s="115">
        <v>6</v>
      </c>
      <c r="F252" s="121" t="s">
        <v>3881</v>
      </c>
      <c r="G252" s="117"/>
      <c r="H252" s="117"/>
      <c r="I252" s="127"/>
      <c r="J252" s="79"/>
      <c r="K252" s="79"/>
      <c r="L252" s="79"/>
      <c r="M252" s="79"/>
      <c r="N252" s="79"/>
      <c r="O252" s="79"/>
      <c r="P252" s="79"/>
      <c r="Q252" s="79"/>
      <c r="R252" s="79"/>
      <c r="S252" s="79"/>
      <c r="T252" s="79"/>
      <c r="U252" s="79"/>
      <c r="V252" s="79"/>
      <c r="W252" s="79"/>
      <c r="X252" s="79"/>
      <c r="Y252" s="79"/>
      <c r="Z252" s="96"/>
    </row>
    <row r="253" ht="15.75" customHeight="1" spans="1:26">
      <c r="A253" s="33" t="s">
        <v>4000</v>
      </c>
      <c r="B253" s="33">
        <v>86883</v>
      </c>
      <c r="C253" s="46" t="s">
        <v>681</v>
      </c>
      <c r="D253" s="37" t="s">
        <v>105</v>
      </c>
      <c r="E253" s="115">
        <v>10</v>
      </c>
      <c r="F253" s="121" t="s">
        <v>3881</v>
      </c>
      <c r="G253" s="117"/>
      <c r="H253" s="117"/>
      <c r="I253" s="127"/>
      <c r="J253" s="79"/>
      <c r="K253" s="79"/>
      <c r="L253" s="79"/>
      <c r="M253" s="79"/>
      <c r="N253" s="79"/>
      <c r="O253" s="79"/>
      <c r="P253" s="79"/>
      <c r="Q253" s="79"/>
      <c r="R253" s="79"/>
      <c r="S253" s="79"/>
      <c r="T253" s="79"/>
      <c r="U253" s="79"/>
      <c r="V253" s="79"/>
      <c r="W253" s="79"/>
      <c r="X253" s="79"/>
      <c r="Y253" s="79"/>
      <c r="Z253" s="96"/>
    </row>
    <row r="254" ht="15.75" customHeight="1" spans="1:26">
      <c r="A254" s="33" t="s">
        <v>4001</v>
      </c>
      <c r="B254" s="33">
        <v>86881</v>
      </c>
      <c r="C254" s="46" t="s">
        <v>684</v>
      </c>
      <c r="D254" s="37" t="s">
        <v>105</v>
      </c>
      <c r="E254" s="115">
        <v>2</v>
      </c>
      <c r="F254" s="121" t="s">
        <v>3881</v>
      </c>
      <c r="G254" s="117"/>
      <c r="H254" s="117"/>
      <c r="I254" s="127"/>
      <c r="J254" s="79"/>
      <c r="K254" s="79"/>
      <c r="L254" s="79"/>
      <c r="M254" s="79"/>
      <c r="N254" s="79"/>
      <c r="O254" s="79"/>
      <c r="P254" s="79"/>
      <c r="Q254" s="79"/>
      <c r="R254" s="79"/>
      <c r="S254" s="79"/>
      <c r="T254" s="79"/>
      <c r="U254" s="79"/>
      <c r="V254" s="79"/>
      <c r="W254" s="79"/>
      <c r="X254" s="79"/>
      <c r="Y254" s="79"/>
      <c r="Z254" s="96"/>
    </row>
    <row r="255" ht="27.75" customHeight="1" spans="1:26">
      <c r="A255" s="33" t="s">
        <v>4002</v>
      </c>
      <c r="B255" s="33" t="s">
        <v>4003</v>
      </c>
      <c r="C255" s="46" t="s">
        <v>687</v>
      </c>
      <c r="D255" s="37" t="s">
        <v>3719</v>
      </c>
      <c r="E255" s="115">
        <v>13.1</v>
      </c>
      <c r="F255" s="121" t="s">
        <v>3881</v>
      </c>
      <c r="G255" s="117"/>
      <c r="H255" s="117"/>
      <c r="I255" s="127"/>
      <c r="J255" s="79"/>
      <c r="K255" s="79"/>
      <c r="L255" s="79"/>
      <c r="M255" s="79"/>
      <c r="N255" s="79"/>
      <c r="O255" s="79"/>
      <c r="P255" s="79"/>
      <c r="Q255" s="79"/>
      <c r="R255" s="79"/>
      <c r="S255" s="79"/>
      <c r="T255" s="79"/>
      <c r="U255" s="79"/>
      <c r="V255" s="79"/>
      <c r="W255" s="79"/>
      <c r="X255" s="79"/>
      <c r="Y255" s="79"/>
      <c r="Z255" s="96"/>
    </row>
    <row r="256" ht="15.75" customHeight="1" spans="1:26">
      <c r="A256" s="33" t="s">
        <v>4004</v>
      </c>
      <c r="B256" s="33">
        <v>95545</v>
      </c>
      <c r="C256" s="46" t="s">
        <v>690</v>
      </c>
      <c r="D256" s="37" t="s">
        <v>105</v>
      </c>
      <c r="E256" s="115">
        <v>6</v>
      </c>
      <c r="F256" s="121" t="s">
        <v>3881</v>
      </c>
      <c r="G256" s="117"/>
      <c r="H256" s="117"/>
      <c r="I256" s="127"/>
      <c r="J256" s="79"/>
      <c r="K256" s="79"/>
      <c r="L256" s="79"/>
      <c r="M256" s="79"/>
      <c r="N256" s="79"/>
      <c r="O256" s="79"/>
      <c r="P256" s="79"/>
      <c r="Q256" s="79"/>
      <c r="R256" s="79"/>
      <c r="S256" s="79"/>
      <c r="T256" s="79"/>
      <c r="U256" s="79"/>
      <c r="V256" s="79"/>
      <c r="W256" s="79"/>
      <c r="X256" s="79"/>
      <c r="Y256" s="79"/>
      <c r="Z256" s="96"/>
    </row>
    <row r="257" ht="39.75" customHeight="1" spans="1:26">
      <c r="A257" s="33" t="s">
        <v>4005</v>
      </c>
      <c r="B257" s="33">
        <v>190705</v>
      </c>
      <c r="C257" s="46" t="s">
        <v>693</v>
      </c>
      <c r="D257" s="37" t="s">
        <v>105</v>
      </c>
      <c r="E257" s="115">
        <v>4</v>
      </c>
      <c r="F257" s="121" t="s">
        <v>3881</v>
      </c>
      <c r="G257" s="117"/>
      <c r="H257" s="117"/>
      <c r="I257" s="127"/>
      <c r="J257" s="79"/>
      <c r="K257" s="79"/>
      <c r="L257" s="79"/>
      <c r="M257" s="79"/>
      <c r="N257" s="79"/>
      <c r="O257" s="79"/>
      <c r="P257" s="79"/>
      <c r="Q257" s="79"/>
      <c r="R257" s="79"/>
      <c r="S257" s="79"/>
      <c r="T257" s="79"/>
      <c r="U257" s="79"/>
      <c r="V257" s="79"/>
      <c r="W257" s="79"/>
      <c r="X257" s="79"/>
      <c r="Y257" s="79"/>
      <c r="Z257" s="96"/>
    </row>
    <row r="258" ht="15.75" customHeight="1" spans="1:26">
      <c r="A258" s="33" t="s">
        <v>4006</v>
      </c>
      <c r="B258" s="33" t="s">
        <v>4007</v>
      </c>
      <c r="C258" s="46" t="s">
        <v>696</v>
      </c>
      <c r="D258" s="37" t="s">
        <v>105</v>
      </c>
      <c r="E258" s="115">
        <v>8</v>
      </c>
      <c r="F258" s="121" t="s">
        <v>3881</v>
      </c>
      <c r="G258" s="117"/>
      <c r="H258" s="117"/>
      <c r="I258" s="127"/>
      <c r="J258" s="79"/>
      <c r="K258" s="79"/>
      <c r="L258" s="79"/>
      <c r="M258" s="79"/>
      <c r="N258" s="79"/>
      <c r="O258" s="79"/>
      <c r="P258" s="79"/>
      <c r="Q258" s="79"/>
      <c r="R258" s="79"/>
      <c r="S258" s="79"/>
      <c r="T258" s="79"/>
      <c r="U258" s="79"/>
      <c r="V258" s="79"/>
      <c r="W258" s="79"/>
      <c r="X258" s="79"/>
      <c r="Y258" s="79"/>
      <c r="Z258" s="96"/>
    </row>
    <row r="259" ht="15.75" customHeight="1" spans="1:26">
      <c r="A259" s="33" t="s">
        <v>4008</v>
      </c>
      <c r="B259" s="33" t="s">
        <v>4009</v>
      </c>
      <c r="C259" s="46" t="s">
        <v>699</v>
      </c>
      <c r="D259" s="37" t="s">
        <v>3719</v>
      </c>
      <c r="E259" s="115">
        <v>4.64</v>
      </c>
      <c r="F259" s="121" t="s">
        <v>3881</v>
      </c>
      <c r="G259" s="117"/>
      <c r="H259" s="117"/>
      <c r="I259" s="127"/>
      <c r="J259" s="79"/>
      <c r="K259" s="79"/>
      <c r="L259" s="79"/>
      <c r="M259" s="79"/>
      <c r="N259" s="79"/>
      <c r="O259" s="79"/>
      <c r="P259" s="79"/>
      <c r="Q259" s="79"/>
      <c r="R259" s="79"/>
      <c r="S259" s="79"/>
      <c r="T259" s="79"/>
      <c r="U259" s="79"/>
      <c r="V259" s="79"/>
      <c r="W259" s="79"/>
      <c r="X259" s="79"/>
      <c r="Y259" s="79"/>
      <c r="Z259" s="96"/>
    </row>
    <row r="260" ht="15.75" customHeight="1" spans="1:26">
      <c r="A260" s="39">
        <v>11</v>
      </c>
      <c r="B260" s="40"/>
      <c r="C260" s="41" t="s">
        <v>30</v>
      </c>
      <c r="D260" s="42"/>
      <c r="E260" s="43"/>
      <c r="F260" s="66"/>
      <c r="G260" s="67"/>
      <c r="H260" s="67"/>
      <c r="I260" s="67"/>
      <c r="J260" s="79"/>
      <c r="K260" s="79"/>
      <c r="L260" s="79"/>
      <c r="M260" s="79"/>
      <c r="N260" s="79"/>
      <c r="O260" s="79"/>
      <c r="P260" s="79"/>
      <c r="Q260" s="79"/>
      <c r="R260" s="79"/>
      <c r="S260" s="79"/>
      <c r="T260" s="79"/>
      <c r="U260" s="79"/>
      <c r="V260" s="79"/>
      <c r="W260" s="79"/>
      <c r="X260" s="79"/>
      <c r="Y260" s="79"/>
      <c r="Z260" s="96"/>
    </row>
    <row r="261" ht="96" customHeight="1" spans="1:26">
      <c r="A261" s="33" t="s">
        <v>4010</v>
      </c>
      <c r="B261" s="34">
        <v>89576</v>
      </c>
      <c r="C261" s="46" t="s">
        <v>704</v>
      </c>
      <c r="D261" s="37" t="s">
        <v>78</v>
      </c>
      <c r="E261" s="129">
        <v>4</v>
      </c>
      <c r="F261" s="121" t="s">
        <v>4011</v>
      </c>
      <c r="G261" s="117"/>
      <c r="H261" s="117"/>
      <c r="I261" s="127"/>
      <c r="J261" s="79"/>
      <c r="K261" s="79"/>
      <c r="L261" s="79"/>
      <c r="M261" s="79"/>
      <c r="N261" s="79"/>
      <c r="O261" s="79"/>
      <c r="P261" s="79"/>
      <c r="Q261" s="79"/>
      <c r="R261" s="79"/>
      <c r="S261" s="79"/>
      <c r="T261" s="79"/>
      <c r="U261" s="79"/>
      <c r="V261" s="79"/>
      <c r="W261" s="79"/>
      <c r="X261" s="79"/>
      <c r="Y261" s="79"/>
      <c r="Z261" s="96"/>
    </row>
    <row r="262" ht="32.25" customHeight="1" spans="1:26">
      <c r="A262" s="33" t="s">
        <v>4012</v>
      </c>
      <c r="B262" s="34">
        <v>89714</v>
      </c>
      <c r="C262" s="46" t="s">
        <v>547</v>
      </c>
      <c r="D262" s="37" t="s">
        <v>78</v>
      </c>
      <c r="E262" s="129">
        <v>196</v>
      </c>
      <c r="F262" s="121" t="s">
        <v>4011</v>
      </c>
      <c r="G262" s="117"/>
      <c r="H262" s="117"/>
      <c r="I262" s="127"/>
      <c r="J262" s="79"/>
      <c r="K262" s="79"/>
      <c r="L262" s="79"/>
      <c r="M262" s="79"/>
      <c r="N262" s="79"/>
      <c r="O262" s="79"/>
      <c r="P262" s="79"/>
      <c r="Q262" s="79"/>
      <c r="R262" s="79"/>
      <c r="S262" s="79"/>
      <c r="T262" s="79"/>
      <c r="U262" s="79"/>
      <c r="V262" s="79"/>
      <c r="W262" s="79"/>
      <c r="X262" s="79"/>
      <c r="Y262" s="79"/>
      <c r="Z262" s="96"/>
    </row>
    <row r="263" ht="32.25" customHeight="1" spans="1:26">
      <c r="A263" s="33" t="s">
        <v>4013</v>
      </c>
      <c r="B263" s="34">
        <v>89849</v>
      </c>
      <c r="C263" s="46" t="s">
        <v>708</v>
      </c>
      <c r="D263" s="37" t="s">
        <v>78</v>
      </c>
      <c r="E263" s="129">
        <v>225</v>
      </c>
      <c r="F263" s="121" t="s">
        <v>4011</v>
      </c>
      <c r="G263" s="117"/>
      <c r="H263" s="117"/>
      <c r="I263" s="127"/>
      <c r="J263" s="79"/>
      <c r="K263" s="79"/>
      <c r="L263" s="79"/>
      <c r="M263" s="79"/>
      <c r="N263" s="79"/>
      <c r="O263" s="79"/>
      <c r="P263" s="79"/>
      <c r="Q263" s="79"/>
      <c r="R263" s="79"/>
      <c r="S263" s="79"/>
      <c r="T263" s="79"/>
      <c r="U263" s="79"/>
      <c r="V263" s="79"/>
      <c r="W263" s="79"/>
      <c r="X263" s="79"/>
      <c r="Y263" s="79"/>
      <c r="Z263" s="96"/>
    </row>
    <row r="264" ht="15.75" customHeight="1" spans="1:26">
      <c r="A264" s="33" t="s">
        <v>4014</v>
      </c>
      <c r="B264" s="34" t="s">
        <v>4015</v>
      </c>
      <c r="C264" s="46" t="s">
        <v>4016</v>
      </c>
      <c r="D264" s="37" t="s">
        <v>78</v>
      </c>
      <c r="E264" s="129">
        <v>50</v>
      </c>
      <c r="F264" s="121" t="s">
        <v>4011</v>
      </c>
      <c r="G264" s="117"/>
      <c r="H264" s="117"/>
      <c r="I264" s="127"/>
      <c r="J264" s="79"/>
      <c r="K264" s="79"/>
      <c r="L264" s="79"/>
      <c r="M264" s="79"/>
      <c r="N264" s="79"/>
      <c r="O264" s="79"/>
      <c r="P264" s="79"/>
      <c r="Q264" s="79"/>
      <c r="R264" s="79"/>
      <c r="S264" s="79"/>
      <c r="T264" s="79"/>
      <c r="U264" s="79"/>
      <c r="V264" s="79"/>
      <c r="W264" s="79"/>
      <c r="X264" s="79"/>
      <c r="Y264" s="79"/>
      <c r="Z264" s="96"/>
    </row>
    <row r="265" ht="24" customHeight="1" spans="1:26">
      <c r="A265" s="33" t="s">
        <v>4017</v>
      </c>
      <c r="B265" s="34">
        <v>89779</v>
      </c>
      <c r="C265" s="46" t="s">
        <v>556</v>
      </c>
      <c r="D265" s="122" t="s">
        <v>105</v>
      </c>
      <c r="E265" s="129">
        <v>50</v>
      </c>
      <c r="F265" s="121" t="s">
        <v>4011</v>
      </c>
      <c r="G265" s="117"/>
      <c r="H265" s="117"/>
      <c r="I265" s="127"/>
      <c r="J265" s="79"/>
      <c r="K265" s="79"/>
      <c r="L265" s="79"/>
      <c r="M265" s="79"/>
      <c r="N265" s="79"/>
      <c r="O265" s="79"/>
      <c r="P265" s="79"/>
      <c r="Q265" s="79"/>
      <c r="R265" s="79"/>
      <c r="S265" s="79"/>
      <c r="T265" s="79"/>
      <c r="U265" s="79"/>
      <c r="V265" s="79"/>
      <c r="W265" s="79"/>
      <c r="X265" s="79"/>
      <c r="Y265" s="79"/>
      <c r="Z265" s="96"/>
    </row>
    <row r="266" ht="24" customHeight="1" spans="1:26">
      <c r="A266" s="33" t="s">
        <v>4018</v>
      </c>
      <c r="B266" s="34">
        <v>104171</v>
      </c>
      <c r="C266" s="46" t="s">
        <v>717</v>
      </c>
      <c r="D266" s="122" t="s">
        <v>105</v>
      </c>
      <c r="E266" s="129">
        <v>25</v>
      </c>
      <c r="F266" s="121" t="s">
        <v>4011</v>
      </c>
      <c r="G266" s="117"/>
      <c r="H266" s="117"/>
      <c r="I266" s="127"/>
      <c r="J266" s="79"/>
      <c r="K266" s="79"/>
      <c r="L266" s="79"/>
      <c r="M266" s="79"/>
      <c r="N266" s="79"/>
      <c r="O266" s="79"/>
      <c r="P266" s="79"/>
      <c r="Q266" s="79"/>
      <c r="R266" s="79"/>
      <c r="S266" s="79"/>
      <c r="T266" s="79"/>
      <c r="U266" s="79"/>
      <c r="V266" s="79"/>
      <c r="W266" s="79"/>
      <c r="X266" s="79"/>
      <c r="Y266" s="79"/>
      <c r="Z266" s="96"/>
    </row>
    <row r="267" ht="24" customHeight="1" spans="1:26">
      <c r="A267" s="33" t="s">
        <v>4019</v>
      </c>
      <c r="B267" s="34">
        <v>89584</v>
      </c>
      <c r="C267" s="46" t="s">
        <v>723</v>
      </c>
      <c r="D267" s="122" t="s">
        <v>105</v>
      </c>
      <c r="E267" s="129">
        <v>1</v>
      </c>
      <c r="F267" s="121" t="s">
        <v>4011</v>
      </c>
      <c r="G267" s="117"/>
      <c r="H267" s="117"/>
      <c r="I267" s="127"/>
      <c r="J267" s="79"/>
      <c r="K267" s="79"/>
      <c r="L267" s="79"/>
      <c r="M267" s="79"/>
      <c r="N267" s="79"/>
      <c r="O267" s="79"/>
      <c r="P267" s="79"/>
      <c r="Q267" s="79"/>
      <c r="R267" s="79"/>
      <c r="S267" s="79"/>
      <c r="T267" s="79"/>
      <c r="U267" s="79"/>
      <c r="V267" s="79"/>
      <c r="W267" s="79"/>
      <c r="X267" s="79"/>
      <c r="Y267" s="79"/>
      <c r="Z267" s="96"/>
    </row>
    <row r="268" ht="24" customHeight="1" spans="1:26">
      <c r="A268" s="33" t="s">
        <v>4020</v>
      </c>
      <c r="B268" s="34">
        <v>89810</v>
      </c>
      <c r="C268" s="46" t="s">
        <v>726</v>
      </c>
      <c r="D268" s="122" t="s">
        <v>105</v>
      </c>
      <c r="E268" s="129">
        <v>84</v>
      </c>
      <c r="F268" s="121" t="s">
        <v>4011</v>
      </c>
      <c r="G268" s="117"/>
      <c r="H268" s="117"/>
      <c r="I268" s="127"/>
      <c r="J268" s="79"/>
      <c r="K268" s="79"/>
      <c r="L268" s="79"/>
      <c r="M268" s="79"/>
      <c r="N268" s="79"/>
      <c r="O268" s="79"/>
      <c r="P268" s="79"/>
      <c r="Q268" s="79"/>
      <c r="R268" s="79"/>
      <c r="S268" s="79"/>
      <c r="T268" s="79"/>
      <c r="U268" s="79"/>
      <c r="V268" s="79"/>
      <c r="W268" s="79"/>
      <c r="X268" s="79"/>
      <c r="Y268" s="79"/>
      <c r="Z268" s="96"/>
    </row>
    <row r="269" ht="24" customHeight="1" spans="1:26">
      <c r="A269" s="33" t="s">
        <v>4021</v>
      </c>
      <c r="B269" s="34">
        <v>89807</v>
      </c>
      <c r="C269" s="46" t="s">
        <v>729</v>
      </c>
      <c r="D269" s="122" t="s">
        <v>105</v>
      </c>
      <c r="E269" s="129">
        <v>1</v>
      </c>
      <c r="F269" s="121" t="s">
        <v>4011</v>
      </c>
      <c r="G269" s="117"/>
      <c r="H269" s="117"/>
      <c r="I269" s="127"/>
      <c r="J269" s="79"/>
      <c r="K269" s="79"/>
      <c r="L269" s="79"/>
      <c r="M269" s="79"/>
      <c r="N269" s="79"/>
      <c r="O269" s="79"/>
      <c r="P269" s="79"/>
      <c r="Q269" s="79"/>
      <c r="R269" s="79"/>
      <c r="S269" s="79"/>
      <c r="T269" s="79"/>
      <c r="U269" s="79"/>
      <c r="V269" s="79"/>
      <c r="W269" s="79"/>
      <c r="X269" s="79"/>
      <c r="Y269" s="79"/>
      <c r="Z269" s="96"/>
    </row>
    <row r="270" ht="15.75" customHeight="1" spans="1:26">
      <c r="A270" s="33" t="s">
        <v>4022</v>
      </c>
      <c r="B270" s="34">
        <v>89811</v>
      </c>
      <c r="C270" s="46" t="s">
        <v>732</v>
      </c>
      <c r="D270" s="122" t="s">
        <v>105</v>
      </c>
      <c r="E270" s="129">
        <v>17</v>
      </c>
      <c r="F270" s="121" t="s">
        <v>4011</v>
      </c>
      <c r="G270" s="117"/>
      <c r="H270" s="117"/>
      <c r="I270" s="127"/>
      <c r="J270" s="79"/>
      <c r="K270" s="79"/>
      <c r="L270" s="79"/>
      <c r="M270" s="79"/>
      <c r="N270" s="79"/>
      <c r="O270" s="79"/>
      <c r="P270" s="79"/>
      <c r="Q270" s="79"/>
      <c r="R270" s="79"/>
      <c r="S270" s="79"/>
      <c r="T270" s="79"/>
      <c r="U270" s="79"/>
      <c r="V270" s="79"/>
      <c r="W270" s="79"/>
      <c r="X270" s="79"/>
      <c r="Y270" s="79"/>
      <c r="Z270" s="96"/>
    </row>
    <row r="271" ht="15.75" customHeight="1" spans="1:26">
      <c r="A271" s="33" t="s">
        <v>4023</v>
      </c>
      <c r="B271" s="34">
        <v>89693</v>
      </c>
      <c r="C271" s="46" t="s">
        <v>735</v>
      </c>
      <c r="D271" s="122" t="s">
        <v>105</v>
      </c>
      <c r="E271" s="129">
        <v>1</v>
      </c>
      <c r="F271" s="121" t="s">
        <v>4011</v>
      </c>
      <c r="G271" s="117"/>
      <c r="H271" s="117"/>
      <c r="I271" s="127"/>
      <c r="J271" s="79"/>
      <c r="K271" s="79"/>
      <c r="L271" s="79"/>
      <c r="M271" s="79"/>
      <c r="N271" s="79"/>
      <c r="O271" s="79"/>
      <c r="P271" s="79"/>
      <c r="Q271" s="79"/>
      <c r="R271" s="79"/>
      <c r="S271" s="79"/>
      <c r="T271" s="79"/>
      <c r="U271" s="79"/>
      <c r="V271" s="79"/>
      <c r="W271" s="79"/>
      <c r="X271" s="79"/>
      <c r="Y271" s="79"/>
      <c r="Z271" s="96"/>
    </row>
    <row r="272" ht="15.75" customHeight="1" spans="1:26">
      <c r="A272" s="33" t="s">
        <v>4024</v>
      </c>
      <c r="B272" s="34">
        <v>89690</v>
      </c>
      <c r="C272" s="46" t="s">
        <v>738</v>
      </c>
      <c r="D272" s="122" t="s">
        <v>105</v>
      </c>
      <c r="E272" s="129">
        <v>1</v>
      </c>
      <c r="F272" s="121" t="s">
        <v>4011</v>
      </c>
      <c r="G272" s="117"/>
      <c r="H272" s="117"/>
      <c r="I272" s="127"/>
      <c r="J272" s="79"/>
      <c r="K272" s="79"/>
      <c r="L272" s="79"/>
      <c r="M272" s="79"/>
      <c r="N272" s="79"/>
      <c r="O272" s="79"/>
      <c r="P272" s="79"/>
      <c r="Q272" s="79"/>
      <c r="R272" s="79"/>
      <c r="S272" s="79"/>
      <c r="T272" s="79"/>
      <c r="U272" s="79"/>
      <c r="V272" s="79"/>
      <c r="W272" s="79"/>
      <c r="X272" s="79"/>
      <c r="Y272" s="79"/>
      <c r="Z272" s="96"/>
    </row>
    <row r="273" ht="15.75" customHeight="1" spans="1:26">
      <c r="A273" s="33" t="s">
        <v>4025</v>
      </c>
      <c r="B273" s="34" t="s">
        <v>4026</v>
      </c>
      <c r="C273" s="46" t="s">
        <v>4027</v>
      </c>
      <c r="D273" s="122" t="s">
        <v>105</v>
      </c>
      <c r="E273" s="129">
        <v>1</v>
      </c>
      <c r="F273" s="121" t="s">
        <v>4011</v>
      </c>
      <c r="G273" s="117"/>
      <c r="H273" s="117"/>
      <c r="I273" s="127"/>
      <c r="J273" s="79"/>
      <c r="K273" s="79"/>
      <c r="L273" s="79"/>
      <c r="M273" s="79"/>
      <c r="N273" s="79"/>
      <c r="O273" s="79"/>
      <c r="P273" s="79"/>
      <c r="Q273" s="79"/>
      <c r="R273" s="79"/>
      <c r="S273" s="79"/>
      <c r="T273" s="79"/>
      <c r="U273" s="79"/>
      <c r="V273" s="79"/>
      <c r="W273" s="79"/>
      <c r="X273" s="79"/>
      <c r="Y273" s="79"/>
      <c r="Z273" s="96"/>
    </row>
    <row r="274" ht="42" customHeight="1" spans="1:26">
      <c r="A274" s="33" t="s">
        <v>4028</v>
      </c>
      <c r="B274" s="34" t="s">
        <v>4029</v>
      </c>
      <c r="C274" s="46" t="s">
        <v>4030</v>
      </c>
      <c r="D274" s="122" t="s">
        <v>105</v>
      </c>
      <c r="E274" s="129">
        <v>4</v>
      </c>
      <c r="F274" s="121" t="s">
        <v>4011</v>
      </c>
      <c r="G274" s="117"/>
      <c r="H274" s="117"/>
      <c r="I274" s="127"/>
      <c r="J274" s="79"/>
      <c r="K274" s="79"/>
      <c r="L274" s="79"/>
      <c r="M274" s="79"/>
      <c r="N274" s="79"/>
      <c r="O274" s="79"/>
      <c r="P274" s="79"/>
      <c r="Q274" s="79"/>
      <c r="R274" s="79"/>
      <c r="S274" s="79"/>
      <c r="T274" s="79"/>
      <c r="U274" s="79"/>
      <c r="V274" s="79"/>
      <c r="W274" s="79"/>
      <c r="X274" s="79"/>
      <c r="Y274" s="79"/>
      <c r="Z274" s="96"/>
    </row>
    <row r="275" ht="15.75" customHeight="1" spans="1:26">
      <c r="A275" s="33" t="s">
        <v>4031</v>
      </c>
      <c r="B275" s="34" t="s">
        <v>3975</v>
      </c>
      <c r="C275" s="46" t="s">
        <v>3976</v>
      </c>
      <c r="D275" s="122" t="s">
        <v>105</v>
      </c>
      <c r="E275" s="129">
        <v>23</v>
      </c>
      <c r="F275" s="121" t="s">
        <v>4011</v>
      </c>
      <c r="G275" s="117"/>
      <c r="H275" s="117"/>
      <c r="I275" s="127"/>
      <c r="J275" s="79"/>
      <c r="K275" s="79"/>
      <c r="L275" s="79"/>
      <c r="M275" s="79"/>
      <c r="N275" s="79"/>
      <c r="O275" s="79"/>
      <c r="P275" s="79"/>
      <c r="Q275" s="79"/>
      <c r="R275" s="79"/>
      <c r="S275" s="79"/>
      <c r="T275" s="79"/>
      <c r="U275" s="79"/>
      <c r="V275" s="79"/>
      <c r="W275" s="79"/>
      <c r="X275" s="79"/>
      <c r="Y275" s="79"/>
      <c r="Z275" s="96"/>
    </row>
    <row r="276" ht="15.75" customHeight="1" spans="1:26">
      <c r="A276" s="33" t="s">
        <v>4032</v>
      </c>
      <c r="B276" s="34" t="s">
        <v>3973</v>
      </c>
      <c r="C276" s="46" t="s">
        <v>634</v>
      </c>
      <c r="D276" s="122" t="s">
        <v>78</v>
      </c>
      <c r="E276" s="129">
        <v>10</v>
      </c>
      <c r="F276" s="121" t="s">
        <v>4011</v>
      </c>
      <c r="G276" s="117"/>
      <c r="H276" s="117"/>
      <c r="I276" s="127"/>
      <c r="J276" s="79"/>
      <c r="K276" s="79"/>
      <c r="L276" s="79"/>
      <c r="M276" s="79"/>
      <c r="N276" s="79"/>
      <c r="O276" s="79"/>
      <c r="P276" s="79"/>
      <c r="Q276" s="79"/>
      <c r="R276" s="79"/>
      <c r="S276" s="79"/>
      <c r="T276" s="79"/>
      <c r="U276" s="79"/>
      <c r="V276" s="79"/>
      <c r="W276" s="79"/>
      <c r="X276" s="79"/>
      <c r="Y276" s="79"/>
      <c r="Z276" s="96"/>
    </row>
    <row r="277" ht="15.75" customHeight="1" spans="1:26">
      <c r="A277" s="39">
        <v>12</v>
      </c>
      <c r="B277" s="40"/>
      <c r="C277" s="41" t="s">
        <v>31</v>
      </c>
      <c r="D277" s="42"/>
      <c r="E277" s="43"/>
      <c r="F277" s="66"/>
      <c r="G277" s="67"/>
      <c r="H277" s="67"/>
      <c r="I277" s="67"/>
      <c r="J277" s="79"/>
      <c r="K277" s="79"/>
      <c r="L277" s="79"/>
      <c r="M277" s="79"/>
      <c r="N277" s="79"/>
      <c r="O277" s="79"/>
      <c r="P277" s="79"/>
      <c r="Q277" s="79"/>
      <c r="R277" s="79"/>
      <c r="S277" s="79"/>
      <c r="T277" s="79"/>
      <c r="U277" s="79"/>
      <c r="V277" s="79"/>
      <c r="W277" s="79"/>
      <c r="X277" s="79"/>
      <c r="Y277" s="79"/>
      <c r="Z277" s="96"/>
    </row>
    <row r="278" ht="15.75" customHeight="1" spans="1:26">
      <c r="A278" s="39" t="s">
        <v>4033</v>
      </c>
      <c r="B278" s="40"/>
      <c r="C278" s="41" t="s">
        <v>755</v>
      </c>
      <c r="D278" s="42"/>
      <c r="E278" s="43"/>
      <c r="F278" s="66"/>
      <c r="G278" s="67"/>
      <c r="H278" s="67"/>
      <c r="I278" s="67"/>
      <c r="J278" s="79"/>
      <c r="K278" s="79"/>
      <c r="L278" s="79"/>
      <c r="M278" s="79"/>
      <c r="N278" s="79"/>
      <c r="O278" s="79"/>
      <c r="P278" s="79"/>
      <c r="Q278" s="79"/>
      <c r="R278" s="79"/>
      <c r="S278" s="79"/>
      <c r="T278" s="79"/>
      <c r="U278" s="79"/>
      <c r="V278" s="79"/>
      <c r="W278" s="79"/>
      <c r="X278" s="79"/>
      <c r="Y278" s="79"/>
      <c r="Z278" s="96"/>
    </row>
    <row r="279" ht="15.75" customHeight="1" spans="1:26">
      <c r="A279" s="33" t="s">
        <v>4034</v>
      </c>
      <c r="B279" s="34">
        <v>91926</v>
      </c>
      <c r="C279" s="46" t="s">
        <v>761</v>
      </c>
      <c r="D279" s="36" t="s">
        <v>78</v>
      </c>
      <c r="E279" s="37">
        <f>I278:I279</f>
        <v>1594.6</v>
      </c>
      <c r="F279" s="61" t="s">
        <v>4035</v>
      </c>
      <c r="G279" s="117" t="s">
        <v>4036</v>
      </c>
      <c r="H279" s="17"/>
      <c r="I279" s="125">
        <f>(E285+E286+E287)*4</f>
        <v>1594.6</v>
      </c>
      <c r="J279" s="79"/>
      <c r="K279" s="79"/>
      <c r="L279" s="79"/>
      <c r="M279" s="79"/>
      <c r="N279" s="79"/>
      <c r="O279" s="79"/>
      <c r="P279" s="79"/>
      <c r="Q279" s="79"/>
      <c r="R279" s="79"/>
      <c r="S279" s="79"/>
      <c r="T279" s="79"/>
      <c r="U279" s="79"/>
      <c r="V279" s="79"/>
      <c r="W279" s="79"/>
      <c r="X279" s="79"/>
      <c r="Y279" s="79"/>
      <c r="Z279" s="96"/>
    </row>
    <row r="280" ht="15.75" customHeight="1" spans="1:26">
      <c r="A280" s="33" t="s">
        <v>4037</v>
      </c>
      <c r="B280" s="34">
        <v>63511</v>
      </c>
      <c r="C280" s="46" t="s">
        <v>4038</v>
      </c>
      <c r="D280" s="36" t="s">
        <v>78</v>
      </c>
      <c r="E280" s="37">
        <f>I279:I280</f>
        <v>240</v>
      </c>
      <c r="F280" s="61" t="s">
        <v>4039</v>
      </c>
      <c r="G280" s="117" t="s">
        <v>4040</v>
      </c>
      <c r="H280" s="17"/>
      <c r="I280" s="88">
        <f>240*1</f>
        <v>240</v>
      </c>
      <c r="J280" s="79"/>
      <c r="K280" s="79"/>
      <c r="L280" s="79"/>
      <c r="M280" s="79"/>
      <c r="N280" s="79"/>
      <c r="O280" s="79"/>
      <c r="P280" s="79"/>
      <c r="Q280" s="79"/>
      <c r="R280" s="79"/>
      <c r="S280" s="79"/>
      <c r="T280" s="79"/>
      <c r="U280" s="79"/>
      <c r="V280" s="79"/>
      <c r="W280" s="79"/>
      <c r="X280" s="79"/>
      <c r="Y280" s="79"/>
      <c r="Z280" s="96"/>
    </row>
    <row r="281" ht="15.75" customHeight="1" spans="1:26">
      <c r="A281" s="33"/>
      <c r="B281" s="34"/>
      <c r="C281" s="46"/>
      <c r="D281" s="36"/>
      <c r="E281" s="37"/>
      <c r="F281" s="61"/>
      <c r="G281" s="117"/>
      <c r="H281" s="117"/>
      <c r="I281" s="91"/>
      <c r="J281" s="79"/>
      <c r="K281" s="79"/>
      <c r="L281" s="79"/>
      <c r="M281" s="79"/>
      <c r="N281" s="79"/>
      <c r="O281" s="79"/>
      <c r="P281" s="79"/>
      <c r="Q281" s="79"/>
      <c r="R281" s="79"/>
      <c r="S281" s="79"/>
      <c r="T281" s="79"/>
      <c r="U281" s="79"/>
      <c r="V281" s="79"/>
      <c r="W281" s="79"/>
      <c r="X281" s="79"/>
      <c r="Y281" s="79"/>
      <c r="Z281" s="96"/>
    </row>
    <row r="282" ht="15.75" customHeight="1" spans="1:26">
      <c r="A282" s="39" t="s">
        <v>4041</v>
      </c>
      <c r="B282" s="40"/>
      <c r="C282" s="41" t="s">
        <v>1081</v>
      </c>
      <c r="D282" s="42"/>
      <c r="E282" s="43"/>
      <c r="F282" s="66"/>
      <c r="G282" s="67"/>
      <c r="H282" s="67"/>
      <c r="I282" s="67"/>
      <c r="J282" s="79"/>
      <c r="K282" s="79"/>
      <c r="L282" s="79"/>
      <c r="M282" s="79"/>
      <c r="N282" s="79"/>
      <c r="O282" s="79"/>
      <c r="P282" s="79"/>
      <c r="Q282" s="79"/>
      <c r="R282" s="79"/>
      <c r="S282" s="79"/>
      <c r="T282" s="79"/>
      <c r="U282" s="79"/>
      <c r="V282" s="79"/>
      <c r="W282" s="79"/>
      <c r="X282" s="79"/>
      <c r="Y282" s="79"/>
      <c r="Z282" s="96"/>
    </row>
    <row r="283" ht="15.75" customHeight="1" spans="1:26">
      <c r="A283" s="33" t="s">
        <v>4042</v>
      </c>
      <c r="B283" s="34" t="s">
        <v>4043</v>
      </c>
      <c r="C283" s="46" t="s">
        <v>4044</v>
      </c>
      <c r="D283" s="36" t="s">
        <v>105</v>
      </c>
      <c r="E283" s="37">
        <f>I283</f>
        <v>2</v>
      </c>
      <c r="F283" s="61" t="s">
        <v>3730</v>
      </c>
      <c r="G283" s="117" t="s">
        <v>4045</v>
      </c>
      <c r="H283" s="17"/>
      <c r="I283" s="88">
        <v>2</v>
      </c>
      <c r="J283" s="79"/>
      <c r="K283" s="79"/>
      <c r="L283" s="79"/>
      <c r="M283" s="79"/>
      <c r="N283" s="79"/>
      <c r="O283" s="79"/>
      <c r="P283" s="79"/>
      <c r="Q283" s="79"/>
      <c r="R283" s="79"/>
      <c r="S283" s="79"/>
      <c r="T283" s="79"/>
      <c r="U283" s="79"/>
      <c r="V283" s="79"/>
      <c r="W283" s="79"/>
      <c r="X283" s="79"/>
      <c r="Y283" s="79"/>
      <c r="Z283" s="96"/>
    </row>
    <row r="284" ht="15.75" customHeight="1" spans="1:26">
      <c r="A284" s="39" t="s">
        <v>4046</v>
      </c>
      <c r="B284" s="40"/>
      <c r="C284" s="41" t="s">
        <v>4047</v>
      </c>
      <c r="D284" s="42"/>
      <c r="E284" s="43"/>
      <c r="F284" s="66"/>
      <c r="G284" s="67"/>
      <c r="H284" s="67"/>
      <c r="I284" s="67"/>
      <c r="J284" s="79"/>
      <c r="K284" s="79"/>
      <c r="L284" s="79"/>
      <c r="M284" s="79"/>
      <c r="N284" s="79"/>
      <c r="O284" s="79"/>
      <c r="P284" s="79"/>
      <c r="Q284" s="79"/>
      <c r="R284" s="79"/>
      <c r="S284" s="79"/>
      <c r="T284" s="79"/>
      <c r="U284" s="79"/>
      <c r="V284" s="79"/>
      <c r="W284" s="79"/>
      <c r="X284" s="79"/>
      <c r="Y284" s="79"/>
      <c r="Z284" s="96"/>
    </row>
    <row r="285" ht="15.75" customHeight="1" spans="1:26">
      <c r="A285" s="33" t="s">
        <v>4048</v>
      </c>
      <c r="B285" s="34" t="s">
        <v>4049</v>
      </c>
      <c r="C285" s="46" t="s">
        <v>4050</v>
      </c>
      <c r="D285" s="36" t="s">
        <v>78</v>
      </c>
      <c r="E285" s="37">
        <f>I285</f>
        <v>60</v>
      </c>
      <c r="F285" s="61" t="s">
        <v>4051</v>
      </c>
      <c r="G285" s="117" t="s">
        <v>4052</v>
      </c>
      <c r="H285" s="17"/>
      <c r="I285" s="125">
        <f>40*1.5</f>
        <v>60</v>
      </c>
      <c r="J285" s="79"/>
      <c r="K285" s="79"/>
      <c r="L285" s="79"/>
      <c r="M285" s="79"/>
      <c r="N285" s="79"/>
      <c r="O285" s="79"/>
      <c r="P285" s="79"/>
      <c r="Q285" s="79"/>
      <c r="R285" s="79"/>
      <c r="S285" s="79"/>
      <c r="T285" s="79"/>
      <c r="U285" s="79"/>
      <c r="V285" s="79"/>
      <c r="W285" s="79"/>
      <c r="X285" s="79"/>
      <c r="Y285" s="79"/>
      <c r="Z285" s="96"/>
    </row>
    <row r="286" ht="36.75" customHeight="1" spans="1:26">
      <c r="A286" s="33" t="s">
        <v>4053</v>
      </c>
      <c r="B286" s="34" t="s">
        <v>4054</v>
      </c>
      <c r="C286" s="46" t="s">
        <v>4055</v>
      </c>
      <c r="D286" s="36" t="s">
        <v>78</v>
      </c>
      <c r="E286" s="37">
        <f>I286</f>
        <v>104.43</v>
      </c>
      <c r="F286" s="61" t="s">
        <v>3730</v>
      </c>
      <c r="G286" s="118" t="s">
        <v>4056</v>
      </c>
      <c r="H286" s="17"/>
      <c r="I286" s="125">
        <f>64.44+6.29+5.87+7.28+6.08+6.75+7.72</f>
        <v>104.43</v>
      </c>
      <c r="J286" s="79"/>
      <c r="K286" s="79"/>
      <c r="L286" s="79"/>
      <c r="M286" s="79"/>
      <c r="N286" s="79"/>
      <c r="O286" s="79"/>
      <c r="P286" s="79"/>
      <c r="Q286" s="79"/>
      <c r="R286" s="79"/>
      <c r="S286" s="79"/>
      <c r="T286" s="79"/>
      <c r="U286" s="79"/>
      <c r="V286" s="79"/>
      <c r="W286" s="79"/>
      <c r="X286" s="79"/>
      <c r="Y286" s="79"/>
      <c r="Z286" s="96"/>
    </row>
    <row r="287" ht="48" customHeight="1" spans="1:26">
      <c r="A287" s="33" t="s">
        <v>4057</v>
      </c>
      <c r="B287" s="34" t="s">
        <v>4058</v>
      </c>
      <c r="C287" s="46" t="s">
        <v>4059</v>
      </c>
      <c r="D287" s="36" t="s">
        <v>78</v>
      </c>
      <c r="E287" s="37">
        <f>I287</f>
        <v>234.22</v>
      </c>
      <c r="F287" s="61" t="s">
        <v>3730</v>
      </c>
      <c r="G287" s="130" t="s">
        <v>4060</v>
      </c>
      <c r="H287" s="17"/>
      <c r="I287" s="125">
        <f>5.99+7.47+7.47+7.47+7.47+6.73+3.86+3.86+6.73+16.1+11.71+6.96+4.92+6.96+6.96+6.96+6.96+4.5+3.55+3+8+8+6.28+6.28+6.28+6.28+6.28+3.94+4.17+5.22+5.22+2.96+2.96+6.68+6.68+6.68+6.68</f>
        <v>234.22</v>
      </c>
      <c r="J287" s="79"/>
      <c r="K287" s="79"/>
      <c r="L287" s="79"/>
      <c r="M287" s="79"/>
      <c r="N287" s="79"/>
      <c r="O287" s="79"/>
      <c r="P287" s="79"/>
      <c r="Q287" s="79"/>
      <c r="R287" s="79"/>
      <c r="S287" s="79"/>
      <c r="T287" s="79"/>
      <c r="U287" s="79"/>
      <c r="V287" s="79"/>
      <c r="W287" s="79"/>
      <c r="X287" s="79"/>
      <c r="Y287" s="79"/>
      <c r="Z287" s="96"/>
    </row>
    <row r="288" ht="28.5" customHeight="1" spans="1:26">
      <c r="A288" s="39" t="s">
        <v>4061</v>
      </c>
      <c r="B288" s="40"/>
      <c r="C288" s="41" t="s">
        <v>4062</v>
      </c>
      <c r="D288" s="42"/>
      <c r="E288" s="43"/>
      <c r="F288" s="66"/>
      <c r="G288" s="67"/>
      <c r="H288" s="67"/>
      <c r="I288" s="67"/>
      <c r="J288" s="79"/>
      <c r="K288" s="79"/>
      <c r="L288" s="79"/>
      <c r="M288" s="79"/>
      <c r="N288" s="79"/>
      <c r="O288" s="79"/>
      <c r="P288" s="79"/>
      <c r="Q288" s="79"/>
      <c r="R288" s="79"/>
      <c r="S288" s="79"/>
      <c r="T288" s="79"/>
      <c r="U288" s="79"/>
      <c r="V288" s="79"/>
      <c r="W288" s="79"/>
      <c r="X288" s="79"/>
      <c r="Y288" s="79"/>
      <c r="Z288" s="96"/>
    </row>
    <row r="289" ht="39" customHeight="1" spans="1:26">
      <c r="A289" s="33" t="s">
        <v>4063</v>
      </c>
      <c r="B289" s="34" t="s">
        <v>4064</v>
      </c>
      <c r="C289" s="46" t="s">
        <v>4065</v>
      </c>
      <c r="D289" s="36" t="s">
        <v>105</v>
      </c>
      <c r="E289" s="37">
        <f>I289</f>
        <v>19</v>
      </c>
      <c r="F289" s="61" t="s">
        <v>3730</v>
      </c>
      <c r="G289" s="117" t="s">
        <v>4045</v>
      </c>
      <c r="H289" s="17"/>
      <c r="I289" s="125">
        <v>19</v>
      </c>
      <c r="J289" s="79"/>
      <c r="K289" s="79"/>
      <c r="L289" s="79"/>
      <c r="M289" s="79"/>
      <c r="N289" s="79"/>
      <c r="O289" s="79"/>
      <c r="P289" s="79"/>
      <c r="Q289" s="79"/>
      <c r="R289" s="79"/>
      <c r="S289" s="79"/>
      <c r="T289" s="79"/>
      <c r="U289" s="79"/>
      <c r="V289" s="79"/>
      <c r="W289" s="79"/>
      <c r="X289" s="79"/>
      <c r="Y289" s="79"/>
      <c r="Z289" s="96"/>
    </row>
    <row r="290" ht="33.75" customHeight="1" spans="1:26">
      <c r="A290" s="33" t="s">
        <v>4066</v>
      </c>
      <c r="B290" s="34" t="s">
        <v>4067</v>
      </c>
      <c r="C290" s="46" t="s">
        <v>4068</v>
      </c>
      <c r="D290" s="36" t="s">
        <v>105</v>
      </c>
      <c r="E290" s="37">
        <f>I290</f>
        <v>10</v>
      </c>
      <c r="F290" s="61" t="s">
        <v>3730</v>
      </c>
      <c r="G290" s="117" t="s">
        <v>4045</v>
      </c>
      <c r="H290" s="17"/>
      <c r="I290" s="125">
        <v>10</v>
      </c>
      <c r="J290" s="79"/>
      <c r="K290" s="79"/>
      <c r="L290" s="79"/>
      <c r="M290" s="79"/>
      <c r="N290" s="79"/>
      <c r="O290" s="79"/>
      <c r="P290" s="79"/>
      <c r="Q290" s="79"/>
      <c r="R290" s="79"/>
      <c r="S290" s="79"/>
      <c r="T290" s="79"/>
      <c r="U290" s="79"/>
      <c r="V290" s="79"/>
      <c r="W290" s="79"/>
      <c r="X290" s="79"/>
      <c r="Y290" s="79"/>
      <c r="Z290" s="96"/>
    </row>
    <row r="291" ht="57" customHeight="1" spans="1:26">
      <c r="A291" s="33" t="s">
        <v>4069</v>
      </c>
      <c r="B291" s="33">
        <v>100903</v>
      </c>
      <c r="C291" s="46" t="s">
        <v>4070</v>
      </c>
      <c r="D291" s="36" t="s">
        <v>105</v>
      </c>
      <c r="E291" s="37">
        <f>I291</f>
        <v>240</v>
      </c>
      <c r="F291" s="61" t="s">
        <v>3730</v>
      </c>
      <c r="G291" s="117" t="s">
        <v>4045</v>
      </c>
      <c r="H291" s="17"/>
      <c r="I291" s="125">
        <v>240</v>
      </c>
      <c r="J291" s="79"/>
      <c r="K291" s="79"/>
      <c r="L291" s="79"/>
      <c r="M291" s="79"/>
      <c r="N291" s="79"/>
      <c r="O291" s="79"/>
      <c r="P291" s="79"/>
      <c r="Q291" s="79"/>
      <c r="R291" s="79"/>
      <c r="S291" s="79"/>
      <c r="T291" s="79"/>
      <c r="U291" s="79"/>
      <c r="V291" s="79"/>
      <c r="W291" s="79"/>
      <c r="X291" s="79"/>
      <c r="Y291" s="79"/>
      <c r="Z291" s="96"/>
    </row>
    <row r="292" ht="15.75" customHeight="1" spans="1:26">
      <c r="A292" s="39" t="s">
        <v>4071</v>
      </c>
      <c r="B292" s="40"/>
      <c r="C292" s="41" t="s">
        <v>924</v>
      </c>
      <c r="D292" s="42"/>
      <c r="E292" s="43"/>
      <c r="F292" s="66"/>
      <c r="G292" s="67"/>
      <c r="H292" s="67"/>
      <c r="I292" s="67"/>
      <c r="J292" s="79"/>
      <c r="K292" s="79"/>
      <c r="L292" s="79"/>
      <c r="M292" s="79"/>
      <c r="N292" s="79"/>
      <c r="O292" s="79"/>
      <c r="P292" s="79"/>
      <c r="Q292" s="79"/>
      <c r="R292" s="79"/>
      <c r="S292" s="79"/>
      <c r="T292" s="79"/>
      <c r="U292" s="79"/>
      <c r="V292" s="79"/>
      <c r="W292" s="79"/>
      <c r="X292" s="79"/>
      <c r="Y292" s="79"/>
      <c r="Z292" s="96"/>
    </row>
    <row r="293" ht="22.5" spans="1:26">
      <c r="A293" s="33" t="s">
        <v>4072</v>
      </c>
      <c r="B293" s="34" t="s">
        <v>4073</v>
      </c>
      <c r="C293" s="46" t="s">
        <v>4074</v>
      </c>
      <c r="D293" s="36" t="s">
        <v>105</v>
      </c>
      <c r="E293" s="37">
        <f>I293</f>
        <v>22</v>
      </c>
      <c r="F293" s="61" t="s">
        <v>3730</v>
      </c>
      <c r="G293" s="117" t="s">
        <v>4045</v>
      </c>
      <c r="H293" s="17"/>
      <c r="I293" s="88">
        <f>3+19</f>
        <v>22</v>
      </c>
      <c r="J293" s="79"/>
      <c r="K293" s="79"/>
      <c r="L293" s="79"/>
      <c r="M293" s="79"/>
      <c r="N293" s="79"/>
      <c r="O293" s="79"/>
      <c r="P293" s="79"/>
      <c r="Q293" s="79"/>
      <c r="R293" s="79"/>
      <c r="S293" s="79"/>
      <c r="T293" s="79"/>
      <c r="U293" s="79"/>
      <c r="V293" s="79"/>
      <c r="W293" s="79"/>
      <c r="X293" s="79"/>
      <c r="Y293" s="79"/>
      <c r="Z293" s="96"/>
    </row>
    <row r="294" ht="22.5" spans="1:26">
      <c r="A294" s="33" t="s">
        <v>4075</v>
      </c>
      <c r="B294" s="34" t="s">
        <v>4076</v>
      </c>
      <c r="C294" s="46" t="s">
        <v>4077</v>
      </c>
      <c r="D294" s="36" t="s">
        <v>105</v>
      </c>
      <c r="E294" s="37">
        <f>I294</f>
        <v>164</v>
      </c>
      <c r="F294" s="61" t="s">
        <v>3730</v>
      </c>
      <c r="G294" s="117" t="s">
        <v>4045</v>
      </c>
      <c r="H294" s="17"/>
      <c r="I294" s="88">
        <f>30+134</f>
        <v>164</v>
      </c>
      <c r="J294" s="79"/>
      <c r="K294" s="79"/>
      <c r="L294" s="79"/>
      <c r="M294" s="79"/>
      <c r="N294" s="79"/>
      <c r="O294" s="79"/>
      <c r="P294" s="79"/>
      <c r="Q294" s="79"/>
      <c r="R294" s="79"/>
      <c r="S294" s="79"/>
      <c r="T294" s="79"/>
      <c r="U294" s="79"/>
      <c r="V294" s="79"/>
      <c r="W294" s="79"/>
      <c r="X294" s="79"/>
      <c r="Y294" s="79"/>
      <c r="Z294" s="96"/>
    </row>
    <row r="295" ht="22.5" spans="1:26">
      <c r="A295" s="33" t="s">
        <v>4078</v>
      </c>
      <c r="B295" s="34">
        <v>91981</v>
      </c>
      <c r="C295" s="46" t="s">
        <v>927</v>
      </c>
      <c r="D295" s="36" t="s">
        <v>105</v>
      </c>
      <c r="E295" s="37">
        <f>I295</f>
        <v>4</v>
      </c>
      <c r="F295" s="61" t="s">
        <v>3730</v>
      </c>
      <c r="G295" s="117" t="s">
        <v>4045</v>
      </c>
      <c r="H295" s="17"/>
      <c r="I295" s="88">
        <v>4</v>
      </c>
      <c r="J295" s="79"/>
      <c r="K295" s="79"/>
      <c r="L295" s="79"/>
      <c r="M295" s="79"/>
      <c r="N295" s="79"/>
      <c r="O295" s="79"/>
      <c r="P295" s="79"/>
      <c r="Q295" s="79"/>
      <c r="R295" s="79"/>
      <c r="S295" s="79"/>
      <c r="T295" s="79"/>
      <c r="U295" s="79"/>
      <c r="V295" s="79"/>
      <c r="W295" s="79"/>
      <c r="X295" s="79"/>
      <c r="Y295" s="79"/>
      <c r="Z295" s="96"/>
    </row>
    <row r="296" ht="22.5" spans="1:26">
      <c r="A296" s="33" t="s">
        <v>4079</v>
      </c>
      <c r="B296" s="34">
        <v>91969</v>
      </c>
      <c r="C296" s="46" t="s">
        <v>930</v>
      </c>
      <c r="D296" s="36" t="s">
        <v>105</v>
      </c>
      <c r="E296" s="37">
        <f>I296</f>
        <v>19</v>
      </c>
      <c r="F296" s="61" t="s">
        <v>3730</v>
      </c>
      <c r="G296" s="117" t="s">
        <v>4045</v>
      </c>
      <c r="H296" s="17"/>
      <c r="I296" s="88">
        <v>19</v>
      </c>
      <c r="J296" s="79"/>
      <c r="K296" s="79"/>
      <c r="L296" s="79"/>
      <c r="M296" s="79"/>
      <c r="N296" s="79"/>
      <c r="O296" s="79"/>
      <c r="P296" s="79"/>
      <c r="Q296" s="79"/>
      <c r="R296" s="79"/>
      <c r="S296" s="79"/>
      <c r="T296" s="79"/>
      <c r="U296" s="79"/>
      <c r="V296" s="79"/>
      <c r="W296" s="79"/>
      <c r="X296" s="79"/>
      <c r="Y296" s="79"/>
      <c r="Z296" s="96"/>
    </row>
    <row r="297" ht="15.75" customHeight="1" spans="1:26">
      <c r="A297" s="39">
        <v>13</v>
      </c>
      <c r="B297" s="40"/>
      <c r="C297" s="41" t="s">
        <v>32</v>
      </c>
      <c r="D297" s="42"/>
      <c r="E297" s="43"/>
      <c r="F297" s="66"/>
      <c r="G297" s="67"/>
      <c r="H297" s="67"/>
      <c r="I297" s="67"/>
      <c r="J297" s="79"/>
      <c r="K297" s="79"/>
      <c r="L297" s="79"/>
      <c r="M297" s="79"/>
      <c r="N297" s="79"/>
      <c r="O297" s="79"/>
      <c r="P297" s="79"/>
      <c r="Q297" s="79"/>
      <c r="R297" s="79"/>
      <c r="S297" s="79"/>
      <c r="T297" s="79"/>
      <c r="U297" s="79"/>
      <c r="V297" s="79"/>
      <c r="W297" s="79"/>
      <c r="X297" s="79"/>
      <c r="Y297" s="79"/>
      <c r="Z297" s="96"/>
    </row>
    <row r="298" ht="18.75" customHeight="1" spans="1:26">
      <c r="A298" s="33" t="s">
        <v>4080</v>
      </c>
      <c r="B298" s="34" t="s">
        <v>4081</v>
      </c>
      <c r="C298" s="46" t="s">
        <v>989</v>
      </c>
      <c r="D298" s="36" t="s">
        <v>78</v>
      </c>
      <c r="E298" s="37">
        <f>I298</f>
        <v>196.78</v>
      </c>
      <c r="F298" s="61" t="s">
        <v>3730</v>
      </c>
      <c r="G298" s="131" t="s">
        <v>4082</v>
      </c>
      <c r="H298" s="17"/>
      <c r="I298" s="88">
        <f>122.19+2.54+2.54+8.65+30.45+30.41</f>
        <v>196.78</v>
      </c>
      <c r="J298" s="79"/>
      <c r="K298" s="79"/>
      <c r="L298" s="79"/>
      <c r="M298" s="79"/>
      <c r="N298" s="79"/>
      <c r="O298" s="79"/>
      <c r="P298" s="79"/>
      <c r="Q298" s="79"/>
      <c r="R298" s="79"/>
      <c r="S298" s="79"/>
      <c r="T298" s="79"/>
      <c r="U298" s="79"/>
      <c r="V298" s="79"/>
      <c r="W298" s="79"/>
      <c r="X298" s="79"/>
      <c r="Y298" s="79"/>
      <c r="Z298" s="96"/>
    </row>
    <row r="299" ht="24" customHeight="1" spans="1:26">
      <c r="A299" s="33" t="s">
        <v>4083</v>
      </c>
      <c r="B299" s="34" t="s">
        <v>4084</v>
      </c>
      <c r="C299" s="46" t="s">
        <v>992</v>
      </c>
      <c r="D299" s="36" t="s">
        <v>105</v>
      </c>
      <c r="E299" s="37">
        <f>ROUNDUP(I299,)</f>
        <v>7</v>
      </c>
      <c r="F299" s="61" t="s">
        <v>3730</v>
      </c>
      <c r="G299" s="131" t="s">
        <v>4085</v>
      </c>
      <c r="H299" s="17"/>
      <c r="I299" s="125">
        <f>(116.22+28.85+28.85+28.65)/33</f>
        <v>6.13848484848485</v>
      </c>
      <c r="J299" s="79"/>
      <c r="K299" s="79"/>
      <c r="L299" s="79"/>
      <c r="M299" s="79"/>
      <c r="N299" s="79"/>
      <c r="O299" s="79"/>
      <c r="P299" s="79"/>
      <c r="Q299" s="79"/>
      <c r="R299" s="79"/>
      <c r="S299" s="79"/>
      <c r="T299" s="79"/>
      <c r="U299" s="79"/>
      <c r="V299" s="79"/>
      <c r="W299" s="79"/>
      <c r="X299" s="79"/>
      <c r="Y299" s="79"/>
      <c r="Z299" s="96"/>
    </row>
    <row r="300" ht="15.75" customHeight="1" spans="1:26">
      <c r="A300" s="33" t="s">
        <v>4086</v>
      </c>
      <c r="B300" s="34" t="s">
        <v>4087</v>
      </c>
      <c r="C300" s="46" t="s">
        <v>982</v>
      </c>
      <c r="D300" s="36" t="s">
        <v>105</v>
      </c>
      <c r="E300" s="37">
        <f>I300</f>
        <v>1</v>
      </c>
      <c r="F300" s="61" t="s">
        <v>3730</v>
      </c>
      <c r="G300" s="117" t="s">
        <v>4088</v>
      </c>
      <c r="H300" s="17"/>
      <c r="I300" s="88">
        <v>1</v>
      </c>
      <c r="J300" s="79"/>
      <c r="K300" s="79"/>
      <c r="L300" s="79"/>
      <c r="M300" s="79"/>
      <c r="N300" s="79"/>
      <c r="O300" s="79"/>
      <c r="P300" s="79"/>
      <c r="Q300" s="79"/>
      <c r="R300" s="79"/>
      <c r="S300" s="79"/>
      <c r="T300" s="79"/>
      <c r="U300" s="79"/>
      <c r="V300" s="79"/>
      <c r="W300" s="79"/>
      <c r="X300" s="79"/>
      <c r="Y300" s="79"/>
      <c r="Z300" s="96"/>
    </row>
    <row r="301" ht="15.75" customHeight="1" spans="1:26">
      <c r="A301" s="39">
        <v>14</v>
      </c>
      <c r="B301" s="40"/>
      <c r="C301" s="41" t="s">
        <v>33</v>
      </c>
      <c r="D301" s="42"/>
      <c r="E301" s="43"/>
      <c r="F301" s="66"/>
      <c r="G301" s="67"/>
      <c r="H301" s="67"/>
      <c r="I301" s="67"/>
      <c r="J301" s="79"/>
      <c r="K301" s="79"/>
      <c r="L301" s="79"/>
      <c r="M301" s="79"/>
      <c r="N301" s="79"/>
      <c r="O301" s="79"/>
      <c r="P301" s="79"/>
      <c r="Q301" s="79"/>
      <c r="R301" s="79"/>
      <c r="S301" s="79"/>
      <c r="T301" s="79"/>
      <c r="U301" s="79"/>
      <c r="V301" s="79"/>
      <c r="W301" s="79"/>
      <c r="X301" s="79"/>
      <c r="Y301" s="79"/>
      <c r="Z301" s="96"/>
    </row>
    <row r="302" ht="15.75" customHeight="1" spans="1:26">
      <c r="A302" s="39" t="s">
        <v>4089</v>
      </c>
      <c r="B302" s="40"/>
      <c r="C302" s="41" t="s">
        <v>4047</v>
      </c>
      <c r="D302" s="42"/>
      <c r="E302" s="43"/>
      <c r="F302" s="66"/>
      <c r="G302" s="67"/>
      <c r="H302" s="67"/>
      <c r="I302" s="67"/>
      <c r="J302" s="79"/>
      <c r="K302" s="79"/>
      <c r="L302" s="79"/>
      <c r="M302" s="79"/>
      <c r="N302" s="79"/>
      <c r="O302" s="79"/>
      <c r="P302" s="79"/>
      <c r="Q302" s="79"/>
      <c r="R302" s="79"/>
      <c r="S302" s="79"/>
      <c r="T302" s="79"/>
      <c r="U302" s="79"/>
      <c r="V302" s="79"/>
      <c r="W302" s="79"/>
      <c r="X302" s="79"/>
      <c r="Y302" s="79"/>
      <c r="Z302" s="96"/>
    </row>
    <row r="303" ht="63.75" customHeight="1" spans="1:26">
      <c r="A303" s="33" t="s">
        <v>4090</v>
      </c>
      <c r="B303" s="34" t="s">
        <v>4049</v>
      </c>
      <c r="C303" s="46" t="s">
        <v>4050</v>
      </c>
      <c r="D303" s="36" t="s">
        <v>78</v>
      </c>
      <c r="E303" s="37">
        <f>I303</f>
        <v>150.11</v>
      </c>
      <c r="F303" s="61" t="s">
        <v>3730</v>
      </c>
      <c r="G303" s="130" t="s">
        <v>4091</v>
      </c>
      <c r="H303" s="17"/>
      <c r="I303" s="88">
        <f>1.8+3.5+3.4+3.85+5.44+4.35+4.15+3.6+5.6+1.68+1.7+2+3.4+1+6.5+1+3.3+4.65+1.5+2.43+4.12+3.5+2.14+2.25+1+3.63+2.06+2.5+3.65+2.9+1.7+0.76+1.4+1.4+1+0.85+0.97+0.83+0.85+1+0.85+1.6+2.45+0.31+1.35+1.6+2.32+0.32+1+4.5+5.2+2+3+0.35+2.4+2.25+1.25+4.8+4.3+4.9</f>
        <v>150.11</v>
      </c>
      <c r="J303" s="79"/>
      <c r="K303" s="79"/>
      <c r="L303" s="79"/>
      <c r="M303" s="79"/>
      <c r="N303" s="79"/>
      <c r="O303" s="79"/>
      <c r="P303" s="79"/>
      <c r="Q303" s="79"/>
      <c r="R303" s="79"/>
      <c r="S303" s="79"/>
      <c r="T303" s="79"/>
      <c r="U303" s="79"/>
      <c r="V303" s="79"/>
      <c r="W303" s="79"/>
      <c r="X303" s="79"/>
      <c r="Y303" s="79"/>
      <c r="Z303" s="96"/>
    </row>
    <row r="304" ht="15.75" customHeight="1" spans="1:26">
      <c r="A304" s="33" t="s">
        <v>4092</v>
      </c>
      <c r="B304" s="34" t="s">
        <v>4093</v>
      </c>
      <c r="C304" s="46" t="s">
        <v>4094</v>
      </c>
      <c r="D304" s="36" t="s">
        <v>78</v>
      </c>
      <c r="E304" s="37">
        <f>I304</f>
        <v>129.58</v>
      </c>
      <c r="F304" s="61" t="s">
        <v>3730</v>
      </c>
      <c r="G304" s="130" t="s">
        <v>4095</v>
      </c>
      <c r="H304" s="17"/>
      <c r="I304" s="88">
        <f>1.15+29.28+22.02+15.54+20.88+8.91+31.8</f>
        <v>129.58</v>
      </c>
      <c r="J304" s="79"/>
      <c r="K304" s="79"/>
      <c r="L304" s="79"/>
      <c r="M304" s="79"/>
      <c r="N304" s="79"/>
      <c r="O304" s="79"/>
      <c r="P304" s="79"/>
      <c r="Q304" s="79"/>
      <c r="R304" s="79"/>
      <c r="S304" s="79"/>
      <c r="T304" s="79"/>
      <c r="U304" s="79"/>
      <c r="V304" s="79"/>
      <c r="W304" s="79"/>
      <c r="X304" s="79"/>
      <c r="Y304" s="79"/>
      <c r="Z304" s="96"/>
    </row>
    <row r="305" ht="15.75" customHeight="1" spans="1:26">
      <c r="A305" s="33" t="s">
        <v>4096</v>
      </c>
      <c r="B305" s="34" t="s">
        <v>4097</v>
      </c>
      <c r="C305" s="46" t="s">
        <v>1025</v>
      </c>
      <c r="D305" s="36" t="s">
        <v>105</v>
      </c>
      <c r="E305" s="37">
        <f>I305</f>
        <v>38</v>
      </c>
      <c r="F305" s="61" t="s">
        <v>3730</v>
      </c>
      <c r="G305" s="117" t="s">
        <v>4098</v>
      </c>
      <c r="H305" s="17"/>
      <c r="I305" s="88">
        <v>38</v>
      </c>
      <c r="J305" s="79"/>
      <c r="K305" s="79"/>
      <c r="L305" s="79"/>
      <c r="M305" s="79"/>
      <c r="N305" s="79"/>
      <c r="O305" s="79"/>
      <c r="P305" s="79"/>
      <c r="Q305" s="79"/>
      <c r="R305" s="79"/>
      <c r="S305" s="79"/>
      <c r="T305" s="79"/>
      <c r="U305" s="79"/>
      <c r="V305" s="79"/>
      <c r="W305" s="79"/>
      <c r="X305" s="79"/>
      <c r="Y305" s="79"/>
      <c r="Z305" s="96"/>
    </row>
    <row r="306" ht="15.75" customHeight="1" spans="1:26">
      <c r="A306" s="39" t="s">
        <v>4099</v>
      </c>
      <c r="B306" s="40"/>
      <c r="C306" s="41" t="s">
        <v>4047</v>
      </c>
      <c r="D306" s="42"/>
      <c r="E306" s="43"/>
      <c r="F306" s="66"/>
      <c r="G306" s="67"/>
      <c r="H306" s="67"/>
      <c r="I306" s="67"/>
      <c r="J306" s="79"/>
      <c r="K306" s="79"/>
      <c r="L306" s="79"/>
      <c r="M306" s="79"/>
      <c r="N306" s="79"/>
      <c r="O306" s="79"/>
      <c r="P306" s="79"/>
      <c r="Q306" s="79"/>
      <c r="R306" s="79"/>
      <c r="S306" s="79"/>
      <c r="T306" s="79"/>
      <c r="U306" s="79"/>
      <c r="V306" s="79"/>
      <c r="W306" s="79"/>
      <c r="X306" s="79"/>
      <c r="Y306" s="79"/>
      <c r="Z306" s="96"/>
    </row>
    <row r="307" ht="15.75" customHeight="1" spans="1:26">
      <c r="A307" s="33" t="s">
        <v>4100</v>
      </c>
      <c r="B307" s="34">
        <v>98305</v>
      </c>
      <c r="C307" s="46" t="s">
        <v>4101</v>
      </c>
      <c r="D307" s="36" t="s">
        <v>105</v>
      </c>
      <c r="E307" s="37">
        <f>I307</f>
        <v>1</v>
      </c>
      <c r="F307" s="61" t="s">
        <v>3730</v>
      </c>
      <c r="G307" s="117" t="s">
        <v>4098</v>
      </c>
      <c r="H307" s="17"/>
      <c r="I307" s="88">
        <v>1</v>
      </c>
      <c r="J307" s="79"/>
      <c r="K307" s="79"/>
      <c r="L307" s="79"/>
      <c r="M307" s="79"/>
      <c r="N307" s="79"/>
      <c r="O307" s="79"/>
      <c r="P307" s="79"/>
      <c r="Q307" s="79"/>
      <c r="R307" s="79"/>
      <c r="S307" s="79"/>
      <c r="T307" s="79"/>
      <c r="U307" s="79"/>
      <c r="V307" s="79"/>
      <c r="W307" s="79"/>
      <c r="X307" s="79"/>
      <c r="Y307" s="79"/>
      <c r="Z307" s="96"/>
    </row>
    <row r="308" ht="15.75" customHeight="1" spans="1:26">
      <c r="A308" s="33" t="s">
        <v>4102</v>
      </c>
      <c r="B308" s="34">
        <v>98301</v>
      </c>
      <c r="C308" s="46" t="s">
        <v>4103</v>
      </c>
      <c r="D308" s="36" t="s">
        <v>105</v>
      </c>
      <c r="E308" s="37">
        <f>I308</f>
        <v>8</v>
      </c>
      <c r="F308" s="61" t="s">
        <v>3730</v>
      </c>
      <c r="G308" s="117" t="s">
        <v>4098</v>
      </c>
      <c r="H308" s="17"/>
      <c r="I308" s="88">
        <v>8</v>
      </c>
      <c r="J308" s="79"/>
      <c r="K308" s="79"/>
      <c r="L308" s="79"/>
      <c r="M308" s="79"/>
      <c r="N308" s="79"/>
      <c r="O308" s="79"/>
      <c r="P308" s="79"/>
      <c r="Q308" s="79"/>
      <c r="R308" s="79"/>
      <c r="S308" s="79"/>
      <c r="T308" s="79"/>
      <c r="U308" s="79"/>
      <c r="V308" s="79"/>
      <c r="W308" s="79"/>
      <c r="X308" s="79"/>
      <c r="Y308" s="79"/>
      <c r="Z308" s="96"/>
    </row>
    <row r="309" ht="15.75" customHeight="1" spans="1:26">
      <c r="A309" s="33" t="s">
        <v>4104</v>
      </c>
      <c r="B309" s="34" t="s">
        <v>4105</v>
      </c>
      <c r="C309" s="46" t="s">
        <v>1046</v>
      </c>
      <c r="D309" s="36" t="s">
        <v>105</v>
      </c>
      <c r="E309" s="37">
        <f>I309</f>
        <v>6</v>
      </c>
      <c r="F309" s="61" t="s">
        <v>3730</v>
      </c>
      <c r="G309" s="117" t="s">
        <v>4098</v>
      </c>
      <c r="H309" s="17"/>
      <c r="I309" s="88">
        <v>6</v>
      </c>
      <c r="J309" s="79"/>
      <c r="K309" s="79"/>
      <c r="L309" s="79"/>
      <c r="M309" s="79"/>
      <c r="N309" s="79"/>
      <c r="O309" s="79"/>
      <c r="P309" s="79"/>
      <c r="Q309" s="79"/>
      <c r="R309" s="79"/>
      <c r="S309" s="79"/>
      <c r="T309" s="79"/>
      <c r="U309" s="79"/>
      <c r="V309" s="79"/>
      <c r="W309" s="79"/>
      <c r="X309" s="79"/>
      <c r="Y309" s="79"/>
      <c r="Z309" s="96"/>
    </row>
    <row r="310" ht="15.75" customHeight="1" spans="1:26">
      <c r="A310" s="33" t="s">
        <v>4106</v>
      </c>
      <c r="B310" s="34">
        <v>79444</v>
      </c>
      <c r="C310" s="46" t="s">
        <v>1049</v>
      </c>
      <c r="D310" s="36" t="s">
        <v>105</v>
      </c>
      <c r="E310" s="37">
        <f>I310</f>
        <v>13</v>
      </c>
      <c r="F310" s="61" t="s">
        <v>3730</v>
      </c>
      <c r="G310" s="117" t="s">
        <v>4098</v>
      </c>
      <c r="H310" s="17"/>
      <c r="I310" s="88">
        <v>13</v>
      </c>
      <c r="J310" s="79"/>
      <c r="K310" s="79"/>
      <c r="L310" s="79"/>
      <c r="M310" s="79"/>
      <c r="N310" s="79"/>
      <c r="O310" s="79"/>
      <c r="P310" s="79"/>
      <c r="Q310" s="79"/>
      <c r="R310" s="79"/>
      <c r="S310" s="79"/>
      <c r="T310" s="79"/>
      <c r="U310" s="79"/>
      <c r="V310" s="79"/>
      <c r="W310" s="79"/>
      <c r="X310" s="79"/>
      <c r="Y310" s="79"/>
      <c r="Z310" s="96"/>
    </row>
    <row r="311" ht="15.75" customHeight="1" spans="1:26">
      <c r="A311" s="33" t="s">
        <v>4107</v>
      </c>
      <c r="B311" s="34" t="s">
        <v>4108</v>
      </c>
      <c r="C311" s="46" t="s">
        <v>1052</v>
      </c>
      <c r="D311" s="36" t="s">
        <v>105</v>
      </c>
      <c r="E311" s="37">
        <f>I311</f>
        <v>1</v>
      </c>
      <c r="F311" s="61" t="s">
        <v>3730</v>
      </c>
      <c r="G311" s="117" t="s">
        <v>4098</v>
      </c>
      <c r="H311" s="17"/>
      <c r="I311" s="88">
        <v>1</v>
      </c>
      <c r="J311" s="79"/>
      <c r="K311" s="79"/>
      <c r="L311" s="79"/>
      <c r="M311" s="79"/>
      <c r="N311" s="79"/>
      <c r="O311" s="79"/>
      <c r="P311" s="79"/>
      <c r="Q311" s="79"/>
      <c r="R311" s="79"/>
      <c r="S311" s="79"/>
      <c r="T311" s="79"/>
      <c r="U311" s="79"/>
      <c r="V311" s="79"/>
      <c r="W311" s="79"/>
      <c r="X311" s="79"/>
      <c r="Y311" s="79"/>
      <c r="Z311" s="96"/>
    </row>
    <row r="312" ht="15.75" customHeight="1" spans="1:26">
      <c r="A312" s="39" t="s">
        <v>4109</v>
      </c>
      <c r="B312" s="40"/>
      <c r="C312" s="41" t="s">
        <v>4110</v>
      </c>
      <c r="D312" s="42"/>
      <c r="E312" s="43"/>
      <c r="F312" s="66"/>
      <c r="G312" s="67"/>
      <c r="H312" s="67"/>
      <c r="I312" s="67"/>
      <c r="J312" s="79"/>
      <c r="K312" s="79"/>
      <c r="L312" s="79"/>
      <c r="M312" s="79"/>
      <c r="N312" s="79"/>
      <c r="O312" s="79"/>
      <c r="P312" s="79"/>
      <c r="Q312" s="79"/>
      <c r="R312" s="79"/>
      <c r="S312" s="79"/>
      <c r="T312" s="79"/>
      <c r="U312" s="79"/>
      <c r="V312" s="79"/>
      <c r="W312" s="79"/>
      <c r="X312" s="79"/>
      <c r="Y312" s="79"/>
      <c r="Z312" s="96"/>
    </row>
    <row r="313" ht="15.75" customHeight="1" spans="1:26">
      <c r="A313" s="33" t="s">
        <v>4111</v>
      </c>
      <c r="B313" s="34" t="s">
        <v>4112</v>
      </c>
      <c r="C313" s="46" t="s">
        <v>4113</v>
      </c>
      <c r="D313" s="36" t="s">
        <v>105</v>
      </c>
      <c r="E313" s="37">
        <f>I313</f>
        <v>46</v>
      </c>
      <c r="F313" s="61" t="s">
        <v>3730</v>
      </c>
      <c r="G313" s="117" t="s">
        <v>4098</v>
      </c>
      <c r="H313" s="17"/>
      <c r="I313" s="88">
        <v>46</v>
      </c>
      <c r="J313" s="79"/>
      <c r="K313" s="79"/>
      <c r="L313" s="79"/>
      <c r="M313" s="79"/>
      <c r="N313" s="79"/>
      <c r="O313" s="79"/>
      <c r="P313" s="79"/>
      <c r="Q313" s="79"/>
      <c r="R313" s="79"/>
      <c r="S313" s="79"/>
      <c r="T313" s="79"/>
      <c r="U313" s="79"/>
      <c r="V313" s="79"/>
      <c r="W313" s="79"/>
      <c r="X313" s="79"/>
      <c r="Y313" s="79"/>
      <c r="Z313" s="96"/>
    </row>
    <row r="314" ht="15.75" customHeight="1" spans="1:26">
      <c r="A314" s="33" t="s">
        <v>4114</v>
      </c>
      <c r="B314" s="34" t="s">
        <v>4115</v>
      </c>
      <c r="C314" s="46" t="s">
        <v>4116</v>
      </c>
      <c r="D314" s="36" t="s">
        <v>105</v>
      </c>
      <c r="E314" s="37">
        <f>I314</f>
        <v>49</v>
      </c>
      <c r="F314" s="61" t="s">
        <v>3730</v>
      </c>
      <c r="G314" s="117" t="s">
        <v>4098</v>
      </c>
      <c r="H314" s="17"/>
      <c r="I314" s="88">
        <v>49</v>
      </c>
      <c r="J314" s="79"/>
      <c r="K314" s="79"/>
      <c r="L314" s="79"/>
      <c r="M314" s="79"/>
      <c r="N314" s="79"/>
      <c r="O314" s="79"/>
      <c r="P314" s="79"/>
      <c r="Q314" s="79"/>
      <c r="R314" s="79"/>
      <c r="S314" s="79"/>
      <c r="T314" s="79"/>
      <c r="U314" s="79"/>
      <c r="V314" s="79"/>
      <c r="W314" s="79"/>
      <c r="X314" s="79"/>
      <c r="Y314" s="79"/>
      <c r="Z314" s="96"/>
    </row>
    <row r="315" ht="15.75" customHeight="1" spans="1:26">
      <c r="A315" s="39" t="s">
        <v>4117</v>
      </c>
      <c r="B315" s="40"/>
      <c r="C315" s="41" t="s">
        <v>1066</v>
      </c>
      <c r="D315" s="42"/>
      <c r="E315" s="43"/>
      <c r="F315" s="66"/>
      <c r="G315" s="67"/>
      <c r="H315" s="67"/>
      <c r="I315" s="67"/>
      <c r="J315" s="79"/>
      <c r="K315" s="79"/>
      <c r="L315" s="79"/>
      <c r="M315" s="79"/>
      <c r="N315" s="79"/>
      <c r="O315" s="79"/>
      <c r="P315" s="79"/>
      <c r="Q315" s="79"/>
      <c r="R315" s="79"/>
      <c r="S315" s="79"/>
      <c r="T315" s="79"/>
      <c r="U315" s="79"/>
      <c r="V315" s="79"/>
      <c r="W315" s="79"/>
      <c r="X315" s="79"/>
      <c r="Y315" s="79"/>
      <c r="Z315" s="96"/>
    </row>
    <row r="316" ht="15.75" customHeight="1" spans="1:26">
      <c r="A316" s="33" t="s">
        <v>4118</v>
      </c>
      <c r="B316" s="34" t="s">
        <v>4119</v>
      </c>
      <c r="C316" s="46" t="s">
        <v>4120</v>
      </c>
      <c r="D316" s="36" t="s">
        <v>78</v>
      </c>
      <c r="E316" s="37">
        <f>I316</f>
        <v>279.69</v>
      </c>
      <c r="F316" s="61" t="s">
        <v>4121</v>
      </c>
      <c r="G316" s="117" t="s">
        <v>4122</v>
      </c>
      <c r="H316" s="17"/>
      <c r="I316" s="125">
        <f>E303+E304</f>
        <v>279.69</v>
      </c>
      <c r="J316" s="79"/>
      <c r="K316" s="79"/>
      <c r="L316" s="79"/>
      <c r="M316" s="79"/>
      <c r="N316" s="79"/>
      <c r="O316" s="79"/>
      <c r="P316" s="79"/>
      <c r="Q316" s="79"/>
      <c r="R316" s="79"/>
      <c r="S316" s="79"/>
      <c r="T316" s="79"/>
      <c r="U316" s="79"/>
      <c r="V316" s="79"/>
      <c r="W316" s="79"/>
      <c r="X316" s="79"/>
      <c r="Y316" s="79"/>
      <c r="Z316" s="96"/>
    </row>
    <row r="317" ht="15.75" customHeight="1" spans="1:26">
      <c r="A317" s="39" t="s">
        <v>4123</v>
      </c>
      <c r="B317" s="40"/>
      <c r="C317" s="41" t="s">
        <v>1081</v>
      </c>
      <c r="D317" s="42"/>
      <c r="E317" s="43"/>
      <c r="F317" s="66"/>
      <c r="G317" s="67"/>
      <c r="H317" s="67"/>
      <c r="I317" s="67"/>
      <c r="J317" s="79"/>
      <c r="K317" s="79"/>
      <c r="L317" s="79"/>
      <c r="M317" s="79"/>
      <c r="N317" s="79"/>
      <c r="O317" s="79"/>
      <c r="P317" s="79"/>
      <c r="Q317" s="79"/>
      <c r="R317" s="79"/>
      <c r="S317" s="79"/>
      <c r="T317" s="79"/>
      <c r="U317" s="79"/>
      <c r="V317" s="79"/>
      <c r="W317" s="79"/>
      <c r="X317" s="79"/>
      <c r="Y317" s="79"/>
      <c r="Z317" s="96"/>
    </row>
    <row r="318" ht="96" customHeight="1" spans="1:26">
      <c r="A318" s="33" t="s">
        <v>4124</v>
      </c>
      <c r="B318" s="132" t="s">
        <v>4125</v>
      </c>
      <c r="C318" s="46" t="s">
        <v>4126</v>
      </c>
      <c r="D318" s="36" t="s">
        <v>105</v>
      </c>
      <c r="E318" s="37">
        <f>I318</f>
        <v>10</v>
      </c>
      <c r="F318" s="61" t="s">
        <v>3730</v>
      </c>
      <c r="G318" s="117" t="s">
        <v>4098</v>
      </c>
      <c r="H318" s="17"/>
      <c r="I318" s="92">
        <v>10</v>
      </c>
      <c r="J318" s="79"/>
      <c r="K318" s="79"/>
      <c r="L318" s="79"/>
      <c r="M318" s="79"/>
      <c r="N318" s="79"/>
      <c r="O318" s="79"/>
      <c r="P318" s="79"/>
      <c r="Q318" s="79"/>
      <c r="R318" s="79"/>
      <c r="S318" s="79"/>
      <c r="T318" s="79"/>
      <c r="U318" s="79"/>
      <c r="V318" s="79"/>
      <c r="W318" s="79"/>
      <c r="X318" s="79"/>
      <c r="Y318" s="79"/>
      <c r="Z318" s="96"/>
    </row>
    <row r="319" ht="15.75" customHeight="1" spans="1:26">
      <c r="A319" s="39">
        <v>15</v>
      </c>
      <c r="B319" s="40"/>
      <c r="C319" s="41" t="s">
        <v>34</v>
      </c>
      <c r="D319" s="42"/>
      <c r="E319" s="43"/>
      <c r="F319" s="66"/>
      <c r="G319" s="67"/>
      <c r="H319" s="67"/>
      <c r="I319" s="67"/>
      <c r="J319" s="79"/>
      <c r="K319" s="79"/>
      <c r="L319" s="79"/>
      <c r="M319" s="79"/>
      <c r="N319" s="79"/>
      <c r="O319" s="79"/>
      <c r="P319" s="79"/>
      <c r="Q319" s="79"/>
      <c r="R319" s="79"/>
      <c r="S319" s="79"/>
      <c r="T319" s="79"/>
      <c r="U319" s="79"/>
      <c r="V319" s="79"/>
      <c r="W319" s="79"/>
      <c r="X319" s="79"/>
      <c r="Y319" s="79"/>
      <c r="Z319" s="96"/>
    </row>
    <row r="320" ht="15.75" customHeight="1" spans="1:26">
      <c r="A320" s="33" t="s">
        <v>4127</v>
      </c>
      <c r="B320" s="133">
        <v>97599</v>
      </c>
      <c r="C320" s="134" t="s">
        <v>4128</v>
      </c>
      <c r="D320" s="133" t="s">
        <v>105</v>
      </c>
      <c r="E320" s="135">
        <v>28</v>
      </c>
      <c r="F320" s="121" t="s">
        <v>4129</v>
      </c>
      <c r="G320" s="117"/>
      <c r="H320" s="117"/>
      <c r="I320" s="127"/>
      <c r="J320" s="79"/>
      <c r="K320" s="79"/>
      <c r="L320" s="79"/>
      <c r="M320" s="79"/>
      <c r="N320" s="79"/>
      <c r="O320" s="79"/>
      <c r="P320" s="79"/>
      <c r="Q320" s="79"/>
      <c r="R320" s="79"/>
      <c r="S320" s="79"/>
      <c r="T320" s="79"/>
      <c r="U320" s="79"/>
      <c r="V320" s="79"/>
      <c r="W320" s="79"/>
      <c r="X320" s="79"/>
      <c r="Y320" s="79"/>
      <c r="Z320" s="96"/>
    </row>
    <row r="321" ht="15.75" customHeight="1" spans="1:26">
      <c r="A321" s="33" t="s">
        <v>4130</v>
      </c>
      <c r="B321" s="133" t="s">
        <v>4131</v>
      </c>
      <c r="C321" s="134" t="s">
        <v>4132</v>
      </c>
      <c r="D321" s="133" t="s">
        <v>105</v>
      </c>
      <c r="E321" s="135">
        <v>2</v>
      </c>
      <c r="F321" s="121" t="s">
        <v>4129</v>
      </c>
      <c r="G321" s="117"/>
      <c r="H321" s="117"/>
      <c r="I321" s="127"/>
      <c r="J321" s="79"/>
      <c r="K321" s="79"/>
      <c r="L321" s="79"/>
      <c r="M321" s="79"/>
      <c r="N321" s="79"/>
      <c r="O321" s="79"/>
      <c r="P321" s="79"/>
      <c r="Q321" s="79"/>
      <c r="R321" s="79"/>
      <c r="S321" s="79"/>
      <c r="T321" s="79"/>
      <c r="U321" s="79"/>
      <c r="V321" s="79"/>
      <c r="W321" s="79"/>
      <c r="X321" s="79"/>
      <c r="Y321" s="79"/>
      <c r="Z321" s="96"/>
    </row>
    <row r="322" ht="15.75" customHeight="1" spans="1:26">
      <c r="A322" s="33" t="s">
        <v>4133</v>
      </c>
      <c r="B322" s="133" t="s">
        <v>4134</v>
      </c>
      <c r="C322" s="134" t="s">
        <v>4135</v>
      </c>
      <c r="D322" s="133" t="s">
        <v>105</v>
      </c>
      <c r="E322" s="135">
        <v>6</v>
      </c>
      <c r="F322" s="121" t="s">
        <v>4129</v>
      </c>
      <c r="G322" s="117"/>
      <c r="H322" s="117"/>
      <c r="I322" s="127"/>
      <c r="J322" s="79"/>
      <c r="K322" s="79"/>
      <c r="L322" s="79"/>
      <c r="M322" s="79"/>
      <c r="N322" s="79"/>
      <c r="O322" s="79"/>
      <c r="P322" s="79"/>
      <c r="Q322" s="79"/>
      <c r="R322" s="79"/>
      <c r="S322" s="79"/>
      <c r="T322" s="79"/>
      <c r="U322" s="79"/>
      <c r="V322" s="79"/>
      <c r="W322" s="79"/>
      <c r="X322" s="79"/>
      <c r="Y322" s="79"/>
      <c r="Z322" s="96"/>
    </row>
    <row r="323" ht="15.75" customHeight="1" spans="1:26">
      <c r="A323" s="33" t="s">
        <v>4136</v>
      </c>
      <c r="B323" s="133">
        <v>101907</v>
      </c>
      <c r="C323" s="134" t="s">
        <v>1105</v>
      </c>
      <c r="D323" s="133" t="s">
        <v>105</v>
      </c>
      <c r="E323" s="135">
        <v>2</v>
      </c>
      <c r="F323" s="121" t="s">
        <v>4129</v>
      </c>
      <c r="G323" s="117"/>
      <c r="H323" s="117"/>
      <c r="I323" s="127"/>
      <c r="J323" s="79"/>
      <c r="K323" s="79"/>
      <c r="L323" s="79"/>
      <c r="M323" s="79"/>
      <c r="N323" s="79"/>
      <c r="O323" s="79"/>
      <c r="P323" s="79"/>
      <c r="Q323" s="79"/>
      <c r="R323" s="79"/>
      <c r="S323" s="79"/>
      <c r="T323" s="79"/>
      <c r="U323" s="79"/>
      <c r="V323" s="79"/>
      <c r="W323" s="79"/>
      <c r="X323" s="79"/>
      <c r="Y323" s="79"/>
      <c r="Z323" s="96"/>
    </row>
    <row r="324" ht="15.75" customHeight="1" spans="1:26">
      <c r="A324" s="33" t="s">
        <v>4137</v>
      </c>
      <c r="B324" s="133" t="s">
        <v>4138</v>
      </c>
      <c r="C324" s="134" t="s">
        <v>1111</v>
      </c>
      <c r="D324" s="133" t="s">
        <v>105</v>
      </c>
      <c r="E324" s="135">
        <v>1</v>
      </c>
      <c r="F324" s="121" t="s">
        <v>4129</v>
      </c>
      <c r="G324" s="117"/>
      <c r="H324" s="117"/>
      <c r="I324" s="127"/>
      <c r="J324" s="79"/>
      <c r="K324" s="79"/>
      <c r="L324" s="79"/>
      <c r="M324" s="79"/>
      <c r="N324" s="79"/>
      <c r="O324" s="79"/>
      <c r="P324" s="79"/>
      <c r="Q324" s="79"/>
      <c r="R324" s="79"/>
      <c r="S324" s="79"/>
      <c r="T324" s="79"/>
      <c r="U324" s="79"/>
      <c r="V324" s="79"/>
      <c r="W324" s="79"/>
      <c r="X324" s="79"/>
      <c r="Y324" s="79"/>
      <c r="Z324" s="96"/>
    </row>
    <row r="325" ht="15.75" customHeight="1" spans="1:26">
      <c r="A325" s="33" t="s">
        <v>4139</v>
      </c>
      <c r="B325" s="133" t="s">
        <v>4140</v>
      </c>
      <c r="C325" s="134" t="s">
        <v>1114</v>
      </c>
      <c r="D325" s="133" t="s">
        <v>105</v>
      </c>
      <c r="E325" s="135">
        <v>1</v>
      </c>
      <c r="F325" s="121" t="s">
        <v>4129</v>
      </c>
      <c r="G325" s="117"/>
      <c r="H325" s="117"/>
      <c r="I325" s="127"/>
      <c r="J325" s="79"/>
      <c r="K325" s="79"/>
      <c r="L325" s="79"/>
      <c r="M325" s="79"/>
      <c r="N325" s="79"/>
      <c r="O325" s="79"/>
      <c r="P325" s="79"/>
      <c r="Q325" s="79"/>
      <c r="R325" s="79"/>
      <c r="S325" s="79"/>
      <c r="T325" s="79"/>
      <c r="U325" s="79"/>
      <c r="V325" s="79"/>
      <c r="W325" s="79"/>
      <c r="X325" s="79"/>
      <c r="Y325" s="79"/>
      <c r="Z325" s="96"/>
    </row>
    <row r="326" ht="15.75" customHeight="1" spans="1:26">
      <c r="A326" s="33" t="s">
        <v>4141</v>
      </c>
      <c r="B326" s="133" t="s">
        <v>4142</v>
      </c>
      <c r="C326" s="134" t="s">
        <v>4143</v>
      </c>
      <c r="D326" s="133" t="s">
        <v>105</v>
      </c>
      <c r="E326" s="135">
        <v>25</v>
      </c>
      <c r="F326" s="121" t="s">
        <v>4129</v>
      </c>
      <c r="G326" s="117"/>
      <c r="H326" s="117"/>
      <c r="I326" s="127"/>
      <c r="J326" s="79"/>
      <c r="K326" s="79"/>
      <c r="L326" s="79"/>
      <c r="M326" s="79"/>
      <c r="N326" s="79"/>
      <c r="O326" s="79"/>
      <c r="P326" s="79"/>
      <c r="Q326" s="79"/>
      <c r="R326" s="79"/>
      <c r="S326" s="79"/>
      <c r="T326" s="79"/>
      <c r="U326" s="79"/>
      <c r="V326" s="79"/>
      <c r="W326" s="79"/>
      <c r="X326" s="79"/>
      <c r="Y326" s="79"/>
      <c r="Z326" s="96"/>
    </row>
    <row r="327" ht="15.75" customHeight="1" spans="1:26">
      <c r="A327" s="33"/>
      <c r="B327" s="133" t="s">
        <v>4144</v>
      </c>
      <c r="C327" s="134" t="s">
        <v>4145</v>
      </c>
      <c r="D327" s="133" t="s">
        <v>105</v>
      </c>
      <c r="E327" s="135">
        <v>8</v>
      </c>
      <c r="F327" s="121" t="s">
        <v>4129</v>
      </c>
      <c r="G327" s="117"/>
      <c r="H327" s="117"/>
      <c r="I327" s="127"/>
      <c r="J327" s="79"/>
      <c r="K327" s="79"/>
      <c r="L327" s="79"/>
      <c r="M327" s="79"/>
      <c r="N327" s="79"/>
      <c r="O327" s="79"/>
      <c r="P327" s="79"/>
      <c r="Q327" s="79"/>
      <c r="R327" s="79"/>
      <c r="S327" s="79"/>
      <c r="T327" s="79"/>
      <c r="U327" s="79"/>
      <c r="V327" s="79"/>
      <c r="W327" s="79"/>
      <c r="X327" s="79"/>
      <c r="Y327" s="79"/>
      <c r="Z327" s="96"/>
    </row>
    <row r="328" ht="15.75" customHeight="1" spans="1:26">
      <c r="A328" s="33"/>
      <c r="B328" s="133" t="s">
        <v>4146</v>
      </c>
      <c r="C328" s="134" t="s">
        <v>1123</v>
      </c>
      <c r="D328" s="133" t="s">
        <v>105</v>
      </c>
      <c r="E328" s="135">
        <v>2</v>
      </c>
      <c r="F328" s="121" t="s">
        <v>4129</v>
      </c>
      <c r="G328" s="117"/>
      <c r="H328" s="117"/>
      <c r="I328" s="127"/>
      <c r="J328" s="79"/>
      <c r="K328" s="79"/>
      <c r="L328" s="79"/>
      <c r="M328" s="79"/>
      <c r="N328" s="79"/>
      <c r="O328" s="79"/>
      <c r="P328" s="79"/>
      <c r="Q328" s="79"/>
      <c r="R328" s="79"/>
      <c r="S328" s="79"/>
      <c r="T328" s="79"/>
      <c r="U328" s="79"/>
      <c r="V328" s="79"/>
      <c r="W328" s="79"/>
      <c r="X328" s="79"/>
      <c r="Y328" s="79"/>
      <c r="Z328" s="96"/>
    </row>
    <row r="329" ht="21.75" customHeight="1" spans="1:26">
      <c r="A329" s="39">
        <v>16</v>
      </c>
      <c r="B329" s="40"/>
      <c r="C329" s="41" t="s">
        <v>35</v>
      </c>
      <c r="D329" s="42"/>
      <c r="E329" s="43"/>
      <c r="F329" s="66"/>
      <c r="G329" s="67"/>
      <c r="H329" s="67"/>
      <c r="I329" s="67"/>
      <c r="J329" s="79"/>
      <c r="K329" s="79"/>
      <c r="L329" s="79"/>
      <c r="M329" s="79"/>
      <c r="N329" s="79"/>
      <c r="O329" s="79"/>
      <c r="P329" s="79"/>
      <c r="Q329" s="79"/>
      <c r="R329" s="79"/>
      <c r="S329" s="79"/>
      <c r="T329" s="79"/>
      <c r="U329" s="79"/>
      <c r="V329" s="79"/>
      <c r="W329" s="79"/>
      <c r="X329" s="79"/>
      <c r="Y329" s="79"/>
      <c r="Z329" s="96"/>
    </row>
    <row r="330" ht="15.75" customHeight="1" spans="1:26">
      <c r="A330" s="39" t="s">
        <v>4147</v>
      </c>
      <c r="B330" s="40"/>
      <c r="C330" s="41" t="s">
        <v>43</v>
      </c>
      <c r="D330" s="42"/>
      <c r="E330" s="43"/>
      <c r="F330" s="66"/>
      <c r="G330" s="67"/>
      <c r="H330" s="67"/>
      <c r="I330" s="67"/>
      <c r="J330" s="79"/>
      <c r="K330" s="79"/>
      <c r="L330" s="79"/>
      <c r="M330" s="79"/>
      <c r="N330" s="79"/>
      <c r="O330" s="79"/>
      <c r="P330" s="79"/>
      <c r="Q330" s="79"/>
      <c r="R330" s="79"/>
      <c r="S330" s="79"/>
      <c r="T330" s="79"/>
      <c r="U330" s="79"/>
      <c r="V330" s="79"/>
      <c r="W330" s="79"/>
      <c r="X330" s="79"/>
      <c r="Y330" s="79"/>
      <c r="Z330" s="96"/>
    </row>
    <row r="331" ht="15.75" customHeight="1" spans="1:26">
      <c r="A331" s="33" t="s">
        <v>4148</v>
      </c>
      <c r="B331" s="33">
        <v>59438</v>
      </c>
      <c r="C331" s="46" t="s">
        <v>1128</v>
      </c>
      <c r="D331" s="36" t="s">
        <v>105</v>
      </c>
      <c r="E331" s="37">
        <f>I331</f>
        <v>17</v>
      </c>
      <c r="F331" s="61" t="s">
        <v>3730</v>
      </c>
      <c r="G331" s="136" t="s">
        <v>4149</v>
      </c>
      <c r="H331" s="17"/>
      <c r="I331" s="125">
        <v>17</v>
      </c>
      <c r="J331" s="79"/>
      <c r="K331" s="79"/>
      <c r="L331" s="79"/>
      <c r="M331" s="79"/>
      <c r="N331" s="79"/>
      <c r="O331" s="79"/>
      <c r="P331" s="79"/>
      <c r="Q331" s="79"/>
      <c r="R331" s="79"/>
      <c r="S331" s="79"/>
      <c r="T331" s="79"/>
      <c r="U331" s="79"/>
      <c r="V331" s="79"/>
      <c r="W331" s="79"/>
      <c r="X331" s="79"/>
      <c r="Y331" s="79"/>
      <c r="Z331" s="96"/>
    </row>
    <row r="332" ht="15.75" customHeight="1" spans="1:26">
      <c r="A332" s="33" t="s">
        <v>4150</v>
      </c>
      <c r="B332" s="33">
        <v>100555</v>
      </c>
      <c r="C332" s="46" t="s">
        <v>4151</v>
      </c>
      <c r="D332" s="36" t="s">
        <v>105</v>
      </c>
      <c r="E332" s="37">
        <f>I332</f>
        <v>1</v>
      </c>
      <c r="F332" s="61" t="s">
        <v>3730</v>
      </c>
      <c r="G332" s="136" t="s">
        <v>4149</v>
      </c>
      <c r="H332" s="17"/>
      <c r="I332" s="125">
        <v>1</v>
      </c>
      <c r="J332" s="79"/>
      <c r="K332" s="79"/>
      <c r="L332" s="79"/>
      <c r="M332" s="79"/>
      <c r="N332" s="79"/>
      <c r="O332" s="79"/>
      <c r="P332" s="79"/>
      <c r="Q332" s="79"/>
      <c r="R332" s="79"/>
      <c r="S332" s="79"/>
      <c r="T332" s="79"/>
      <c r="U332" s="79"/>
      <c r="V332" s="79"/>
      <c r="W332" s="79"/>
      <c r="X332" s="79"/>
      <c r="Y332" s="79"/>
      <c r="Z332" s="96"/>
    </row>
    <row r="333" ht="15.75" customHeight="1" spans="1:26">
      <c r="A333" s="39" t="s">
        <v>4152</v>
      </c>
      <c r="B333" s="40"/>
      <c r="C333" s="41" t="s">
        <v>1139</v>
      </c>
      <c r="D333" s="42"/>
      <c r="E333" s="43"/>
      <c r="F333" s="66"/>
      <c r="G333" s="67"/>
      <c r="H333" s="67"/>
      <c r="I333" s="67"/>
      <c r="J333" s="79"/>
      <c r="K333" s="79"/>
      <c r="L333" s="79"/>
      <c r="M333" s="79"/>
      <c r="N333" s="79"/>
      <c r="O333" s="79"/>
      <c r="P333" s="79"/>
      <c r="Q333" s="79"/>
      <c r="R333" s="79"/>
      <c r="S333" s="79"/>
      <c r="T333" s="79"/>
      <c r="U333" s="79"/>
      <c r="V333" s="79"/>
      <c r="W333" s="79"/>
      <c r="X333" s="79"/>
      <c r="Y333" s="79"/>
      <c r="Z333" s="96"/>
    </row>
    <row r="334" ht="27.75" customHeight="1" spans="1:26">
      <c r="A334" s="33" t="s">
        <v>4153</v>
      </c>
      <c r="B334" s="34" t="s">
        <v>4154</v>
      </c>
      <c r="C334" s="46" t="s">
        <v>4050</v>
      </c>
      <c r="D334" s="36" t="s">
        <v>78</v>
      </c>
      <c r="E334" s="37">
        <f>I334</f>
        <v>23.69</v>
      </c>
      <c r="F334" s="61" t="s">
        <v>3730</v>
      </c>
      <c r="G334" s="118" t="s">
        <v>4155</v>
      </c>
      <c r="H334" s="17"/>
      <c r="I334" s="125">
        <f>2.7+0.6+0.6+2.15+2.15+4.35+7.84+1.2+2.1</f>
        <v>23.69</v>
      </c>
      <c r="J334" s="79"/>
      <c r="K334" s="79"/>
      <c r="L334" s="79"/>
      <c r="M334" s="79"/>
      <c r="N334" s="79"/>
      <c r="O334" s="79"/>
      <c r="P334" s="79"/>
      <c r="Q334" s="79"/>
      <c r="R334" s="79"/>
      <c r="S334" s="79"/>
      <c r="T334" s="79"/>
      <c r="U334" s="79"/>
      <c r="V334" s="79"/>
      <c r="W334" s="79"/>
      <c r="X334" s="79"/>
      <c r="Y334" s="79"/>
      <c r="Z334" s="96"/>
    </row>
    <row r="335" ht="15.75" customHeight="1" spans="1:26">
      <c r="A335" s="39">
        <v>17</v>
      </c>
      <c r="B335" s="40"/>
      <c r="C335" s="41" t="s">
        <v>36</v>
      </c>
      <c r="D335" s="42"/>
      <c r="E335" s="43"/>
      <c r="F335" s="66"/>
      <c r="G335" s="67"/>
      <c r="H335" s="67"/>
      <c r="I335" s="67"/>
      <c r="J335" s="79"/>
      <c r="K335" s="79"/>
      <c r="L335" s="79"/>
      <c r="M335" s="79"/>
      <c r="N335" s="79"/>
      <c r="O335" s="79"/>
      <c r="P335" s="79"/>
      <c r="Q335" s="79"/>
      <c r="R335" s="79"/>
      <c r="S335" s="79"/>
      <c r="T335" s="79"/>
      <c r="U335" s="79"/>
      <c r="V335" s="79"/>
      <c r="W335" s="79"/>
      <c r="X335" s="79"/>
      <c r="Y335" s="79"/>
      <c r="Z335" s="96"/>
    </row>
    <row r="336" ht="15.75" customHeight="1" spans="1:26">
      <c r="A336" s="39" t="s">
        <v>4156</v>
      </c>
      <c r="B336" s="40"/>
      <c r="C336" s="41" t="s">
        <v>43</v>
      </c>
      <c r="D336" s="42"/>
      <c r="E336" s="43"/>
      <c r="F336" s="66"/>
      <c r="G336" s="67"/>
      <c r="H336" s="67"/>
      <c r="I336" s="67"/>
      <c r="J336" s="79"/>
      <c r="K336" s="79"/>
      <c r="L336" s="79"/>
      <c r="M336" s="79"/>
      <c r="N336" s="79"/>
      <c r="O336" s="79"/>
      <c r="P336" s="79"/>
      <c r="Q336" s="79"/>
      <c r="R336" s="79"/>
      <c r="S336" s="79"/>
      <c r="T336" s="79"/>
      <c r="U336" s="79"/>
      <c r="V336" s="79"/>
      <c r="W336" s="79"/>
      <c r="X336" s="79"/>
      <c r="Y336" s="79"/>
      <c r="Z336" s="96"/>
    </row>
    <row r="337" ht="18.75" customHeight="1" spans="1:26">
      <c r="A337" s="33" t="s">
        <v>4157</v>
      </c>
      <c r="B337" s="34">
        <v>103244</v>
      </c>
      <c r="C337" s="46" t="s">
        <v>4158</v>
      </c>
      <c r="D337" s="36" t="s">
        <v>105</v>
      </c>
      <c r="E337" s="37">
        <f t="shared" ref="E337:E346" si="2">I337</f>
        <v>1</v>
      </c>
      <c r="F337" s="61" t="s">
        <v>4159</v>
      </c>
      <c r="G337" s="131" t="s">
        <v>4160</v>
      </c>
      <c r="H337" s="17"/>
      <c r="I337" s="88">
        <v>1</v>
      </c>
      <c r="J337" s="79"/>
      <c r="K337" s="79"/>
      <c r="L337" s="79"/>
      <c r="M337" s="79"/>
      <c r="N337" s="79"/>
      <c r="O337" s="79"/>
      <c r="P337" s="79"/>
      <c r="Q337" s="79"/>
      <c r="R337" s="79"/>
      <c r="S337" s="79"/>
      <c r="T337" s="79"/>
      <c r="U337" s="79"/>
      <c r="V337" s="79"/>
      <c r="W337" s="79"/>
      <c r="X337" s="79"/>
      <c r="Y337" s="79"/>
      <c r="Z337" s="96"/>
    </row>
    <row r="338" ht="18.75" customHeight="1" spans="1:26">
      <c r="A338" s="33" t="s">
        <v>4161</v>
      </c>
      <c r="B338" s="34">
        <v>103253</v>
      </c>
      <c r="C338" s="46" t="s">
        <v>4162</v>
      </c>
      <c r="D338" s="36" t="s">
        <v>105</v>
      </c>
      <c r="E338" s="37">
        <f t="shared" si="2"/>
        <v>2</v>
      </c>
      <c r="F338" s="61" t="s">
        <v>4159</v>
      </c>
      <c r="G338" s="131" t="s">
        <v>4160</v>
      </c>
      <c r="H338" s="17"/>
      <c r="I338" s="88">
        <v>2</v>
      </c>
      <c r="J338" s="79"/>
      <c r="K338" s="79"/>
      <c r="L338" s="79"/>
      <c r="M338" s="79"/>
      <c r="N338" s="79"/>
      <c r="O338" s="79"/>
      <c r="P338" s="79"/>
      <c r="Q338" s="79"/>
      <c r="R338" s="79"/>
      <c r="S338" s="79"/>
      <c r="T338" s="79"/>
      <c r="U338" s="79"/>
      <c r="V338" s="79"/>
      <c r="W338" s="79"/>
      <c r="X338" s="79"/>
      <c r="Y338" s="79"/>
      <c r="Z338" s="96"/>
    </row>
    <row r="339" ht="18.75" customHeight="1" spans="1:26">
      <c r="A339" s="33" t="s">
        <v>4163</v>
      </c>
      <c r="B339" s="34">
        <v>103256</v>
      </c>
      <c r="C339" s="46" t="s">
        <v>4164</v>
      </c>
      <c r="D339" s="36" t="s">
        <v>105</v>
      </c>
      <c r="E339" s="37">
        <f t="shared" si="2"/>
        <v>3</v>
      </c>
      <c r="F339" s="61" t="s">
        <v>4159</v>
      </c>
      <c r="G339" s="131" t="s">
        <v>4160</v>
      </c>
      <c r="H339" s="17"/>
      <c r="I339" s="88">
        <v>3</v>
      </c>
      <c r="J339" s="79"/>
      <c r="K339" s="79"/>
      <c r="L339" s="79"/>
      <c r="M339" s="79"/>
      <c r="N339" s="79"/>
      <c r="O339" s="79"/>
      <c r="P339" s="79"/>
      <c r="Q339" s="79"/>
      <c r="R339" s="79"/>
      <c r="S339" s="79"/>
      <c r="T339" s="79"/>
      <c r="U339" s="79"/>
      <c r="V339" s="79"/>
      <c r="W339" s="79"/>
      <c r="X339" s="79"/>
      <c r="Y339" s="79"/>
      <c r="Z339" s="96"/>
    </row>
    <row r="340" ht="18.75" customHeight="1" spans="1:26">
      <c r="A340" s="33" t="s">
        <v>4165</v>
      </c>
      <c r="B340" s="34">
        <v>103258</v>
      </c>
      <c r="C340" s="46" t="s">
        <v>4166</v>
      </c>
      <c r="D340" s="36" t="s">
        <v>105</v>
      </c>
      <c r="E340" s="37">
        <f t="shared" si="2"/>
        <v>2</v>
      </c>
      <c r="F340" s="61" t="s">
        <v>4159</v>
      </c>
      <c r="G340" s="131" t="s">
        <v>4160</v>
      </c>
      <c r="H340" s="17"/>
      <c r="I340" s="88">
        <v>2</v>
      </c>
      <c r="J340" s="79"/>
      <c r="K340" s="79"/>
      <c r="L340" s="79"/>
      <c r="M340" s="79"/>
      <c r="N340" s="79"/>
      <c r="O340" s="79"/>
      <c r="P340" s="79"/>
      <c r="Q340" s="79"/>
      <c r="R340" s="79"/>
      <c r="S340" s="79"/>
      <c r="T340" s="79"/>
      <c r="U340" s="79"/>
      <c r="V340" s="79"/>
      <c r="W340" s="79"/>
      <c r="X340" s="79"/>
      <c r="Y340" s="79"/>
      <c r="Z340" s="96"/>
    </row>
    <row r="341" ht="18.75" customHeight="1" spans="1:26">
      <c r="A341" s="33" t="s">
        <v>4167</v>
      </c>
      <c r="B341" s="34">
        <v>103261</v>
      </c>
      <c r="C341" s="46" t="s">
        <v>4168</v>
      </c>
      <c r="D341" s="36" t="s">
        <v>105</v>
      </c>
      <c r="E341" s="37">
        <f t="shared" si="2"/>
        <v>3</v>
      </c>
      <c r="F341" s="61" t="s">
        <v>4159</v>
      </c>
      <c r="G341" s="131" t="s">
        <v>4160</v>
      </c>
      <c r="H341" s="17"/>
      <c r="I341" s="88">
        <v>3</v>
      </c>
      <c r="J341" s="79"/>
      <c r="K341" s="79"/>
      <c r="L341" s="79"/>
      <c r="M341" s="79"/>
      <c r="N341" s="79"/>
      <c r="O341" s="79"/>
      <c r="P341" s="79"/>
      <c r="Q341" s="79"/>
      <c r="R341" s="79"/>
      <c r="S341" s="79"/>
      <c r="T341" s="79"/>
      <c r="U341" s="79"/>
      <c r="V341" s="79"/>
      <c r="W341" s="79"/>
      <c r="X341" s="79"/>
      <c r="Y341" s="79"/>
      <c r="Z341" s="96"/>
    </row>
    <row r="342" ht="18.75" customHeight="1" spans="1:26">
      <c r="A342" s="33" t="s">
        <v>4169</v>
      </c>
      <c r="B342" s="34">
        <v>103263</v>
      </c>
      <c r="C342" s="46" t="s">
        <v>4170</v>
      </c>
      <c r="D342" s="36" t="s">
        <v>105</v>
      </c>
      <c r="E342" s="37">
        <f t="shared" si="2"/>
        <v>2</v>
      </c>
      <c r="F342" s="61" t="s">
        <v>4159</v>
      </c>
      <c r="G342" s="131" t="s">
        <v>4160</v>
      </c>
      <c r="H342" s="17"/>
      <c r="I342" s="88">
        <v>2</v>
      </c>
      <c r="J342" s="79"/>
      <c r="K342" s="79"/>
      <c r="L342" s="79"/>
      <c r="M342" s="79"/>
      <c r="N342" s="79"/>
      <c r="O342" s="79"/>
      <c r="P342" s="79"/>
      <c r="Q342" s="79"/>
      <c r="R342" s="79"/>
      <c r="S342" s="79"/>
      <c r="T342" s="79"/>
      <c r="U342" s="79"/>
      <c r="V342" s="79"/>
      <c r="W342" s="79"/>
      <c r="X342" s="79"/>
      <c r="Y342" s="79"/>
      <c r="Z342" s="96"/>
    </row>
    <row r="343" ht="18.75" customHeight="1" spans="1:26">
      <c r="A343" s="33" t="s">
        <v>4171</v>
      </c>
      <c r="B343" s="34">
        <v>103263</v>
      </c>
      <c r="C343" s="46" t="s">
        <v>4170</v>
      </c>
      <c r="D343" s="36" t="s">
        <v>105</v>
      </c>
      <c r="E343" s="37">
        <f t="shared" si="2"/>
        <v>2</v>
      </c>
      <c r="F343" s="61" t="s">
        <v>4159</v>
      </c>
      <c r="G343" s="131" t="s">
        <v>4160</v>
      </c>
      <c r="H343" s="17"/>
      <c r="I343" s="88">
        <v>2</v>
      </c>
      <c r="J343" s="79"/>
      <c r="K343" s="79"/>
      <c r="L343" s="79"/>
      <c r="M343" s="79"/>
      <c r="N343" s="79"/>
      <c r="O343" s="79"/>
      <c r="P343" s="79"/>
      <c r="Q343" s="79"/>
      <c r="R343" s="79"/>
      <c r="S343" s="79"/>
      <c r="T343" s="79"/>
      <c r="U343" s="79"/>
      <c r="V343" s="79"/>
      <c r="W343" s="79"/>
      <c r="X343" s="79"/>
      <c r="Y343" s="79"/>
      <c r="Z343" s="96"/>
    </row>
    <row r="344" ht="27.75" customHeight="1" spans="1:26">
      <c r="A344" s="33" t="s">
        <v>4172</v>
      </c>
      <c r="B344" s="34">
        <v>103265</v>
      </c>
      <c r="C344" s="46" t="s">
        <v>4173</v>
      </c>
      <c r="D344" s="36" t="s">
        <v>105</v>
      </c>
      <c r="E344" s="37">
        <f t="shared" si="2"/>
        <v>7</v>
      </c>
      <c r="F344" s="61" t="s">
        <v>4159</v>
      </c>
      <c r="G344" s="131" t="s">
        <v>4160</v>
      </c>
      <c r="H344" s="17"/>
      <c r="I344" s="88">
        <v>7</v>
      </c>
      <c r="J344" s="79"/>
      <c r="K344" s="79"/>
      <c r="L344" s="79"/>
      <c r="M344" s="79"/>
      <c r="N344" s="79"/>
      <c r="O344" s="79"/>
      <c r="P344" s="79"/>
      <c r="Q344" s="79"/>
      <c r="R344" s="79"/>
      <c r="S344" s="79"/>
      <c r="T344" s="79"/>
      <c r="U344" s="79"/>
      <c r="V344" s="79"/>
      <c r="W344" s="79"/>
      <c r="X344" s="79"/>
      <c r="Y344" s="79"/>
      <c r="Z344" s="96"/>
    </row>
    <row r="345" ht="18.75" customHeight="1" spans="1:26">
      <c r="A345" s="33" t="s">
        <v>4174</v>
      </c>
      <c r="B345" s="34" t="s">
        <v>4175</v>
      </c>
      <c r="C345" s="46" t="s">
        <v>4176</v>
      </c>
      <c r="D345" s="36" t="s">
        <v>105</v>
      </c>
      <c r="E345" s="37">
        <f t="shared" si="2"/>
        <v>2</v>
      </c>
      <c r="F345" s="61" t="s">
        <v>4159</v>
      </c>
      <c r="G345" s="131" t="s">
        <v>4160</v>
      </c>
      <c r="H345" s="17"/>
      <c r="I345" s="88">
        <v>2</v>
      </c>
      <c r="J345" s="79"/>
      <c r="K345" s="79"/>
      <c r="L345" s="79"/>
      <c r="M345" s="79"/>
      <c r="N345" s="79"/>
      <c r="O345" s="79"/>
      <c r="P345" s="79"/>
      <c r="Q345" s="79"/>
      <c r="R345" s="79"/>
      <c r="S345" s="79"/>
      <c r="T345" s="79"/>
      <c r="U345" s="79"/>
      <c r="V345" s="79"/>
      <c r="W345" s="79"/>
      <c r="X345" s="79"/>
      <c r="Y345" s="79"/>
      <c r="Z345" s="96"/>
    </row>
    <row r="346" ht="45.75" customHeight="1" spans="1:26">
      <c r="A346" s="33" t="s">
        <v>4177</v>
      </c>
      <c r="B346" s="34" t="s">
        <v>4178</v>
      </c>
      <c r="C346" s="46" t="s">
        <v>4179</v>
      </c>
      <c r="D346" s="36" t="s">
        <v>105</v>
      </c>
      <c r="E346" s="37">
        <f t="shared" si="2"/>
        <v>1</v>
      </c>
      <c r="F346" s="61" t="s">
        <v>4159</v>
      </c>
      <c r="G346" s="119" t="s">
        <v>4160</v>
      </c>
      <c r="H346" s="17"/>
      <c r="I346" s="88">
        <v>1</v>
      </c>
      <c r="J346" s="79"/>
      <c r="K346" s="79"/>
      <c r="L346" s="79"/>
      <c r="M346" s="79"/>
      <c r="N346" s="79"/>
      <c r="O346" s="79"/>
      <c r="P346" s="79"/>
      <c r="Q346" s="79"/>
      <c r="R346" s="79"/>
      <c r="S346" s="79"/>
      <c r="T346" s="79"/>
      <c r="U346" s="79"/>
      <c r="V346" s="79"/>
      <c r="W346" s="79"/>
      <c r="X346" s="79"/>
      <c r="Y346" s="79"/>
      <c r="Z346" s="96"/>
    </row>
    <row r="347" ht="15.75" customHeight="1" spans="1:26">
      <c r="A347" s="39" t="s">
        <v>4180</v>
      </c>
      <c r="B347" s="40"/>
      <c r="C347" s="41" t="s">
        <v>1171</v>
      </c>
      <c r="D347" s="42"/>
      <c r="E347" s="43"/>
      <c r="F347" s="66"/>
      <c r="G347" s="67"/>
      <c r="H347" s="67"/>
      <c r="I347" s="67"/>
      <c r="J347" s="79"/>
      <c r="K347" s="79"/>
      <c r="L347" s="79"/>
      <c r="M347" s="79"/>
      <c r="N347" s="79"/>
      <c r="O347" s="79"/>
      <c r="P347" s="79"/>
      <c r="Q347" s="79"/>
      <c r="R347" s="79"/>
      <c r="S347" s="79"/>
      <c r="T347" s="79"/>
      <c r="U347" s="79"/>
      <c r="V347" s="79"/>
      <c r="W347" s="79"/>
      <c r="X347" s="79"/>
      <c r="Y347" s="79"/>
      <c r="Z347" s="96"/>
    </row>
    <row r="348" ht="18.75" customHeight="1" spans="1:26">
      <c r="A348" s="33" t="s">
        <v>4181</v>
      </c>
      <c r="B348" s="34" t="s">
        <v>4182</v>
      </c>
      <c r="C348" s="46" t="s">
        <v>1174</v>
      </c>
      <c r="D348" s="36" t="s">
        <v>105</v>
      </c>
      <c r="E348" s="37">
        <f>I348</f>
        <v>2</v>
      </c>
      <c r="F348" s="61" t="s">
        <v>4159</v>
      </c>
      <c r="G348" s="119" t="s">
        <v>4160</v>
      </c>
      <c r="H348" s="17"/>
      <c r="I348" s="88">
        <v>2</v>
      </c>
      <c r="J348" s="79"/>
      <c r="K348" s="79"/>
      <c r="L348" s="79"/>
      <c r="M348" s="79"/>
      <c r="N348" s="79"/>
      <c r="O348" s="79"/>
      <c r="P348" s="79"/>
      <c r="Q348" s="79"/>
      <c r="R348" s="79"/>
      <c r="S348" s="79"/>
      <c r="T348" s="79"/>
      <c r="U348" s="79"/>
      <c r="V348" s="79"/>
      <c r="W348" s="79"/>
      <c r="X348" s="79"/>
      <c r="Y348" s="79"/>
      <c r="Z348" s="96"/>
    </row>
    <row r="349" ht="18.75" customHeight="1" spans="1:26">
      <c r="A349" s="33" t="s">
        <v>4183</v>
      </c>
      <c r="B349" s="34" t="s">
        <v>4184</v>
      </c>
      <c r="C349" s="46" t="s">
        <v>1177</v>
      </c>
      <c r="D349" s="36" t="s">
        <v>105</v>
      </c>
      <c r="E349" s="37">
        <f>I349</f>
        <v>6</v>
      </c>
      <c r="F349" s="61" t="s">
        <v>4159</v>
      </c>
      <c r="G349" s="119" t="s">
        <v>4160</v>
      </c>
      <c r="H349" s="17"/>
      <c r="I349" s="88">
        <v>6</v>
      </c>
      <c r="J349" s="79"/>
      <c r="K349" s="79"/>
      <c r="L349" s="79"/>
      <c r="M349" s="79"/>
      <c r="N349" s="79"/>
      <c r="O349" s="79"/>
      <c r="P349" s="79"/>
      <c r="Q349" s="79"/>
      <c r="R349" s="79"/>
      <c r="S349" s="79"/>
      <c r="T349" s="79"/>
      <c r="U349" s="79"/>
      <c r="V349" s="79"/>
      <c r="W349" s="79"/>
      <c r="X349" s="79"/>
      <c r="Y349" s="79"/>
      <c r="Z349" s="96"/>
    </row>
    <row r="350" ht="18.75" customHeight="1" spans="1:26">
      <c r="A350" s="33" t="s">
        <v>4185</v>
      </c>
      <c r="B350" s="34" t="s">
        <v>4186</v>
      </c>
      <c r="C350" s="46" t="s">
        <v>1180</v>
      </c>
      <c r="D350" s="36" t="s">
        <v>105</v>
      </c>
      <c r="E350" s="37">
        <f>I350</f>
        <v>10</v>
      </c>
      <c r="F350" s="61" t="s">
        <v>4159</v>
      </c>
      <c r="G350" s="119" t="s">
        <v>4160</v>
      </c>
      <c r="H350" s="17"/>
      <c r="I350" s="88">
        <v>10</v>
      </c>
      <c r="J350" s="79"/>
      <c r="K350" s="79"/>
      <c r="L350" s="79"/>
      <c r="M350" s="79"/>
      <c r="N350" s="79"/>
      <c r="O350" s="79"/>
      <c r="P350" s="79"/>
      <c r="Q350" s="79"/>
      <c r="R350" s="79"/>
      <c r="S350" s="79"/>
      <c r="T350" s="79"/>
      <c r="U350" s="79"/>
      <c r="V350" s="79"/>
      <c r="W350" s="79"/>
      <c r="X350" s="79"/>
      <c r="Y350" s="79"/>
      <c r="Z350" s="96"/>
    </row>
    <row r="351" ht="25.5" customHeight="1" spans="1:26">
      <c r="A351" s="39" t="s">
        <v>4187</v>
      </c>
      <c r="B351" s="40"/>
      <c r="C351" s="41" t="s">
        <v>1182</v>
      </c>
      <c r="D351" s="42"/>
      <c r="E351" s="43"/>
      <c r="F351" s="66"/>
      <c r="G351" s="67"/>
      <c r="H351" s="67"/>
      <c r="I351" s="67"/>
      <c r="J351" s="79"/>
      <c r="K351" s="79"/>
      <c r="L351" s="79"/>
      <c r="M351" s="79"/>
      <c r="N351" s="79"/>
      <c r="O351" s="79"/>
      <c r="P351" s="79"/>
      <c r="Q351" s="79"/>
      <c r="R351" s="79"/>
      <c r="S351" s="79"/>
      <c r="T351" s="79"/>
      <c r="U351" s="79"/>
      <c r="V351" s="79"/>
      <c r="W351" s="79"/>
      <c r="X351" s="79"/>
      <c r="Y351" s="79"/>
      <c r="Z351" s="96"/>
    </row>
    <row r="352" ht="36.75" customHeight="1" spans="1:26">
      <c r="A352" s="33" t="s">
        <v>4188</v>
      </c>
      <c r="B352" s="34">
        <v>97331</v>
      </c>
      <c r="C352" s="46" t="s">
        <v>1185</v>
      </c>
      <c r="D352" s="36" t="s">
        <v>78</v>
      </c>
      <c r="E352" s="37">
        <f t="shared" ref="E352:E359" si="3">I352</f>
        <v>2</v>
      </c>
      <c r="F352" s="61" t="s">
        <v>4159</v>
      </c>
      <c r="G352" s="119" t="s">
        <v>4160</v>
      </c>
      <c r="H352" s="17"/>
      <c r="I352" s="88">
        <v>2</v>
      </c>
      <c r="J352" s="79"/>
      <c r="K352" s="79"/>
      <c r="L352" s="79"/>
      <c r="M352" s="79"/>
      <c r="N352" s="79"/>
      <c r="O352" s="79"/>
      <c r="P352" s="79"/>
      <c r="Q352" s="79"/>
      <c r="R352" s="79"/>
      <c r="S352" s="79"/>
      <c r="T352" s="79"/>
      <c r="U352" s="79"/>
      <c r="V352" s="79"/>
      <c r="W352" s="79"/>
      <c r="X352" s="79"/>
      <c r="Y352" s="79"/>
      <c r="Z352" s="96"/>
    </row>
    <row r="353" ht="36.75" customHeight="1" spans="1:26">
      <c r="A353" s="33" t="s">
        <v>4189</v>
      </c>
      <c r="B353" s="34">
        <v>97332</v>
      </c>
      <c r="C353" s="46" t="s">
        <v>1188</v>
      </c>
      <c r="D353" s="36" t="s">
        <v>78</v>
      </c>
      <c r="E353" s="37">
        <f t="shared" si="3"/>
        <v>101</v>
      </c>
      <c r="F353" s="61" t="s">
        <v>4159</v>
      </c>
      <c r="G353" s="119" t="s">
        <v>4160</v>
      </c>
      <c r="H353" s="17"/>
      <c r="I353" s="88">
        <v>101</v>
      </c>
      <c r="J353" s="79"/>
      <c r="K353" s="79"/>
      <c r="L353" s="79"/>
      <c r="M353" s="79"/>
      <c r="N353" s="79"/>
      <c r="O353" s="79"/>
      <c r="P353" s="79"/>
      <c r="Q353" s="79"/>
      <c r="R353" s="79"/>
      <c r="S353" s="79"/>
      <c r="T353" s="79"/>
      <c r="U353" s="79"/>
      <c r="V353" s="79"/>
      <c r="W353" s="79"/>
      <c r="X353" s="79"/>
      <c r="Y353" s="79"/>
      <c r="Z353" s="96"/>
    </row>
    <row r="354" ht="36.75" customHeight="1" spans="1:26">
      <c r="A354" s="33" t="s">
        <v>4190</v>
      </c>
      <c r="B354" s="34">
        <v>97333</v>
      </c>
      <c r="C354" s="46" t="s">
        <v>1191</v>
      </c>
      <c r="D354" s="36" t="s">
        <v>78</v>
      </c>
      <c r="E354" s="37">
        <f t="shared" si="3"/>
        <v>23</v>
      </c>
      <c r="F354" s="61" t="s">
        <v>4159</v>
      </c>
      <c r="G354" s="119" t="s">
        <v>4160</v>
      </c>
      <c r="H354" s="17"/>
      <c r="I354" s="88">
        <v>23</v>
      </c>
      <c r="J354" s="79"/>
      <c r="K354" s="79"/>
      <c r="L354" s="79"/>
      <c r="M354" s="79"/>
      <c r="N354" s="79"/>
      <c r="O354" s="79"/>
      <c r="P354" s="79"/>
      <c r="Q354" s="79"/>
      <c r="R354" s="79"/>
      <c r="S354" s="79"/>
      <c r="T354" s="79"/>
      <c r="U354" s="79"/>
      <c r="V354" s="79"/>
      <c r="W354" s="79"/>
      <c r="X354" s="79"/>
      <c r="Y354" s="79"/>
      <c r="Z354" s="96"/>
    </row>
    <row r="355" ht="36.75" customHeight="1" spans="1:26">
      <c r="A355" s="33" t="s">
        <v>4191</v>
      </c>
      <c r="B355" s="34">
        <v>97334</v>
      </c>
      <c r="C355" s="46" t="s">
        <v>1194</v>
      </c>
      <c r="D355" s="36" t="s">
        <v>78</v>
      </c>
      <c r="E355" s="37">
        <f t="shared" si="3"/>
        <v>110</v>
      </c>
      <c r="F355" s="61" t="s">
        <v>4159</v>
      </c>
      <c r="G355" s="119" t="s">
        <v>4160</v>
      </c>
      <c r="H355" s="17"/>
      <c r="I355" s="88">
        <v>110</v>
      </c>
      <c r="J355" s="79"/>
      <c r="K355" s="79"/>
      <c r="L355" s="79"/>
      <c r="M355" s="79"/>
      <c r="N355" s="79"/>
      <c r="O355" s="79"/>
      <c r="P355" s="79"/>
      <c r="Q355" s="79"/>
      <c r="R355" s="79"/>
      <c r="S355" s="79"/>
      <c r="T355" s="79"/>
      <c r="U355" s="79"/>
      <c r="V355" s="79"/>
      <c r="W355" s="79"/>
      <c r="X355" s="79"/>
      <c r="Y355" s="79"/>
      <c r="Z355" s="96"/>
    </row>
    <row r="356" ht="18.75" customHeight="1" spans="1:26">
      <c r="A356" s="33" t="s">
        <v>4192</v>
      </c>
      <c r="B356" s="34">
        <v>56730</v>
      </c>
      <c r="C356" s="46" t="s">
        <v>4193</v>
      </c>
      <c r="D356" s="36" t="s">
        <v>78</v>
      </c>
      <c r="E356" s="37">
        <f t="shared" si="3"/>
        <v>78</v>
      </c>
      <c r="F356" s="61" t="s">
        <v>4159</v>
      </c>
      <c r="G356" s="119" t="s">
        <v>4160</v>
      </c>
      <c r="H356" s="17"/>
      <c r="I356" s="88">
        <v>78</v>
      </c>
      <c r="J356" s="79"/>
      <c r="K356" s="79"/>
      <c r="L356" s="79"/>
      <c r="M356" s="79"/>
      <c r="N356" s="79"/>
      <c r="O356" s="79"/>
      <c r="P356" s="79"/>
      <c r="Q356" s="79"/>
      <c r="R356" s="79"/>
      <c r="S356" s="79"/>
      <c r="T356" s="79"/>
      <c r="U356" s="79"/>
      <c r="V356" s="79"/>
      <c r="W356" s="79"/>
      <c r="X356" s="79"/>
      <c r="Y356" s="79"/>
      <c r="Z356" s="96"/>
    </row>
    <row r="357" ht="27.75" customHeight="1" spans="1:26">
      <c r="A357" s="33" t="s">
        <v>4194</v>
      </c>
      <c r="B357" s="34" t="s">
        <v>4195</v>
      </c>
      <c r="C357" s="46" t="s">
        <v>1200</v>
      </c>
      <c r="D357" s="36" t="s">
        <v>78</v>
      </c>
      <c r="E357" s="37">
        <f t="shared" si="3"/>
        <v>88</v>
      </c>
      <c r="F357" s="61" t="s">
        <v>4159</v>
      </c>
      <c r="G357" s="119" t="s">
        <v>4160</v>
      </c>
      <c r="H357" s="17"/>
      <c r="I357" s="88">
        <v>88</v>
      </c>
      <c r="J357" s="79"/>
      <c r="K357" s="79"/>
      <c r="L357" s="79"/>
      <c r="M357" s="79"/>
      <c r="N357" s="79"/>
      <c r="O357" s="79"/>
      <c r="P357" s="79"/>
      <c r="Q357" s="79"/>
      <c r="R357" s="79"/>
      <c r="S357" s="79"/>
      <c r="T357" s="79"/>
      <c r="U357" s="79"/>
      <c r="V357" s="79"/>
      <c r="W357" s="79"/>
      <c r="X357" s="79"/>
      <c r="Y357" s="79"/>
      <c r="Z357" s="96"/>
    </row>
    <row r="358" ht="18.75" customHeight="1" spans="1:26">
      <c r="A358" s="33" t="s">
        <v>4196</v>
      </c>
      <c r="B358" s="34">
        <v>70202</v>
      </c>
      <c r="C358" s="46" t="s">
        <v>4197</v>
      </c>
      <c r="D358" s="36" t="s">
        <v>78</v>
      </c>
      <c r="E358" s="37">
        <f t="shared" si="3"/>
        <v>116.89</v>
      </c>
      <c r="F358" s="61" t="s">
        <v>4159</v>
      </c>
      <c r="G358" s="119" t="s">
        <v>4160</v>
      </c>
      <c r="H358" s="17"/>
      <c r="I358" s="88">
        <v>116.89</v>
      </c>
      <c r="J358" s="79"/>
      <c r="K358" s="79"/>
      <c r="L358" s="79"/>
      <c r="M358" s="79"/>
      <c r="N358" s="79"/>
      <c r="O358" s="79"/>
      <c r="P358" s="79"/>
      <c r="Q358" s="79"/>
      <c r="R358" s="79"/>
      <c r="S358" s="79"/>
      <c r="T358" s="79"/>
      <c r="U358" s="79"/>
      <c r="V358" s="79"/>
      <c r="W358" s="79"/>
      <c r="X358" s="79"/>
      <c r="Y358" s="79"/>
      <c r="Z358" s="96"/>
    </row>
    <row r="359" ht="18.75" customHeight="1" spans="1:26">
      <c r="A359" s="33" t="s">
        <v>4198</v>
      </c>
      <c r="B359" s="34">
        <v>7881</v>
      </c>
      <c r="C359" s="46" t="s">
        <v>4199</v>
      </c>
      <c r="D359" s="36" t="s">
        <v>105</v>
      </c>
      <c r="E359" s="37">
        <f t="shared" si="3"/>
        <v>70</v>
      </c>
      <c r="F359" s="61" t="s">
        <v>4159</v>
      </c>
      <c r="G359" s="119" t="s">
        <v>4160</v>
      </c>
      <c r="H359" s="17"/>
      <c r="I359" s="88">
        <v>70</v>
      </c>
      <c r="J359" s="79"/>
      <c r="K359" s="79"/>
      <c r="L359" s="79"/>
      <c r="M359" s="79"/>
      <c r="N359" s="79"/>
      <c r="O359" s="79"/>
      <c r="P359" s="79"/>
      <c r="Q359" s="79"/>
      <c r="R359" s="79"/>
      <c r="S359" s="79"/>
      <c r="T359" s="79"/>
      <c r="U359" s="79"/>
      <c r="V359" s="79"/>
      <c r="W359" s="79"/>
      <c r="X359" s="79"/>
      <c r="Y359" s="79"/>
      <c r="Z359" s="96"/>
    </row>
    <row r="360" ht="15.75" customHeight="1" spans="1:26">
      <c r="A360" s="39" t="s">
        <v>4200</v>
      </c>
      <c r="B360" s="40"/>
      <c r="C360" s="41" t="s">
        <v>1208</v>
      </c>
      <c r="D360" s="42"/>
      <c r="E360" s="43"/>
      <c r="F360" s="66"/>
      <c r="G360" s="67"/>
      <c r="H360" s="67"/>
      <c r="I360" s="67"/>
      <c r="J360" s="79"/>
      <c r="K360" s="79"/>
      <c r="L360" s="79"/>
      <c r="M360" s="79"/>
      <c r="N360" s="79"/>
      <c r="O360" s="79"/>
      <c r="P360" s="79"/>
      <c r="Q360" s="79"/>
      <c r="R360" s="79"/>
      <c r="S360" s="79"/>
      <c r="T360" s="79"/>
      <c r="U360" s="79"/>
      <c r="V360" s="79"/>
      <c r="W360" s="79"/>
      <c r="X360" s="79"/>
      <c r="Y360" s="79"/>
      <c r="Z360" s="96"/>
    </row>
    <row r="361" ht="15.75" customHeight="1" spans="1:26">
      <c r="A361" s="134" t="s">
        <v>4201</v>
      </c>
      <c r="B361" s="133">
        <v>96645</v>
      </c>
      <c r="C361" s="134" t="s">
        <v>1211</v>
      </c>
      <c r="D361" s="133" t="s">
        <v>78</v>
      </c>
      <c r="E361" s="135">
        <v>154</v>
      </c>
      <c r="F361" s="121" t="s">
        <v>3881</v>
      </c>
      <c r="G361" s="117"/>
      <c r="H361" s="117"/>
      <c r="I361" s="127"/>
      <c r="J361" s="79"/>
      <c r="K361" s="79"/>
      <c r="L361" s="79"/>
      <c r="M361" s="79"/>
      <c r="N361" s="79"/>
      <c r="O361" s="79"/>
      <c r="P361" s="79"/>
      <c r="Q361" s="79"/>
      <c r="R361" s="79"/>
      <c r="S361" s="79"/>
      <c r="T361" s="79"/>
      <c r="U361" s="79"/>
      <c r="V361" s="79"/>
      <c r="W361" s="79"/>
      <c r="X361" s="79"/>
      <c r="Y361" s="79"/>
      <c r="Z361" s="96"/>
    </row>
    <row r="362" ht="15.75" customHeight="1" spans="1:26">
      <c r="A362" s="134" t="s">
        <v>4202</v>
      </c>
      <c r="B362" s="133">
        <v>96646</v>
      </c>
      <c r="C362" s="134" t="s">
        <v>1214</v>
      </c>
      <c r="D362" s="133" t="s">
        <v>78</v>
      </c>
      <c r="E362" s="135">
        <v>6</v>
      </c>
      <c r="F362" s="121" t="s">
        <v>3881</v>
      </c>
      <c r="G362" s="117"/>
      <c r="H362" s="117"/>
      <c r="I362" s="127"/>
      <c r="J362" s="79"/>
      <c r="K362" s="79"/>
      <c r="L362" s="79"/>
      <c r="M362" s="79"/>
      <c r="N362" s="79"/>
      <c r="O362" s="79"/>
      <c r="P362" s="79"/>
      <c r="Q362" s="79"/>
      <c r="R362" s="79"/>
      <c r="S362" s="79"/>
      <c r="T362" s="79"/>
      <c r="U362" s="79"/>
      <c r="V362" s="79"/>
      <c r="W362" s="79"/>
      <c r="X362" s="79"/>
      <c r="Y362" s="79"/>
      <c r="Z362" s="96"/>
    </row>
    <row r="363" ht="15.75" customHeight="1" spans="1:26">
      <c r="A363" s="134" t="s">
        <v>4203</v>
      </c>
      <c r="B363" s="133">
        <v>96659</v>
      </c>
      <c r="C363" s="134" t="s">
        <v>1217</v>
      </c>
      <c r="D363" s="133" t="s">
        <v>105</v>
      </c>
      <c r="E363" s="135">
        <v>12</v>
      </c>
      <c r="F363" s="121" t="s">
        <v>3881</v>
      </c>
      <c r="G363" s="117"/>
      <c r="H363" s="117"/>
      <c r="I363" s="127"/>
      <c r="J363" s="79"/>
      <c r="K363" s="79"/>
      <c r="L363" s="79"/>
      <c r="M363" s="79"/>
      <c r="N363" s="79"/>
      <c r="O363" s="79"/>
      <c r="P363" s="79"/>
      <c r="Q363" s="79"/>
      <c r="R363" s="79"/>
      <c r="S363" s="79"/>
      <c r="T363" s="79"/>
      <c r="U363" s="79"/>
      <c r="V363" s="79"/>
      <c r="W363" s="79"/>
      <c r="X363" s="79"/>
      <c r="Y363" s="79"/>
      <c r="Z363" s="96"/>
    </row>
    <row r="364" ht="15.75" customHeight="1" spans="1:26">
      <c r="A364" s="134" t="s">
        <v>4204</v>
      </c>
      <c r="B364" s="133">
        <v>96652</v>
      </c>
      <c r="C364" s="134" t="s">
        <v>1220</v>
      </c>
      <c r="D364" s="133" t="s">
        <v>105</v>
      </c>
      <c r="E364" s="135">
        <v>42</v>
      </c>
      <c r="F364" s="121" t="s">
        <v>3881</v>
      </c>
      <c r="G364" s="117"/>
      <c r="H364" s="117"/>
      <c r="I364" s="127"/>
      <c r="J364" s="79"/>
      <c r="K364" s="79"/>
      <c r="L364" s="79"/>
      <c r="M364" s="79"/>
      <c r="N364" s="79"/>
      <c r="O364" s="79"/>
      <c r="P364" s="79"/>
      <c r="Q364" s="79"/>
      <c r="R364" s="79"/>
      <c r="S364" s="79"/>
      <c r="T364" s="79"/>
      <c r="U364" s="79"/>
      <c r="V364" s="79"/>
      <c r="W364" s="79"/>
      <c r="X364" s="79"/>
      <c r="Y364" s="79"/>
      <c r="Z364" s="96"/>
    </row>
    <row r="365" ht="15.75" customHeight="1" spans="1:26">
      <c r="A365" s="134" t="s">
        <v>4205</v>
      </c>
      <c r="B365" s="133">
        <v>105163</v>
      </c>
      <c r="C365" s="134" t="s">
        <v>1223</v>
      </c>
      <c r="D365" s="133" t="s">
        <v>105</v>
      </c>
      <c r="E365" s="135">
        <v>18</v>
      </c>
      <c r="F365" s="121" t="s">
        <v>3881</v>
      </c>
      <c r="G365" s="117"/>
      <c r="H365" s="117"/>
      <c r="I365" s="127"/>
      <c r="J365" s="79"/>
      <c r="K365" s="79"/>
      <c r="L365" s="79"/>
      <c r="M365" s="79"/>
      <c r="N365" s="79"/>
      <c r="O365" s="79"/>
      <c r="P365" s="79"/>
      <c r="Q365" s="79"/>
      <c r="R365" s="79"/>
      <c r="S365" s="79"/>
      <c r="T365" s="79"/>
      <c r="U365" s="79"/>
      <c r="V365" s="79"/>
      <c r="W365" s="79"/>
      <c r="X365" s="79"/>
      <c r="Y365" s="79"/>
      <c r="Z365" s="96"/>
    </row>
    <row r="366" ht="15.75" customHeight="1" spans="1:26">
      <c r="A366" s="134" t="s">
        <v>4206</v>
      </c>
      <c r="B366" s="133">
        <v>96666</v>
      </c>
      <c r="C366" s="134" t="s">
        <v>1226</v>
      </c>
      <c r="D366" s="133" t="s">
        <v>105</v>
      </c>
      <c r="E366" s="135">
        <v>6</v>
      </c>
      <c r="F366" s="121" t="s">
        <v>3881</v>
      </c>
      <c r="G366" s="117"/>
      <c r="H366" s="117"/>
      <c r="I366" s="127"/>
      <c r="J366" s="79"/>
      <c r="K366" s="79"/>
      <c r="L366" s="79"/>
      <c r="M366" s="79"/>
      <c r="N366" s="79"/>
      <c r="O366" s="79"/>
      <c r="P366" s="79"/>
      <c r="Q366" s="79"/>
      <c r="R366" s="79"/>
      <c r="S366" s="79"/>
      <c r="T366" s="79"/>
      <c r="U366" s="79"/>
      <c r="V366" s="79"/>
      <c r="W366" s="79"/>
      <c r="X366" s="79"/>
      <c r="Y366" s="79"/>
      <c r="Z366" s="96"/>
    </row>
    <row r="367" ht="15.75" customHeight="1" spans="1:26">
      <c r="A367" s="134" t="s">
        <v>4207</v>
      </c>
      <c r="B367" s="133">
        <v>96667</v>
      </c>
      <c r="C367" s="134" t="s">
        <v>1229</v>
      </c>
      <c r="D367" s="133" t="s">
        <v>105</v>
      </c>
      <c r="E367" s="135">
        <v>1</v>
      </c>
      <c r="F367" s="121" t="s">
        <v>3881</v>
      </c>
      <c r="G367" s="117"/>
      <c r="H367" s="117"/>
      <c r="I367" s="127"/>
      <c r="J367" s="79"/>
      <c r="K367" s="79"/>
      <c r="L367" s="79"/>
      <c r="M367" s="79"/>
      <c r="N367" s="79"/>
      <c r="O367" s="79"/>
      <c r="P367" s="79"/>
      <c r="Q367" s="79"/>
      <c r="R367" s="79"/>
      <c r="S367" s="79"/>
      <c r="T367" s="79"/>
      <c r="U367" s="79"/>
      <c r="V367" s="79"/>
      <c r="W367" s="79"/>
      <c r="X367" s="79"/>
      <c r="Y367" s="79"/>
      <c r="Z367" s="96"/>
    </row>
    <row r="368" ht="15.75" customHeight="1" spans="1:26">
      <c r="A368" s="39">
        <v>18</v>
      </c>
      <c r="B368" s="40"/>
      <c r="C368" s="41"/>
      <c r="D368" s="42"/>
      <c r="E368" s="43"/>
      <c r="F368" s="66"/>
      <c r="G368" s="67"/>
      <c r="H368" s="67"/>
      <c r="I368" s="67"/>
      <c r="J368" s="79"/>
      <c r="K368" s="79"/>
      <c r="L368" s="79"/>
      <c r="M368" s="79"/>
      <c r="N368" s="79"/>
      <c r="O368" s="79"/>
      <c r="P368" s="79"/>
      <c r="Q368" s="79"/>
      <c r="R368" s="79"/>
      <c r="S368" s="79"/>
      <c r="T368" s="79"/>
      <c r="U368" s="79"/>
      <c r="V368" s="79"/>
      <c r="W368" s="79"/>
      <c r="X368" s="79"/>
      <c r="Y368" s="79"/>
      <c r="Z368" s="96"/>
    </row>
    <row r="369" ht="15.75" customHeight="1" spans="1:26">
      <c r="A369" s="33" t="s">
        <v>4208</v>
      </c>
      <c r="B369" s="34">
        <v>80615</v>
      </c>
      <c r="C369" s="46" t="s">
        <v>1233</v>
      </c>
      <c r="D369" s="36" t="s">
        <v>105</v>
      </c>
      <c r="E369" s="37">
        <f>I369</f>
        <v>1</v>
      </c>
      <c r="F369" s="61" t="s">
        <v>4209</v>
      </c>
      <c r="G369" s="48"/>
      <c r="H369" s="48"/>
      <c r="I369" s="88">
        <v>1</v>
      </c>
      <c r="J369" s="79"/>
      <c r="K369" s="79"/>
      <c r="L369" s="79"/>
      <c r="M369" s="79"/>
      <c r="N369" s="79"/>
      <c r="O369" s="79"/>
      <c r="P369" s="79"/>
      <c r="Q369" s="79"/>
      <c r="R369" s="79"/>
      <c r="S369" s="79"/>
      <c r="T369" s="79"/>
      <c r="U369" s="79"/>
      <c r="V369" s="79"/>
      <c r="W369" s="79"/>
      <c r="X369" s="79"/>
      <c r="Y369" s="79"/>
      <c r="Z369" s="96"/>
    </row>
    <row r="370" ht="15.75" customHeight="1" spans="1:26">
      <c r="A370" s="39">
        <v>19</v>
      </c>
      <c r="B370" s="40"/>
      <c r="C370" s="41" t="s">
        <v>38</v>
      </c>
      <c r="D370" s="42"/>
      <c r="E370" s="43"/>
      <c r="F370" s="66"/>
      <c r="G370" s="67"/>
      <c r="H370" s="67"/>
      <c r="I370" s="67"/>
      <c r="J370" s="79"/>
      <c r="K370" s="79"/>
      <c r="L370" s="79"/>
      <c r="M370" s="79"/>
      <c r="N370" s="79"/>
      <c r="O370" s="79"/>
      <c r="P370" s="79"/>
      <c r="Q370" s="79"/>
      <c r="R370" s="79"/>
      <c r="S370" s="79"/>
      <c r="T370" s="79"/>
      <c r="U370" s="79"/>
      <c r="V370" s="79"/>
      <c r="W370" s="79"/>
      <c r="X370" s="79"/>
      <c r="Y370" s="79"/>
      <c r="Z370" s="96"/>
    </row>
    <row r="371" ht="15.75" customHeight="1" spans="1:26">
      <c r="A371" s="39" t="s">
        <v>4210</v>
      </c>
      <c r="B371" s="40"/>
      <c r="C371" s="41" t="s">
        <v>1237</v>
      </c>
      <c r="D371" s="42"/>
      <c r="E371" s="43"/>
      <c r="F371" s="66"/>
      <c r="G371" s="67"/>
      <c r="H371" s="67"/>
      <c r="I371" s="67"/>
      <c r="J371" s="79"/>
      <c r="K371" s="79"/>
      <c r="L371" s="79"/>
      <c r="M371" s="79"/>
      <c r="N371" s="79"/>
      <c r="O371" s="79"/>
      <c r="P371" s="79"/>
      <c r="Q371" s="79"/>
      <c r="R371" s="79"/>
      <c r="S371" s="79"/>
      <c r="T371" s="79"/>
      <c r="U371" s="79"/>
      <c r="V371" s="79"/>
      <c r="W371" s="79"/>
      <c r="X371" s="79"/>
      <c r="Y371" s="79"/>
      <c r="Z371" s="96"/>
    </row>
    <row r="372" ht="18.75" customHeight="1" spans="1:26">
      <c r="A372" s="100" t="s">
        <v>4211</v>
      </c>
      <c r="B372" s="101">
        <v>104411</v>
      </c>
      <c r="C372" s="102" t="s">
        <v>1240</v>
      </c>
      <c r="D372" s="103" t="s">
        <v>3719</v>
      </c>
      <c r="E372" s="104">
        <f>I394</f>
        <v>494.33</v>
      </c>
      <c r="F372" s="98" t="s">
        <v>4212</v>
      </c>
      <c r="G372" s="68" t="s">
        <v>4213</v>
      </c>
      <c r="H372" s="68" t="s">
        <v>4214</v>
      </c>
      <c r="I372" s="92"/>
      <c r="J372" s="79"/>
      <c r="K372" s="79"/>
      <c r="L372" s="79"/>
      <c r="M372" s="79"/>
      <c r="N372" s="79"/>
      <c r="O372" s="79"/>
      <c r="P372" s="79"/>
      <c r="Q372" s="79"/>
      <c r="R372" s="79"/>
      <c r="S372" s="79"/>
      <c r="T372" s="79"/>
      <c r="U372" s="79"/>
      <c r="V372" s="79"/>
      <c r="W372" s="79"/>
      <c r="X372" s="79"/>
      <c r="Y372" s="79"/>
      <c r="Z372" s="96"/>
    </row>
    <row r="373" ht="15.75" customHeight="1" spans="1:26">
      <c r="A373" s="105"/>
      <c r="B373" s="105"/>
      <c r="C373" s="106"/>
      <c r="D373" s="105"/>
      <c r="E373" s="105"/>
      <c r="F373" s="61" t="s">
        <v>3831</v>
      </c>
      <c r="G373" s="137">
        <f>5.9+6</f>
        <v>11.9</v>
      </c>
      <c r="H373" s="137">
        <v>2.9</v>
      </c>
      <c r="I373" s="138">
        <f t="shared" ref="I373:I392" si="4">TRUNC(PRODUCT(G373:H373),2)</f>
        <v>34.51</v>
      </c>
      <c r="J373" s="79"/>
      <c r="K373" s="79"/>
      <c r="L373" s="79"/>
      <c r="M373" s="79"/>
      <c r="N373" s="79"/>
      <c r="O373" s="79"/>
      <c r="P373" s="79"/>
      <c r="Q373" s="79"/>
      <c r="R373" s="79"/>
      <c r="S373" s="79"/>
      <c r="T373" s="79"/>
      <c r="U373" s="79"/>
      <c r="V373" s="79"/>
      <c r="W373" s="79"/>
      <c r="X373" s="79"/>
      <c r="Y373" s="79"/>
      <c r="Z373" s="96"/>
    </row>
    <row r="374" ht="15.75" customHeight="1" spans="1:26">
      <c r="A374" s="105"/>
      <c r="B374" s="105"/>
      <c r="C374" s="106"/>
      <c r="D374" s="105"/>
      <c r="E374" s="105"/>
      <c r="F374" s="61" t="s">
        <v>3832</v>
      </c>
      <c r="G374" s="137">
        <v>2</v>
      </c>
      <c r="H374" s="137">
        <v>2.9</v>
      </c>
      <c r="I374" s="138">
        <f t="shared" si="4"/>
        <v>5.8</v>
      </c>
      <c r="J374" s="79"/>
      <c r="K374" s="79"/>
      <c r="L374" s="79"/>
      <c r="M374" s="79"/>
      <c r="N374" s="79"/>
      <c r="O374" s="79"/>
      <c r="P374" s="79"/>
      <c r="Q374" s="79"/>
      <c r="R374" s="79"/>
      <c r="S374" s="79"/>
      <c r="T374" s="79"/>
      <c r="U374" s="79"/>
      <c r="V374" s="79"/>
      <c r="W374" s="79"/>
      <c r="X374" s="79"/>
      <c r="Y374" s="79"/>
      <c r="Z374" s="96"/>
    </row>
    <row r="375" ht="15.75" customHeight="1" spans="1:26">
      <c r="A375" s="105"/>
      <c r="B375" s="105"/>
      <c r="C375" s="106"/>
      <c r="D375" s="105"/>
      <c r="E375" s="105"/>
      <c r="F375" s="61" t="s">
        <v>3833</v>
      </c>
      <c r="G375" s="137">
        <v>4.28</v>
      </c>
      <c r="H375" s="137">
        <v>2.9</v>
      </c>
      <c r="I375" s="138">
        <f t="shared" si="4"/>
        <v>12.41</v>
      </c>
      <c r="J375" s="79"/>
      <c r="K375" s="79"/>
      <c r="L375" s="79"/>
      <c r="M375" s="79"/>
      <c r="N375" s="79"/>
      <c r="O375" s="79"/>
      <c r="P375" s="79"/>
      <c r="Q375" s="79"/>
      <c r="R375" s="79"/>
      <c r="S375" s="79"/>
      <c r="T375" s="79"/>
      <c r="U375" s="79"/>
      <c r="V375" s="79"/>
      <c r="W375" s="79"/>
      <c r="X375" s="79"/>
      <c r="Y375" s="79"/>
      <c r="Z375" s="96"/>
    </row>
    <row r="376" ht="15.75" customHeight="1" spans="1:26">
      <c r="A376" s="105"/>
      <c r="B376" s="105"/>
      <c r="C376" s="106"/>
      <c r="D376" s="105"/>
      <c r="E376" s="105"/>
      <c r="F376" s="61" t="s">
        <v>3834</v>
      </c>
      <c r="G376" s="137">
        <v>3.43</v>
      </c>
      <c r="H376" s="137">
        <v>2.9</v>
      </c>
      <c r="I376" s="138">
        <f t="shared" si="4"/>
        <v>9.94</v>
      </c>
      <c r="J376" s="79"/>
      <c r="K376" s="79"/>
      <c r="L376" s="79"/>
      <c r="M376" s="79"/>
      <c r="N376" s="79"/>
      <c r="O376" s="79"/>
      <c r="P376" s="79"/>
      <c r="Q376" s="79"/>
      <c r="R376" s="79"/>
      <c r="S376" s="79"/>
      <c r="T376" s="79"/>
      <c r="U376" s="79"/>
      <c r="V376" s="79"/>
      <c r="W376" s="79"/>
      <c r="X376" s="79"/>
      <c r="Y376" s="79"/>
      <c r="Z376" s="96"/>
    </row>
    <row r="377" ht="15.75" customHeight="1" spans="1:26">
      <c r="A377" s="105"/>
      <c r="B377" s="105"/>
      <c r="C377" s="106"/>
      <c r="D377" s="105"/>
      <c r="E377" s="105"/>
      <c r="F377" s="61" t="s">
        <v>3835</v>
      </c>
      <c r="G377" s="137">
        <v>3.45</v>
      </c>
      <c r="H377" s="137">
        <v>2.9</v>
      </c>
      <c r="I377" s="138">
        <f t="shared" si="4"/>
        <v>10</v>
      </c>
      <c r="J377" s="79"/>
      <c r="K377" s="79"/>
      <c r="L377" s="79"/>
      <c r="M377" s="79"/>
      <c r="N377" s="79"/>
      <c r="O377" s="79"/>
      <c r="P377" s="79"/>
      <c r="Q377" s="79"/>
      <c r="R377" s="79"/>
      <c r="S377" s="79"/>
      <c r="T377" s="79"/>
      <c r="U377" s="79"/>
      <c r="V377" s="79"/>
      <c r="W377" s="79"/>
      <c r="X377" s="79"/>
      <c r="Y377" s="79"/>
      <c r="Z377" s="96"/>
    </row>
    <row r="378" ht="15.75" customHeight="1" spans="1:26">
      <c r="A378" s="105"/>
      <c r="B378" s="105"/>
      <c r="C378" s="106"/>
      <c r="D378" s="105"/>
      <c r="E378" s="105"/>
      <c r="F378" s="61" t="s">
        <v>4215</v>
      </c>
      <c r="G378" s="137">
        <v>1.72</v>
      </c>
      <c r="H378" s="137">
        <v>2.9</v>
      </c>
      <c r="I378" s="138">
        <f t="shared" si="4"/>
        <v>4.98</v>
      </c>
      <c r="J378" s="79"/>
      <c r="K378" s="79"/>
      <c r="L378" s="79"/>
      <c r="M378" s="79"/>
      <c r="N378" s="79"/>
      <c r="O378" s="79"/>
      <c r="P378" s="79"/>
      <c r="Q378" s="79"/>
      <c r="R378" s="79"/>
      <c r="S378" s="79"/>
      <c r="T378" s="79"/>
      <c r="U378" s="79"/>
      <c r="V378" s="79"/>
      <c r="W378" s="79"/>
      <c r="X378" s="79"/>
      <c r="Y378" s="79"/>
      <c r="Z378" s="96"/>
    </row>
    <row r="379" ht="15.75" customHeight="1" spans="1:26">
      <c r="A379" s="105"/>
      <c r="B379" s="105"/>
      <c r="C379" s="106"/>
      <c r="D379" s="105"/>
      <c r="E379" s="105"/>
      <c r="F379" s="61" t="s">
        <v>4216</v>
      </c>
      <c r="G379" s="137">
        <v>38.6</v>
      </c>
      <c r="H379" s="137">
        <v>2.9</v>
      </c>
      <c r="I379" s="138">
        <f t="shared" si="4"/>
        <v>111.94</v>
      </c>
      <c r="J379" s="79"/>
      <c r="K379" s="79"/>
      <c r="L379" s="79"/>
      <c r="M379" s="79"/>
      <c r="N379" s="79"/>
      <c r="O379" s="79"/>
      <c r="P379" s="79"/>
      <c r="Q379" s="79"/>
      <c r="R379" s="79"/>
      <c r="S379" s="79"/>
      <c r="T379" s="79"/>
      <c r="U379" s="79"/>
      <c r="V379" s="79"/>
      <c r="W379" s="79"/>
      <c r="X379" s="79"/>
      <c r="Y379" s="79"/>
      <c r="Z379" s="96"/>
    </row>
    <row r="380" ht="15.75" customHeight="1" spans="1:26">
      <c r="A380" s="105"/>
      <c r="B380" s="105"/>
      <c r="C380" s="106"/>
      <c r="D380" s="105"/>
      <c r="E380" s="105"/>
      <c r="F380" s="61" t="s">
        <v>4217</v>
      </c>
      <c r="G380" s="137">
        <v>8.88</v>
      </c>
      <c r="H380" s="137">
        <v>2.9</v>
      </c>
      <c r="I380" s="138">
        <f t="shared" si="4"/>
        <v>25.75</v>
      </c>
      <c r="J380" s="79"/>
      <c r="K380" s="79"/>
      <c r="L380" s="79"/>
      <c r="M380" s="79"/>
      <c r="N380" s="79"/>
      <c r="O380" s="79"/>
      <c r="P380" s="79"/>
      <c r="Q380" s="79"/>
      <c r="R380" s="79"/>
      <c r="S380" s="79"/>
      <c r="T380" s="79"/>
      <c r="U380" s="79"/>
      <c r="V380" s="79"/>
      <c r="W380" s="79"/>
      <c r="X380" s="79"/>
      <c r="Y380" s="79"/>
      <c r="Z380" s="96"/>
    </row>
    <row r="381" ht="15.75" customHeight="1" spans="1:26">
      <c r="A381" s="105"/>
      <c r="B381" s="105"/>
      <c r="C381" s="106"/>
      <c r="D381" s="105"/>
      <c r="E381" s="105"/>
      <c r="F381" s="61" t="s">
        <v>4218</v>
      </c>
      <c r="G381" s="137">
        <f>1.5+1.5+3.3+2.23+6</f>
        <v>14.53</v>
      </c>
      <c r="H381" s="137">
        <v>2.9</v>
      </c>
      <c r="I381" s="138">
        <f t="shared" si="4"/>
        <v>42.13</v>
      </c>
      <c r="J381" s="79"/>
      <c r="K381" s="79"/>
      <c r="L381" s="79"/>
      <c r="M381" s="79"/>
      <c r="N381" s="79"/>
      <c r="O381" s="79"/>
      <c r="P381" s="79"/>
      <c r="Q381" s="79"/>
      <c r="R381" s="79"/>
      <c r="S381" s="79"/>
      <c r="T381" s="79"/>
      <c r="U381" s="79"/>
      <c r="V381" s="79"/>
      <c r="W381" s="79"/>
      <c r="X381" s="79"/>
      <c r="Y381" s="79"/>
      <c r="Z381" s="96"/>
    </row>
    <row r="382" ht="15.75" customHeight="1" spans="1:26">
      <c r="A382" s="105"/>
      <c r="B382" s="105"/>
      <c r="C382" s="106"/>
      <c r="D382" s="105"/>
      <c r="E382" s="105"/>
      <c r="F382" s="61" t="s">
        <v>4219</v>
      </c>
      <c r="G382" s="137">
        <f>18.73+13.38</f>
        <v>32.11</v>
      </c>
      <c r="H382" s="137">
        <v>2.9</v>
      </c>
      <c r="I382" s="138">
        <f t="shared" si="4"/>
        <v>93.11</v>
      </c>
      <c r="J382" s="79"/>
      <c r="K382" s="79"/>
      <c r="L382" s="79"/>
      <c r="M382" s="79"/>
      <c r="N382" s="79"/>
      <c r="O382" s="79"/>
      <c r="P382" s="79"/>
      <c r="Q382" s="79"/>
      <c r="R382" s="79"/>
      <c r="S382" s="79"/>
      <c r="T382" s="79"/>
      <c r="U382" s="79"/>
      <c r="V382" s="79"/>
      <c r="W382" s="79"/>
      <c r="X382" s="79"/>
      <c r="Y382" s="79"/>
      <c r="Z382" s="96"/>
    </row>
    <row r="383" ht="15.75" customHeight="1" spans="1:26">
      <c r="A383" s="105"/>
      <c r="B383" s="105"/>
      <c r="C383" s="106"/>
      <c r="D383" s="105"/>
      <c r="E383" s="105"/>
      <c r="F383" s="61" t="s">
        <v>3847</v>
      </c>
      <c r="G383" s="137">
        <v>2.83</v>
      </c>
      <c r="H383" s="137">
        <v>2.9</v>
      </c>
      <c r="I383" s="138">
        <f t="shared" si="4"/>
        <v>8.2</v>
      </c>
      <c r="J383" s="79"/>
      <c r="K383" s="79"/>
      <c r="L383" s="79"/>
      <c r="M383" s="79"/>
      <c r="N383" s="79"/>
      <c r="O383" s="79"/>
      <c r="P383" s="79"/>
      <c r="Q383" s="79"/>
      <c r="R383" s="79"/>
      <c r="S383" s="79"/>
      <c r="T383" s="79"/>
      <c r="U383" s="79"/>
      <c r="V383" s="79"/>
      <c r="W383" s="79"/>
      <c r="X383" s="79"/>
      <c r="Y383" s="79"/>
      <c r="Z383" s="96"/>
    </row>
    <row r="384" ht="15.75" customHeight="1" spans="1:26">
      <c r="A384" s="105"/>
      <c r="B384" s="105"/>
      <c r="C384" s="106"/>
      <c r="D384" s="105"/>
      <c r="E384" s="105"/>
      <c r="F384" s="61" t="s">
        <v>3836</v>
      </c>
      <c r="G384" s="137">
        <v>4.5</v>
      </c>
      <c r="H384" s="137">
        <v>2.9</v>
      </c>
      <c r="I384" s="138">
        <f t="shared" si="4"/>
        <v>13.05</v>
      </c>
      <c r="J384" s="79"/>
      <c r="K384" s="79"/>
      <c r="L384" s="79"/>
      <c r="M384" s="79"/>
      <c r="N384" s="79"/>
      <c r="O384" s="79"/>
      <c r="P384" s="79"/>
      <c r="Q384" s="79"/>
      <c r="R384" s="79"/>
      <c r="S384" s="79"/>
      <c r="T384" s="79"/>
      <c r="U384" s="79"/>
      <c r="V384" s="79"/>
      <c r="W384" s="79"/>
      <c r="X384" s="79"/>
      <c r="Y384" s="79"/>
      <c r="Z384" s="96"/>
    </row>
    <row r="385" ht="15.75" customHeight="1" spans="1:26">
      <c r="A385" s="105"/>
      <c r="B385" s="105"/>
      <c r="C385" s="106"/>
      <c r="D385" s="105"/>
      <c r="E385" s="105"/>
      <c r="F385" s="61" t="s">
        <v>3837</v>
      </c>
      <c r="G385" s="137">
        <v>4.5</v>
      </c>
      <c r="H385" s="137">
        <v>2.9</v>
      </c>
      <c r="I385" s="138">
        <f t="shared" si="4"/>
        <v>13.05</v>
      </c>
      <c r="J385" s="79"/>
      <c r="K385" s="79"/>
      <c r="L385" s="79"/>
      <c r="M385" s="79"/>
      <c r="N385" s="79"/>
      <c r="O385" s="79"/>
      <c r="P385" s="79"/>
      <c r="Q385" s="79"/>
      <c r="R385" s="79"/>
      <c r="S385" s="79"/>
      <c r="T385" s="79"/>
      <c r="U385" s="79"/>
      <c r="V385" s="79"/>
      <c r="W385" s="79"/>
      <c r="X385" s="79"/>
      <c r="Y385" s="79"/>
      <c r="Z385" s="96"/>
    </row>
    <row r="386" ht="15.75" customHeight="1" spans="1:26">
      <c r="A386" s="105"/>
      <c r="B386" s="105"/>
      <c r="C386" s="106"/>
      <c r="D386" s="105"/>
      <c r="E386" s="105"/>
      <c r="F386" s="61" t="s">
        <v>3838</v>
      </c>
      <c r="G386" s="137">
        <v>2.8</v>
      </c>
      <c r="H386" s="137">
        <v>2.9</v>
      </c>
      <c r="I386" s="138">
        <f t="shared" si="4"/>
        <v>8.12</v>
      </c>
      <c r="J386" s="79"/>
      <c r="K386" s="79"/>
      <c r="L386" s="79"/>
      <c r="M386" s="79"/>
      <c r="N386" s="79"/>
      <c r="O386" s="79"/>
      <c r="P386" s="79"/>
      <c r="Q386" s="79"/>
      <c r="R386" s="79"/>
      <c r="S386" s="79"/>
      <c r="T386" s="79"/>
      <c r="U386" s="79"/>
      <c r="V386" s="79"/>
      <c r="W386" s="79"/>
      <c r="X386" s="79"/>
      <c r="Y386" s="79"/>
      <c r="Z386" s="96"/>
    </row>
    <row r="387" ht="15.75" customHeight="1" spans="1:26">
      <c r="A387" s="105"/>
      <c r="B387" s="105"/>
      <c r="C387" s="106"/>
      <c r="D387" s="105"/>
      <c r="E387" s="105"/>
      <c r="F387" s="61" t="s">
        <v>3839</v>
      </c>
      <c r="G387" s="137">
        <v>6.21</v>
      </c>
      <c r="H387" s="137">
        <v>2.9</v>
      </c>
      <c r="I387" s="138">
        <f t="shared" si="4"/>
        <v>18</v>
      </c>
      <c r="J387" s="79"/>
      <c r="K387" s="79"/>
      <c r="L387" s="79"/>
      <c r="M387" s="79"/>
      <c r="N387" s="79"/>
      <c r="O387" s="79"/>
      <c r="P387" s="79"/>
      <c r="Q387" s="79"/>
      <c r="R387" s="79"/>
      <c r="S387" s="79"/>
      <c r="T387" s="79"/>
      <c r="U387" s="79"/>
      <c r="V387" s="79"/>
      <c r="W387" s="79"/>
      <c r="X387" s="79"/>
      <c r="Y387" s="79"/>
      <c r="Z387" s="96"/>
    </row>
    <row r="388" ht="15.75" customHeight="1" spans="1:26">
      <c r="A388" s="105"/>
      <c r="B388" s="105"/>
      <c r="C388" s="106"/>
      <c r="D388" s="105"/>
      <c r="E388" s="105"/>
      <c r="F388" s="61" t="s">
        <v>3840</v>
      </c>
      <c r="G388" s="137">
        <v>2.91</v>
      </c>
      <c r="H388" s="137">
        <v>2.9</v>
      </c>
      <c r="I388" s="138">
        <f t="shared" si="4"/>
        <v>8.43</v>
      </c>
      <c r="J388" s="79"/>
      <c r="K388" s="79"/>
      <c r="L388" s="79"/>
      <c r="M388" s="79"/>
      <c r="N388" s="79"/>
      <c r="O388" s="79"/>
      <c r="P388" s="79"/>
      <c r="Q388" s="79"/>
      <c r="R388" s="79"/>
      <c r="S388" s="79"/>
      <c r="T388" s="79"/>
      <c r="U388" s="79"/>
      <c r="V388" s="79"/>
      <c r="W388" s="79"/>
      <c r="X388" s="79"/>
      <c r="Y388" s="79"/>
      <c r="Z388" s="96"/>
    </row>
    <row r="389" ht="15.75" customHeight="1" spans="1:26">
      <c r="A389" s="105"/>
      <c r="B389" s="105"/>
      <c r="C389" s="106"/>
      <c r="D389" s="105"/>
      <c r="E389" s="105"/>
      <c r="F389" s="61" t="s">
        <v>3841</v>
      </c>
      <c r="G389" s="137">
        <v>2.99</v>
      </c>
      <c r="H389" s="137">
        <v>2.9</v>
      </c>
      <c r="I389" s="138">
        <f t="shared" si="4"/>
        <v>8.67</v>
      </c>
      <c r="J389" s="79"/>
      <c r="K389" s="79"/>
      <c r="L389" s="79"/>
      <c r="M389" s="79"/>
      <c r="N389" s="79"/>
      <c r="O389" s="79"/>
      <c r="P389" s="79"/>
      <c r="Q389" s="79"/>
      <c r="R389" s="79"/>
      <c r="S389" s="79"/>
      <c r="T389" s="79"/>
      <c r="U389" s="79"/>
      <c r="V389" s="79"/>
      <c r="W389" s="79"/>
      <c r="X389" s="79"/>
      <c r="Y389" s="79"/>
      <c r="Z389" s="96"/>
    </row>
    <row r="390" ht="15.75" customHeight="1" spans="1:26">
      <c r="A390" s="105"/>
      <c r="B390" s="105"/>
      <c r="C390" s="106"/>
      <c r="D390" s="105"/>
      <c r="E390" s="105"/>
      <c r="F390" s="61" t="s">
        <v>3842</v>
      </c>
      <c r="G390" s="137">
        <v>2.9</v>
      </c>
      <c r="H390" s="137">
        <v>2.9</v>
      </c>
      <c r="I390" s="138">
        <f t="shared" si="4"/>
        <v>8.41</v>
      </c>
      <c r="J390" s="79"/>
      <c r="K390" s="79"/>
      <c r="L390" s="79"/>
      <c r="M390" s="79"/>
      <c r="N390" s="79"/>
      <c r="O390" s="79"/>
      <c r="P390" s="79"/>
      <c r="Q390" s="79"/>
      <c r="R390" s="79"/>
      <c r="S390" s="79"/>
      <c r="T390" s="79"/>
      <c r="U390" s="79"/>
      <c r="V390" s="79"/>
      <c r="W390" s="79"/>
      <c r="X390" s="79"/>
      <c r="Y390" s="79"/>
      <c r="Z390" s="96"/>
    </row>
    <row r="391" ht="15.75" customHeight="1" spans="1:26">
      <c r="A391" s="105"/>
      <c r="B391" s="105"/>
      <c r="C391" s="106"/>
      <c r="D391" s="105"/>
      <c r="E391" s="105"/>
      <c r="F391" s="61" t="s">
        <v>3843</v>
      </c>
      <c r="G391" s="137">
        <v>2.99</v>
      </c>
      <c r="H391" s="137">
        <v>2.9</v>
      </c>
      <c r="I391" s="138">
        <f t="shared" si="4"/>
        <v>8.67</v>
      </c>
      <c r="J391" s="79"/>
      <c r="K391" s="79"/>
      <c r="L391" s="79"/>
      <c r="M391" s="79"/>
      <c r="N391" s="79"/>
      <c r="O391" s="79"/>
      <c r="P391" s="79"/>
      <c r="Q391" s="79"/>
      <c r="R391" s="79"/>
      <c r="S391" s="79"/>
      <c r="T391" s="79"/>
      <c r="U391" s="79"/>
      <c r="V391" s="79"/>
      <c r="W391" s="79"/>
      <c r="X391" s="79"/>
      <c r="Y391" s="79"/>
      <c r="Z391" s="96"/>
    </row>
    <row r="392" ht="15.75" customHeight="1" spans="1:26">
      <c r="A392" s="105"/>
      <c r="B392" s="105"/>
      <c r="C392" s="106"/>
      <c r="D392" s="105"/>
      <c r="E392" s="105"/>
      <c r="F392" s="61" t="s">
        <v>4220</v>
      </c>
      <c r="G392" s="137">
        <f>5.72+2.49+2.49+2.11+1.96+1.96+0.72+0.72</f>
        <v>18.17</v>
      </c>
      <c r="H392" s="137">
        <v>3.3</v>
      </c>
      <c r="I392" s="138">
        <f t="shared" si="4"/>
        <v>59.96</v>
      </c>
      <c r="J392" s="79"/>
      <c r="K392" s="79"/>
      <c r="L392" s="79"/>
      <c r="M392" s="79"/>
      <c r="N392" s="79"/>
      <c r="O392" s="79"/>
      <c r="P392" s="79"/>
      <c r="Q392" s="79"/>
      <c r="R392" s="79"/>
      <c r="S392" s="79"/>
      <c r="T392" s="79"/>
      <c r="U392" s="79"/>
      <c r="V392" s="79"/>
      <c r="W392" s="79"/>
      <c r="X392" s="79"/>
      <c r="Y392" s="79"/>
      <c r="Z392" s="96"/>
    </row>
    <row r="393" ht="15.75" customHeight="1" spans="1:26">
      <c r="A393" s="105"/>
      <c r="B393" s="105"/>
      <c r="C393" s="106"/>
      <c r="D393" s="105"/>
      <c r="E393" s="105"/>
      <c r="F393" s="61" t="s">
        <v>4221</v>
      </c>
      <c r="G393" s="137"/>
      <c r="H393" s="137"/>
      <c r="I393" s="138">
        <f>1.5*0.9*8</f>
        <v>10.8</v>
      </c>
      <c r="J393" s="79"/>
      <c r="K393" s="79"/>
      <c r="L393" s="79"/>
      <c r="M393" s="79"/>
      <c r="N393" s="79"/>
      <c r="O393" s="79"/>
      <c r="P393" s="79"/>
      <c r="Q393" s="79"/>
      <c r="R393" s="79"/>
      <c r="S393" s="79"/>
      <c r="T393" s="79"/>
      <c r="U393" s="79"/>
      <c r="V393" s="79"/>
      <c r="W393" s="79"/>
      <c r="X393" s="79"/>
      <c r="Y393" s="79"/>
      <c r="Z393" s="96"/>
    </row>
    <row r="394" ht="15.75" customHeight="1" spans="1:26">
      <c r="A394" s="105"/>
      <c r="B394" s="105"/>
      <c r="C394" s="106"/>
      <c r="D394" s="105"/>
      <c r="E394" s="114"/>
      <c r="F394" s="38"/>
      <c r="G394" s="68"/>
      <c r="H394" s="68" t="s">
        <v>3689</v>
      </c>
      <c r="I394" s="124">
        <f>SUM(I373:I392)-I393</f>
        <v>494.33</v>
      </c>
      <c r="J394" s="79"/>
      <c r="K394" s="79"/>
      <c r="L394" s="79"/>
      <c r="M394" s="79"/>
      <c r="N394" s="79"/>
      <c r="O394" s="79"/>
      <c r="P394" s="79"/>
      <c r="Q394" s="79"/>
      <c r="R394" s="79"/>
      <c r="S394" s="79"/>
      <c r="T394" s="79"/>
      <c r="U394" s="79"/>
      <c r="V394" s="79"/>
      <c r="W394" s="79"/>
      <c r="X394" s="79"/>
      <c r="Y394" s="79"/>
      <c r="Z394" s="96"/>
    </row>
    <row r="395" ht="18.75" customHeight="1" spans="1:26">
      <c r="A395" s="100" t="s">
        <v>4222</v>
      </c>
      <c r="B395" s="101">
        <v>87531</v>
      </c>
      <c r="C395" s="102" t="s">
        <v>1243</v>
      </c>
      <c r="D395" s="103" t="s">
        <v>3719</v>
      </c>
      <c r="E395" s="104">
        <f>I407</f>
        <v>70.42</v>
      </c>
      <c r="F395" s="98" t="s">
        <v>4212</v>
      </c>
      <c r="G395" s="68" t="s">
        <v>4213</v>
      </c>
      <c r="H395" s="68" t="s">
        <v>4214</v>
      </c>
      <c r="I395" s="92"/>
      <c r="J395" s="79"/>
      <c r="K395" s="79"/>
      <c r="L395" s="79"/>
      <c r="M395" s="79"/>
      <c r="N395" s="79"/>
      <c r="O395" s="79"/>
      <c r="P395" s="79"/>
      <c r="Q395" s="79"/>
      <c r="R395" s="79"/>
      <c r="S395" s="79"/>
      <c r="T395" s="79"/>
      <c r="U395" s="79"/>
      <c r="V395" s="79"/>
      <c r="W395" s="79"/>
      <c r="X395" s="79"/>
      <c r="Y395" s="79"/>
      <c r="Z395" s="96"/>
    </row>
    <row r="396" ht="15.75" customHeight="1" spans="1:26">
      <c r="A396" s="105"/>
      <c r="B396" s="105"/>
      <c r="C396" s="106"/>
      <c r="D396" s="105"/>
      <c r="E396" s="105"/>
      <c r="F396" s="61" t="s">
        <v>3832</v>
      </c>
      <c r="G396" s="137">
        <v>2</v>
      </c>
      <c r="H396" s="137">
        <v>2.9</v>
      </c>
      <c r="I396" s="138">
        <f t="shared" ref="I396:I405" si="5">TRUNC(PRODUCT(G396:H396),2)</f>
        <v>5.8</v>
      </c>
      <c r="J396" s="79"/>
      <c r="K396" s="79"/>
      <c r="L396" s="79"/>
      <c r="M396" s="79"/>
      <c r="N396" s="79"/>
      <c r="O396" s="79"/>
      <c r="P396" s="79"/>
      <c r="Q396" s="79"/>
      <c r="R396" s="79"/>
      <c r="S396" s="79"/>
      <c r="T396" s="79"/>
      <c r="U396" s="79"/>
      <c r="V396" s="79"/>
      <c r="W396" s="79"/>
      <c r="X396" s="79"/>
      <c r="Y396" s="79"/>
      <c r="Z396" s="96"/>
    </row>
    <row r="397" ht="15.75" customHeight="1" spans="1:26">
      <c r="A397" s="105"/>
      <c r="B397" s="105"/>
      <c r="C397" s="106"/>
      <c r="D397" s="105"/>
      <c r="E397" s="105"/>
      <c r="F397" s="61" t="s">
        <v>3834</v>
      </c>
      <c r="G397" s="137">
        <v>3.43</v>
      </c>
      <c r="H397" s="137">
        <v>2.9</v>
      </c>
      <c r="I397" s="138">
        <f t="shared" si="5"/>
        <v>9.94</v>
      </c>
      <c r="J397" s="79"/>
      <c r="K397" s="79"/>
      <c r="L397" s="79"/>
      <c r="M397" s="79"/>
      <c r="N397" s="79"/>
      <c r="O397" s="79"/>
      <c r="P397" s="79"/>
      <c r="Q397" s="79"/>
      <c r="R397" s="79"/>
      <c r="S397" s="79"/>
      <c r="T397" s="79"/>
      <c r="U397" s="79"/>
      <c r="V397" s="79"/>
      <c r="W397" s="79"/>
      <c r="X397" s="79"/>
      <c r="Y397" s="79"/>
      <c r="Z397" s="96"/>
    </row>
    <row r="398" ht="15.75" customHeight="1" spans="1:26">
      <c r="A398" s="105"/>
      <c r="B398" s="105"/>
      <c r="C398" s="106"/>
      <c r="D398" s="105"/>
      <c r="E398" s="105"/>
      <c r="F398" s="61" t="s">
        <v>3835</v>
      </c>
      <c r="G398" s="137">
        <v>3.45</v>
      </c>
      <c r="H398" s="137">
        <v>2.9</v>
      </c>
      <c r="I398" s="138">
        <f t="shared" si="5"/>
        <v>10</v>
      </c>
      <c r="J398" s="79"/>
      <c r="K398" s="79"/>
      <c r="L398" s="79"/>
      <c r="M398" s="79"/>
      <c r="N398" s="79"/>
      <c r="O398" s="79"/>
      <c r="P398" s="79"/>
      <c r="Q398" s="79"/>
      <c r="R398" s="79"/>
      <c r="S398" s="79"/>
      <c r="T398" s="79"/>
      <c r="U398" s="79"/>
      <c r="V398" s="79"/>
      <c r="W398" s="79"/>
      <c r="X398" s="79"/>
      <c r="Y398" s="79"/>
      <c r="Z398" s="96"/>
    </row>
    <row r="399" ht="15.75" customHeight="1" spans="1:26">
      <c r="A399" s="105"/>
      <c r="B399" s="105"/>
      <c r="C399" s="106"/>
      <c r="D399" s="105"/>
      <c r="E399" s="105"/>
      <c r="F399" s="61" t="s">
        <v>4215</v>
      </c>
      <c r="G399" s="137">
        <v>1.72</v>
      </c>
      <c r="H399" s="137">
        <v>2.9</v>
      </c>
      <c r="I399" s="138">
        <f t="shared" si="5"/>
        <v>4.98</v>
      </c>
      <c r="J399" s="79"/>
      <c r="K399" s="79"/>
      <c r="L399" s="79"/>
      <c r="M399" s="79"/>
      <c r="N399" s="79"/>
      <c r="O399" s="79"/>
      <c r="P399" s="79"/>
      <c r="Q399" s="79"/>
      <c r="R399" s="79"/>
      <c r="S399" s="79"/>
      <c r="T399" s="79"/>
      <c r="U399" s="79"/>
      <c r="V399" s="79"/>
      <c r="W399" s="79"/>
      <c r="X399" s="79"/>
      <c r="Y399" s="79"/>
      <c r="Z399" s="96"/>
    </row>
    <row r="400" ht="15.75" customHeight="1" spans="1:26">
      <c r="A400" s="105"/>
      <c r="B400" s="105"/>
      <c r="C400" s="106"/>
      <c r="D400" s="105"/>
      <c r="E400" s="105"/>
      <c r="F400" s="61" t="s">
        <v>3847</v>
      </c>
      <c r="G400" s="137">
        <v>2.83</v>
      </c>
      <c r="H400" s="137">
        <v>2.9</v>
      </c>
      <c r="I400" s="138">
        <f t="shared" si="5"/>
        <v>8.2</v>
      </c>
      <c r="J400" s="79"/>
      <c r="K400" s="79"/>
      <c r="L400" s="79"/>
      <c r="M400" s="79"/>
      <c r="N400" s="79"/>
      <c r="O400" s="79"/>
      <c r="P400" s="79"/>
      <c r="Q400" s="79"/>
      <c r="R400" s="79"/>
      <c r="S400" s="79"/>
      <c r="T400" s="79"/>
      <c r="U400" s="79"/>
      <c r="V400" s="79"/>
      <c r="W400" s="79"/>
      <c r="X400" s="79"/>
      <c r="Y400" s="79"/>
      <c r="Z400" s="96"/>
    </row>
    <row r="401" ht="15.75" customHeight="1" spans="1:26">
      <c r="A401" s="105"/>
      <c r="B401" s="105"/>
      <c r="C401" s="106"/>
      <c r="D401" s="105"/>
      <c r="E401" s="105"/>
      <c r="F401" s="61" t="s">
        <v>3838</v>
      </c>
      <c r="G401" s="137">
        <v>2.8</v>
      </c>
      <c r="H401" s="137">
        <v>2.9</v>
      </c>
      <c r="I401" s="138">
        <f t="shared" si="5"/>
        <v>8.12</v>
      </c>
      <c r="J401" s="79"/>
      <c r="K401" s="79"/>
      <c r="L401" s="79"/>
      <c r="M401" s="79"/>
      <c r="N401" s="79"/>
      <c r="O401" s="79"/>
      <c r="P401" s="79"/>
      <c r="Q401" s="79"/>
      <c r="R401" s="79"/>
      <c r="S401" s="79"/>
      <c r="T401" s="79"/>
      <c r="U401" s="79"/>
      <c r="V401" s="79"/>
      <c r="W401" s="79"/>
      <c r="X401" s="79"/>
      <c r="Y401" s="79"/>
      <c r="Z401" s="96"/>
    </row>
    <row r="402" ht="15.75" customHeight="1" spans="1:26">
      <c r="A402" s="105"/>
      <c r="B402" s="105"/>
      <c r="C402" s="106"/>
      <c r="D402" s="105"/>
      <c r="E402" s="105"/>
      <c r="F402" s="61" t="s">
        <v>3840</v>
      </c>
      <c r="G402" s="137">
        <v>2.91</v>
      </c>
      <c r="H402" s="137">
        <v>2.9</v>
      </c>
      <c r="I402" s="138">
        <f t="shared" si="5"/>
        <v>8.43</v>
      </c>
      <c r="J402" s="79"/>
      <c r="K402" s="79"/>
      <c r="L402" s="79"/>
      <c r="M402" s="79"/>
      <c r="N402" s="79"/>
      <c r="O402" s="79"/>
      <c r="P402" s="79"/>
      <c r="Q402" s="79"/>
      <c r="R402" s="79"/>
      <c r="S402" s="79"/>
      <c r="T402" s="79"/>
      <c r="U402" s="79"/>
      <c r="V402" s="79"/>
      <c r="W402" s="79"/>
      <c r="X402" s="79"/>
      <c r="Y402" s="79"/>
      <c r="Z402" s="96"/>
    </row>
    <row r="403" ht="15.75" customHeight="1" spans="1:26">
      <c r="A403" s="105"/>
      <c r="B403" s="105"/>
      <c r="C403" s="106"/>
      <c r="D403" s="105"/>
      <c r="E403" s="105"/>
      <c r="F403" s="61" t="s">
        <v>3841</v>
      </c>
      <c r="G403" s="137">
        <v>2.99</v>
      </c>
      <c r="H403" s="137">
        <v>2.9</v>
      </c>
      <c r="I403" s="138">
        <f t="shared" si="5"/>
        <v>8.67</v>
      </c>
      <c r="J403" s="79"/>
      <c r="K403" s="79"/>
      <c r="L403" s="79"/>
      <c r="M403" s="79"/>
      <c r="N403" s="79"/>
      <c r="O403" s="79"/>
      <c r="P403" s="79"/>
      <c r="Q403" s="79"/>
      <c r="R403" s="79"/>
      <c r="S403" s="79"/>
      <c r="T403" s="79"/>
      <c r="U403" s="79"/>
      <c r="V403" s="79"/>
      <c r="W403" s="79"/>
      <c r="X403" s="79"/>
      <c r="Y403" s="79"/>
      <c r="Z403" s="96"/>
    </row>
    <row r="404" ht="15.75" customHeight="1" spans="1:26">
      <c r="A404" s="105"/>
      <c r="B404" s="105"/>
      <c r="C404" s="106"/>
      <c r="D404" s="105"/>
      <c r="E404" s="105"/>
      <c r="F404" s="61" t="s">
        <v>3842</v>
      </c>
      <c r="G404" s="137">
        <v>2.9</v>
      </c>
      <c r="H404" s="137">
        <v>2.9</v>
      </c>
      <c r="I404" s="138">
        <f t="shared" si="5"/>
        <v>8.41</v>
      </c>
      <c r="J404" s="79"/>
      <c r="K404" s="79"/>
      <c r="L404" s="79"/>
      <c r="M404" s="79"/>
      <c r="N404" s="79"/>
      <c r="O404" s="79"/>
      <c r="P404" s="79"/>
      <c r="Q404" s="79"/>
      <c r="R404" s="79"/>
      <c r="S404" s="79"/>
      <c r="T404" s="79"/>
      <c r="U404" s="79"/>
      <c r="V404" s="79"/>
      <c r="W404" s="79"/>
      <c r="X404" s="79"/>
      <c r="Y404" s="79"/>
      <c r="Z404" s="96"/>
    </row>
    <row r="405" ht="15.75" customHeight="1" spans="1:26">
      <c r="A405" s="105"/>
      <c r="B405" s="105"/>
      <c r="C405" s="106"/>
      <c r="D405" s="105"/>
      <c r="E405" s="105"/>
      <c r="F405" s="61" t="s">
        <v>3843</v>
      </c>
      <c r="G405" s="137">
        <v>2.99</v>
      </c>
      <c r="H405" s="137">
        <v>2.9</v>
      </c>
      <c r="I405" s="138">
        <f t="shared" si="5"/>
        <v>8.67</v>
      </c>
      <c r="J405" s="79"/>
      <c r="K405" s="79"/>
      <c r="L405" s="79"/>
      <c r="M405" s="79"/>
      <c r="N405" s="79"/>
      <c r="O405" s="79"/>
      <c r="P405" s="79"/>
      <c r="Q405" s="79"/>
      <c r="R405" s="79"/>
      <c r="S405" s="79"/>
      <c r="T405" s="79"/>
      <c r="U405" s="79"/>
      <c r="V405" s="79"/>
      <c r="W405" s="79"/>
      <c r="X405" s="79"/>
      <c r="Y405" s="79"/>
      <c r="Z405" s="96"/>
    </row>
    <row r="406" ht="15.75" customHeight="1" spans="1:26">
      <c r="A406" s="105"/>
      <c r="B406" s="105"/>
      <c r="C406" s="106"/>
      <c r="D406" s="105"/>
      <c r="E406" s="105"/>
      <c r="F406" s="61" t="s">
        <v>4221</v>
      </c>
      <c r="G406" s="137"/>
      <c r="H406" s="137"/>
      <c r="I406" s="138">
        <f>1.5*0.9*8</f>
        <v>10.8</v>
      </c>
      <c r="J406" s="79"/>
      <c r="K406" s="79"/>
      <c r="L406" s="79"/>
      <c r="M406" s="79"/>
      <c r="N406" s="79"/>
      <c r="O406" s="79"/>
      <c r="P406" s="79"/>
      <c r="Q406" s="79"/>
      <c r="R406" s="79"/>
      <c r="S406" s="79"/>
      <c r="T406" s="79"/>
      <c r="U406" s="79"/>
      <c r="V406" s="79"/>
      <c r="W406" s="79"/>
      <c r="X406" s="79"/>
      <c r="Y406" s="79"/>
      <c r="Z406" s="96"/>
    </row>
    <row r="407" ht="27.75" customHeight="1" spans="1:26">
      <c r="A407" s="105"/>
      <c r="B407" s="105"/>
      <c r="C407" s="106"/>
      <c r="D407" s="105"/>
      <c r="E407" s="114"/>
      <c r="F407" s="38"/>
      <c r="G407" s="48"/>
      <c r="H407" s="62" t="s">
        <v>3689</v>
      </c>
      <c r="I407" s="124">
        <f>SUM(I396:I405)-I406</f>
        <v>70.42</v>
      </c>
      <c r="J407" s="79"/>
      <c r="K407" s="79"/>
      <c r="L407" s="79"/>
      <c r="M407" s="79"/>
      <c r="N407" s="79"/>
      <c r="O407" s="79"/>
      <c r="P407" s="79"/>
      <c r="Q407" s="79"/>
      <c r="R407" s="79"/>
      <c r="S407" s="79"/>
      <c r="T407" s="79"/>
      <c r="U407" s="79"/>
      <c r="V407" s="79"/>
      <c r="W407" s="79"/>
      <c r="X407" s="79"/>
      <c r="Y407" s="79"/>
      <c r="Z407" s="96"/>
    </row>
    <row r="408" ht="18.75" customHeight="1" spans="1:26">
      <c r="A408" s="100" t="s">
        <v>4223</v>
      </c>
      <c r="B408" s="101">
        <v>87535</v>
      </c>
      <c r="C408" s="102" t="s">
        <v>1246</v>
      </c>
      <c r="D408" s="103" t="s">
        <v>3719</v>
      </c>
      <c r="E408" s="104">
        <f>I420</f>
        <v>413.11</v>
      </c>
      <c r="F408" s="98" t="s">
        <v>4212</v>
      </c>
      <c r="G408" s="48"/>
      <c r="H408" s="48"/>
      <c r="I408" s="92"/>
      <c r="J408" s="79"/>
      <c r="K408" s="79"/>
      <c r="L408" s="79"/>
      <c r="M408" s="79"/>
      <c r="N408" s="79"/>
      <c r="O408" s="79"/>
      <c r="P408" s="79"/>
      <c r="Q408" s="79"/>
      <c r="R408" s="79"/>
      <c r="S408" s="79"/>
      <c r="T408" s="79"/>
      <c r="U408" s="79"/>
      <c r="V408" s="79"/>
      <c r="W408" s="79"/>
      <c r="X408" s="79"/>
      <c r="Y408" s="79"/>
      <c r="Z408" s="96"/>
    </row>
    <row r="409" ht="15.75" customHeight="1" spans="1:26">
      <c r="A409" s="105"/>
      <c r="B409" s="105"/>
      <c r="C409" s="106"/>
      <c r="D409" s="105"/>
      <c r="E409" s="105"/>
      <c r="F409" s="61" t="s">
        <v>3831</v>
      </c>
      <c r="G409" s="137">
        <f>5.9+6</f>
        <v>11.9</v>
      </c>
      <c r="H409" s="137">
        <v>2.9</v>
      </c>
      <c r="I409" s="138">
        <f t="shared" ref="I409:I418" si="6">TRUNC(PRODUCT(G409:H409),2)</f>
        <v>34.51</v>
      </c>
      <c r="J409" s="79"/>
      <c r="K409" s="79"/>
      <c r="L409" s="79"/>
      <c r="M409" s="79"/>
      <c r="N409" s="79"/>
      <c r="O409" s="79"/>
      <c r="P409" s="79"/>
      <c r="Q409" s="79"/>
      <c r="R409" s="79"/>
      <c r="S409" s="79"/>
      <c r="T409" s="79"/>
      <c r="U409" s="79"/>
      <c r="V409" s="79"/>
      <c r="W409" s="79"/>
      <c r="X409" s="79"/>
      <c r="Y409" s="79"/>
      <c r="Z409" s="96"/>
    </row>
    <row r="410" ht="15.75" customHeight="1" spans="1:26">
      <c r="A410" s="105"/>
      <c r="B410" s="105"/>
      <c r="C410" s="106"/>
      <c r="D410" s="105"/>
      <c r="E410" s="105"/>
      <c r="F410" s="61" t="s">
        <v>3833</v>
      </c>
      <c r="G410" s="137">
        <v>4.28</v>
      </c>
      <c r="H410" s="137">
        <v>2.9</v>
      </c>
      <c r="I410" s="138">
        <f t="shared" si="6"/>
        <v>12.41</v>
      </c>
      <c r="J410" s="79"/>
      <c r="K410" s="79"/>
      <c r="L410" s="79"/>
      <c r="M410" s="79"/>
      <c r="N410" s="79"/>
      <c r="O410" s="79"/>
      <c r="P410" s="79"/>
      <c r="Q410" s="79"/>
      <c r="R410" s="79"/>
      <c r="S410" s="79"/>
      <c r="T410" s="79"/>
      <c r="U410" s="79"/>
      <c r="V410" s="79"/>
      <c r="W410" s="79"/>
      <c r="X410" s="79"/>
      <c r="Y410" s="79"/>
      <c r="Z410" s="96"/>
    </row>
    <row r="411" ht="15.75" customHeight="1" spans="1:26">
      <c r="A411" s="105"/>
      <c r="B411" s="105"/>
      <c r="C411" s="106"/>
      <c r="D411" s="105"/>
      <c r="E411" s="105"/>
      <c r="F411" s="61" t="s">
        <v>4216</v>
      </c>
      <c r="G411" s="137">
        <v>38.6</v>
      </c>
      <c r="H411" s="137">
        <v>2.9</v>
      </c>
      <c r="I411" s="138">
        <f t="shared" si="6"/>
        <v>111.94</v>
      </c>
      <c r="J411" s="79"/>
      <c r="K411" s="79"/>
      <c r="L411" s="79"/>
      <c r="M411" s="79"/>
      <c r="N411" s="79"/>
      <c r="O411" s="79"/>
      <c r="P411" s="79"/>
      <c r="Q411" s="79"/>
      <c r="R411" s="79"/>
      <c r="S411" s="79"/>
      <c r="T411" s="79"/>
      <c r="U411" s="79"/>
      <c r="V411" s="79"/>
      <c r="W411" s="79"/>
      <c r="X411" s="79"/>
      <c r="Y411" s="79"/>
      <c r="Z411" s="96"/>
    </row>
    <row r="412" ht="15.75" customHeight="1" spans="1:26">
      <c r="A412" s="105"/>
      <c r="B412" s="105"/>
      <c r="C412" s="106"/>
      <c r="D412" s="105"/>
      <c r="E412" s="105"/>
      <c r="F412" s="61" t="s">
        <v>4217</v>
      </c>
      <c r="G412" s="137">
        <v>8.88</v>
      </c>
      <c r="H412" s="137">
        <v>2.9</v>
      </c>
      <c r="I412" s="138">
        <f t="shared" si="6"/>
        <v>25.75</v>
      </c>
      <c r="J412" s="79"/>
      <c r="K412" s="79"/>
      <c r="L412" s="79"/>
      <c r="M412" s="79"/>
      <c r="N412" s="79"/>
      <c r="O412" s="79"/>
      <c r="P412" s="79"/>
      <c r="Q412" s="79"/>
      <c r="R412" s="79"/>
      <c r="S412" s="79"/>
      <c r="T412" s="79"/>
      <c r="U412" s="79"/>
      <c r="V412" s="79"/>
      <c r="W412" s="79"/>
      <c r="X412" s="79"/>
      <c r="Y412" s="79"/>
      <c r="Z412" s="96"/>
    </row>
    <row r="413" ht="15.75" customHeight="1" spans="1:26">
      <c r="A413" s="105"/>
      <c r="B413" s="105"/>
      <c r="C413" s="106"/>
      <c r="D413" s="105"/>
      <c r="E413" s="105"/>
      <c r="F413" s="61" t="s">
        <v>4218</v>
      </c>
      <c r="G413" s="137">
        <f>1.5+1.5+3.3+2.23+6</f>
        <v>14.53</v>
      </c>
      <c r="H413" s="137">
        <v>2.9</v>
      </c>
      <c r="I413" s="138">
        <f t="shared" si="6"/>
        <v>42.13</v>
      </c>
      <c r="J413" s="79"/>
      <c r="K413" s="79"/>
      <c r="L413" s="79"/>
      <c r="M413" s="79"/>
      <c r="N413" s="79"/>
      <c r="O413" s="79"/>
      <c r="P413" s="79"/>
      <c r="Q413" s="79"/>
      <c r="R413" s="79"/>
      <c r="S413" s="79"/>
      <c r="T413" s="79"/>
      <c r="U413" s="79"/>
      <c r="V413" s="79"/>
      <c r="W413" s="79"/>
      <c r="X413" s="79"/>
      <c r="Y413" s="79"/>
      <c r="Z413" s="96"/>
    </row>
    <row r="414" ht="15.75" customHeight="1" spans="1:26">
      <c r="A414" s="105"/>
      <c r="B414" s="105"/>
      <c r="C414" s="106"/>
      <c r="D414" s="105"/>
      <c r="E414" s="105"/>
      <c r="F414" s="61" t="s">
        <v>4219</v>
      </c>
      <c r="G414" s="137">
        <f>18.73+13.38</f>
        <v>32.11</v>
      </c>
      <c r="H414" s="137">
        <v>2.9</v>
      </c>
      <c r="I414" s="138">
        <f t="shared" si="6"/>
        <v>93.11</v>
      </c>
      <c r="J414" s="79"/>
      <c r="K414" s="79"/>
      <c r="L414" s="79"/>
      <c r="M414" s="79"/>
      <c r="N414" s="79"/>
      <c r="O414" s="79"/>
      <c r="P414" s="79"/>
      <c r="Q414" s="79"/>
      <c r="R414" s="79"/>
      <c r="S414" s="79"/>
      <c r="T414" s="79"/>
      <c r="U414" s="79"/>
      <c r="V414" s="79"/>
      <c r="W414" s="79"/>
      <c r="X414" s="79"/>
      <c r="Y414" s="79"/>
      <c r="Z414" s="96"/>
    </row>
    <row r="415" ht="15.75" customHeight="1" spans="1:26">
      <c r="A415" s="105"/>
      <c r="B415" s="105"/>
      <c r="C415" s="106"/>
      <c r="D415" s="105"/>
      <c r="E415" s="105"/>
      <c r="F415" s="61" t="s">
        <v>3836</v>
      </c>
      <c r="G415" s="137">
        <v>4.5</v>
      </c>
      <c r="H415" s="137">
        <v>2.9</v>
      </c>
      <c r="I415" s="138">
        <f t="shared" si="6"/>
        <v>13.05</v>
      </c>
      <c r="J415" s="79"/>
      <c r="K415" s="79"/>
      <c r="L415" s="79"/>
      <c r="M415" s="79"/>
      <c r="N415" s="79"/>
      <c r="O415" s="79"/>
      <c r="P415" s="79"/>
      <c r="Q415" s="79"/>
      <c r="R415" s="79"/>
      <c r="S415" s="79"/>
      <c r="T415" s="79"/>
      <c r="U415" s="79"/>
      <c r="V415" s="79"/>
      <c r="W415" s="79"/>
      <c r="X415" s="79"/>
      <c r="Y415" s="79"/>
      <c r="Z415" s="96"/>
    </row>
    <row r="416" ht="15.75" customHeight="1" spans="1:26">
      <c r="A416" s="105"/>
      <c r="B416" s="105"/>
      <c r="C416" s="106"/>
      <c r="D416" s="105"/>
      <c r="E416" s="105"/>
      <c r="F416" s="61" t="s">
        <v>3837</v>
      </c>
      <c r="G416" s="137">
        <v>4.5</v>
      </c>
      <c r="H416" s="137">
        <v>2.9</v>
      </c>
      <c r="I416" s="138">
        <f t="shared" si="6"/>
        <v>13.05</v>
      </c>
      <c r="J416" s="79"/>
      <c r="K416" s="79"/>
      <c r="L416" s="79"/>
      <c r="M416" s="79"/>
      <c r="N416" s="79"/>
      <c r="O416" s="79"/>
      <c r="P416" s="79"/>
      <c r="Q416" s="79"/>
      <c r="R416" s="79"/>
      <c r="S416" s="79"/>
      <c r="T416" s="79"/>
      <c r="U416" s="79"/>
      <c r="V416" s="79"/>
      <c r="W416" s="79"/>
      <c r="X416" s="79"/>
      <c r="Y416" s="79"/>
      <c r="Z416" s="96"/>
    </row>
    <row r="417" ht="15.75" customHeight="1" spans="1:26">
      <c r="A417" s="105"/>
      <c r="B417" s="105"/>
      <c r="C417" s="106"/>
      <c r="D417" s="105"/>
      <c r="E417" s="105"/>
      <c r="F417" s="61" t="s">
        <v>3839</v>
      </c>
      <c r="G417" s="137">
        <v>6.21</v>
      </c>
      <c r="H417" s="137">
        <v>2.9</v>
      </c>
      <c r="I417" s="138">
        <f t="shared" si="6"/>
        <v>18</v>
      </c>
      <c r="J417" s="79"/>
      <c r="K417" s="79"/>
      <c r="L417" s="79"/>
      <c r="M417" s="79"/>
      <c r="N417" s="79"/>
      <c r="O417" s="79"/>
      <c r="P417" s="79"/>
      <c r="Q417" s="79"/>
      <c r="R417" s="79"/>
      <c r="S417" s="79"/>
      <c r="T417" s="79"/>
      <c r="U417" s="79"/>
      <c r="V417" s="79"/>
      <c r="W417" s="79"/>
      <c r="X417" s="79"/>
      <c r="Y417" s="79"/>
      <c r="Z417" s="96"/>
    </row>
    <row r="418" ht="15.75" customHeight="1" spans="1:26">
      <c r="A418" s="105"/>
      <c r="B418" s="105"/>
      <c r="C418" s="106"/>
      <c r="D418" s="105"/>
      <c r="E418" s="105"/>
      <c r="F418" s="61" t="s">
        <v>4220</v>
      </c>
      <c r="G418" s="137">
        <f>5.72+2.49+2.49+2.11+1.96+1.96+0.72+0.72</f>
        <v>18.17</v>
      </c>
      <c r="H418" s="137">
        <v>3.3</v>
      </c>
      <c r="I418" s="138">
        <f t="shared" si="6"/>
        <v>59.96</v>
      </c>
      <c r="J418" s="79"/>
      <c r="K418" s="79"/>
      <c r="L418" s="79"/>
      <c r="M418" s="79"/>
      <c r="N418" s="79"/>
      <c r="O418" s="79"/>
      <c r="P418" s="79"/>
      <c r="Q418" s="79"/>
      <c r="R418" s="79"/>
      <c r="S418" s="79"/>
      <c r="T418" s="79"/>
      <c r="U418" s="79"/>
      <c r="V418" s="79"/>
      <c r="W418" s="79"/>
      <c r="X418" s="79"/>
      <c r="Y418" s="79"/>
      <c r="Z418" s="96"/>
    </row>
    <row r="419" ht="15.75" customHeight="1" spans="1:26">
      <c r="A419" s="105"/>
      <c r="B419" s="105"/>
      <c r="C419" s="106"/>
      <c r="D419" s="105"/>
      <c r="E419" s="105"/>
      <c r="F419" s="61" t="s">
        <v>4221</v>
      </c>
      <c r="G419" s="137"/>
      <c r="H419" s="137"/>
      <c r="I419" s="138">
        <f>1.5*0.9*8</f>
        <v>10.8</v>
      </c>
      <c r="J419" s="79"/>
      <c r="K419" s="79"/>
      <c r="L419" s="79"/>
      <c r="M419" s="79"/>
      <c r="N419" s="79"/>
      <c r="O419" s="79"/>
      <c r="P419" s="79"/>
      <c r="Q419" s="79"/>
      <c r="R419" s="79"/>
      <c r="S419" s="79"/>
      <c r="T419" s="79"/>
      <c r="U419" s="79"/>
      <c r="V419" s="79"/>
      <c r="W419" s="79"/>
      <c r="X419" s="79"/>
      <c r="Y419" s="79"/>
      <c r="Z419" s="96"/>
    </row>
    <row r="420" ht="15.75" customHeight="1" spans="1:26">
      <c r="A420" s="105"/>
      <c r="B420" s="105"/>
      <c r="C420" s="106"/>
      <c r="D420" s="105"/>
      <c r="E420" s="114"/>
      <c r="F420" s="61"/>
      <c r="G420" s="137"/>
      <c r="H420" s="62" t="s">
        <v>3689</v>
      </c>
      <c r="I420" s="88">
        <f>SUM(I409:I418)-I419</f>
        <v>413.11</v>
      </c>
      <c r="J420" s="79"/>
      <c r="K420" s="79"/>
      <c r="L420" s="79"/>
      <c r="M420" s="79"/>
      <c r="N420" s="79"/>
      <c r="O420" s="79"/>
      <c r="P420" s="79"/>
      <c r="Q420" s="79"/>
      <c r="R420" s="79"/>
      <c r="S420" s="79"/>
      <c r="T420" s="79"/>
      <c r="U420" s="79"/>
      <c r="V420" s="79"/>
      <c r="W420" s="79"/>
      <c r="X420" s="79"/>
      <c r="Y420" s="79"/>
      <c r="Z420" s="96"/>
    </row>
    <row r="421" ht="18.75" customHeight="1" spans="1:26">
      <c r="A421" s="100" t="s">
        <v>4224</v>
      </c>
      <c r="B421" s="101">
        <v>87905</v>
      </c>
      <c r="C421" s="102" t="s">
        <v>1249</v>
      </c>
      <c r="D421" s="103" t="s">
        <v>3719</v>
      </c>
      <c r="E421" s="139">
        <f>G427</f>
        <v>312.205</v>
      </c>
      <c r="F421" s="98" t="s">
        <v>4212</v>
      </c>
      <c r="G421" s="62" t="s">
        <v>3830</v>
      </c>
      <c r="H421" s="48"/>
      <c r="I421" s="92"/>
      <c r="J421" s="79"/>
      <c r="K421" s="79"/>
      <c r="L421" s="79"/>
      <c r="M421" s="79"/>
      <c r="N421" s="79"/>
      <c r="O421" s="79"/>
      <c r="P421" s="79"/>
      <c r="Q421" s="79"/>
      <c r="R421" s="79"/>
      <c r="S421" s="79"/>
      <c r="T421" s="79"/>
      <c r="U421" s="79"/>
      <c r="V421" s="79"/>
      <c r="W421" s="79"/>
      <c r="X421" s="79"/>
      <c r="Y421" s="79"/>
      <c r="Z421" s="96"/>
    </row>
    <row r="422" ht="15.75" customHeight="1" spans="1:26">
      <c r="A422" s="105"/>
      <c r="B422" s="105"/>
      <c r="C422" s="106"/>
      <c r="D422" s="105"/>
      <c r="E422" s="140"/>
      <c r="F422" s="61" t="s">
        <v>4225</v>
      </c>
      <c r="G422" s="62">
        <f>30.4+19.23</f>
        <v>49.63</v>
      </c>
      <c r="H422" s="48"/>
      <c r="I422" s="92"/>
      <c r="J422" s="79"/>
      <c r="K422" s="79"/>
      <c r="L422" s="79"/>
      <c r="M422" s="79"/>
      <c r="N422" s="79"/>
      <c r="O422" s="79"/>
      <c r="P422" s="79"/>
      <c r="Q422" s="79"/>
      <c r="R422" s="79"/>
      <c r="S422" s="79"/>
      <c r="T422" s="79"/>
      <c r="U422" s="79"/>
      <c r="V422" s="79"/>
      <c r="W422" s="79"/>
      <c r="X422" s="79"/>
      <c r="Y422" s="79"/>
      <c r="Z422" s="96"/>
    </row>
    <row r="423" ht="15.75" customHeight="1" spans="1:26">
      <c r="A423" s="105"/>
      <c r="B423" s="105"/>
      <c r="C423" s="106"/>
      <c r="D423" s="105"/>
      <c r="E423" s="140"/>
      <c r="F423" s="61" t="s">
        <v>4226</v>
      </c>
      <c r="G423" s="62">
        <f>20.37+10+10+12.88+13.91+13.91</f>
        <v>81.07</v>
      </c>
      <c r="H423" s="48"/>
      <c r="I423" s="92"/>
      <c r="J423" s="79"/>
      <c r="K423" s="79"/>
      <c r="L423" s="79"/>
      <c r="M423" s="79"/>
      <c r="N423" s="79"/>
      <c r="O423" s="79"/>
      <c r="P423" s="79"/>
      <c r="Q423" s="79"/>
      <c r="R423" s="79"/>
      <c r="S423" s="79"/>
      <c r="T423" s="79"/>
      <c r="U423" s="79"/>
      <c r="V423" s="79"/>
      <c r="W423" s="79"/>
      <c r="X423" s="79"/>
      <c r="Y423" s="79"/>
      <c r="Z423" s="96"/>
    </row>
    <row r="424" ht="15.75" customHeight="1" spans="1:26">
      <c r="A424" s="105"/>
      <c r="B424" s="105"/>
      <c r="C424" s="106"/>
      <c r="D424" s="105"/>
      <c r="E424" s="140"/>
      <c r="F424" s="61" t="s">
        <v>4227</v>
      </c>
      <c r="G424" s="62">
        <f>20.37+30.4</f>
        <v>50.77</v>
      </c>
      <c r="H424" s="48"/>
      <c r="I424" s="92"/>
      <c r="J424" s="79"/>
      <c r="K424" s="79"/>
      <c r="L424" s="79"/>
      <c r="M424" s="79"/>
      <c r="N424" s="79"/>
      <c r="O424" s="79"/>
      <c r="P424" s="79"/>
      <c r="Q424" s="79"/>
      <c r="R424" s="79"/>
      <c r="S424" s="79"/>
      <c r="T424" s="79"/>
      <c r="U424" s="79"/>
      <c r="V424" s="79"/>
      <c r="W424" s="79"/>
      <c r="X424" s="79"/>
      <c r="Y424" s="79"/>
      <c r="Z424" s="96"/>
    </row>
    <row r="425" ht="15.75" customHeight="1" spans="1:26">
      <c r="A425" s="105"/>
      <c r="B425" s="105"/>
      <c r="C425" s="106"/>
      <c r="D425" s="105"/>
      <c r="E425" s="140"/>
      <c r="F425" s="61" t="s">
        <v>4228</v>
      </c>
      <c r="G425" s="62">
        <f>20.37+10+10+12.88+13.91+13.91</f>
        <v>81.07</v>
      </c>
      <c r="H425" s="48"/>
      <c r="I425" s="92"/>
      <c r="J425" s="79"/>
      <c r="K425" s="79"/>
      <c r="L425" s="79"/>
      <c r="M425" s="79"/>
      <c r="N425" s="79"/>
      <c r="O425" s="79"/>
      <c r="P425" s="79"/>
      <c r="Q425" s="79"/>
      <c r="R425" s="79"/>
      <c r="S425" s="79"/>
      <c r="T425" s="79"/>
      <c r="U425" s="79"/>
      <c r="V425" s="79"/>
      <c r="W425" s="79"/>
      <c r="X425" s="79"/>
      <c r="Y425" s="79"/>
      <c r="Z425" s="96"/>
    </row>
    <row r="426" ht="15.75" customHeight="1" spans="1:26">
      <c r="A426" s="105"/>
      <c r="B426" s="105"/>
      <c r="C426" s="106"/>
      <c r="D426" s="105"/>
      <c r="E426" s="140"/>
      <c r="F426" s="61" t="s">
        <v>4220</v>
      </c>
      <c r="G426" s="108">
        <f>(8.25+2.68+2.68+0.72+0.72)*3.3</f>
        <v>49.665</v>
      </c>
      <c r="H426" s="48"/>
      <c r="I426" s="92"/>
      <c r="J426" s="79"/>
      <c r="K426" s="79"/>
      <c r="L426" s="79"/>
      <c r="M426" s="79"/>
      <c r="N426" s="79"/>
      <c r="O426" s="79"/>
      <c r="P426" s="79"/>
      <c r="Q426" s="79"/>
      <c r="R426" s="79"/>
      <c r="S426" s="79"/>
      <c r="T426" s="79"/>
      <c r="U426" s="79"/>
      <c r="V426" s="79"/>
      <c r="W426" s="79"/>
      <c r="X426" s="79"/>
      <c r="Y426" s="79"/>
      <c r="Z426" s="96"/>
    </row>
    <row r="427" ht="15.75" customHeight="1" spans="1:26">
      <c r="A427" s="114"/>
      <c r="B427" s="114"/>
      <c r="C427" s="141"/>
      <c r="D427" s="114"/>
      <c r="E427" s="142"/>
      <c r="F427" s="61" t="s">
        <v>3689</v>
      </c>
      <c r="G427" s="143">
        <f>SUM(G422:G426)</f>
        <v>312.205</v>
      </c>
      <c r="H427" s="48"/>
      <c r="I427" s="92"/>
      <c r="J427" s="79"/>
      <c r="K427" s="79"/>
      <c r="L427" s="79"/>
      <c r="M427" s="79"/>
      <c r="N427" s="79"/>
      <c r="O427" s="79"/>
      <c r="P427" s="79"/>
      <c r="Q427" s="79"/>
      <c r="R427" s="79"/>
      <c r="S427" s="79"/>
      <c r="T427" s="79"/>
      <c r="U427" s="79"/>
      <c r="V427" s="79"/>
      <c r="W427" s="79"/>
      <c r="X427" s="79"/>
      <c r="Y427" s="79"/>
      <c r="Z427" s="96"/>
    </row>
    <row r="428" ht="18.75" customHeight="1" spans="1:26">
      <c r="A428" s="100" t="s">
        <v>4229</v>
      </c>
      <c r="B428" s="101">
        <v>87775</v>
      </c>
      <c r="C428" s="102" t="s">
        <v>1252</v>
      </c>
      <c r="D428" s="103" t="s">
        <v>3719</v>
      </c>
      <c r="E428" s="139">
        <f>G434</f>
        <v>312.205</v>
      </c>
      <c r="F428" s="98" t="s">
        <v>4212</v>
      </c>
      <c r="G428" s="62" t="s">
        <v>3830</v>
      </c>
      <c r="H428" s="48"/>
      <c r="I428" s="92"/>
      <c r="J428" s="79"/>
      <c r="K428" s="79"/>
      <c r="L428" s="79"/>
      <c r="M428" s="79"/>
      <c r="N428" s="79"/>
      <c r="O428" s="79"/>
      <c r="P428" s="79"/>
      <c r="Q428" s="79"/>
      <c r="R428" s="79"/>
      <c r="S428" s="79"/>
      <c r="T428" s="79"/>
      <c r="U428" s="79"/>
      <c r="V428" s="79"/>
      <c r="W428" s="79"/>
      <c r="X428" s="79"/>
      <c r="Y428" s="79"/>
      <c r="Z428" s="96"/>
    </row>
    <row r="429" ht="15.75" customHeight="1" spans="1:26">
      <c r="A429" s="105"/>
      <c r="B429" s="105"/>
      <c r="C429" s="106"/>
      <c r="D429" s="105"/>
      <c r="E429" s="144"/>
      <c r="F429" s="61" t="s">
        <v>4225</v>
      </c>
      <c r="G429" s="62">
        <f>30.4+19.23</f>
        <v>49.63</v>
      </c>
      <c r="H429" s="48"/>
      <c r="I429" s="92"/>
      <c r="J429" s="79"/>
      <c r="K429" s="79"/>
      <c r="L429" s="79"/>
      <c r="M429" s="79"/>
      <c r="N429" s="79"/>
      <c r="O429" s="79"/>
      <c r="P429" s="79"/>
      <c r="Q429" s="79"/>
      <c r="R429" s="79"/>
      <c r="S429" s="79"/>
      <c r="T429" s="79"/>
      <c r="U429" s="79"/>
      <c r="V429" s="79"/>
      <c r="W429" s="79"/>
      <c r="X429" s="79"/>
      <c r="Y429" s="79"/>
      <c r="Z429" s="96"/>
    </row>
    <row r="430" ht="15.75" customHeight="1" spans="1:26">
      <c r="A430" s="105"/>
      <c r="B430" s="105"/>
      <c r="C430" s="106"/>
      <c r="D430" s="105"/>
      <c r="E430" s="144"/>
      <c r="F430" s="61" t="s">
        <v>4226</v>
      </c>
      <c r="G430" s="62">
        <f>20.37+10+10+12.88+13.91+13.91</f>
        <v>81.07</v>
      </c>
      <c r="H430" s="48"/>
      <c r="I430" s="92"/>
      <c r="J430" s="79"/>
      <c r="K430" s="79"/>
      <c r="L430" s="79"/>
      <c r="M430" s="79"/>
      <c r="N430" s="79"/>
      <c r="O430" s="79"/>
      <c r="P430" s="79"/>
      <c r="Q430" s="79"/>
      <c r="R430" s="79"/>
      <c r="S430" s="79"/>
      <c r="T430" s="79"/>
      <c r="U430" s="79"/>
      <c r="V430" s="79"/>
      <c r="W430" s="79"/>
      <c r="X430" s="79"/>
      <c r="Y430" s="79"/>
      <c r="Z430" s="96"/>
    </row>
    <row r="431" ht="15.75" customHeight="1" spans="1:26">
      <c r="A431" s="105"/>
      <c r="B431" s="105"/>
      <c r="C431" s="106"/>
      <c r="D431" s="105"/>
      <c r="E431" s="144"/>
      <c r="F431" s="61" t="s">
        <v>4227</v>
      </c>
      <c r="G431" s="62">
        <f>20.37+30.4</f>
        <v>50.77</v>
      </c>
      <c r="H431" s="48"/>
      <c r="I431" s="92"/>
      <c r="J431" s="79"/>
      <c r="K431" s="79"/>
      <c r="L431" s="79"/>
      <c r="M431" s="79"/>
      <c r="N431" s="79"/>
      <c r="O431" s="79"/>
      <c r="P431" s="79"/>
      <c r="Q431" s="79"/>
      <c r="R431" s="79"/>
      <c r="S431" s="79"/>
      <c r="T431" s="79"/>
      <c r="U431" s="79"/>
      <c r="V431" s="79"/>
      <c r="W431" s="79"/>
      <c r="X431" s="79"/>
      <c r="Y431" s="79"/>
      <c r="Z431" s="96"/>
    </row>
    <row r="432" ht="15.75" customHeight="1" spans="1:26">
      <c r="A432" s="105"/>
      <c r="B432" s="105"/>
      <c r="C432" s="106"/>
      <c r="D432" s="105"/>
      <c r="E432" s="144"/>
      <c r="F432" s="61" t="s">
        <v>4228</v>
      </c>
      <c r="G432" s="62">
        <f>20.37+10+10+12.88+13.91+13.91</f>
        <v>81.07</v>
      </c>
      <c r="H432" s="48"/>
      <c r="I432" s="92"/>
      <c r="J432" s="79"/>
      <c r="K432" s="79"/>
      <c r="L432" s="79"/>
      <c r="M432" s="79"/>
      <c r="N432" s="79"/>
      <c r="O432" s="79"/>
      <c r="P432" s="79"/>
      <c r="Q432" s="79"/>
      <c r="R432" s="79"/>
      <c r="S432" s="79"/>
      <c r="T432" s="79"/>
      <c r="U432" s="79"/>
      <c r="V432" s="79"/>
      <c r="W432" s="79"/>
      <c r="X432" s="79"/>
      <c r="Y432" s="79"/>
      <c r="Z432" s="96"/>
    </row>
    <row r="433" ht="15.75" customHeight="1" spans="1:26">
      <c r="A433" s="105"/>
      <c r="B433" s="105"/>
      <c r="C433" s="106"/>
      <c r="D433" s="105"/>
      <c r="E433" s="144"/>
      <c r="F433" s="61" t="s">
        <v>4220</v>
      </c>
      <c r="G433" s="108">
        <f>(8.25+2.68+2.68+0.72+0.72)*3.3</f>
        <v>49.665</v>
      </c>
      <c r="H433" s="48"/>
      <c r="I433" s="92"/>
      <c r="J433" s="79"/>
      <c r="K433" s="79"/>
      <c r="L433" s="79"/>
      <c r="M433" s="79"/>
      <c r="N433" s="79"/>
      <c r="O433" s="79"/>
      <c r="P433" s="79"/>
      <c r="Q433" s="79"/>
      <c r="R433" s="79"/>
      <c r="S433" s="79"/>
      <c r="T433" s="79"/>
      <c r="U433" s="79"/>
      <c r="V433" s="79"/>
      <c r="W433" s="79"/>
      <c r="X433" s="79"/>
      <c r="Y433" s="79"/>
      <c r="Z433" s="96"/>
    </row>
    <row r="434" ht="15.75" customHeight="1" spans="1:26">
      <c r="A434" s="105"/>
      <c r="B434" s="105"/>
      <c r="C434" s="106"/>
      <c r="D434" s="105"/>
      <c r="E434" s="145"/>
      <c r="F434" s="61" t="s">
        <v>3689</v>
      </c>
      <c r="G434" s="143">
        <f>SUM(G429:G433)</f>
        <v>312.205</v>
      </c>
      <c r="H434" s="48"/>
      <c r="I434" s="92"/>
      <c r="J434" s="79"/>
      <c r="K434" s="79"/>
      <c r="L434" s="79"/>
      <c r="M434" s="79"/>
      <c r="N434" s="79"/>
      <c r="O434" s="79"/>
      <c r="P434" s="79"/>
      <c r="Q434" s="79"/>
      <c r="R434" s="79"/>
      <c r="S434" s="79"/>
      <c r="T434" s="79"/>
      <c r="U434" s="79"/>
      <c r="V434" s="79"/>
      <c r="W434" s="79"/>
      <c r="X434" s="79"/>
      <c r="Y434" s="79"/>
      <c r="Z434" s="96"/>
    </row>
    <row r="435" ht="15.75" customHeight="1" spans="1:26">
      <c r="A435" s="39" t="s">
        <v>4230</v>
      </c>
      <c r="B435" s="40"/>
      <c r="C435" s="41" t="s">
        <v>1254</v>
      </c>
      <c r="D435" s="42"/>
      <c r="E435" s="43"/>
      <c r="F435" s="66"/>
      <c r="G435" s="67"/>
      <c r="H435" s="67"/>
      <c r="I435" s="67"/>
      <c r="J435" s="79"/>
      <c r="K435" s="79"/>
      <c r="L435" s="79"/>
      <c r="M435" s="79"/>
      <c r="N435" s="79"/>
      <c r="O435" s="79"/>
      <c r="P435" s="79"/>
      <c r="Q435" s="79"/>
      <c r="R435" s="79"/>
      <c r="S435" s="79"/>
      <c r="T435" s="79"/>
      <c r="U435" s="79"/>
      <c r="V435" s="79"/>
      <c r="W435" s="79"/>
      <c r="X435" s="79"/>
      <c r="Y435" s="79"/>
      <c r="Z435" s="96"/>
    </row>
    <row r="436" ht="18.75" customHeight="1" spans="1:26">
      <c r="A436" s="100" t="s">
        <v>4231</v>
      </c>
      <c r="B436" s="100">
        <v>88485</v>
      </c>
      <c r="C436" s="102" t="s">
        <v>1257</v>
      </c>
      <c r="D436" s="103" t="s">
        <v>3719</v>
      </c>
      <c r="E436" s="146">
        <f>I451</f>
        <v>483.12</v>
      </c>
      <c r="F436" s="147" t="s">
        <v>4212</v>
      </c>
      <c r="G436" s="62" t="s">
        <v>4232</v>
      </c>
      <c r="H436" s="62" t="s">
        <v>4233</v>
      </c>
      <c r="I436" s="92" t="s">
        <v>4234</v>
      </c>
      <c r="J436" s="79"/>
      <c r="K436" s="79"/>
      <c r="L436" s="79"/>
      <c r="M436" s="79"/>
      <c r="N436" s="79"/>
      <c r="O436" s="79"/>
      <c r="P436" s="79"/>
      <c r="Q436" s="79"/>
      <c r="R436" s="79"/>
      <c r="S436" s="79"/>
      <c r="T436" s="79"/>
      <c r="U436" s="79"/>
      <c r="V436" s="79"/>
      <c r="W436" s="79"/>
      <c r="X436" s="79"/>
      <c r="Y436" s="79"/>
      <c r="Z436" s="96"/>
    </row>
    <row r="437" ht="15.75" customHeight="1" spans="1:26">
      <c r="A437" s="105"/>
      <c r="B437" s="105"/>
      <c r="C437" s="106"/>
      <c r="D437" s="105"/>
      <c r="E437" s="140"/>
      <c r="F437" s="147" t="s">
        <v>4235</v>
      </c>
      <c r="G437" s="108">
        <f>17.82*2.9</f>
        <v>51.678</v>
      </c>
      <c r="H437" s="108">
        <f>(1.5*0.9)+(1.2*1.5)+(2.89*3.4)</f>
        <v>12.976</v>
      </c>
      <c r="I437" s="148">
        <f t="shared" ref="I437:I450" si="7">G437-H437</f>
        <v>38.702</v>
      </c>
      <c r="J437" s="79"/>
      <c r="K437" s="79"/>
      <c r="L437" s="79"/>
      <c r="M437" s="79"/>
      <c r="N437" s="79"/>
      <c r="O437" s="79"/>
      <c r="P437" s="79"/>
      <c r="Q437" s="79"/>
      <c r="R437" s="79"/>
      <c r="S437" s="79"/>
      <c r="T437" s="79"/>
      <c r="U437" s="79"/>
      <c r="V437" s="79"/>
      <c r="W437" s="79"/>
      <c r="X437" s="79"/>
      <c r="Y437" s="79"/>
      <c r="Z437" s="96"/>
    </row>
    <row r="438" ht="15.75" customHeight="1" spans="1:26">
      <c r="A438" s="105"/>
      <c r="B438" s="105"/>
      <c r="C438" s="106"/>
      <c r="D438" s="105"/>
      <c r="E438" s="140"/>
      <c r="F438" s="147" t="s">
        <v>4236</v>
      </c>
      <c r="G438" s="108">
        <f>13.32*2.9</f>
        <v>38.628</v>
      </c>
      <c r="H438" s="108">
        <f>(0.9*2.1*2)+(1.73*2.9*2)</f>
        <v>13.814</v>
      </c>
      <c r="I438" s="148">
        <f t="shared" si="7"/>
        <v>24.814</v>
      </c>
      <c r="J438" s="79"/>
      <c r="K438" s="79"/>
      <c r="L438" s="79"/>
      <c r="M438" s="79"/>
      <c r="N438" s="79"/>
      <c r="O438" s="79"/>
      <c r="P438" s="79"/>
      <c r="Q438" s="79"/>
      <c r="R438" s="79"/>
      <c r="S438" s="79"/>
      <c r="T438" s="79"/>
      <c r="U438" s="79"/>
      <c r="V438" s="79"/>
      <c r="W438" s="79"/>
      <c r="X438" s="79"/>
      <c r="Y438" s="79"/>
      <c r="Z438" s="96"/>
    </row>
    <row r="439" ht="15.75" customHeight="1" spans="1:26">
      <c r="A439" s="105"/>
      <c r="B439" s="105"/>
      <c r="C439" s="106"/>
      <c r="D439" s="105"/>
      <c r="E439" s="140"/>
      <c r="F439" s="147" t="s">
        <v>4217</v>
      </c>
      <c r="G439" s="108">
        <f>8.87*2.9</f>
        <v>25.723</v>
      </c>
      <c r="H439" s="108">
        <f>(0.9*2.1)+(1.2*1.2)</f>
        <v>3.33</v>
      </c>
      <c r="I439" s="148">
        <f t="shared" si="7"/>
        <v>22.393</v>
      </c>
      <c r="J439" s="79"/>
      <c r="K439" s="79"/>
      <c r="L439" s="79"/>
      <c r="M439" s="79"/>
      <c r="N439" s="79"/>
      <c r="O439" s="79"/>
      <c r="P439" s="79"/>
      <c r="Q439" s="79"/>
      <c r="R439" s="79"/>
      <c r="S439" s="79"/>
      <c r="T439" s="79"/>
      <c r="U439" s="79"/>
      <c r="V439" s="79"/>
      <c r="W439" s="79"/>
      <c r="X439" s="79"/>
      <c r="Y439" s="79"/>
      <c r="Z439" s="96"/>
    </row>
    <row r="440" ht="15.75" customHeight="1" spans="1:26">
      <c r="A440" s="105"/>
      <c r="B440" s="105"/>
      <c r="C440" s="106"/>
      <c r="D440" s="105"/>
      <c r="E440" s="140"/>
      <c r="F440" s="147" t="s">
        <v>3847</v>
      </c>
      <c r="G440" s="108">
        <f>8.58*2.9</f>
        <v>24.882</v>
      </c>
      <c r="H440" s="108">
        <f>0.9*2.1</f>
        <v>1.89</v>
      </c>
      <c r="I440" s="148">
        <f t="shared" si="7"/>
        <v>22.992</v>
      </c>
      <c r="J440" s="79"/>
      <c r="K440" s="79"/>
      <c r="L440" s="79"/>
      <c r="M440" s="79"/>
      <c r="N440" s="79"/>
      <c r="O440" s="79"/>
      <c r="P440" s="79"/>
      <c r="Q440" s="79"/>
      <c r="R440" s="79"/>
      <c r="S440" s="79"/>
      <c r="T440" s="79"/>
      <c r="U440" s="79"/>
      <c r="V440" s="79"/>
      <c r="W440" s="79"/>
      <c r="X440" s="79"/>
      <c r="Y440" s="79"/>
      <c r="Z440" s="96"/>
    </row>
    <row r="441" ht="15.75" customHeight="1" spans="1:26">
      <c r="A441" s="105"/>
      <c r="B441" s="105"/>
      <c r="C441" s="106"/>
      <c r="D441" s="105"/>
      <c r="E441" s="140"/>
      <c r="F441" s="147" t="s">
        <v>3836</v>
      </c>
      <c r="G441" s="108">
        <f>18.02*2.9</f>
        <v>52.258</v>
      </c>
      <c r="H441" s="108">
        <f>(1.5*0.9*2)+(1.2*1.5)+(3*3.4)</f>
        <v>14.7</v>
      </c>
      <c r="I441" s="148">
        <f t="shared" si="7"/>
        <v>37.558</v>
      </c>
      <c r="J441" s="79"/>
      <c r="K441" s="79"/>
      <c r="L441" s="79"/>
      <c r="M441" s="79"/>
      <c r="N441" s="79"/>
      <c r="O441" s="79"/>
      <c r="P441" s="79"/>
      <c r="Q441" s="79"/>
      <c r="R441" s="79"/>
      <c r="S441" s="79"/>
      <c r="T441" s="79"/>
      <c r="U441" s="79"/>
      <c r="V441" s="79"/>
      <c r="W441" s="79"/>
      <c r="X441" s="79"/>
      <c r="Y441" s="79"/>
      <c r="Z441" s="96"/>
    </row>
    <row r="442" ht="15.75" customHeight="1" spans="1:26">
      <c r="A442" s="105"/>
      <c r="B442" s="105"/>
      <c r="C442" s="106"/>
      <c r="D442" s="105"/>
      <c r="E442" s="140"/>
      <c r="F442" s="147" t="s">
        <v>4237</v>
      </c>
      <c r="G442" s="108">
        <f>(4.6*2)*2.9</f>
        <v>26.68</v>
      </c>
      <c r="H442" s="108"/>
      <c r="I442" s="148">
        <f t="shared" si="7"/>
        <v>26.68</v>
      </c>
      <c r="J442" s="79"/>
      <c r="K442" s="79"/>
      <c r="L442" s="79"/>
      <c r="M442" s="79"/>
      <c r="N442" s="79"/>
      <c r="O442" s="79"/>
      <c r="P442" s="79"/>
      <c r="Q442" s="79"/>
      <c r="R442" s="79"/>
      <c r="S442" s="79"/>
      <c r="T442" s="79"/>
      <c r="U442" s="79"/>
      <c r="V442" s="79"/>
      <c r="W442" s="79"/>
      <c r="X442" s="79"/>
      <c r="Y442" s="79"/>
      <c r="Z442" s="96"/>
    </row>
    <row r="443" ht="15.75" customHeight="1" spans="1:26">
      <c r="A443" s="105"/>
      <c r="B443" s="105"/>
      <c r="C443" s="106"/>
      <c r="D443" s="105"/>
      <c r="E443" s="140"/>
      <c r="F443" s="147" t="s">
        <v>3837</v>
      </c>
      <c r="G443" s="108">
        <f>18.81*2.9</f>
        <v>54.549</v>
      </c>
      <c r="H443" s="108">
        <f>(1.5*0.9*2)+(1.2*1.5)+(3*3.4)</f>
        <v>14.7</v>
      </c>
      <c r="I443" s="148">
        <f t="shared" si="7"/>
        <v>39.849</v>
      </c>
      <c r="J443" s="79"/>
      <c r="K443" s="79"/>
      <c r="L443" s="79"/>
      <c r="M443" s="79"/>
      <c r="N443" s="79"/>
      <c r="O443" s="79"/>
      <c r="P443" s="79"/>
      <c r="Q443" s="79"/>
      <c r="R443" s="79"/>
      <c r="S443" s="79"/>
      <c r="T443" s="79"/>
      <c r="U443" s="79"/>
      <c r="V443" s="79"/>
      <c r="W443" s="79"/>
      <c r="X443" s="79"/>
      <c r="Y443" s="79"/>
      <c r="Z443" s="96"/>
    </row>
    <row r="444" ht="15.75" customHeight="1" spans="1:26">
      <c r="A444" s="105"/>
      <c r="B444" s="105"/>
      <c r="C444" s="106"/>
      <c r="D444" s="105"/>
      <c r="E444" s="140"/>
      <c r="F444" s="147" t="s">
        <v>3838</v>
      </c>
      <c r="G444" s="108">
        <f>9.1*2.9</f>
        <v>26.39</v>
      </c>
      <c r="H444" s="108">
        <f>0.9*2.1</f>
        <v>1.89</v>
      </c>
      <c r="I444" s="148">
        <f t="shared" si="7"/>
        <v>24.5</v>
      </c>
      <c r="J444" s="79"/>
      <c r="K444" s="79"/>
      <c r="L444" s="79"/>
      <c r="M444" s="79"/>
      <c r="N444" s="79"/>
      <c r="O444" s="79"/>
      <c r="P444" s="79"/>
      <c r="Q444" s="79"/>
      <c r="R444" s="79"/>
      <c r="S444" s="79"/>
      <c r="T444" s="79"/>
      <c r="U444" s="79"/>
      <c r="V444" s="79"/>
      <c r="W444" s="79"/>
      <c r="X444" s="79"/>
      <c r="Y444" s="79"/>
      <c r="Z444" s="96"/>
    </row>
    <row r="445" ht="15.75" customHeight="1" spans="1:26">
      <c r="A445" s="105"/>
      <c r="B445" s="105"/>
      <c r="C445" s="106"/>
      <c r="D445" s="105"/>
      <c r="E445" s="140"/>
      <c r="F445" s="147" t="s">
        <v>3839</v>
      </c>
      <c r="G445" s="108">
        <f>23.51</f>
        <v>23.51</v>
      </c>
      <c r="H445" s="108">
        <f>(1.5*0.9*3)+(1.2*1.5)+(1.58*3.4)</f>
        <v>11.222</v>
      </c>
      <c r="I445" s="148">
        <f t="shared" si="7"/>
        <v>12.288</v>
      </c>
      <c r="J445" s="79"/>
      <c r="K445" s="79"/>
      <c r="L445" s="79"/>
      <c r="M445" s="79"/>
      <c r="N445" s="79"/>
      <c r="O445" s="79"/>
      <c r="P445" s="79"/>
      <c r="Q445" s="79"/>
      <c r="R445" s="79"/>
      <c r="S445" s="79"/>
      <c r="T445" s="79"/>
      <c r="U445" s="79"/>
      <c r="V445" s="79"/>
      <c r="W445" s="79"/>
      <c r="X445" s="79"/>
      <c r="Y445" s="79"/>
      <c r="Z445" s="96"/>
    </row>
    <row r="446" ht="15.75" customHeight="1" spans="1:26">
      <c r="A446" s="105"/>
      <c r="B446" s="105"/>
      <c r="C446" s="106"/>
      <c r="D446" s="105"/>
      <c r="E446" s="140"/>
      <c r="F446" s="147" t="s">
        <v>3840</v>
      </c>
      <c r="G446" s="108">
        <f>19.96*2.9</f>
        <v>57.884</v>
      </c>
      <c r="H446" s="108">
        <f>(1.2*1.5)+(1.5*0.9)+(1.53*3.4)</f>
        <v>8.352</v>
      </c>
      <c r="I446" s="148">
        <f t="shared" si="7"/>
        <v>49.532</v>
      </c>
      <c r="J446" s="79"/>
      <c r="K446" s="79"/>
      <c r="L446" s="79"/>
      <c r="M446" s="79"/>
      <c r="N446" s="79"/>
      <c r="O446" s="79"/>
      <c r="P446" s="79"/>
      <c r="Q446" s="79"/>
      <c r="R446" s="79"/>
      <c r="S446" s="79"/>
      <c r="T446" s="79"/>
      <c r="U446" s="79"/>
      <c r="V446" s="79"/>
      <c r="W446" s="79"/>
      <c r="X446" s="79"/>
      <c r="Y446" s="79"/>
      <c r="Z446" s="96"/>
    </row>
    <row r="447" ht="15.75" customHeight="1" spans="1:26">
      <c r="A447" s="105"/>
      <c r="B447" s="105"/>
      <c r="C447" s="106"/>
      <c r="D447" s="105"/>
      <c r="E447" s="140"/>
      <c r="F447" s="147" t="s">
        <v>3841</v>
      </c>
      <c r="G447" s="108">
        <f>20.2*2.9</f>
        <v>58.58</v>
      </c>
      <c r="H447" s="108">
        <f>(1.2*1.5)+(1.5*0.9)+(1.62*3.4)</f>
        <v>8.658</v>
      </c>
      <c r="I447" s="148">
        <f t="shared" si="7"/>
        <v>49.922</v>
      </c>
      <c r="J447" s="79"/>
      <c r="K447" s="79"/>
      <c r="L447" s="79"/>
      <c r="M447" s="79"/>
      <c r="N447" s="79"/>
      <c r="O447" s="79"/>
      <c r="P447" s="79"/>
      <c r="Q447" s="79"/>
      <c r="R447" s="79"/>
      <c r="S447" s="79"/>
      <c r="T447" s="79"/>
      <c r="U447" s="79"/>
      <c r="V447" s="79"/>
      <c r="W447" s="79"/>
      <c r="X447" s="79"/>
      <c r="Y447" s="79"/>
      <c r="Z447" s="96"/>
    </row>
    <row r="448" ht="15.75" customHeight="1" spans="1:26">
      <c r="A448" s="105"/>
      <c r="B448" s="105"/>
      <c r="C448" s="106"/>
      <c r="D448" s="105"/>
      <c r="E448" s="140"/>
      <c r="F448" s="147" t="s">
        <v>4238</v>
      </c>
      <c r="G448" s="108">
        <f>19.97*2.9</f>
        <v>57.913</v>
      </c>
      <c r="H448" s="108">
        <f>(1.2*1.5)+(1.5*0.9)+(1.62*3.4)</f>
        <v>8.658</v>
      </c>
      <c r="I448" s="148">
        <f t="shared" si="7"/>
        <v>49.255</v>
      </c>
      <c r="J448" s="79"/>
      <c r="K448" s="79"/>
      <c r="L448" s="79"/>
      <c r="M448" s="79"/>
      <c r="N448" s="79"/>
      <c r="O448" s="79"/>
      <c r="P448" s="79"/>
      <c r="Q448" s="79"/>
      <c r="R448" s="79"/>
      <c r="S448" s="79"/>
      <c r="T448" s="79"/>
      <c r="U448" s="79"/>
      <c r="V448" s="79"/>
      <c r="W448" s="79"/>
      <c r="X448" s="79"/>
      <c r="Y448" s="79"/>
      <c r="Z448" s="96"/>
    </row>
    <row r="449" ht="22.5" customHeight="1" spans="1:26">
      <c r="A449" s="105"/>
      <c r="B449" s="105"/>
      <c r="C449" s="106"/>
      <c r="D449" s="105"/>
      <c r="E449" s="140"/>
      <c r="F449" s="147" t="s">
        <v>4239</v>
      </c>
      <c r="G449" s="108">
        <f>20.2*2.9</f>
        <v>58.58</v>
      </c>
      <c r="H449" s="108">
        <f>(1.2*1.5)+(1.5*0.9)+(1.62*3.4)</f>
        <v>8.658</v>
      </c>
      <c r="I449" s="148">
        <f t="shared" si="7"/>
        <v>49.922</v>
      </c>
      <c r="J449" s="79"/>
      <c r="K449" s="79"/>
      <c r="L449" s="79"/>
      <c r="M449" s="79"/>
      <c r="N449" s="79"/>
      <c r="O449" s="79"/>
      <c r="P449" s="79"/>
      <c r="Q449" s="79"/>
      <c r="R449" s="79"/>
      <c r="S449" s="79"/>
      <c r="T449" s="79"/>
      <c r="U449" s="79"/>
      <c r="V449" s="79"/>
      <c r="W449" s="79"/>
      <c r="X449" s="79"/>
      <c r="Y449" s="79"/>
      <c r="Z449" s="96"/>
    </row>
    <row r="450" ht="15.75" customHeight="1" spans="1:26">
      <c r="A450" s="105"/>
      <c r="B450" s="105"/>
      <c r="C450" s="106"/>
      <c r="D450" s="105"/>
      <c r="E450" s="140"/>
      <c r="F450" s="147" t="s">
        <v>4220</v>
      </c>
      <c r="G450" s="108">
        <f>((2.4*2)+5.72)*3.3</f>
        <v>34.716</v>
      </c>
      <c r="H450" s="108"/>
      <c r="I450" s="148">
        <f t="shared" si="7"/>
        <v>34.716</v>
      </c>
      <c r="J450" s="79"/>
      <c r="K450" s="79"/>
      <c r="L450" s="79"/>
      <c r="M450" s="79"/>
      <c r="N450" s="79"/>
      <c r="O450" s="79"/>
      <c r="P450" s="79"/>
      <c r="Q450" s="79"/>
      <c r="R450" s="79"/>
      <c r="S450" s="79"/>
      <c r="T450" s="79"/>
      <c r="U450" s="79"/>
      <c r="V450" s="79"/>
      <c r="W450" s="79"/>
      <c r="X450" s="79"/>
      <c r="Y450" s="79"/>
      <c r="Z450" s="96"/>
    </row>
    <row r="451" ht="15.75" customHeight="1" spans="1:26">
      <c r="A451" s="114"/>
      <c r="B451" s="114"/>
      <c r="C451" s="141"/>
      <c r="D451" s="114"/>
      <c r="E451" s="142"/>
      <c r="F451" s="149"/>
      <c r="G451" s="108"/>
      <c r="H451" s="62" t="s">
        <v>3689</v>
      </c>
      <c r="I451" s="123">
        <f>TRUNC(SUM(I437:I450),2)</f>
        <v>483.12</v>
      </c>
      <c r="J451" s="79"/>
      <c r="K451" s="79"/>
      <c r="L451" s="79"/>
      <c r="M451" s="79"/>
      <c r="N451" s="79"/>
      <c r="O451" s="79"/>
      <c r="P451" s="79"/>
      <c r="Q451" s="79"/>
      <c r="R451" s="79"/>
      <c r="S451" s="79"/>
      <c r="T451" s="79"/>
      <c r="U451" s="79"/>
      <c r="V451" s="79"/>
      <c r="W451" s="79"/>
      <c r="X451" s="79"/>
      <c r="Y451" s="79"/>
      <c r="Z451" s="96"/>
    </row>
    <row r="452" ht="23.25" customHeight="1" spans="1:26">
      <c r="A452" s="100" t="s">
        <v>4240</v>
      </c>
      <c r="B452" s="100">
        <v>88497</v>
      </c>
      <c r="C452" s="102" t="s">
        <v>1260</v>
      </c>
      <c r="D452" s="103" t="s">
        <v>3719</v>
      </c>
      <c r="E452" s="146">
        <f>I467</f>
        <v>483.12</v>
      </c>
      <c r="F452" s="147" t="s">
        <v>4212</v>
      </c>
      <c r="G452" s="62" t="s">
        <v>4232</v>
      </c>
      <c r="H452" s="62" t="s">
        <v>4233</v>
      </c>
      <c r="I452" s="92" t="s">
        <v>4234</v>
      </c>
      <c r="J452" s="79"/>
      <c r="K452" s="79"/>
      <c r="L452" s="79"/>
      <c r="M452" s="79"/>
      <c r="N452" s="79"/>
      <c r="O452" s="79"/>
      <c r="P452" s="79"/>
      <c r="Q452" s="79"/>
      <c r="R452" s="79"/>
      <c r="S452" s="79"/>
      <c r="T452" s="79"/>
      <c r="U452" s="79"/>
      <c r="V452" s="79"/>
      <c r="W452" s="79"/>
      <c r="X452" s="79"/>
      <c r="Y452" s="79"/>
      <c r="Z452" s="96"/>
    </row>
    <row r="453" ht="15.75" customHeight="1" spans="1:26">
      <c r="A453" s="105"/>
      <c r="B453" s="105"/>
      <c r="C453" s="106"/>
      <c r="D453" s="105"/>
      <c r="E453" s="140"/>
      <c r="F453" s="147" t="s">
        <v>4235</v>
      </c>
      <c r="G453" s="108">
        <f>17.82*2.9</f>
        <v>51.678</v>
      </c>
      <c r="H453" s="108">
        <f>(1.5*0.9)+(1.2*1.5)+(2.89*3.4)</f>
        <v>12.976</v>
      </c>
      <c r="I453" s="148">
        <f t="shared" ref="I453:I466" si="8">G453-H453</f>
        <v>38.702</v>
      </c>
      <c r="J453" s="79"/>
      <c r="K453" s="79"/>
      <c r="L453" s="79"/>
      <c r="M453" s="79"/>
      <c r="N453" s="79"/>
      <c r="O453" s="79"/>
      <c r="P453" s="79"/>
      <c r="Q453" s="79"/>
      <c r="R453" s="79"/>
      <c r="S453" s="79"/>
      <c r="T453" s="79"/>
      <c r="U453" s="79"/>
      <c r="V453" s="79"/>
      <c r="W453" s="79"/>
      <c r="X453" s="79"/>
      <c r="Y453" s="79"/>
      <c r="Z453" s="96"/>
    </row>
    <row r="454" ht="15.75" customHeight="1" spans="1:26">
      <c r="A454" s="105"/>
      <c r="B454" s="105"/>
      <c r="C454" s="106"/>
      <c r="D454" s="105"/>
      <c r="E454" s="140"/>
      <c r="F454" s="147" t="s">
        <v>4236</v>
      </c>
      <c r="G454" s="108">
        <f>13.32*2.9</f>
        <v>38.628</v>
      </c>
      <c r="H454" s="108">
        <f>(0.9*2.1*2)+(1.73*2.9*2)</f>
        <v>13.814</v>
      </c>
      <c r="I454" s="148">
        <f t="shared" si="8"/>
        <v>24.814</v>
      </c>
      <c r="J454" s="79"/>
      <c r="K454" s="79"/>
      <c r="L454" s="79"/>
      <c r="M454" s="79"/>
      <c r="N454" s="79"/>
      <c r="O454" s="79"/>
      <c r="P454" s="79"/>
      <c r="Q454" s="79"/>
      <c r="R454" s="79"/>
      <c r="S454" s="79"/>
      <c r="T454" s="79"/>
      <c r="U454" s="79"/>
      <c r="V454" s="79"/>
      <c r="W454" s="79"/>
      <c r="X454" s="79"/>
      <c r="Y454" s="79"/>
      <c r="Z454" s="96"/>
    </row>
    <row r="455" ht="15.75" customHeight="1" spans="1:26">
      <c r="A455" s="105"/>
      <c r="B455" s="105"/>
      <c r="C455" s="106"/>
      <c r="D455" s="105"/>
      <c r="E455" s="140"/>
      <c r="F455" s="147" t="s">
        <v>4217</v>
      </c>
      <c r="G455" s="108">
        <f>8.87*2.9</f>
        <v>25.723</v>
      </c>
      <c r="H455" s="108">
        <f>(0.9*2.1)+(1.2*1.2)</f>
        <v>3.33</v>
      </c>
      <c r="I455" s="148">
        <f t="shared" si="8"/>
        <v>22.393</v>
      </c>
      <c r="J455" s="79"/>
      <c r="K455" s="79"/>
      <c r="L455" s="79"/>
      <c r="M455" s="79"/>
      <c r="N455" s="79"/>
      <c r="O455" s="79"/>
      <c r="P455" s="79"/>
      <c r="Q455" s="79"/>
      <c r="R455" s="79"/>
      <c r="S455" s="79"/>
      <c r="T455" s="79"/>
      <c r="U455" s="79"/>
      <c r="V455" s="79"/>
      <c r="W455" s="79"/>
      <c r="X455" s="79"/>
      <c r="Y455" s="79"/>
      <c r="Z455" s="96"/>
    </row>
    <row r="456" ht="22.5" customHeight="1" spans="1:26">
      <c r="A456" s="105"/>
      <c r="B456" s="105"/>
      <c r="C456" s="106"/>
      <c r="D456" s="105"/>
      <c r="E456" s="140"/>
      <c r="F456" s="147" t="s">
        <v>3847</v>
      </c>
      <c r="G456" s="108">
        <f>8.58*2.9</f>
        <v>24.882</v>
      </c>
      <c r="H456" s="108">
        <f>0.9*2.1</f>
        <v>1.89</v>
      </c>
      <c r="I456" s="148">
        <f t="shared" si="8"/>
        <v>22.992</v>
      </c>
      <c r="J456" s="79"/>
      <c r="K456" s="79"/>
      <c r="L456" s="79"/>
      <c r="M456" s="79"/>
      <c r="N456" s="79"/>
      <c r="O456" s="79"/>
      <c r="P456" s="79"/>
      <c r="Q456" s="79"/>
      <c r="R456" s="79"/>
      <c r="S456" s="79"/>
      <c r="T456" s="79"/>
      <c r="U456" s="79"/>
      <c r="V456" s="79"/>
      <c r="W456" s="79"/>
      <c r="X456" s="79"/>
      <c r="Y456" s="79"/>
      <c r="Z456" s="96"/>
    </row>
    <row r="457" ht="15.75" customHeight="1" spans="1:26">
      <c r="A457" s="105"/>
      <c r="B457" s="105"/>
      <c r="C457" s="106"/>
      <c r="D457" s="105"/>
      <c r="E457" s="140"/>
      <c r="F457" s="147" t="s">
        <v>3836</v>
      </c>
      <c r="G457" s="108">
        <f>18.02*2.9</f>
        <v>52.258</v>
      </c>
      <c r="H457" s="108">
        <f>(1.5*0.9*2)+(1.2*1.5)+(3*3.4)</f>
        <v>14.7</v>
      </c>
      <c r="I457" s="148">
        <f t="shared" si="8"/>
        <v>37.558</v>
      </c>
      <c r="J457" s="79"/>
      <c r="K457" s="79"/>
      <c r="L457" s="79"/>
      <c r="M457" s="79"/>
      <c r="N457" s="79"/>
      <c r="O457" s="79"/>
      <c r="P457" s="79"/>
      <c r="Q457" s="79"/>
      <c r="R457" s="79"/>
      <c r="S457" s="79"/>
      <c r="T457" s="79"/>
      <c r="U457" s="79"/>
      <c r="V457" s="79"/>
      <c r="W457" s="79"/>
      <c r="X457" s="79"/>
      <c r="Y457" s="79"/>
      <c r="Z457" s="96"/>
    </row>
    <row r="458" ht="15.75" customHeight="1" spans="1:26">
      <c r="A458" s="105"/>
      <c r="B458" s="105"/>
      <c r="C458" s="106"/>
      <c r="D458" s="105"/>
      <c r="E458" s="140"/>
      <c r="F458" s="147" t="s">
        <v>4237</v>
      </c>
      <c r="G458" s="108">
        <f>(4.6*2)*2.9</f>
        <v>26.68</v>
      </c>
      <c r="H458" s="108"/>
      <c r="I458" s="148">
        <f t="shared" si="8"/>
        <v>26.68</v>
      </c>
      <c r="J458" s="79"/>
      <c r="K458" s="79"/>
      <c r="L458" s="79"/>
      <c r="M458" s="79"/>
      <c r="N458" s="79"/>
      <c r="O458" s="79"/>
      <c r="P458" s="79"/>
      <c r="Q458" s="79"/>
      <c r="R458" s="79"/>
      <c r="S458" s="79"/>
      <c r="T458" s="79"/>
      <c r="U458" s="79"/>
      <c r="V458" s="79"/>
      <c r="W458" s="79"/>
      <c r="X458" s="79"/>
      <c r="Y458" s="79"/>
      <c r="Z458" s="96"/>
    </row>
    <row r="459" ht="15.75" customHeight="1" spans="1:26">
      <c r="A459" s="105"/>
      <c r="B459" s="105"/>
      <c r="C459" s="106"/>
      <c r="D459" s="105"/>
      <c r="E459" s="140"/>
      <c r="F459" s="147" t="s">
        <v>3837</v>
      </c>
      <c r="G459" s="108">
        <f>18.81*2.9</f>
        <v>54.549</v>
      </c>
      <c r="H459" s="108">
        <f>(1.5*0.9*2)+(1.2*1.5)+(3*3.4)</f>
        <v>14.7</v>
      </c>
      <c r="I459" s="148">
        <f t="shared" si="8"/>
        <v>39.849</v>
      </c>
      <c r="J459" s="79"/>
      <c r="K459" s="79"/>
      <c r="L459" s="79"/>
      <c r="M459" s="79"/>
      <c r="N459" s="79"/>
      <c r="O459" s="79"/>
      <c r="P459" s="79"/>
      <c r="Q459" s="79"/>
      <c r="R459" s="79"/>
      <c r="S459" s="79"/>
      <c r="T459" s="79"/>
      <c r="U459" s="79"/>
      <c r="V459" s="79"/>
      <c r="W459" s="79"/>
      <c r="X459" s="79"/>
      <c r="Y459" s="79"/>
      <c r="Z459" s="96"/>
    </row>
    <row r="460" ht="15.75" customHeight="1" spans="1:26">
      <c r="A460" s="105"/>
      <c r="B460" s="105"/>
      <c r="C460" s="106"/>
      <c r="D460" s="105"/>
      <c r="E460" s="140"/>
      <c r="F460" s="147" t="s">
        <v>3838</v>
      </c>
      <c r="G460" s="108">
        <f>9.1*2.9</f>
        <v>26.39</v>
      </c>
      <c r="H460" s="108">
        <f>0.9*2.1</f>
        <v>1.89</v>
      </c>
      <c r="I460" s="148">
        <f t="shared" si="8"/>
        <v>24.5</v>
      </c>
      <c r="J460" s="79"/>
      <c r="K460" s="79"/>
      <c r="L460" s="79"/>
      <c r="M460" s="79"/>
      <c r="N460" s="79"/>
      <c r="O460" s="79"/>
      <c r="P460" s="79"/>
      <c r="Q460" s="79"/>
      <c r="R460" s="79"/>
      <c r="S460" s="79"/>
      <c r="T460" s="79"/>
      <c r="U460" s="79"/>
      <c r="V460" s="79"/>
      <c r="W460" s="79"/>
      <c r="X460" s="79"/>
      <c r="Y460" s="79"/>
      <c r="Z460" s="96"/>
    </row>
    <row r="461" ht="15.75" customHeight="1" spans="1:26">
      <c r="A461" s="105"/>
      <c r="B461" s="105"/>
      <c r="C461" s="106"/>
      <c r="D461" s="105"/>
      <c r="E461" s="140"/>
      <c r="F461" s="147" t="s">
        <v>3839</v>
      </c>
      <c r="G461" s="108">
        <f>23.51</f>
        <v>23.51</v>
      </c>
      <c r="H461" s="108">
        <f>(1.5*0.9*3)+(1.2*1.5)+(1.58*3.4)</f>
        <v>11.222</v>
      </c>
      <c r="I461" s="148">
        <f t="shared" si="8"/>
        <v>12.288</v>
      </c>
      <c r="J461" s="79"/>
      <c r="K461" s="79"/>
      <c r="L461" s="79"/>
      <c r="M461" s="79"/>
      <c r="N461" s="79"/>
      <c r="O461" s="79"/>
      <c r="P461" s="79"/>
      <c r="Q461" s="79"/>
      <c r="R461" s="79"/>
      <c r="S461" s="79"/>
      <c r="T461" s="79"/>
      <c r="U461" s="79"/>
      <c r="V461" s="79"/>
      <c r="W461" s="79"/>
      <c r="X461" s="79"/>
      <c r="Y461" s="79"/>
      <c r="Z461" s="96"/>
    </row>
    <row r="462" ht="22.5" customHeight="1" spans="1:26">
      <c r="A462" s="105"/>
      <c r="B462" s="105"/>
      <c r="C462" s="106"/>
      <c r="D462" s="105"/>
      <c r="E462" s="140"/>
      <c r="F462" s="147" t="s">
        <v>3840</v>
      </c>
      <c r="G462" s="108">
        <f>19.96*2.9</f>
        <v>57.884</v>
      </c>
      <c r="H462" s="108">
        <f>(1.2*1.5)+(1.5*0.9)+(1.53*3.4)</f>
        <v>8.352</v>
      </c>
      <c r="I462" s="148">
        <f t="shared" si="8"/>
        <v>49.532</v>
      </c>
      <c r="J462" s="79"/>
      <c r="K462" s="79"/>
      <c r="L462" s="79"/>
      <c r="M462" s="79"/>
      <c r="N462" s="79"/>
      <c r="O462" s="79"/>
      <c r="P462" s="79"/>
      <c r="Q462" s="79"/>
      <c r="R462" s="79"/>
      <c r="S462" s="79"/>
      <c r="T462" s="79"/>
      <c r="U462" s="79"/>
      <c r="V462" s="79"/>
      <c r="W462" s="79"/>
      <c r="X462" s="79"/>
      <c r="Y462" s="79"/>
      <c r="Z462" s="96"/>
    </row>
    <row r="463" ht="15.75" customHeight="1" spans="1:26">
      <c r="A463" s="105"/>
      <c r="B463" s="105"/>
      <c r="C463" s="106"/>
      <c r="D463" s="105"/>
      <c r="E463" s="140"/>
      <c r="F463" s="147" t="s">
        <v>3841</v>
      </c>
      <c r="G463" s="108">
        <f>20.2*2.9</f>
        <v>58.58</v>
      </c>
      <c r="H463" s="108">
        <f>(1.2*1.5)+(1.5*0.9)+(1.62*3.4)</f>
        <v>8.658</v>
      </c>
      <c r="I463" s="148">
        <f t="shared" si="8"/>
        <v>49.922</v>
      </c>
      <c r="J463" s="79"/>
      <c r="K463" s="79"/>
      <c r="L463" s="79"/>
      <c r="M463" s="79"/>
      <c r="N463" s="79"/>
      <c r="O463" s="79"/>
      <c r="P463" s="79"/>
      <c r="Q463" s="79"/>
      <c r="R463" s="79"/>
      <c r="S463" s="79"/>
      <c r="T463" s="79"/>
      <c r="U463" s="79"/>
      <c r="V463" s="79"/>
      <c r="W463" s="79"/>
      <c r="X463" s="79"/>
      <c r="Y463" s="79"/>
      <c r="Z463" s="96"/>
    </row>
    <row r="464" ht="15.75" customHeight="1" spans="1:26">
      <c r="A464" s="105"/>
      <c r="B464" s="105"/>
      <c r="C464" s="106"/>
      <c r="D464" s="105"/>
      <c r="E464" s="140"/>
      <c r="F464" s="147" t="s">
        <v>4238</v>
      </c>
      <c r="G464" s="108">
        <f>19.97*2.9</f>
        <v>57.913</v>
      </c>
      <c r="H464" s="108">
        <f>(1.2*1.5)+(1.5*0.9)+(1.62*3.4)</f>
        <v>8.658</v>
      </c>
      <c r="I464" s="148">
        <f t="shared" si="8"/>
        <v>49.255</v>
      </c>
      <c r="J464" s="79"/>
      <c r="K464" s="79"/>
      <c r="L464" s="79"/>
      <c r="M464" s="79"/>
      <c r="N464" s="79"/>
      <c r="O464" s="79"/>
      <c r="P464" s="79"/>
      <c r="Q464" s="79"/>
      <c r="R464" s="79"/>
      <c r="S464" s="79"/>
      <c r="T464" s="79"/>
      <c r="U464" s="79"/>
      <c r="V464" s="79"/>
      <c r="W464" s="79"/>
      <c r="X464" s="79"/>
      <c r="Y464" s="79"/>
      <c r="Z464" s="96"/>
    </row>
    <row r="465" ht="15.75" customHeight="1" spans="1:26">
      <c r="A465" s="105"/>
      <c r="B465" s="105"/>
      <c r="C465" s="106"/>
      <c r="D465" s="105"/>
      <c r="E465" s="140"/>
      <c r="F465" s="147" t="s">
        <v>4239</v>
      </c>
      <c r="G465" s="108">
        <f>20.2*2.9</f>
        <v>58.58</v>
      </c>
      <c r="H465" s="108">
        <f>(1.2*1.5)+(1.5*0.9)+(1.62*3.4)</f>
        <v>8.658</v>
      </c>
      <c r="I465" s="148">
        <f t="shared" si="8"/>
        <v>49.922</v>
      </c>
      <c r="J465" s="79"/>
      <c r="K465" s="79"/>
      <c r="L465" s="79"/>
      <c r="M465" s="79"/>
      <c r="N465" s="79"/>
      <c r="O465" s="79"/>
      <c r="P465" s="79"/>
      <c r="Q465" s="79"/>
      <c r="R465" s="79"/>
      <c r="S465" s="79"/>
      <c r="T465" s="79"/>
      <c r="U465" s="79"/>
      <c r="V465" s="79"/>
      <c r="W465" s="79"/>
      <c r="X465" s="79"/>
      <c r="Y465" s="79"/>
      <c r="Z465" s="96"/>
    </row>
    <row r="466" ht="15.75" customHeight="1" spans="1:26">
      <c r="A466" s="105"/>
      <c r="B466" s="105"/>
      <c r="C466" s="106"/>
      <c r="D466" s="105"/>
      <c r="E466" s="140"/>
      <c r="F466" s="147" t="s">
        <v>4220</v>
      </c>
      <c r="G466" s="108">
        <f>((2.4*2)+5.72)*3.3</f>
        <v>34.716</v>
      </c>
      <c r="H466" s="108"/>
      <c r="I466" s="148">
        <f t="shared" si="8"/>
        <v>34.716</v>
      </c>
      <c r="J466" s="79"/>
      <c r="K466" s="79"/>
      <c r="L466" s="79"/>
      <c r="M466" s="79"/>
      <c r="N466" s="79"/>
      <c r="O466" s="79"/>
      <c r="P466" s="79"/>
      <c r="Q466" s="79"/>
      <c r="R466" s="79"/>
      <c r="S466" s="79"/>
      <c r="T466" s="79"/>
      <c r="U466" s="79"/>
      <c r="V466" s="79"/>
      <c r="W466" s="79"/>
      <c r="X466" s="79"/>
      <c r="Y466" s="79"/>
      <c r="Z466" s="96"/>
    </row>
    <row r="467" ht="15.75" customHeight="1" spans="1:26">
      <c r="A467" s="105"/>
      <c r="B467" s="105"/>
      <c r="C467" s="106"/>
      <c r="D467" s="105"/>
      <c r="E467" s="140"/>
      <c r="F467" s="149"/>
      <c r="G467" s="108"/>
      <c r="H467" s="62" t="s">
        <v>3689</v>
      </c>
      <c r="I467" s="123">
        <f>TRUNC(SUM(I453:I466),2)</f>
        <v>483.12</v>
      </c>
      <c r="J467" s="79"/>
      <c r="K467" s="79"/>
      <c r="L467" s="79"/>
      <c r="M467" s="79"/>
      <c r="N467" s="79"/>
      <c r="O467" s="79"/>
      <c r="P467" s="79"/>
      <c r="Q467" s="79"/>
      <c r="R467" s="79"/>
      <c r="S467" s="79"/>
      <c r="T467" s="79"/>
      <c r="U467" s="79"/>
      <c r="V467" s="79"/>
      <c r="W467" s="79"/>
      <c r="X467" s="79"/>
      <c r="Y467" s="79"/>
      <c r="Z467" s="96"/>
    </row>
    <row r="468" ht="18.75" customHeight="1" spans="1:26">
      <c r="A468" s="100" t="s">
        <v>4241</v>
      </c>
      <c r="B468" s="100">
        <v>88489</v>
      </c>
      <c r="C468" s="102" t="s">
        <v>4242</v>
      </c>
      <c r="D468" s="103" t="s">
        <v>3719</v>
      </c>
      <c r="E468" s="146">
        <f>I483</f>
        <v>483.12</v>
      </c>
      <c r="F468" s="98" t="s">
        <v>4212</v>
      </c>
      <c r="G468" s="48"/>
      <c r="H468" s="48"/>
      <c r="I468" s="92"/>
      <c r="J468" s="79">
        <v>16.32</v>
      </c>
      <c r="K468" s="79"/>
      <c r="L468" s="79"/>
      <c r="M468" s="79"/>
      <c r="N468" s="79"/>
      <c r="O468" s="79"/>
      <c r="P468" s="79"/>
      <c r="Q468" s="79"/>
      <c r="R468" s="79"/>
      <c r="S468" s="79"/>
      <c r="T468" s="79"/>
      <c r="U468" s="79"/>
      <c r="V468" s="79"/>
      <c r="W468" s="79"/>
      <c r="X468" s="79"/>
      <c r="Y468" s="79"/>
      <c r="Z468" s="96"/>
    </row>
    <row r="469" ht="46.5" customHeight="1" spans="1:26">
      <c r="A469" s="105"/>
      <c r="B469" s="105"/>
      <c r="C469" s="106"/>
      <c r="D469" s="105"/>
      <c r="E469" s="140"/>
      <c r="F469" s="147" t="s">
        <v>4235</v>
      </c>
      <c r="G469" s="108">
        <f>17.82*2.9</f>
        <v>51.678</v>
      </c>
      <c r="H469" s="108">
        <f>(1.5*0.9)+(1.2*1.5)+(2.89*3.4)</f>
        <v>12.976</v>
      </c>
      <c r="I469" s="148">
        <f t="shared" ref="I469:I482" si="9">G469-H469</f>
        <v>38.702</v>
      </c>
      <c r="J469" s="79">
        <f>(16.32+3.4+3.51+3.84+16.36)*2.9</f>
        <v>125.947</v>
      </c>
      <c r="K469" s="79"/>
      <c r="L469" s="79"/>
      <c r="M469" s="79"/>
      <c r="N469" s="79"/>
      <c r="O469" s="79"/>
      <c r="P469" s="79"/>
      <c r="Q469" s="79"/>
      <c r="R469" s="79"/>
      <c r="S469" s="79"/>
      <c r="T469" s="79"/>
      <c r="U469" s="79"/>
      <c r="V469" s="79"/>
      <c r="W469" s="79"/>
      <c r="X469" s="79"/>
      <c r="Y469" s="79"/>
      <c r="Z469" s="96"/>
    </row>
    <row r="470" ht="15.75" customHeight="1" spans="1:26">
      <c r="A470" s="105"/>
      <c r="B470" s="105"/>
      <c r="C470" s="106"/>
      <c r="D470" s="105"/>
      <c r="E470" s="140"/>
      <c r="F470" s="147" t="s">
        <v>4236</v>
      </c>
      <c r="G470" s="108">
        <f>13.32*2.9</f>
        <v>38.628</v>
      </c>
      <c r="H470" s="108">
        <f>(0.9*2.1*2)+(1.73*2.9*2)</f>
        <v>13.814</v>
      </c>
      <c r="I470" s="148">
        <f t="shared" si="9"/>
        <v>24.814</v>
      </c>
      <c r="J470" s="79"/>
      <c r="K470" s="79"/>
      <c r="L470" s="79"/>
      <c r="M470" s="79"/>
      <c r="N470" s="79"/>
      <c r="O470" s="79"/>
      <c r="P470" s="79"/>
      <c r="Q470" s="79"/>
      <c r="R470" s="79"/>
      <c r="S470" s="79"/>
      <c r="T470" s="79"/>
      <c r="U470" s="79"/>
      <c r="V470" s="79"/>
      <c r="W470" s="79"/>
      <c r="X470" s="79"/>
      <c r="Y470" s="79"/>
      <c r="Z470" s="96"/>
    </row>
    <row r="471" ht="15.75" customHeight="1" spans="1:26">
      <c r="A471" s="105"/>
      <c r="B471" s="105"/>
      <c r="C471" s="106"/>
      <c r="D471" s="105"/>
      <c r="E471" s="140"/>
      <c r="F471" s="147" t="s">
        <v>4217</v>
      </c>
      <c r="G471" s="108">
        <f>8.87*2.9</f>
        <v>25.723</v>
      </c>
      <c r="H471" s="108">
        <f>(0.9*2.1)+(1.2*1.2)</f>
        <v>3.33</v>
      </c>
      <c r="I471" s="148">
        <f t="shared" si="9"/>
        <v>22.393</v>
      </c>
      <c r="J471" s="79"/>
      <c r="K471" s="79"/>
      <c r="L471" s="79"/>
      <c r="M471" s="79"/>
      <c r="N471" s="79"/>
      <c r="O471" s="79"/>
      <c r="P471" s="79"/>
      <c r="Q471" s="79"/>
      <c r="R471" s="79"/>
      <c r="S471" s="79"/>
      <c r="T471" s="79"/>
      <c r="U471" s="79"/>
      <c r="V471" s="79"/>
      <c r="W471" s="79"/>
      <c r="X471" s="79"/>
      <c r="Y471" s="79"/>
      <c r="Z471" s="96"/>
    </row>
    <row r="472" ht="15.75" customHeight="1" spans="1:26">
      <c r="A472" s="105"/>
      <c r="B472" s="105"/>
      <c r="C472" s="106"/>
      <c r="D472" s="105"/>
      <c r="E472" s="140"/>
      <c r="F472" s="147" t="s">
        <v>3847</v>
      </c>
      <c r="G472" s="108">
        <f>8.58*2.9</f>
        <v>24.882</v>
      </c>
      <c r="H472" s="108">
        <f>0.9*2.1</f>
        <v>1.89</v>
      </c>
      <c r="I472" s="148">
        <f t="shared" si="9"/>
        <v>22.992</v>
      </c>
      <c r="J472" s="79"/>
      <c r="K472" s="79"/>
      <c r="L472" s="79"/>
      <c r="M472" s="79"/>
      <c r="N472" s="79"/>
      <c r="O472" s="79"/>
      <c r="P472" s="79"/>
      <c r="Q472" s="79"/>
      <c r="R472" s="79"/>
      <c r="S472" s="79"/>
      <c r="T472" s="79"/>
      <c r="U472" s="79"/>
      <c r="V472" s="79"/>
      <c r="W472" s="79"/>
      <c r="X472" s="79"/>
      <c r="Y472" s="79"/>
      <c r="Z472" s="96"/>
    </row>
    <row r="473" ht="15.75" customHeight="1" spans="1:26">
      <c r="A473" s="105"/>
      <c r="B473" s="105"/>
      <c r="C473" s="106"/>
      <c r="D473" s="105"/>
      <c r="E473" s="140"/>
      <c r="F473" s="147" t="s">
        <v>3836</v>
      </c>
      <c r="G473" s="108">
        <f>18.02*2.9</f>
        <v>52.258</v>
      </c>
      <c r="H473" s="108">
        <f>(1.5*0.9*2)+(1.2*1.5)+(3*3.4)</f>
        <v>14.7</v>
      </c>
      <c r="I473" s="148">
        <f t="shared" si="9"/>
        <v>37.558</v>
      </c>
      <c r="J473" s="79"/>
      <c r="K473" s="79"/>
      <c r="L473" s="79"/>
      <c r="M473" s="79"/>
      <c r="N473" s="79"/>
      <c r="O473" s="79"/>
      <c r="P473" s="79"/>
      <c r="Q473" s="79"/>
      <c r="R473" s="79"/>
      <c r="S473" s="79"/>
      <c r="T473" s="79"/>
      <c r="U473" s="79"/>
      <c r="V473" s="79"/>
      <c r="W473" s="79"/>
      <c r="X473" s="79"/>
      <c r="Y473" s="79"/>
      <c r="Z473" s="96"/>
    </row>
    <row r="474" ht="15.75" customHeight="1" spans="1:26">
      <c r="A474" s="105"/>
      <c r="B474" s="105"/>
      <c r="C474" s="106"/>
      <c r="D474" s="105"/>
      <c r="E474" s="140"/>
      <c r="F474" s="147" t="s">
        <v>4237</v>
      </c>
      <c r="G474" s="108">
        <f>(4.6*2)*2.9</f>
        <v>26.68</v>
      </c>
      <c r="H474" s="108"/>
      <c r="I474" s="148">
        <f t="shared" si="9"/>
        <v>26.68</v>
      </c>
      <c r="J474" s="79"/>
      <c r="K474" s="79"/>
      <c r="L474" s="79"/>
      <c r="M474" s="79"/>
      <c r="N474" s="79"/>
      <c r="O474" s="79"/>
      <c r="P474" s="79"/>
      <c r="Q474" s="79"/>
      <c r="R474" s="79"/>
      <c r="S474" s="79"/>
      <c r="T474" s="79"/>
      <c r="U474" s="79"/>
      <c r="V474" s="79"/>
      <c r="W474" s="79"/>
      <c r="X474" s="79"/>
      <c r="Y474" s="79"/>
      <c r="Z474" s="96"/>
    </row>
    <row r="475" ht="15.75" customHeight="1" spans="1:26">
      <c r="A475" s="105"/>
      <c r="B475" s="105"/>
      <c r="C475" s="106"/>
      <c r="D475" s="105"/>
      <c r="E475" s="140"/>
      <c r="F475" s="147" t="s">
        <v>3837</v>
      </c>
      <c r="G475" s="108">
        <f>18.81*2.9</f>
        <v>54.549</v>
      </c>
      <c r="H475" s="108">
        <f>(1.5*0.9*2)+(1.2*1.5)+(3*3.4)</f>
        <v>14.7</v>
      </c>
      <c r="I475" s="148">
        <f t="shared" si="9"/>
        <v>39.849</v>
      </c>
      <c r="J475" s="79"/>
      <c r="K475" s="79"/>
      <c r="L475" s="79"/>
      <c r="M475" s="79"/>
      <c r="N475" s="79"/>
      <c r="O475" s="79"/>
      <c r="P475" s="79"/>
      <c r="Q475" s="79"/>
      <c r="R475" s="79"/>
      <c r="S475" s="79"/>
      <c r="T475" s="79"/>
      <c r="U475" s="79"/>
      <c r="V475" s="79"/>
      <c r="W475" s="79"/>
      <c r="X475" s="79"/>
      <c r="Y475" s="79"/>
      <c r="Z475" s="96"/>
    </row>
    <row r="476" ht="15.75" customHeight="1" spans="1:26">
      <c r="A476" s="105"/>
      <c r="B476" s="105"/>
      <c r="C476" s="106"/>
      <c r="D476" s="105"/>
      <c r="E476" s="140"/>
      <c r="F476" s="147" t="s">
        <v>3838</v>
      </c>
      <c r="G476" s="108">
        <f>9.1*2.9</f>
        <v>26.39</v>
      </c>
      <c r="H476" s="108">
        <f>0.9*2.1</f>
        <v>1.89</v>
      </c>
      <c r="I476" s="148">
        <f t="shared" si="9"/>
        <v>24.5</v>
      </c>
      <c r="J476" s="79"/>
      <c r="K476" s="79"/>
      <c r="L476" s="79"/>
      <c r="M476" s="79"/>
      <c r="N476" s="79"/>
      <c r="O476" s="79"/>
      <c r="P476" s="79"/>
      <c r="Q476" s="79"/>
      <c r="R476" s="79"/>
      <c r="S476" s="79"/>
      <c r="T476" s="79"/>
      <c r="U476" s="79"/>
      <c r="V476" s="79"/>
      <c r="W476" s="79"/>
      <c r="X476" s="79"/>
      <c r="Y476" s="79"/>
      <c r="Z476" s="96"/>
    </row>
    <row r="477" ht="22.5" customHeight="1" spans="1:26">
      <c r="A477" s="105"/>
      <c r="B477" s="105"/>
      <c r="C477" s="106"/>
      <c r="D477" s="105"/>
      <c r="E477" s="140"/>
      <c r="F477" s="147" t="s">
        <v>3839</v>
      </c>
      <c r="G477" s="108">
        <f>23.51</f>
        <v>23.51</v>
      </c>
      <c r="H477" s="108">
        <f>(1.5*0.9*3)+(1.2*1.5)+(1.58*3.4)</f>
        <v>11.222</v>
      </c>
      <c r="I477" s="148">
        <f t="shared" si="9"/>
        <v>12.288</v>
      </c>
      <c r="J477" s="79"/>
      <c r="K477" s="79"/>
      <c r="L477" s="79"/>
      <c r="M477" s="79"/>
      <c r="N477" s="79"/>
      <c r="O477" s="79"/>
      <c r="P477" s="79"/>
      <c r="Q477" s="79"/>
      <c r="R477" s="79"/>
      <c r="S477" s="79"/>
      <c r="T477" s="79"/>
      <c r="U477" s="79"/>
      <c r="V477" s="79"/>
      <c r="W477" s="79"/>
      <c r="X477" s="79"/>
      <c r="Y477" s="79"/>
      <c r="Z477" s="96"/>
    </row>
    <row r="478" ht="15.75" customHeight="1" spans="1:26">
      <c r="A478" s="105"/>
      <c r="B478" s="105"/>
      <c r="C478" s="106"/>
      <c r="D478" s="105"/>
      <c r="E478" s="140"/>
      <c r="F478" s="147" t="s">
        <v>3840</v>
      </c>
      <c r="G478" s="108">
        <f>19.96*2.9</f>
        <v>57.884</v>
      </c>
      <c r="H478" s="108">
        <f>(1.2*1.5)+(1.5*0.9)+(1.53*3.4)</f>
        <v>8.352</v>
      </c>
      <c r="I478" s="148">
        <f t="shared" si="9"/>
        <v>49.532</v>
      </c>
      <c r="J478" s="79"/>
      <c r="K478" s="79"/>
      <c r="L478" s="79"/>
      <c r="M478" s="79"/>
      <c r="N478" s="79"/>
      <c r="O478" s="79"/>
      <c r="P478" s="79"/>
      <c r="Q478" s="79"/>
      <c r="R478" s="79"/>
      <c r="S478" s="79"/>
      <c r="T478" s="79"/>
      <c r="U478" s="79"/>
      <c r="V478" s="79"/>
      <c r="W478" s="79"/>
      <c r="X478" s="79"/>
      <c r="Y478" s="79"/>
      <c r="Z478" s="96"/>
    </row>
    <row r="479" ht="15.75" customHeight="1" spans="1:26">
      <c r="A479" s="105"/>
      <c r="B479" s="105"/>
      <c r="C479" s="106"/>
      <c r="D479" s="105"/>
      <c r="E479" s="140"/>
      <c r="F479" s="147" t="s">
        <v>3841</v>
      </c>
      <c r="G479" s="108">
        <f>20.2*2.9</f>
        <v>58.58</v>
      </c>
      <c r="H479" s="108">
        <f>(1.2*1.5)+(1.5*0.9)+(1.62*3.4)</f>
        <v>8.658</v>
      </c>
      <c r="I479" s="148">
        <f t="shared" si="9"/>
        <v>49.922</v>
      </c>
      <c r="J479" s="79"/>
      <c r="K479" s="79"/>
      <c r="L479" s="79"/>
      <c r="M479" s="79"/>
      <c r="N479" s="79"/>
      <c r="O479" s="79"/>
      <c r="P479" s="79"/>
      <c r="Q479" s="79"/>
      <c r="R479" s="79"/>
      <c r="S479" s="79"/>
      <c r="T479" s="79"/>
      <c r="U479" s="79"/>
      <c r="V479" s="79"/>
      <c r="W479" s="79"/>
      <c r="X479" s="79"/>
      <c r="Y479" s="79"/>
      <c r="Z479" s="96"/>
    </row>
    <row r="480" ht="15.75" customHeight="1" spans="1:26">
      <c r="A480" s="105"/>
      <c r="B480" s="105"/>
      <c r="C480" s="106"/>
      <c r="D480" s="105"/>
      <c r="E480" s="140"/>
      <c r="F480" s="147" t="s">
        <v>4238</v>
      </c>
      <c r="G480" s="108">
        <f>19.97*2.9</f>
        <v>57.913</v>
      </c>
      <c r="H480" s="108">
        <f>(1.2*1.5)+(1.5*0.9)+(1.62*3.4)</f>
        <v>8.658</v>
      </c>
      <c r="I480" s="148">
        <f t="shared" si="9"/>
        <v>49.255</v>
      </c>
      <c r="J480" s="79"/>
      <c r="K480" s="79"/>
      <c r="L480" s="79"/>
      <c r="M480" s="79"/>
      <c r="N480" s="79"/>
      <c r="O480" s="79"/>
      <c r="P480" s="79"/>
      <c r="Q480" s="79"/>
      <c r="R480" s="79"/>
      <c r="S480" s="79"/>
      <c r="T480" s="79"/>
      <c r="U480" s="79"/>
      <c r="V480" s="79"/>
      <c r="W480" s="79"/>
      <c r="X480" s="79"/>
      <c r="Y480" s="79"/>
      <c r="Z480" s="96"/>
    </row>
    <row r="481" ht="15.75" customHeight="1" spans="1:26">
      <c r="A481" s="105"/>
      <c r="B481" s="105"/>
      <c r="C481" s="106"/>
      <c r="D481" s="105"/>
      <c r="E481" s="140"/>
      <c r="F481" s="147" t="s">
        <v>4239</v>
      </c>
      <c r="G481" s="108">
        <f>20.2*2.9</f>
        <v>58.58</v>
      </c>
      <c r="H481" s="108">
        <f>(1.2*1.5)+(1.5*0.9)+(1.62*3.4)</f>
        <v>8.658</v>
      </c>
      <c r="I481" s="148">
        <f t="shared" si="9"/>
        <v>49.922</v>
      </c>
      <c r="J481" s="79"/>
      <c r="K481" s="79"/>
      <c r="L481" s="79"/>
      <c r="M481" s="79"/>
      <c r="N481" s="79"/>
      <c r="O481" s="79"/>
      <c r="P481" s="79"/>
      <c r="Q481" s="79"/>
      <c r="R481" s="79"/>
      <c r="S481" s="79"/>
      <c r="T481" s="79"/>
      <c r="U481" s="79"/>
      <c r="V481" s="79"/>
      <c r="W481" s="79"/>
      <c r="X481" s="79"/>
      <c r="Y481" s="79"/>
      <c r="Z481" s="96"/>
    </row>
    <row r="482" ht="15.75" customHeight="1" spans="1:26">
      <c r="A482" s="105"/>
      <c r="B482" s="105"/>
      <c r="C482" s="106"/>
      <c r="D482" s="105"/>
      <c r="E482" s="140"/>
      <c r="F482" s="147" t="s">
        <v>4220</v>
      </c>
      <c r="G482" s="108">
        <f>((2.4*2)+5.72)*3.3</f>
        <v>34.716</v>
      </c>
      <c r="H482" s="108"/>
      <c r="I482" s="148">
        <f t="shared" si="9"/>
        <v>34.716</v>
      </c>
      <c r="J482" s="79"/>
      <c r="K482" s="79"/>
      <c r="L482" s="79"/>
      <c r="M482" s="79"/>
      <c r="N482" s="79"/>
      <c r="O482" s="79"/>
      <c r="P482" s="79"/>
      <c r="Q482" s="79"/>
      <c r="R482" s="79"/>
      <c r="S482" s="79"/>
      <c r="T482" s="79"/>
      <c r="U482" s="79"/>
      <c r="V482" s="79"/>
      <c r="W482" s="79"/>
      <c r="X482" s="79"/>
      <c r="Y482" s="79"/>
      <c r="Z482" s="96"/>
    </row>
    <row r="483" ht="15.75" customHeight="1" spans="1:26">
      <c r="A483" s="105"/>
      <c r="B483" s="105"/>
      <c r="C483" s="106"/>
      <c r="D483" s="105"/>
      <c r="E483" s="140"/>
      <c r="F483" s="149"/>
      <c r="G483" s="108"/>
      <c r="H483" s="62" t="s">
        <v>3689</v>
      </c>
      <c r="I483" s="123">
        <f>TRUNC(SUM(I469:I482),2)</f>
        <v>483.12</v>
      </c>
      <c r="J483" s="79"/>
      <c r="K483" s="79"/>
      <c r="L483" s="79"/>
      <c r="M483" s="79"/>
      <c r="N483" s="79"/>
      <c r="O483" s="79"/>
      <c r="P483" s="79"/>
      <c r="Q483" s="79"/>
      <c r="R483" s="79"/>
      <c r="S483" s="79"/>
      <c r="T483" s="79"/>
      <c r="U483" s="79"/>
      <c r="V483" s="79"/>
      <c r="W483" s="79"/>
      <c r="X483" s="79"/>
      <c r="Y483" s="79"/>
      <c r="Z483" s="96"/>
    </row>
    <row r="484" ht="18.75" customHeight="1" spans="1:26">
      <c r="A484" s="100" t="s">
        <v>4243</v>
      </c>
      <c r="B484" s="100">
        <v>88412</v>
      </c>
      <c r="C484" s="102" t="s">
        <v>1266</v>
      </c>
      <c r="D484" s="103" t="s">
        <v>3719</v>
      </c>
      <c r="E484" s="139">
        <f>G486</f>
        <v>68.541</v>
      </c>
      <c r="F484" s="98" t="s">
        <v>4212</v>
      </c>
      <c r="G484" s="117" t="s">
        <v>3830</v>
      </c>
      <c r="H484" s="150"/>
      <c r="I484" s="88"/>
      <c r="J484" s="79"/>
      <c r="K484" s="79"/>
      <c r="L484" s="79"/>
      <c r="M484" s="79"/>
      <c r="N484" s="79"/>
      <c r="O484" s="79"/>
      <c r="P484" s="79"/>
      <c r="Q484" s="79"/>
      <c r="R484" s="79"/>
      <c r="S484" s="79"/>
      <c r="T484" s="79"/>
      <c r="U484" s="79"/>
      <c r="V484" s="79"/>
      <c r="W484" s="79"/>
      <c r="X484" s="79"/>
      <c r="Y484" s="79"/>
      <c r="Z484" s="96"/>
    </row>
    <row r="485" ht="15.75" customHeight="1" spans="1:26">
      <c r="A485" s="105"/>
      <c r="B485" s="105"/>
      <c r="C485" s="106"/>
      <c r="D485" s="105"/>
      <c r="E485" s="144"/>
      <c r="F485" s="61" t="s">
        <v>4220</v>
      </c>
      <c r="G485" s="108">
        <f>(8.25+2.68+2.68+0.72+0.72+5.72)*3.3</f>
        <v>68.541</v>
      </c>
      <c r="H485" s="136"/>
      <c r="I485" s="88"/>
      <c r="J485" s="79"/>
      <c r="K485" s="79"/>
      <c r="L485" s="79"/>
      <c r="M485" s="79"/>
      <c r="N485" s="79"/>
      <c r="O485" s="79"/>
      <c r="P485" s="79"/>
      <c r="Q485" s="79"/>
      <c r="R485" s="79"/>
      <c r="S485" s="79"/>
      <c r="T485" s="79"/>
      <c r="U485" s="79"/>
      <c r="V485" s="79"/>
      <c r="W485" s="79"/>
      <c r="X485" s="79"/>
      <c r="Y485" s="79"/>
      <c r="Z485" s="96"/>
    </row>
    <row r="486" ht="15.75" customHeight="1" spans="1:26">
      <c r="A486" s="114"/>
      <c r="B486" s="114"/>
      <c r="C486" s="141"/>
      <c r="D486" s="114"/>
      <c r="E486" s="145"/>
      <c r="F486" s="61" t="s">
        <v>3689</v>
      </c>
      <c r="G486" s="151">
        <f>SUM(G485)</f>
        <v>68.541</v>
      </c>
      <c r="H486" s="136"/>
      <c r="I486" s="88"/>
      <c r="J486" s="79"/>
      <c r="K486" s="79"/>
      <c r="L486" s="79"/>
      <c r="M486" s="79"/>
      <c r="N486" s="79"/>
      <c r="O486" s="79"/>
      <c r="P486" s="79"/>
      <c r="Q486" s="79"/>
      <c r="R486" s="79"/>
      <c r="S486" s="79"/>
      <c r="T486" s="79"/>
      <c r="U486" s="79"/>
      <c r="V486" s="79"/>
      <c r="W486" s="79"/>
      <c r="X486" s="79"/>
      <c r="Y486" s="79"/>
      <c r="Z486" s="96"/>
    </row>
    <row r="487" ht="18.75" customHeight="1" spans="1:26">
      <c r="A487" s="100" t="s">
        <v>4244</v>
      </c>
      <c r="B487" s="100">
        <v>96127</v>
      </c>
      <c r="C487" s="102" t="s">
        <v>4245</v>
      </c>
      <c r="D487" s="103" t="s">
        <v>3719</v>
      </c>
      <c r="E487" s="139">
        <f>G489</f>
        <v>49.665</v>
      </c>
      <c r="F487" s="98" t="s">
        <v>4212</v>
      </c>
      <c r="G487" s="117" t="s">
        <v>3830</v>
      </c>
      <c r="H487" s="152"/>
      <c r="I487" s="88"/>
      <c r="J487" s="79"/>
      <c r="K487" s="79"/>
      <c r="L487" s="79"/>
      <c r="M487" s="79"/>
      <c r="N487" s="79"/>
      <c r="O487" s="79"/>
      <c r="P487" s="79"/>
      <c r="Q487" s="79"/>
      <c r="R487" s="79"/>
      <c r="S487" s="79"/>
      <c r="T487" s="79"/>
      <c r="U487" s="79"/>
      <c r="V487" s="79"/>
      <c r="W487" s="79"/>
      <c r="X487" s="79"/>
      <c r="Y487" s="79"/>
      <c r="Z487" s="96"/>
    </row>
    <row r="488" ht="15.75" customHeight="1" spans="1:26">
      <c r="A488" s="105"/>
      <c r="B488" s="105"/>
      <c r="C488" s="106"/>
      <c r="D488" s="105"/>
      <c r="E488" s="144"/>
      <c r="F488" s="61" t="s">
        <v>4220</v>
      </c>
      <c r="G488" s="108">
        <f>(8.25+2.68+2.68+0.72+0.72)*3.3</f>
        <v>49.665</v>
      </c>
      <c r="H488" s="136"/>
      <c r="I488" s="88"/>
      <c r="J488" s="79"/>
      <c r="K488" s="79"/>
      <c r="L488" s="79"/>
      <c r="M488" s="79"/>
      <c r="N488" s="79"/>
      <c r="O488" s="79"/>
      <c r="P488" s="79"/>
      <c r="Q488" s="79"/>
      <c r="R488" s="79"/>
      <c r="S488" s="79"/>
      <c r="T488" s="79"/>
      <c r="U488" s="79"/>
      <c r="V488" s="79"/>
      <c r="W488" s="79"/>
      <c r="X488" s="79"/>
      <c r="Y488" s="79"/>
      <c r="Z488" s="96"/>
    </row>
    <row r="489" ht="15.75" customHeight="1" spans="1:26">
      <c r="A489" s="105"/>
      <c r="B489" s="105"/>
      <c r="C489" s="106"/>
      <c r="D489" s="105"/>
      <c r="E489" s="144"/>
      <c r="F489" s="61" t="s">
        <v>3689</v>
      </c>
      <c r="G489" s="151">
        <f>SUM(G488)</f>
        <v>49.665</v>
      </c>
      <c r="H489" s="136"/>
      <c r="I489" s="88"/>
      <c r="J489" s="79"/>
      <c r="K489" s="79"/>
      <c r="L489" s="79"/>
      <c r="M489" s="79"/>
      <c r="N489" s="79"/>
      <c r="O489" s="79"/>
      <c r="P489" s="79"/>
      <c r="Q489" s="79"/>
      <c r="R489" s="79"/>
      <c r="S489" s="79"/>
      <c r="T489" s="79"/>
      <c r="U489" s="79"/>
      <c r="V489" s="79"/>
      <c r="W489" s="79"/>
      <c r="X489" s="79"/>
      <c r="Y489" s="79"/>
      <c r="Z489" s="96"/>
    </row>
    <row r="490" ht="18.75" customHeight="1" spans="1:26">
      <c r="A490" s="100" t="s">
        <v>4246</v>
      </c>
      <c r="B490" s="100">
        <v>95623</v>
      </c>
      <c r="C490" s="102" t="s">
        <v>1272</v>
      </c>
      <c r="D490" s="103" t="s">
        <v>3719</v>
      </c>
      <c r="E490" s="139">
        <f>G492</f>
        <v>68.541</v>
      </c>
      <c r="F490" s="98" t="s">
        <v>4212</v>
      </c>
      <c r="G490" s="117" t="s">
        <v>3830</v>
      </c>
      <c r="H490" s="152"/>
      <c r="I490" s="88"/>
      <c r="J490" s="79"/>
      <c r="K490" s="79"/>
      <c r="L490" s="79"/>
      <c r="M490" s="79"/>
      <c r="N490" s="79"/>
      <c r="O490" s="79"/>
      <c r="P490" s="79"/>
      <c r="Q490" s="79"/>
      <c r="R490" s="79"/>
      <c r="S490" s="79"/>
      <c r="T490" s="79"/>
      <c r="U490" s="79"/>
      <c r="V490" s="79"/>
      <c r="W490" s="79"/>
      <c r="X490" s="79"/>
      <c r="Y490" s="79"/>
      <c r="Z490" s="96"/>
    </row>
    <row r="491" ht="15.75" customHeight="1" spans="1:26">
      <c r="A491" s="105"/>
      <c r="B491" s="105"/>
      <c r="C491" s="106"/>
      <c r="D491" s="105"/>
      <c r="E491" s="144"/>
      <c r="F491" s="61" t="s">
        <v>4220</v>
      </c>
      <c r="G491" s="108">
        <f>(8.25+2.68+2.68+0.72+0.72+5.72)*3.3</f>
        <v>68.541</v>
      </c>
      <c r="H491" s="152"/>
      <c r="I491" s="91"/>
      <c r="J491" s="79"/>
      <c r="K491" s="79"/>
      <c r="L491" s="79"/>
      <c r="M491" s="79"/>
      <c r="N491" s="79"/>
      <c r="O491" s="79"/>
      <c r="P491" s="79"/>
      <c r="Q491" s="79"/>
      <c r="R491" s="79"/>
      <c r="S491" s="79"/>
      <c r="T491" s="79"/>
      <c r="U491" s="79"/>
      <c r="V491" s="79"/>
      <c r="W491" s="79"/>
      <c r="X491" s="79"/>
      <c r="Y491" s="79"/>
      <c r="Z491" s="96"/>
    </row>
    <row r="492" ht="51.75" customHeight="1" spans="1:26">
      <c r="A492" s="105"/>
      <c r="B492" s="105"/>
      <c r="C492" s="106"/>
      <c r="D492" s="105"/>
      <c r="E492" s="144"/>
      <c r="F492" s="61" t="s">
        <v>3689</v>
      </c>
      <c r="G492" s="151">
        <f>SUM(G491)</f>
        <v>68.541</v>
      </c>
      <c r="H492" s="152"/>
      <c r="I492" s="91"/>
      <c r="J492" s="79"/>
      <c r="K492" s="79"/>
      <c r="L492" s="79"/>
      <c r="M492" s="79"/>
      <c r="N492" s="79"/>
      <c r="O492" s="79"/>
      <c r="P492" s="79"/>
      <c r="Q492" s="79"/>
      <c r="R492" s="79"/>
      <c r="S492" s="79"/>
      <c r="T492" s="79"/>
      <c r="U492" s="79"/>
      <c r="V492" s="79"/>
      <c r="W492" s="79"/>
      <c r="X492" s="79"/>
      <c r="Y492" s="79"/>
      <c r="Z492" s="96"/>
    </row>
    <row r="493" ht="32.25" customHeight="1" spans="1:26">
      <c r="A493" s="39" t="s">
        <v>4247</v>
      </c>
      <c r="B493" s="40"/>
      <c r="C493" s="41" t="s">
        <v>1277</v>
      </c>
      <c r="D493" s="42"/>
      <c r="E493" s="43"/>
      <c r="F493" s="66"/>
      <c r="G493" s="67"/>
      <c r="H493" s="67"/>
      <c r="I493" s="67"/>
      <c r="J493" s="79"/>
      <c r="K493" s="79"/>
      <c r="L493" s="79"/>
      <c r="M493" s="79"/>
      <c r="N493" s="79"/>
      <c r="O493" s="79"/>
      <c r="P493" s="79"/>
      <c r="Q493" s="79"/>
      <c r="R493" s="79"/>
      <c r="S493" s="79"/>
      <c r="T493" s="79"/>
      <c r="U493" s="79"/>
      <c r="V493" s="79"/>
      <c r="W493" s="79"/>
      <c r="X493" s="79"/>
      <c r="Y493" s="79"/>
      <c r="Z493" s="96"/>
    </row>
    <row r="494" ht="18.75" customHeight="1" spans="1:26">
      <c r="A494" s="100" t="s">
        <v>4248</v>
      </c>
      <c r="B494" s="100">
        <v>104611</v>
      </c>
      <c r="C494" s="102" t="s">
        <v>4249</v>
      </c>
      <c r="D494" s="103" t="s">
        <v>3719</v>
      </c>
      <c r="E494" s="139">
        <f>I499</f>
        <v>135.32</v>
      </c>
      <c r="F494" s="98" t="s">
        <v>4212</v>
      </c>
      <c r="G494" s="117" t="s">
        <v>4232</v>
      </c>
      <c r="H494" s="117" t="s">
        <v>4250</v>
      </c>
      <c r="I494" s="138" t="s">
        <v>4234</v>
      </c>
      <c r="J494" s="79"/>
      <c r="K494" s="79"/>
      <c r="L494" s="79"/>
      <c r="M494" s="79"/>
      <c r="N494" s="79"/>
      <c r="O494" s="79"/>
      <c r="P494" s="79"/>
      <c r="Q494" s="79"/>
      <c r="R494" s="79"/>
      <c r="S494" s="79"/>
      <c r="T494" s="79"/>
      <c r="U494" s="79"/>
      <c r="V494" s="79"/>
      <c r="W494" s="79"/>
      <c r="X494" s="79"/>
      <c r="Y494" s="79"/>
      <c r="Z494" s="96"/>
    </row>
    <row r="495" ht="15.75" customHeight="1" spans="1:26">
      <c r="A495" s="105"/>
      <c r="B495" s="105"/>
      <c r="C495" s="106"/>
      <c r="D495" s="105"/>
      <c r="E495" s="140"/>
      <c r="F495" s="61" t="s">
        <v>4251</v>
      </c>
      <c r="G495" s="153">
        <f>17.54*2.9</f>
        <v>50.866</v>
      </c>
      <c r="H495" s="153">
        <f>(1.5*0.9)+(0.9*2.1)</f>
        <v>3.24</v>
      </c>
      <c r="I495" s="109">
        <f>G495-H495</f>
        <v>47.626</v>
      </c>
      <c r="J495" s="79"/>
      <c r="K495" s="79"/>
      <c r="L495" s="79"/>
      <c r="M495" s="79"/>
      <c r="N495" s="79"/>
      <c r="O495" s="79"/>
      <c r="P495" s="79"/>
      <c r="Q495" s="79"/>
      <c r="R495" s="79"/>
      <c r="S495" s="79"/>
      <c r="T495" s="79"/>
      <c r="U495" s="79"/>
      <c r="V495" s="79"/>
      <c r="W495" s="79"/>
      <c r="X495" s="79"/>
      <c r="Y495" s="79"/>
      <c r="Z495" s="96"/>
    </row>
    <row r="496" ht="33" customHeight="1" spans="1:26">
      <c r="A496" s="105"/>
      <c r="B496" s="105"/>
      <c r="C496" s="106"/>
      <c r="D496" s="105"/>
      <c r="E496" s="140"/>
      <c r="F496" s="61" t="s">
        <v>4252</v>
      </c>
      <c r="G496" s="153">
        <f>17.43*2.9</f>
        <v>50.547</v>
      </c>
      <c r="H496" s="153">
        <f>(1.5*0.9)+(0.9*2.1)</f>
        <v>3.24</v>
      </c>
      <c r="I496" s="109">
        <f>G496-H496</f>
        <v>47.307</v>
      </c>
      <c r="J496" s="79"/>
      <c r="K496" s="79"/>
      <c r="L496" s="79"/>
      <c r="M496" s="79"/>
      <c r="N496" s="79"/>
      <c r="O496" s="79"/>
      <c r="P496" s="79"/>
      <c r="Q496" s="79"/>
      <c r="R496" s="79"/>
      <c r="S496" s="79"/>
      <c r="T496" s="79"/>
      <c r="U496" s="79"/>
      <c r="V496" s="79"/>
      <c r="W496" s="79"/>
      <c r="X496" s="79"/>
      <c r="Y496" s="79"/>
      <c r="Z496" s="96"/>
    </row>
    <row r="497" ht="15.75" customHeight="1" spans="1:26">
      <c r="A497" s="105"/>
      <c r="B497" s="105"/>
      <c r="C497" s="106"/>
      <c r="D497" s="105"/>
      <c r="E497" s="140"/>
      <c r="F497" s="61" t="s">
        <v>4253</v>
      </c>
      <c r="G497" s="153">
        <f>7.38*2.9</f>
        <v>21.402</v>
      </c>
      <c r="H497" s="153">
        <f>0.9*2.1</f>
        <v>1.89</v>
      </c>
      <c r="I497" s="109">
        <f>G497-H497</f>
        <v>19.512</v>
      </c>
      <c r="J497" s="79"/>
      <c r="K497" s="79"/>
      <c r="L497" s="79"/>
      <c r="M497" s="79"/>
      <c r="N497" s="79"/>
      <c r="O497" s="79"/>
      <c r="P497" s="79"/>
      <c r="Q497" s="79"/>
      <c r="R497" s="79"/>
      <c r="S497" s="79"/>
      <c r="T497" s="79"/>
      <c r="U497" s="79"/>
      <c r="V497" s="79"/>
      <c r="W497" s="79"/>
      <c r="X497" s="79"/>
      <c r="Y497" s="79"/>
      <c r="Z497" s="96"/>
    </row>
    <row r="498" ht="15.75" customHeight="1" spans="1:26">
      <c r="A498" s="105"/>
      <c r="B498" s="105"/>
      <c r="C498" s="106"/>
      <c r="D498" s="105"/>
      <c r="E498" s="140"/>
      <c r="F498" s="61" t="s">
        <v>4254</v>
      </c>
      <c r="G498" s="154">
        <f>7.85*2.9</f>
        <v>22.765</v>
      </c>
      <c r="H498" s="153">
        <f>0.9*2.1</f>
        <v>1.89</v>
      </c>
      <c r="I498" s="109">
        <f>G498-H498</f>
        <v>20.875</v>
      </c>
      <c r="J498" s="79"/>
      <c r="K498" s="79"/>
      <c r="L498" s="79"/>
      <c r="M498" s="79"/>
      <c r="N498" s="79"/>
      <c r="O498" s="79"/>
      <c r="P498" s="79"/>
      <c r="Q498" s="79"/>
      <c r="R498" s="79"/>
      <c r="S498" s="79"/>
      <c r="T498" s="79"/>
      <c r="U498" s="79"/>
      <c r="V498" s="79"/>
      <c r="W498" s="79"/>
      <c r="X498" s="79"/>
      <c r="Y498" s="79"/>
      <c r="Z498" s="96"/>
    </row>
    <row r="499" ht="15.75" customHeight="1" spans="1:26">
      <c r="A499" s="114"/>
      <c r="B499" s="114"/>
      <c r="C499" s="141"/>
      <c r="D499" s="114"/>
      <c r="E499" s="142"/>
      <c r="F499" s="61"/>
      <c r="G499" s="155"/>
      <c r="H499" s="154" t="s">
        <v>3689</v>
      </c>
      <c r="I499" s="125">
        <f>SUM(I495:I498)</f>
        <v>135.32</v>
      </c>
      <c r="J499" s="79"/>
      <c r="K499" s="79"/>
      <c r="L499" s="79"/>
      <c r="M499" s="79"/>
      <c r="N499" s="79"/>
      <c r="O499" s="79"/>
      <c r="P499" s="79"/>
      <c r="Q499" s="79"/>
      <c r="R499" s="79"/>
      <c r="S499" s="79"/>
      <c r="T499" s="79"/>
      <c r="U499" s="79"/>
      <c r="V499" s="79"/>
      <c r="W499" s="79"/>
      <c r="X499" s="79"/>
      <c r="Y499" s="79"/>
      <c r="Z499" s="96"/>
    </row>
    <row r="500" ht="15.75" customHeight="1" spans="1:26">
      <c r="A500" s="39" t="s">
        <v>4255</v>
      </c>
      <c r="B500" s="40"/>
      <c r="C500" s="41" t="s">
        <v>355</v>
      </c>
      <c r="D500" s="42"/>
      <c r="E500" s="43"/>
      <c r="F500" s="66"/>
      <c r="G500" s="67"/>
      <c r="H500" s="67"/>
      <c r="I500" s="67"/>
      <c r="J500" s="79"/>
      <c r="K500" s="79"/>
      <c r="L500" s="79"/>
      <c r="M500" s="79"/>
      <c r="N500" s="79"/>
      <c r="O500" s="79"/>
      <c r="P500" s="79"/>
      <c r="Q500" s="79"/>
      <c r="R500" s="79"/>
      <c r="S500" s="79"/>
      <c r="T500" s="79"/>
      <c r="U500" s="79"/>
      <c r="V500" s="79"/>
      <c r="W500" s="79"/>
      <c r="X500" s="79"/>
      <c r="Y500" s="79"/>
      <c r="Z500" s="96"/>
    </row>
    <row r="501" ht="18.75" customHeight="1" spans="1:26">
      <c r="A501" s="100" t="s">
        <v>4256</v>
      </c>
      <c r="B501" s="100" t="s">
        <v>4257</v>
      </c>
      <c r="C501" s="102" t="s">
        <v>4258</v>
      </c>
      <c r="D501" s="103" t="s">
        <v>3719</v>
      </c>
      <c r="E501" s="139">
        <f>I506</f>
        <v>185.49</v>
      </c>
      <c r="F501" s="61" t="s">
        <v>4212</v>
      </c>
      <c r="G501" s="154" t="s">
        <v>4259</v>
      </c>
      <c r="H501" s="154" t="s">
        <v>4233</v>
      </c>
      <c r="I501" s="156" t="s">
        <v>4234</v>
      </c>
      <c r="J501" s="79"/>
      <c r="K501" s="79"/>
      <c r="L501" s="79"/>
      <c r="M501" s="79"/>
      <c r="N501" s="79"/>
      <c r="O501" s="79"/>
      <c r="P501" s="79"/>
      <c r="Q501" s="79"/>
      <c r="R501" s="79"/>
      <c r="S501" s="79"/>
      <c r="T501" s="79"/>
      <c r="U501" s="79"/>
      <c r="V501" s="79"/>
      <c r="W501" s="79"/>
      <c r="X501" s="79"/>
      <c r="Y501" s="79"/>
      <c r="Z501" s="96"/>
    </row>
    <row r="502" ht="15.75" customHeight="1" spans="1:26">
      <c r="A502" s="105"/>
      <c r="B502" s="105"/>
      <c r="C502" s="106"/>
      <c r="D502" s="105"/>
      <c r="E502" s="140"/>
      <c r="F502" s="61" t="s">
        <v>4225</v>
      </c>
      <c r="G502" s="154">
        <f>33.66+71.55</f>
        <v>105.21</v>
      </c>
      <c r="H502" s="154">
        <f>(30*1.5*0.9)+(8*1.5*1.2)</f>
        <v>54.9</v>
      </c>
      <c r="I502" s="109">
        <f>G502-H502</f>
        <v>50.31</v>
      </c>
      <c r="J502" s="79"/>
      <c r="K502" s="79"/>
      <c r="L502" s="79"/>
      <c r="M502" s="79"/>
      <c r="N502" s="79"/>
      <c r="O502" s="79"/>
      <c r="P502" s="79"/>
      <c r="Q502" s="79"/>
      <c r="R502" s="79"/>
      <c r="S502" s="79"/>
      <c r="T502" s="79"/>
      <c r="U502" s="79"/>
      <c r="V502" s="79"/>
      <c r="W502" s="79"/>
      <c r="X502" s="79"/>
      <c r="Y502" s="79"/>
      <c r="Z502" s="96"/>
    </row>
    <row r="503" ht="15.75" customHeight="1" spans="1:26">
      <c r="A503" s="105"/>
      <c r="B503" s="105"/>
      <c r="C503" s="106"/>
      <c r="D503" s="105"/>
      <c r="E503" s="140"/>
      <c r="F503" s="61" t="s">
        <v>4226</v>
      </c>
      <c r="G503" s="154">
        <f>33.66+71.55</f>
        <v>105.21</v>
      </c>
      <c r="H503" s="154">
        <f>(38*1.5*0.9)+(7*1.5*1.2)</f>
        <v>63.9</v>
      </c>
      <c r="I503" s="109">
        <f>G503-H503</f>
        <v>41.31</v>
      </c>
      <c r="J503" s="79"/>
      <c r="K503" s="79"/>
      <c r="L503" s="79"/>
      <c r="M503" s="79"/>
      <c r="N503" s="79"/>
      <c r="O503" s="79"/>
      <c r="P503" s="79"/>
      <c r="Q503" s="79"/>
      <c r="R503" s="79"/>
      <c r="S503" s="79"/>
      <c r="T503" s="79"/>
      <c r="U503" s="79"/>
      <c r="V503" s="79"/>
      <c r="W503" s="79"/>
      <c r="X503" s="79"/>
      <c r="Y503" s="79"/>
      <c r="Z503" s="96"/>
    </row>
    <row r="504" ht="15.75" customHeight="1" spans="1:26">
      <c r="A504" s="105"/>
      <c r="B504" s="105"/>
      <c r="C504" s="106"/>
      <c r="D504" s="105"/>
      <c r="E504" s="140"/>
      <c r="F504" s="61" t="s">
        <v>4227</v>
      </c>
      <c r="G504" s="154">
        <f>33.66+71.55</f>
        <v>105.21</v>
      </c>
      <c r="H504" s="154">
        <f>(38*1.5*0.9)+(9*1.5*1.2)</f>
        <v>67.5</v>
      </c>
      <c r="I504" s="109">
        <f>G504-H504</f>
        <v>37.71</v>
      </c>
      <c r="J504" s="79"/>
      <c r="K504" s="79"/>
      <c r="L504" s="79"/>
      <c r="M504" s="79"/>
      <c r="N504" s="79"/>
      <c r="O504" s="79"/>
      <c r="P504" s="79"/>
      <c r="Q504" s="79"/>
      <c r="R504" s="79"/>
      <c r="S504" s="79"/>
      <c r="T504" s="79"/>
      <c r="U504" s="79"/>
      <c r="V504" s="79"/>
      <c r="W504" s="79"/>
      <c r="X504" s="79"/>
      <c r="Y504" s="79"/>
      <c r="Z504" s="96"/>
    </row>
    <row r="505" ht="15.75" customHeight="1" spans="1:26">
      <c r="A505" s="105"/>
      <c r="B505" s="105"/>
      <c r="C505" s="106"/>
      <c r="D505" s="105"/>
      <c r="E505" s="140"/>
      <c r="F505" s="61" t="s">
        <v>4228</v>
      </c>
      <c r="G505" s="154">
        <f>33.66+71.55</f>
        <v>105.21</v>
      </c>
      <c r="H505" s="154">
        <f>(27*1.5*0.9)+(7*1.5*1.2)</f>
        <v>49.05</v>
      </c>
      <c r="I505" s="109">
        <f>G505-H505</f>
        <v>56.16</v>
      </c>
      <c r="J505" s="126"/>
      <c r="K505" s="79"/>
      <c r="L505" s="79"/>
      <c r="M505" s="79"/>
      <c r="N505" s="79"/>
      <c r="O505" s="79"/>
      <c r="P505" s="79"/>
      <c r="Q505" s="79"/>
      <c r="R505" s="79"/>
      <c r="S505" s="79"/>
      <c r="T505" s="79"/>
      <c r="U505" s="79"/>
      <c r="V505" s="79"/>
      <c r="W505" s="79"/>
      <c r="X505" s="79"/>
      <c r="Y505" s="79"/>
      <c r="Z505" s="96"/>
    </row>
    <row r="506" ht="15.75" customHeight="1" spans="1:26">
      <c r="A506" s="114"/>
      <c r="B506" s="114"/>
      <c r="C506" s="141"/>
      <c r="D506" s="114"/>
      <c r="E506" s="142"/>
      <c r="F506" s="61"/>
      <c r="G506" s="154"/>
      <c r="H506" s="154" t="s">
        <v>3689</v>
      </c>
      <c r="I506" s="125">
        <f>SUM(I502:I505)</f>
        <v>185.49</v>
      </c>
      <c r="J506" s="79"/>
      <c r="K506" s="79"/>
      <c r="L506" s="79"/>
      <c r="M506" s="79"/>
      <c r="N506" s="79"/>
      <c r="O506" s="79"/>
      <c r="P506" s="79"/>
      <c r="Q506" s="79"/>
      <c r="R506" s="79"/>
      <c r="S506" s="79"/>
      <c r="T506" s="79"/>
      <c r="U506" s="79"/>
      <c r="V506" s="79"/>
      <c r="W506" s="79"/>
      <c r="X506" s="79"/>
      <c r="Y506" s="79"/>
      <c r="Z506" s="96"/>
    </row>
    <row r="507" ht="18.75" customHeight="1" spans="1:26">
      <c r="A507" s="100" t="s">
        <v>4260</v>
      </c>
      <c r="B507" s="100">
        <v>112810</v>
      </c>
      <c r="C507" s="102" t="s">
        <v>4261</v>
      </c>
      <c r="D507" s="103" t="s">
        <v>3719</v>
      </c>
      <c r="E507" s="139">
        <f>I510</f>
        <v>7.3371</v>
      </c>
      <c r="F507" s="61" t="s">
        <v>4212</v>
      </c>
      <c r="G507" s="154" t="s">
        <v>4262</v>
      </c>
      <c r="H507" s="154" t="s">
        <v>4263</v>
      </c>
      <c r="I507" s="109" t="s">
        <v>4234</v>
      </c>
      <c r="J507" s="79"/>
      <c r="K507" s="79"/>
      <c r="L507" s="79"/>
      <c r="M507" s="79"/>
      <c r="N507" s="79"/>
      <c r="O507" s="79"/>
      <c r="P507" s="79"/>
      <c r="Q507" s="79"/>
      <c r="R507" s="79"/>
      <c r="S507" s="79"/>
      <c r="T507" s="79"/>
      <c r="U507" s="79"/>
      <c r="V507" s="79"/>
      <c r="W507" s="79"/>
      <c r="X507" s="79"/>
      <c r="Y507" s="79"/>
      <c r="Z507" s="96"/>
    </row>
    <row r="508" ht="15.75" customHeight="1" spans="1:26">
      <c r="A508" s="105"/>
      <c r="B508" s="105"/>
      <c r="C508" s="106"/>
      <c r="D508" s="105"/>
      <c r="E508" s="140"/>
      <c r="F508" s="61" t="s">
        <v>4225</v>
      </c>
      <c r="G508" s="154">
        <f>(10.64*4)+(2.37*6)+(10.94*4)</f>
        <v>100.54</v>
      </c>
      <c r="H508" s="154">
        <v>0.03</v>
      </c>
      <c r="I508" s="156">
        <f>G508*H508</f>
        <v>3.0162</v>
      </c>
      <c r="J508" s="79"/>
      <c r="K508" s="79"/>
      <c r="L508" s="79"/>
      <c r="M508" s="79"/>
      <c r="N508" s="79"/>
      <c r="O508" s="79"/>
      <c r="P508" s="79"/>
      <c r="Q508" s="79"/>
      <c r="R508" s="79"/>
      <c r="S508" s="79"/>
      <c r="T508" s="79"/>
      <c r="U508" s="79"/>
      <c r="V508" s="79"/>
      <c r="W508" s="79"/>
      <c r="X508" s="79"/>
      <c r="Y508" s="79"/>
      <c r="Z508" s="96"/>
    </row>
    <row r="509" ht="15.75" customHeight="1" spans="1:26">
      <c r="A509" s="105"/>
      <c r="B509" s="105"/>
      <c r="C509" s="106"/>
      <c r="D509" s="105"/>
      <c r="E509" s="140"/>
      <c r="F509" s="61" t="s">
        <v>4227</v>
      </c>
      <c r="G509" s="154">
        <f>(31.86*4)+(2.37*7)</f>
        <v>144.03</v>
      </c>
      <c r="H509" s="154">
        <v>0.03</v>
      </c>
      <c r="I509" s="156">
        <f>G509*H509</f>
        <v>4.3209</v>
      </c>
      <c r="J509" s="79"/>
      <c r="K509" s="79"/>
      <c r="L509" s="79"/>
      <c r="M509" s="79"/>
      <c r="N509" s="79"/>
      <c r="O509" s="79"/>
      <c r="P509" s="79"/>
      <c r="Q509" s="79"/>
      <c r="R509" s="79"/>
      <c r="S509" s="79"/>
      <c r="T509" s="79"/>
      <c r="U509" s="79"/>
      <c r="V509" s="79"/>
      <c r="W509" s="79"/>
      <c r="X509" s="79"/>
      <c r="Y509" s="79"/>
      <c r="Z509" s="96"/>
    </row>
    <row r="510" ht="15.75" customHeight="1" spans="1:26">
      <c r="A510" s="105"/>
      <c r="B510" s="105"/>
      <c r="C510" s="106"/>
      <c r="D510" s="105"/>
      <c r="E510" s="140"/>
      <c r="F510" s="61"/>
      <c r="G510" s="154"/>
      <c r="H510" s="154" t="s">
        <v>3689</v>
      </c>
      <c r="I510" s="157">
        <f>SUM(I508:I509)</f>
        <v>7.3371</v>
      </c>
      <c r="J510" s="79"/>
      <c r="K510" s="79"/>
      <c r="L510" s="79"/>
      <c r="M510" s="79"/>
      <c r="N510" s="79"/>
      <c r="O510" s="79"/>
      <c r="P510" s="79"/>
      <c r="Q510" s="79"/>
      <c r="R510" s="79"/>
      <c r="S510" s="79"/>
      <c r="T510" s="79"/>
      <c r="U510" s="79"/>
      <c r="V510" s="79"/>
      <c r="W510" s="79"/>
      <c r="X510" s="79"/>
      <c r="Y510" s="79"/>
      <c r="Z510" s="96"/>
    </row>
    <row r="511" ht="15.75" customHeight="1" spans="1:26">
      <c r="A511" s="39">
        <v>20</v>
      </c>
      <c r="B511" s="40"/>
      <c r="C511" s="41" t="s">
        <v>39</v>
      </c>
      <c r="D511" s="42"/>
      <c r="E511" s="43"/>
      <c r="F511" s="66"/>
      <c r="G511" s="67"/>
      <c r="H511" s="67"/>
      <c r="I511" s="67"/>
      <c r="J511" s="79"/>
      <c r="K511" s="79"/>
      <c r="L511" s="79"/>
      <c r="M511" s="79"/>
      <c r="N511" s="79"/>
      <c r="O511" s="79"/>
      <c r="P511" s="79"/>
      <c r="Q511" s="79"/>
      <c r="R511" s="79"/>
      <c r="S511" s="79"/>
      <c r="T511" s="79"/>
      <c r="U511" s="79"/>
      <c r="V511" s="79"/>
      <c r="W511" s="79"/>
      <c r="X511" s="79"/>
      <c r="Y511" s="79"/>
      <c r="Z511" s="96"/>
    </row>
    <row r="512" ht="15.75" customHeight="1" spans="1:26">
      <c r="A512" s="33" t="s">
        <v>4264</v>
      </c>
      <c r="B512" s="34">
        <v>98546</v>
      </c>
      <c r="C512" s="46" t="s">
        <v>1284</v>
      </c>
      <c r="D512" s="36" t="s">
        <v>3719</v>
      </c>
      <c r="E512" s="37">
        <f>I512</f>
        <v>814.17</v>
      </c>
      <c r="F512" s="61" t="s">
        <v>4212</v>
      </c>
      <c r="G512" s="136" t="s">
        <v>4265</v>
      </c>
      <c r="H512" s="17"/>
      <c r="I512" s="88">
        <f>791.58+22.59</f>
        <v>814.17</v>
      </c>
      <c r="J512" s="79"/>
      <c r="K512" s="79"/>
      <c r="L512" s="79"/>
      <c r="M512" s="79"/>
      <c r="N512" s="79"/>
      <c r="O512" s="79"/>
      <c r="P512" s="79"/>
      <c r="Q512" s="79"/>
      <c r="R512" s="79"/>
      <c r="S512" s="79"/>
      <c r="T512" s="79"/>
      <c r="U512" s="79"/>
      <c r="V512" s="79"/>
      <c r="W512" s="79"/>
      <c r="X512" s="79"/>
      <c r="Y512" s="79"/>
      <c r="Z512" s="96"/>
    </row>
    <row r="513" ht="15.75" customHeight="1" spans="1:26">
      <c r="A513" s="33" t="s">
        <v>4266</v>
      </c>
      <c r="B513" s="34">
        <v>87748</v>
      </c>
      <c r="C513" s="46" t="s">
        <v>1287</v>
      </c>
      <c r="D513" s="36" t="s">
        <v>3719</v>
      </c>
      <c r="E513" s="37">
        <f>I513</f>
        <v>814.17</v>
      </c>
      <c r="F513" s="61" t="s">
        <v>4212</v>
      </c>
      <c r="G513" s="136" t="s">
        <v>4265</v>
      </c>
      <c r="H513" s="17"/>
      <c r="I513" s="88">
        <f>791.58+22.59</f>
        <v>814.17</v>
      </c>
      <c r="J513" s="79"/>
      <c r="K513" s="79"/>
      <c r="L513" s="79"/>
      <c r="M513" s="79"/>
      <c r="N513" s="79"/>
      <c r="O513" s="79"/>
      <c r="P513" s="79"/>
      <c r="Q513" s="79"/>
      <c r="R513" s="79"/>
      <c r="S513" s="79"/>
      <c r="T513" s="79"/>
      <c r="U513" s="79"/>
      <c r="V513" s="79"/>
      <c r="W513" s="79"/>
      <c r="X513" s="79"/>
      <c r="Y513" s="79"/>
      <c r="Z513" s="96"/>
    </row>
    <row r="514" ht="15.75" customHeight="1" spans="1:26">
      <c r="A514" s="33" t="s">
        <v>4267</v>
      </c>
      <c r="B514" s="101">
        <v>98554</v>
      </c>
      <c r="C514" s="102" t="s">
        <v>1290</v>
      </c>
      <c r="D514" s="103" t="s">
        <v>3719</v>
      </c>
      <c r="E514" s="104">
        <f>I514</f>
        <v>125.947</v>
      </c>
      <c r="F514" s="61" t="s">
        <v>4212</v>
      </c>
      <c r="G514" s="119" t="s">
        <v>4268</v>
      </c>
      <c r="H514" s="17"/>
      <c r="I514" s="125">
        <v>125.947</v>
      </c>
      <c r="J514" s="79"/>
      <c r="K514" s="79"/>
      <c r="L514" s="79"/>
      <c r="M514" s="79"/>
      <c r="N514" s="79"/>
      <c r="O514" s="79"/>
      <c r="P514" s="79"/>
      <c r="Q514" s="79"/>
      <c r="R514" s="79"/>
      <c r="S514" s="79"/>
      <c r="T514" s="79"/>
      <c r="U514" s="79"/>
      <c r="V514" s="79"/>
      <c r="W514" s="79"/>
      <c r="X514" s="79"/>
      <c r="Y514" s="79"/>
      <c r="Z514" s="96"/>
    </row>
    <row r="515" ht="18.75" customHeight="1" spans="1:26">
      <c r="A515" s="100" t="s">
        <v>4269</v>
      </c>
      <c r="B515" s="101" t="s">
        <v>4270</v>
      </c>
      <c r="C515" s="102" t="s">
        <v>4271</v>
      </c>
      <c r="D515" s="103" t="s">
        <v>3719</v>
      </c>
      <c r="E515" s="104">
        <f>I519</f>
        <v>231.82</v>
      </c>
      <c r="F515" s="61" t="s">
        <v>4212</v>
      </c>
      <c r="G515" s="120" t="s">
        <v>4272</v>
      </c>
      <c r="H515" s="68" t="s">
        <v>3829</v>
      </c>
      <c r="I515" s="125"/>
      <c r="J515" s="79"/>
      <c r="K515" s="79"/>
      <c r="L515" s="79"/>
      <c r="M515" s="79"/>
      <c r="N515" s="79"/>
      <c r="O515" s="79"/>
      <c r="P515" s="79"/>
      <c r="Q515" s="79"/>
      <c r="R515" s="79"/>
      <c r="S515" s="79"/>
      <c r="T515" s="79"/>
      <c r="U515" s="79"/>
      <c r="V515" s="79"/>
      <c r="W515" s="79"/>
      <c r="X515" s="79"/>
      <c r="Y515" s="79"/>
      <c r="Z515" s="96"/>
    </row>
    <row r="516" ht="29.25" customHeight="1" spans="1:26">
      <c r="A516" s="105"/>
      <c r="B516" s="105"/>
      <c r="C516" s="106"/>
      <c r="D516" s="105"/>
      <c r="E516" s="105"/>
      <c r="F516" s="107" t="s">
        <v>3831</v>
      </c>
      <c r="G516" s="120">
        <v>25.58</v>
      </c>
      <c r="H516" s="68">
        <v>2.9</v>
      </c>
      <c r="I516" s="109">
        <f>PRODUCT(G516:H516)</f>
        <v>74.182</v>
      </c>
      <c r="J516" s="79"/>
      <c r="K516" s="79"/>
      <c r="L516" s="79"/>
      <c r="M516" s="79"/>
      <c r="N516" s="79"/>
      <c r="O516" s="79"/>
      <c r="P516" s="79"/>
      <c r="Q516" s="79"/>
      <c r="R516" s="79"/>
      <c r="S516" s="79"/>
      <c r="T516" s="79"/>
      <c r="U516" s="79"/>
      <c r="V516" s="79"/>
      <c r="W516" s="79"/>
      <c r="X516" s="79"/>
      <c r="Y516" s="79"/>
      <c r="Z516" s="96"/>
    </row>
    <row r="517" ht="15.75" customHeight="1" spans="1:26">
      <c r="A517" s="105"/>
      <c r="B517" s="105"/>
      <c r="C517" s="106"/>
      <c r="D517" s="105"/>
      <c r="E517" s="105"/>
      <c r="F517" s="107" t="s">
        <v>3833</v>
      </c>
      <c r="G517" s="120">
        <f>23.87-1.2-2.89</f>
        <v>19.78</v>
      </c>
      <c r="H517" s="68">
        <v>2.9</v>
      </c>
      <c r="I517" s="109">
        <f>PRODUCT(G517:H517)</f>
        <v>57.362</v>
      </c>
      <c r="J517" s="79"/>
      <c r="K517" s="79"/>
      <c r="L517" s="79"/>
      <c r="M517" s="79"/>
      <c r="N517" s="79"/>
      <c r="O517" s="79"/>
      <c r="P517" s="79"/>
      <c r="Q517" s="79"/>
      <c r="R517" s="79"/>
      <c r="S517" s="79"/>
      <c r="T517" s="79"/>
      <c r="U517" s="79"/>
      <c r="V517" s="79"/>
      <c r="W517" s="79"/>
      <c r="X517" s="79"/>
      <c r="Y517" s="79"/>
      <c r="Z517" s="96"/>
    </row>
    <row r="518" ht="15.75" customHeight="1" spans="1:26">
      <c r="A518" s="105"/>
      <c r="B518" s="105"/>
      <c r="C518" s="106"/>
      <c r="D518" s="105"/>
      <c r="E518" s="105"/>
      <c r="F518" s="61" t="s">
        <v>4216</v>
      </c>
      <c r="G518" s="120">
        <f>37.58-3</f>
        <v>34.58</v>
      </c>
      <c r="H518" s="68">
        <v>2.9</v>
      </c>
      <c r="I518" s="109">
        <f>PRODUCT(G518:H518)</f>
        <v>100.282</v>
      </c>
      <c r="J518" s="79"/>
      <c r="K518" s="79"/>
      <c r="L518" s="79"/>
      <c r="M518" s="79"/>
      <c r="N518" s="79"/>
      <c r="O518" s="79"/>
      <c r="P518" s="79"/>
      <c r="Q518" s="79"/>
      <c r="R518" s="79"/>
      <c r="S518" s="79"/>
      <c r="T518" s="79"/>
      <c r="U518" s="79"/>
      <c r="V518" s="79"/>
      <c r="W518" s="79"/>
      <c r="X518" s="79"/>
      <c r="Y518" s="79"/>
      <c r="Z518" s="96"/>
    </row>
    <row r="519" ht="56.25" customHeight="1" spans="1:26">
      <c r="A519" s="114"/>
      <c r="B519" s="114"/>
      <c r="C519" s="141"/>
      <c r="D519" s="114"/>
      <c r="E519" s="114"/>
      <c r="F519" s="38"/>
      <c r="G519" s="48"/>
      <c r="H519" s="112" t="s">
        <v>3689</v>
      </c>
      <c r="I519" s="125">
        <f>TRUNC(SUM(I516:I518),2)</f>
        <v>231.82</v>
      </c>
      <c r="J519" s="79"/>
      <c r="K519" s="79"/>
      <c r="L519" s="79"/>
      <c r="M519" s="79"/>
      <c r="N519" s="79"/>
      <c r="O519" s="79"/>
      <c r="P519" s="79"/>
      <c r="Q519" s="79"/>
      <c r="R519" s="79"/>
      <c r="S519" s="79"/>
      <c r="T519" s="79"/>
      <c r="U519" s="79"/>
      <c r="V519" s="79"/>
      <c r="W519" s="79"/>
      <c r="X519" s="79"/>
      <c r="Y519" s="79"/>
      <c r="Z519" s="96"/>
    </row>
    <row r="520" ht="15.75" customHeight="1" spans="1:26">
      <c r="A520" s="39">
        <v>21</v>
      </c>
      <c r="B520" s="40"/>
      <c r="C520" s="41" t="s">
        <v>40</v>
      </c>
      <c r="D520" s="42"/>
      <c r="E520" s="43"/>
      <c r="F520" s="66"/>
      <c r="G520" s="67"/>
      <c r="H520" s="67"/>
      <c r="I520" s="67"/>
      <c r="J520" s="79"/>
      <c r="K520" s="79"/>
      <c r="L520" s="79"/>
      <c r="M520" s="79"/>
      <c r="N520" s="79"/>
      <c r="O520" s="79"/>
      <c r="P520" s="79"/>
      <c r="Q520" s="79"/>
      <c r="R520" s="79"/>
      <c r="S520" s="79"/>
      <c r="T520" s="79"/>
      <c r="U520" s="79"/>
      <c r="V520" s="79"/>
      <c r="W520" s="79"/>
      <c r="X520" s="79"/>
      <c r="Y520" s="79"/>
      <c r="Z520" s="96"/>
    </row>
    <row r="521" ht="18.75" customHeight="1" spans="1:26">
      <c r="A521" s="100" t="s">
        <v>4273</v>
      </c>
      <c r="B521" s="101" t="s">
        <v>4274</v>
      </c>
      <c r="C521" s="158" t="s">
        <v>4275</v>
      </c>
      <c r="D521" s="103" t="s">
        <v>3719</v>
      </c>
      <c r="E521" s="139">
        <f>G534</f>
        <v>220.34</v>
      </c>
      <c r="F521" s="61" t="s">
        <v>4212</v>
      </c>
      <c r="G521" s="62" t="s">
        <v>3830</v>
      </c>
      <c r="H521" s="48"/>
      <c r="I521" s="92"/>
      <c r="J521" s="79"/>
      <c r="K521" s="79"/>
      <c r="L521" s="79"/>
      <c r="M521" s="79"/>
      <c r="N521" s="79"/>
      <c r="O521" s="79"/>
      <c r="P521" s="79"/>
      <c r="Q521" s="79"/>
      <c r="R521" s="79"/>
      <c r="S521" s="79"/>
      <c r="T521" s="79"/>
      <c r="U521" s="79"/>
      <c r="V521" s="79"/>
      <c r="W521" s="79"/>
      <c r="X521" s="79"/>
      <c r="Y521" s="79"/>
      <c r="Z521" s="96"/>
    </row>
    <row r="522" ht="15.75" customHeight="1" spans="1:26">
      <c r="A522" s="105"/>
      <c r="B522" s="105"/>
      <c r="C522" s="106"/>
      <c r="D522" s="105"/>
      <c r="E522" s="144"/>
      <c r="F522" s="107" t="s">
        <v>3831</v>
      </c>
      <c r="G522" s="108">
        <v>22.9</v>
      </c>
      <c r="H522" s="48"/>
      <c r="I522" s="92"/>
      <c r="J522" s="79"/>
      <c r="K522" s="79"/>
      <c r="L522" s="79"/>
      <c r="M522" s="79"/>
      <c r="N522" s="79"/>
      <c r="O522" s="79"/>
      <c r="P522" s="79"/>
      <c r="Q522" s="79"/>
      <c r="R522" s="79"/>
      <c r="S522" s="79"/>
      <c r="T522" s="79"/>
      <c r="U522" s="79"/>
      <c r="V522" s="79"/>
      <c r="W522" s="79"/>
      <c r="X522" s="79"/>
      <c r="Y522" s="79"/>
      <c r="Z522" s="96"/>
    </row>
    <row r="523" ht="15.75" customHeight="1" spans="1:26">
      <c r="A523" s="105"/>
      <c r="B523" s="105"/>
      <c r="C523" s="106"/>
      <c r="D523" s="105"/>
      <c r="E523" s="144"/>
      <c r="F523" s="107" t="s">
        <v>3832</v>
      </c>
      <c r="G523" s="108">
        <v>9.96</v>
      </c>
      <c r="H523" s="48"/>
      <c r="I523" s="92"/>
      <c r="J523" s="79"/>
      <c r="K523" s="79"/>
      <c r="L523" s="79"/>
      <c r="M523" s="79"/>
      <c r="N523" s="79"/>
      <c r="O523" s="79"/>
      <c r="P523" s="79"/>
      <c r="Q523" s="79"/>
      <c r="R523" s="79"/>
      <c r="S523" s="79"/>
      <c r="T523" s="79"/>
      <c r="U523" s="79"/>
      <c r="V523" s="79"/>
      <c r="W523" s="79"/>
      <c r="X523" s="79"/>
      <c r="Y523" s="79"/>
      <c r="Z523" s="96"/>
    </row>
    <row r="524" ht="15.75" customHeight="1" spans="1:26">
      <c r="A524" s="105"/>
      <c r="B524" s="105"/>
      <c r="C524" s="106"/>
      <c r="D524" s="105"/>
      <c r="E524" s="144"/>
      <c r="F524" s="107" t="s">
        <v>3833</v>
      </c>
      <c r="G524" s="108">
        <v>15.75</v>
      </c>
      <c r="H524" s="48"/>
      <c r="I524" s="92"/>
      <c r="J524" s="79"/>
      <c r="K524" s="79"/>
      <c r="L524" s="79"/>
      <c r="M524" s="79"/>
      <c r="N524" s="79"/>
      <c r="O524" s="79"/>
      <c r="P524" s="79"/>
      <c r="Q524" s="79"/>
      <c r="R524" s="79"/>
      <c r="S524" s="79"/>
      <c r="T524" s="79"/>
      <c r="U524" s="79"/>
      <c r="V524" s="79"/>
      <c r="W524" s="79"/>
      <c r="X524" s="79"/>
      <c r="Y524" s="79"/>
      <c r="Z524" s="96"/>
    </row>
    <row r="525" ht="15.75" customHeight="1" spans="1:26">
      <c r="A525" s="105"/>
      <c r="B525" s="105"/>
      <c r="C525" s="106"/>
      <c r="D525" s="105"/>
      <c r="E525" s="144"/>
      <c r="F525" s="107" t="s">
        <v>3836</v>
      </c>
      <c r="G525" s="108">
        <v>11.12</v>
      </c>
      <c r="H525" s="48"/>
      <c r="I525" s="92"/>
      <c r="J525" s="79"/>
      <c r="K525" s="79"/>
      <c r="L525" s="79"/>
      <c r="M525" s="79"/>
      <c r="N525" s="79"/>
      <c r="O525" s="79"/>
      <c r="P525" s="79"/>
      <c r="Q525" s="79"/>
      <c r="R525" s="79"/>
      <c r="S525" s="79"/>
      <c r="T525" s="79"/>
      <c r="U525" s="79"/>
      <c r="V525" s="79"/>
      <c r="W525" s="79"/>
      <c r="X525" s="79"/>
      <c r="Y525" s="79"/>
      <c r="Z525" s="96"/>
    </row>
    <row r="526" ht="15.75" customHeight="1" spans="1:26">
      <c r="A526" s="105"/>
      <c r="B526" s="105"/>
      <c r="C526" s="106"/>
      <c r="D526" s="105"/>
      <c r="E526" s="144"/>
      <c r="F526" s="107" t="s">
        <v>4218</v>
      </c>
      <c r="G526" s="108">
        <f>13.5+11.41</f>
        <v>24.91</v>
      </c>
      <c r="H526" s="48"/>
      <c r="I526" s="92"/>
      <c r="J526" s="79"/>
      <c r="K526" s="79"/>
      <c r="L526" s="79"/>
      <c r="M526" s="79"/>
      <c r="N526" s="79"/>
      <c r="O526" s="79"/>
      <c r="P526" s="79"/>
      <c r="Q526" s="79"/>
      <c r="R526" s="79"/>
      <c r="S526" s="79"/>
      <c r="T526" s="79"/>
      <c r="U526" s="79"/>
      <c r="V526" s="79"/>
      <c r="W526" s="79"/>
      <c r="X526" s="79"/>
      <c r="Y526" s="79"/>
      <c r="Z526" s="96"/>
    </row>
    <row r="527" ht="15.75" customHeight="1" spans="1:26">
      <c r="A527" s="105"/>
      <c r="B527" s="105"/>
      <c r="C527" s="106"/>
      <c r="D527" s="105"/>
      <c r="E527" s="144"/>
      <c r="F527" s="107" t="s">
        <v>3837</v>
      </c>
      <c r="G527" s="108">
        <v>11.21</v>
      </c>
      <c r="H527" s="48"/>
      <c r="I527" s="92"/>
      <c r="J527" s="79"/>
      <c r="K527" s="79"/>
      <c r="L527" s="79"/>
      <c r="M527" s="79"/>
      <c r="N527" s="79"/>
      <c r="O527" s="79"/>
      <c r="P527" s="79"/>
      <c r="Q527" s="79"/>
      <c r="R527" s="79"/>
      <c r="S527" s="79"/>
      <c r="T527" s="79"/>
      <c r="U527" s="79"/>
      <c r="V527" s="79"/>
      <c r="W527" s="79"/>
      <c r="X527" s="79"/>
      <c r="Y527" s="79"/>
      <c r="Z527" s="96"/>
    </row>
    <row r="528" ht="15.75" customHeight="1" spans="1:26">
      <c r="A528" s="105"/>
      <c r="B528" s="105"/>
      <c r="C528" s="106"/>
      <c r="D528" s="105"/>
      <c r="E528" s="144"/>
      <c r="F528" s="107" t="s">
        <v>4276</v>
      </c>
      <c r="G528" s="108">
        <f>16.12+13.21+13.4+13.4</f>
        <v>56.13</v>
      </c>
      <c r="H528" s="48"/>
      <c r="I528" s="92"/>
      <c r="J528" s="79"/>
      <c r="K528" s="79"/>
      <c r="L528" s="79"/>
      <c r="M528" s="79"/>
      <c r="N528" s="79"/>
      <c r="O528" s="79"/>
      <c r="P528" s="79"/>
      <c r="Q528" s="79"/>
      <c r="R528" s="79"/>
      <c r="S528" s="79"/>
      <c r="T528" s="79"/>
      <c r="U528" s="79"/>
      <c r="V528" s="79"/>
      <c r="W528" s="79"/>
      <c r="X528" s="79"/>
      <c r="Y528" s="79"/>
      <c r="Z528" s="96"/>
    </row>
    <row r="529" ht="15.75" customHeight="1" spans="1:26">
      <c r="A529" s="105"/>
      <c r="B529" s="105"/>
      <c r="C529" s="106"/>
      <c r="D529" s="105"/>
      <c r="E529" s="144"/>
      <c r="F529" s="107" t="s">
        <v>3839</v>
      </c>
      <c r="G529" s="108">
        <v>18.77</v>
      </c>
      <c r="H529" s="48"/>
      <c r="I529" s="92"/>
      <c r="J529" s="79"/>
      <c r="K529" s="79"/>
      <c r="L529" s="79"/>
      <c r="M529" s="79"/>
      <c r="N529" s="79"/>
      <c r="O529" s="79"/>
      <c r="P529" s="79"/>
      <c r="Q529" s="79"/>
      <c r="R529" s="79"/>
      <c r="S529" s="79"/>
      <c r="T529" s="79"/>
      <c r="U529" s="79"/>
      <c r="V529" s="79"/>
      <c r="W529" s="79"/>
      <c r="X529" s="79"/>
      <c r="Y529" s="79"/>
      <c r="Z529" s="96"/>
    </row>
    <row r="530" ht="15.75" customHeight="1" spans="1:26">
      <c r="A530" s="105"/>
      <c r="B530" s="105"/>
      <c r="C530" s="106"/>
      <c r="D530" s="105"/>
      <c r="E530" s="144"/>
      <c r="F530" s="107" t="s">
        <v>3840</v>
      </c>
      <c r="G530" s="108">
        <v>12</v>
      </c>
      <c r="H530" s="48"/>
      <c r="I530" s="92"/>
      <c r="J530" s="79"/>
      <c r="K530" s="79"/>
      <c r="L530" s="79"/>
      <c r="M530" s="79"/>
      <c r="N530" s="79"/>
      <c r="O530" s="79"/>
      <c r="P530" s="79"/>
      <c r="Q530" s="79"/>
      <c r="R530" s="79"/>
      <c r="S530" s="79"/>
      <c r="T530" s="79"/>
      <c r="U530" s="79"/>
      <c r="V530" s="79"/>
      <c r="W530" s="79"/>
      <c r="X530" s="79"/>
      <c r="Y530" s="79"/>
      <c r="Z530" s="96"/>
    </row>
    <row r="531" ht="15.75" customHeight="1" spans="1:26">
      <c r="A531" s="105"/>
      <c r="B531" s="105"/>
      <c r="C531" s="106"/>
      <c r="D531" s="105"/>
      <c r="E531" s="144"/>
      <c r="F531" s="107" t="s">
        <v>3841</v>
      </c>
      <c r="G531" s="108">
        <v>12.53</v>
      </c>
      <c r="H531" s="48"/>
      <c r="I531" s="92"/>
      <c r="J531" s="79"/>
      <c r="K531" s="79"/>
      <c r="L531" s="79"/>
      <c r="M531" s="79"/>
      <c r="N531" s="79"/>
      <c r="O531" s="79"/>
      <c r="P531" s="79"/>
      <c r="Q531" s="79"/>
      <c r="R531" s="79"/>
      <c r="S531" s="79"/>
      <c r="T531" s="79"/>
      <c r="U531" s="79"/>
      <c r="V531" s="79"/>
      <c r="W531" s="79"/>
      <c r="X531" s="79"/>
      <c r="Y531" s="79"/>
      <c r="Z531" s="96"/>
    </row>
    <row r="532" ht="113.25" customHeight="1" spans="1:26">
      <c r="A532" s="105"/>
      <c r="B532" s="105"/>
      <c r="C532" s="106"/>
      <c r="D532" s="105"/>
      <c r="E532" s="144"/>
      <c r="F532" s="107" t="s">
        <v>3842</v>
      </c>
      <c r="G532" s="108">
        <v>12.53</v>
      </c>
      <c r="H532" s="48"/>
      <c r="I532" s="92"/>
      <c r="J532" s="79"/>
      <c r="K532" s="79"/>
      <c r="L532" s="79"/>
      <c r="M532" s="79"/>
      <c r="N532" s="79"/>
      <c r="O532" s="79"/>
      <c r="P532" s="79"/>
      <c r="Q532" s="79"/>
      <c r="R532" s="79"/>
      <c r="S532" s="79"/>
      <c r="T532" s="79"/>
      <c r="U532" s="79"/>
      <c r="V532" s="79"/>
      <c r="W532" s="79"/>
      <c r="X532" s="79"/>
      <c r="Y532" s="79"/>
      <c r="Z532" s="96"/>
    </row>
    <row r="533" ht="15.75" customHeight="1" spans="1:26">
      <c r="A533" s="105"/>
      <c r="B533" s="105"/>
      <c r="C533" s="106"/>
      <c r="D533" s="105"/>
      <c r="E533" s="144"/>
      <c r="F533" s="107" t="s">
        <v>3843</v>
      </c>
      <c r="G533" s="108">
        <v>12.53</v>
      </c>
      <c r="H533" s="48"/>
      <c r="I533" s="92"/>
      <c r="J533" s="79"/>
      <c r="K533" s="79"/>
      <c r="L533" s="79"/>
      <c r="M533" s="79"/>
      <c r="N533" s="79"/>
      <c r="O533" s="79"/>
      <c r="P533" s="79"/>
      <c r="Q533" s="79"/>
      <c r="R533" s="79"/>
      <c r="S533" s="79"/>
      <c r="T533" s="79"/>
      <c r="U533" s="79"/>
      <c r="V533" s="79"/>
      <c r="W533" s="79"/>
      <c r="X533" s="79"/>
      <c r="Y533" s="79"/>
      <c r="Z533" s="96"/>
    </row>
    <row r="534" ht="15.75" customHeight="1" spans="1:26">
      <c r="A534" s="114"/>
      <c r="B534" s="159"/>
      <c r="C534" s="141"/>
      <c r="D534" s="114"/>
      <c r="E534" s="145"/>
      <c r="F534" s="160" t="s">
        <v>3689</v>
      </c>
      <c r="G534" s="143">
        <f>TRUNC(SUM(G522:G533),2)</f>
        <v>220.34</v>
      </c>
      <c r="H534" s="48"/>
      <c r="I534" s="92"/>
      <c r="J534" s="79"/>
      <c r="K534" s="79"/>
      <c r="L534" s="79"/>
      <c r="M534" s="79"/>
      <c r="N534" s="79"/>
      <c r="O534" s="79"/>
      <c r="P534" s="79"/>
      <c r="Q534" s="79"/>
      <c r="R534" s="79"/>
      <c r="S534" s="79"/>
      <c r="T534" s="79"/>
      <c r="U534" s="79"/>
      <c r="V534" s="79"/>
      <c r="W534" s="79"/>
      <c r="X534" s="79"/>
      <c r="Y534" s="79"/>
      <c r="Z534" s="96"/>
    </row>
    <row r="535" ht="54.75" customHeight="1" spans="1:26">
      <c r="A535" s="100" t="s">
        <v>4277</v>
      </c>
      <c r="B535" s="101" t="s">
        <v>4278</v>
      </c>
      <c r="C535" s="158" t="s">
        <v>1305</v>
      </c>
      <c r="D535" s="103" t="s">
        <v>3719</v>
      </c>
      <c r="E535" s="139">
        <f>I548</f>
        <v>261.26</v>
      </c>
      <c r="F535" s="61" t="s">
        <v>4279</v>
      </c>
      <c r="G535" s="62" t="s">
        <v>3830</v>
      </c>
      <c r="H535" s="62" t="s">
        <v>4280</v>
      </c>
      <c r="I535" s="110" t="s">
        <v>3689</v>
      </c>
      <c r="J535" s="79"/>
      <c r="K535" s="79"/>
      <c r="L535" s="79"/>
      <c r="M535" s="79"/>
      <c r="N535" s="79"/>
      <c r="O535" s="79"/>
      <c r="P535" s="79"/>
      <c r="Q535" s="79"/>
      <c r="R535" s="79"/>
      <c r="S535" s="79"/>
      <c r="T535" s="79"/>
      <c r="U535" s="79"/>
      <c r="V535" s="79"/>
      <c r="W535" s="79"/>
      <c r="X535" s="79"/>
      <c r="Y535" s="79"/>
      <c r="Z535" s="96"/>
    </row>
    <row r="536" ht="15.75" customHeight="1" spans="1:26">
      <c r="A536" s="105"/>
      <c r="B536" s="105"/>
      <c r="C536" s="106"/>
      <c r="D536" s="105"/>
      <c r="E536" s="140"/>
      <c r="F536" s="107" t="s">
        <v>3831</v>
      </c>
      <c r="G536" s="62">
        <v>33.98</v>
      </c>
      <c r="H536" s="108">
        <v>22.9</v>
      </c>
      <c r="I536" s="148">
        <f t="shared" ref="I536:I547" si="10">G536-H536</f>
        <v>11.08</v>
      </c>
      <c r="J536" s="79"/>
      <c r="K536" s="79"/>
      <c r="L536" s="79"/>
      <c r="M536" s="79"/>
      <c r="N536" s="79"/>
      <c r="O536" s="79"/>
      <c r="P536" s="79"/>
      <c r="Q536" s="79"/>
      <c r="R536" s="79"/>
      <c r="S536" s="79"/>
      <c r="T536" s="79"/>
      <c r="U536" s="79"/>
      <c r="V536" s="79"/>
      <c r="W536" s="79"/>
      <c r="X536" s="79"/>
      <c r="Y536" s="79"/>
      <c r="Z536" s="96"/>
    </row>
    <row r="537" ht="15.75" customHeight="1" spans="1:26">
      <c r="A537" s="105"/>
      <c r="B537" s="105"/>
      <c r="C537" s="106"/>
      <c r="D537" s="105"/>
      <c r="E537" s="140"/>
      <c r="F537" s="107" t="s">
        <v>3832</v>
      </c>
      <c r="G537" s="62">
        <v>16.15</v>
      </c>
      <c r="H537" s="108">
        <v>9.96</v>
      </c>
      <c r="I537" s="148">
        <f t="shared" si="10"/>
        <v>6.19</v>
      </c>
      <c r="J537" s="79"/>
      <c r="K537" s="79"/>
      <c r="L537" s="79"/>
      <c r="M537" s="79"/>
      <c r="N537" s="79"/>
      <c r="O537" s="79"/>
      <c r="P537" s="79"/>
      <c r="Q537" s="79"/>
      <c r="R537" s="79"/>
      <c r="S537" s="79"/>
      <c r="T537" s="79"/>
      <c r="U537" s="79"/>
      <c r="V537" s="79"/>
      <c r="W537" s="79"/>
      <c r="X537" s="79"/>
      <c r="Y537" s="79"/>
      <c r="Z537" s="96"/>
    </row>
    <row r="538" ht="15.75" customHeight="1" spans="1:26">
      <c r="A538" s="105"/>
      <c r="B538" s="105"/>
      <c r="C538" s="106"/>
      <c r="D538" s="105"/>
      <c r="E538" s="140"/>
      <c r="F538" s="107" t="s">
        <v>3833</v>
      </c>
      <c r="G538" s="62">
        <v>23.77</v>
      </c>
      <c r="H538" s="108">
        <v>15.75</v>
      </c>
      <c r="I538" s="148">
        <f t="shared" si="10"/>
        <v>8.02</v>
      </c>
      <c r="J538" s="79"/>
      <c r="K538" s="79"/>
      <c r="L538" s="79"/>
      <c r="M538" s="79"/>
      <c r="N538" s="79"/>
      <c r="O538" s="79"/>
      <c r="P538" s="79"/>
      <c r="Q538" s="79"/>
      <c r="R538" s="79"/>
      <c r="S538" s="79"/>
      <c r="T538" s="79"/>
      <c r="U538" s="79"/>
      <c r="V538" s="79"/>
      <c r="W538" s="79"/>
      <c r="X538" s="79"/>
      <c r="Y538" s="79"/>
      <c r="Z538" s="96"/>
    </row>
    <row r="539" ht="15.75" customHeight="1" spans="1:26">
      <c r="A539" s="105"/>
      <c r="B539" s="105"/>
      <c r="C539" s="106"/>
      <c r="D539" s="105"/>
      <c r="E539" s="140"/>
      <c r="F539" s="107" t="s">
        <v>3836</v>
      </c>
      <c r="G539" s="62">
        <v>18.82</v>
      </c>
      <c r="H539" s="108">
        <v>11.12</v>
      </c>
      <c r="I539" s="148">
        <f t="shared" si="10"/>
        <v>7.7</v>
      </c>
      <c r="J539" s="79"/>
      <c r="K539" s="79"/>
      <c r="L539" s="79"/>
      <c r="M539" s="79"/>
      <c r="N539" s="79"/>
      <c r="O539" s="79"/>
      <c r="P539" s="79"/>
      <c r="Q539" s="79"/>
      <c r="R539" s="79"/>
      <c r="S539" s="79"/>
      <c r="T539" s="79"/>
      <c r="U539" s="79"/>
      <c r="V539" s="79"/>
      <c r="W539" s="79"/>
      <c r="X539" s="79"/>
      <c r="Y539" s="79"/>
      <c r="Z539" s="96"/>
    </row>
    <row r="540" ht="15.75" customHeight="1" spans="1:26">
      <c r="A540" s="105"/>
      <c r="B540" s="105"/>
      <c r="C540" s="106"/>
      <c r="D540" s="105"/>
      <c r="E540" s="140"/>
      <c r="F540" s="107" t="s">
        <v>4218</v>
      </c>
      <c r="G540" s="62">
        <v>110.29</v>
      </c>
      <c r="H540" s="108">
        <f>13.5+11.41</f>
        <v>24.91</v>
      </c>
      <c r="I540" s="148">
        <f t="shared" si="10"/>
        <v>85.38</v>
      </c>
      <c r="J540" s="79"/>
      <c r="K540" s="79"/>
      <c r="L540" s="79"/>
      <c r="M540" s="79"/>
      <c r="N540" s="79"/>
      <c r="O540" s="79"/>
      <c r="P540" s="79"/>
      <c r="Q540" s="79"/>
      <c r="R540" s="79"/>
      <c r="S540" s="79"/>
      <c r="T540" s="79"/>
      <c r="U540" s="79"/>
      <c r="V540" s="79"/>
      <c r="W540" s="79"/>
      <c r="X540" s="79"/>
      <c r="Y540" s="79"/>
      <c r="Z540" s="96"/>
    </row>
    <row r="541" ht="15.75" customHeight="1" spans="1:26">
      <c r="A541" s="105"/>
      <c r="B541" s="105"/>
      <c r="C541" s="106"/>
      <c r="D541" s="105"/>
      <c r="E541" s="140"/>
      <c r="F541" s="107" t="s">
        <v>3837</v>
      </c>
      <c r="G541" s="62">
        <v>18.77</v>
      </c>
      <c r="H541" s="108">
        <v>11.21</v>
      </c>
      <c r="I541" s="148">
        <f t="shared" si="10"/>
        <v>7.56</v>
      </c>
      <c r="J541" s="79"/>
      <c r="K541" s="79"/>
      <c r="L541" s="79"/>
      <c r="M541" s="79"/>
      <c r="N541" s="79"/>
      <c r="O541" s="79"/>
      <c r="P541" s="79"/>
      <c r="Q541" s="79"/>
      <c r="R541" s="79"/>
      <c r="S541" s="79"/>
      <c r="T541" s="79"/>
      <c r="U541" s="79"/>
      <c r="V541" s="79"/>
      <c r="W541" s="79"/>
      <c r="X541" s="79"/>
      <c r="Y541" s="79"/>
      <c r="Z541" s="96"/>
    </row>
    <row r="542" ht="15.75" customHeight="1" spans="1:26">
      <c r="A542" s="105"/>
      <c r="B542" s="105"/>
      <c r="C542" s="106"/>
      <c r="D542" s="105"/>
      <c r="E542" s="140"/>
      <c r="F542" s="107" t="s">
        <v>4276</v>
      </c>
      <c r="G542" s="62">
        <v>158.68</v>
      </c>
      <c r="H542" s="108">
        <f>16.12+13.21+13.4+13.4</f>
        <v>56.13</v>
      </c>
      <c r="I542" s="148">
        <f t="shared" si="10"/>
        <v>102.55</v>
      </c>
      <c r="J542" s="79"/>
      <c r="K542" s="79"/>
      <c r="L542" s="79"/>
      <c r="M542" s="79"/>
      <c r="N542" s="79"/>
      <c r="O542" s="79"/>
      <c r="P542" s="79"/>
      <c r="Q542" s="79"/>
      <c r="R542" s="79"/>
      <c r="S542" s="79"/>
      <c r="T542" s="79"/>
      <c r="U542" s="79"/>
      <c r="V542" s="79"/>
      <c r="W542" s="79"/>
      <c r="X542" s="79"/>
      <c r="Y542" s="79"/>
      <c r="Z542" s="96"/>
    </row>
    <row r="543" ht="15.75" customHeight="1" spans="1:26">
      <c r="A543" s="105"/>
      <c r="B543" s="105"/>
      <c r="C543" s="106"/>
      <c r="D543" s="105"/>
      <c r="E543" s="140"/>
      <c r="F543" s="107" t="s">
        <v>3839</v>
      </c>
      <c r="G543" s="62">
        <v>25.71</v>
      </c>
      <c r="H543" s="108">
        <v>18.77</v>
      </c>
      <c r="I543" s="148">
        <f t="shared" si="10"/>
        <v>6.94</v>
      </c>
      <c r="J543" s="79"/>
      <c r="K543" s="79"/>
      <c r="L543" s="79"/>
      <c r="M543" s="79"/>
      <c r="N543" s="79"/>
      <c r="O543" s="79"/>
      <c r="P543" s="79"/>
      <c r="Q543" s="79"/>
      <c r="R543" s="79"/>
      <c r="S543" s="79"/>
      <c r="T543" s="79"/>
      <c r="U543" s="79"/>
      <c r="V543" s="79"/>
      <c r="W543" s="79"/>
      <c r="X543" s="79"/>
      <c r="Y543" s="79"/>
      <c r="Z543" s="96"/>
    </row>
    <row r="544" ht="15.75" customHeight="1" spans="1:26">
      <c r="A544" s="105"/>
      <c r="B544" s="105"/>
      <c r="C544" s="106"/>
      <c r="D544" s="105"/>
      <c r="E544" s="140"/>
      <c r="F544" s="107" t="s">
        <v>3840</v>
      </c>
      <c r="G544" s="62">
        <v>18.5</v>
      </c>
      <c r="H544" s="108">
        <v>12</v>
      </c>
      <c r="I544" s="148">
        <f t="shared" si="10"/>
        <v>6.5</v>
      </c>
      <c r="J544" s="79"/>
      <c r="K544" s="79"/>
      <c r="L544" s="79"/>
      <c r="M544" s="79"/>
      <c r="N544" s="79"/>
      <c r="O544" s="79"/>
      <c r="P544" s="79"/>
      <c r="Q544" s="79"/>
      <c r="R544" s="79"/>
      <c r="S544" s="79"/>
      <c r="T544" s="79"/>
      <c r="U544" s="79"/>
      <c r="V544" s="79"/>
      <c r="W544" s="79"/>
      <c r="X544" s="79"/>
      <c r="Y544" s="79"/>
      <c r="Z544" s="96"/>
    </row>
    <row r="545" ht="56.25" customHeight="1" spans="1:26">
      <c r="A545" s="105"/>
      <c r="B545" s="105"/>
      <c r="C545" s="106"/>
      <c r="D545" s="105"/>
      <c r="E545" s="140"/>
      <c r="F545" s="107" t="s">
        <v>3841</v>
      </c>
      <c r="G545" s="62">
        <v>19.18</v>
      </c>
      <c r="H545" s="108">
        <v>12.53</v>
      </c>
      <c r="I545" s="148">
        <f t="shared" si="10"/>
        <v>6.65</v>
      </c>
      <c r="J545" s="79"/>
      <c r="K545" s="79"/>
      <c r="L545" s="79"/>
      <c r="M545" s="79"/>
      <c r="N545" s="79"/>
      <c r="O545" s="79"/>
      <c r="P545" s="79"/>
      <c r="Q545" s="79"/>
      <c r="R545" s="79"/>
      <c r="S545" s="79"/>
      <c r="T545" s="79"/>
      <c r="U545" s="79"/>
      <c r="V545" s="79"/>
      <c r="W545" s="79"/>
      <c r="X545" s="79"/>
      <c r="Y545" s="79"/>
      <c r="Z545" s="96"/>
    </row>
    <row r="546" ht="61.5" customHeight="1" spans="1:26">
      <c r="A546" s="105"/>
      <c r="B546" s="105"/>
      <c r="C546" s="106"/>
      <c r="D546" s="105"/>
      <c r="E546" s="140"/>
      <c r="F546" s="107" t="s">
        <v>3842</v>
      </c>
      <c r="G546" s="62">
        <v>18.58</v>
      </c>
      <c r="H546" s="108">
        <v>12.53</v>
      </c>
      <c r="I546" s="148">
        <f t="shared" si="10"/>
        <v>6.05</v>
      </c>
      <c r="J546" s="79"/>
      <c r="K546" s="79"/>
      <c r="L546" s="79"/>
      <c r="M546" s="79"/>
      <c r="N546" s="79"/>
      <c r="O546" s="79"/>
      <c r="P546" s="79"/>
      <c r="Q546" s="79"/>
      <c r="R546" s="79"/>
      <c r="S546" s="79"/>
      <c r="T546" s="79"/>
      <c r="U546" s="79"/>
      <c r="V546" s="79"/>
      <c r="W546" s="79"/>
      <c r="X546" s="79"/>
      <c r="Y546" s="79"/>
      <c r="Z546" s="96"/>
    </row>
    <row r="547" ht="15.75" customHeight="1" spans="1:26">
      <c r="A547" s="105"/>
      <c r="B547" s="105"/>
      <c r="C547" s="106"/>
      <c r="D547" s="105"/>
      <c r="E547" s="140"/>
      <c r="F547" s="107" t="s">
        <v>3843</v>
      </c>
      <c r="G547" s="62">
        <v>19.17</v>
      </c>
      <c r="H547" s="108">
        <v>12.53</v>
      </c>
      <c r="I547" s="148">
        <f t="shared" si="10"/>
        <v>6.64</v>
      </c>
      <c r="J547" s="79"/>
      <c r="K547" s="79"/>
      <c r="L547" s="79"/>
      <c r="M547" s="79"/>
      <c r="N547" s="79"/>
      <c r="O547" s="79"/>
      <c r="P547" s="79"/>
      <c r="Q547" s="79"/>
      <c r="R547" s="79"/>
      <c r="S547" s="79"/>
      <c r="T547" s="79"/>
      <c r="U547" s="79"/>
      <c r="V547" s="79"/>
      <c r="W547" s="79"/>
      <c r="X547" s="79"/>
      <c r="Y547" s="79"/>
      <c r="Z547" s="96"/>
    </row>
    <row r="548" ht="15.75" customHeight="1" spans="1:26">
      <c r="A548" s="105"/>
      <c r="B548" s="105"/>
      <c r="C548" s="106"/>
      <c r="D548" s="105"/>
      <c r="E548" s="140"/>
      <c r="F548" s="160" t="s">
        <v>3689</v>
      </c>
      <c r="G548" s="112"/>
      <c r="H548" s="112"/>
      <c r="I548" s="123">
        <f>TRUNC(SUM(I536:I547),2)</f>
        <v>261.26</v>
      </c>
      <c r="J548" s="79"/>
      <c r="K548" s="79"/>
      <c r="L548" s="79"/>
      <c r="M548" s="79"/>
      <c r="N548" s="79"/>
      <c r="O548" s="79"/>
      <c r="P548" s="79"/>
      <c r="Q548" s="79"/>
      <c r="R548" s="79"/>
      <c r="S548" s="79"/>
      <c r="T548" s="79"/>
      <c r="U548" s="79"/>
      <c r="V548" s="79"/>
      <c r="W548" s="79"/>
      <c r="X548" s="79"/>
      <c r="Y548" s="79"/>
      <c r="Z548" s="96"/>
    </row>
    <row r="549" ht="15.75" customHeight="1" spans="1:26">
      <c r="A549" s="161" t="s">
        <v>4281</v>
      </c>
      <c r="B549" s="101" t="s">
        <v>4282</v>
      </c>
      <c r="C549" s="102" t="s">
        <v>1302</v>
      </c>
      <c r="D549" s="103" t="s">
        <v>3719</v>
      </c>
      <c r="E549" s="104">
        <f t="shared" ref="E549:E556" si="11">I549</f>
        <v>59.99</v>
      </c>
      <c r="F549" s="47" t="s">
        <v>4283</v>
      </c>
      <c r="G549" s="162" t="s">
        <v>4284</v>
      </c>
      <c r="H549" s="162"/>
      <c r="I549" s="127">
        <f>29.34+30.65</f>
        <v>59.99</v>
      </c>
      <c r="J549" s="79"/>
      <c r="K549" s="79"/>
      <c r="L549" s="79"/>
      <c r="M549" s="79"/>
      <c r="N549" s="79"/>
      <c r="O549" s="79"/>
      <c r="P549" s="79"/>
      <c r="Q549" s="79"/>
      <c r="R549" s="79"/>
      <c r="S549" s="79"/>
      <c r="T549" s="79"/>
      <c r="U549" s="79"/>
      <c r="V549" s="79"/>
      <c r="W549" s="79"/>
      <c r="X549" s="79"/>
      <c r="Y549" s="79"/>
      <c r="Z549" s="96"/>
    </row>
    <row r="550" ht="27.75" customHeight="1" spans="1:26">
      <c r="A550" s="161" t="s">
        <v>4285</v>
      </c>
      <c r="B550" s="101">
        <v>104598</v>
      </c>
      <c r="C550" s="102" t="s">
        <v>1308</v>
      </c>
      <c r="D550" s="103" t="s">
        <v>3719</v>
      </c>
      <c r="E550" s="104">
        <f t="shared" si="11"/>
        <v>57.53</v>
      </c>
      <c r="F550" s="47" t="s">
        <v>4283</v>
      </c>
      <c r="G550" s="118" t="s">
        <v>4286</v>
      </c>
      <c r="H550" s="17"/>
      <c r="I550" s="88">
        <f>16.8+16.16+3.4+3.83+17.34</f>
        <v>57.53</v>
      </c>
      <c r="J550" s="79"/>
      <c r="K550" s="79"/>
      <c r="L550" s="79"/>
      <c r="M550" s="79"/>
      <c r="N550" s="79"/>
      <c r="O550" s="79"/>
      <c r="P550" s="79"/>
      <c r="Q550" s="79"/>
      <c r="R550" s="79"/>
      <c r="S550" s="79"/>
      <c r="T550" s="79"/>
      <c r="U550" s="79"/>
      <c r="V550" s="79"/>
      <c r="W550" s="79"/>
      <c r="X550" s="79"/>
      <c r="Y550" s="79"/>
      <c r="Z550" s="96"/>
    </row>
    <row r="551" ht="18.75" customHeight="1" spans="1:26">
      <c r="A551" s="161" t="s">
        <v>4287</v>
      </c>
      <c r="B551" s="101" t="s">
        <v>4288</v>
      </c>
      <c r="C551" s="102" t="s">
        <v>1311</v>
      </c>
      <c r="D551" s="103" t="s">
        <v>3719</v>
      </c>
      <c r="E551" s="104">
        <f t="shared" si="11"/>
        <v>87.75</v>
      </c>
      <c r="F551" s="47" t="s">
        <v>4283</v>
      </c>
      <c r="G551" s="119" t="s">
        <v>4289</v>
      </c>
      <c r="H551" s="17"/>
      <c r="I551" s="88">
        <f>83.53+4.22</f>
        <v>87.75</v>
      </c>
      <c r="J551" s="79"/>
      <c r="K551" s="79"/>
      <c r="L551" s="79"/>
      <c r="M551" s="79"/>
      <c r="N551" s="79"/>
      <c r="O551" s="79"/>
      <c r="P551" s="79"/>
      <c r="Q551" s="79"/>
      <c r="R551" s="79"/>
      <c r="S551" s="79"/>
      <c r="T551" s="79"/>
      <c r="U551" s="79"/>
      <c r="V551" s="79"/>
      <c r="W551" s="79"/>
      <c r="X551" s="79"/>
      <c r="Y551" s="79"/>
      <c r="Z551" s="96"/>
    </row>
    <row r="552" ht="15.75" customHeight="1" spans="1:26">
      <c r="A552" s="161" t="s">
        <v>4290</v>
      </c>
      <c r="B552" s="101" t="s">
        <v>4291</v>
      </c>
      <c r="C552" s="102" t="s">
        <v>1314</v>
      </c>
      <c r="D552" s="103" t="s">
        <v>3719</v>
      </c>
      <c r="E552" s="104">
        <f t="shared" si="11"/>
        <v>791.58</v>
      </c>
      <c r="F552" s="47" t="s">
        <v>4283</v>
      </c>
      <c r="G552" s="117" t="s">
        <v>4265</v>
      </c>
      <c r="H552" s="17"/>
      <c r="I552" s="88">
        <v>791.58</v>
      </c>
      <c r="J552" s="79"/>
      <c r="K552" s="79"/>
      <c r="L552" s="79"/>
      <c r="M552" s="79"/>
      <c r="N552" s="79"/>
      <c r="O552" s="79"/>
      <c r="P552" s="79"/>
      <c r="Q552" s="79"/>
      <c r="R552" s="79"/>
      <c r="S552" s="79"/>
      <c r="T552" s="79"/>
      <c r="U552" s="79"/>
      <c r="V552" s="79"/>
      <c r="W552" s="79"/>
      <c r="X552" s="79"/>
      <c r="Y552" s="79"/>
      <c r="Z552" s="96"/>
    </row>
    <row r="553" ht="18.75" customHeight="1" spans="1:26">
      <c r="A553" s="161" t="s">
        <v>4292</v>
      </c>
      <c r="B553" s="101">
        <v>97097</v>
      </c>
      <c r="C553" s="102" t="s">
        <v>1328</v>
      </c>
      <c r="D553" s="103" t="s">
        <v>3719</v>
      </c>
      <c r="E553" s="104">
        <f t="shared" si="11"/>
        <v>60.29</v>
      </c>
      <c r="F553" s="47" t="s">
        <v>4283</v>
      </c>
      <c r="G553" s="119" t="s">
        <v>4293</v>
      </c>
      <c r="H553" s="17"/>
      <c r="I553" s="88">
        <f>30.32+29.97</f>
        <v>60.29</v>
      </c>
      <c r="J553" s="79"/>
      <c r="K553" s="79"/>
      <c r="L553" s="79"/>
      <c r="M553" s="79"/>
      <c r="N553" s="79"/>
      <c r="O553" s="79"/>
      <c r="P553" s="79"/>
      <c r="Q553" s="79"/>
      <c r="R553" s="79"/>
      <c r="S553" s="79"/>
      <c r="T553" s="79"/>
      <c r="U553" s="79"/>
      <c r="V553" s="79"/>
      <c r="W553" s="79"/>
      <c r="X553" s="79"/>
      <c r="Y553" s="79"/>
      <c r="Z553" s="96"/>
    </row>
    <row r="554" ht="27.75" customHeight="1" spans="1:26">
      <c r="A554" s="161" t="s">
        <v>4294</v>
      </c>
      <c r="B554" s="101">
        <v>94992</v>
      </c>
      <c r="C554" s="102" t="s">
        <v>1331</v>
      </c>
      <c r="D554" s="103" t="s">
        <v>3719</v>
      </c>
      <c r="E554" s="104">
        <f t="shared" si="11"/>
        <v>60.29</v>
      </c>
      <c r="F554" s="47" t="s">
        <v>4283</v>
      </c>
      <c r="G554" s="119" t="s">
        <v>4293</v>
      </c>
      <c r="H554" s="17"/>
      <c r="I554" s="88">
        <f>30.32+29.97</f>
        <v>60.29</v>
      </c>
      <c r="J554" s="79"/>
      <c r="K554" s="79"/>
      <c r="L554" s="79"/>
      <c r="M554" s="79"/>
      <c r="N554" s="79"/>
      <c r="O554" s="79"/>
      <c r="P554" s="79"/>
      <c r="Q554" s="79"/>
      <c r="R554" s="79"/>
      <c r="S554" s="79"/>
      <c r="T554" s="79"/>
      <c r="U554" s="79"/>
      <c r="V554" s="79"/>
      <c r="W554" s="79"/>
      <c r="X554" s="79"/>
      <c r="Y554" s="79"/>
      <c r="Z554" s="96"/>
    </row>
    <row r="555" ht="15.75" customHeight="1" spans="1:26">
      <c r="A555" s="161" t="s">
        <v>4295</v>
      </c>
      <c r="B555" s="101">
        <v>98689</v>
      </c>
      <c r="C555" s="102" t="s">
        <v>1320</v>
      </c>
      <c r="D555" s="103" t="s">
        <v>78</v>
      </c>
      <c r="E555" s="104">
        <f t="shared" si="11"/>
        <v>1.73</v>
      </c>
      <c r="F555" s="47" t="s">
        <v>4296</v>
      </c>
      <c r="G555" s="117" t="s">
        <v>4297</v>
      </c>
      <c r="H555" s="17"/>
      <c r="I555" s="88">
        <v>1.73</v>
      </c>
      <c r="J555" s="79"/>
      <c r="K555" s="79"/>
      <c r="L555" s="79"/>
      <c r="M555" s="79"/>
      <c r="N555" s="79"/>
      <c r="O555" s="79"/>
      <c r="P555" s="79"/>
      <c r="Q555" s="79"/>
      <c r="R555" s="79"/>
      <c r="S555" s="79"/>
      <c r="T555" s="79"/>
      <c r="U555" s="79"/>
      <c r="V555" s="79"/>
      <c r="W555" s="79"/>
      <c r="X555" s="79"/>
      <c r="Y555" s="79"/>
      <c r="Z555" s="96"/>
    </row>
    <row r="556" ht="15.75" customHeight="1" spans="1:26">
      <c r="A556" s="161" t="s">
        <v>4298</v>
      </c>
      <c r="B556" s="100">
        <v>104658</v>
      </c>
      <c r="C556" s="102" t="s">
        <v>1323</v>
      </c>
      <c r="D556" s="103" t="s">
        <v>3719</v>
      </c>
      <c r="E556" s="104">
        <f t="shared" si="11"/>
        <v>8.25</v>
      </c>
      <c r="F556" s="47" t="s">
        <v>4283</v>
      </c>
      <c r="G556" s="117" t="s">
        <v>4299</v>
      </c>
      <c r="H556" s="17"/>
      <c r="I556" s="88">
        <f>132*(0.25*0.25)</f>
        <v>8.25</v>
      </c>
      <c r="J556" s="79"/>
      <c r="K556" s="79"/>
      <c r="L556" s="79"/>
      <c r="M556" s="79"/>
      <c r="N556" s="79"/>
      <c r="O556" s="79"/>
      <c r="P556" s="79"/>
      <c r="Q556" s="79"/>
      <c r="R556" s="79"/>
      <c r="S556" s="79"/>
      <c r="T556" s="79"/>
      <c r="U556" s="79"/>
      <c r="V556" s="79"/>
      <c r="W556" s="79"/>
      <c r="X556" s="79"/>
      <c r="Y556" s="79"/>
      <c r="Z556" s="96"/>
    </row>
    <row r="557" ht="15.75" customHeight="1" spans="1:26">
      <c r="A557" s="163">
        <v>22</v>
      </c>
      <c r="B557" s="164"/>
      <c r="C557" s="165" t="s">
        <v>1642</v>
      </c>
      <c r="D557" s="166"/>
      <c r="E557" s="167"/>
      <c r="F557" s="66"/>
      <c r="G557" s="67"/>
      <c r="H557" s="67"/>
      <c r="I557" s="67"/>
      <c r="J557" s="79"/>
      <c r="K557" s="79"/>
      <c r="L557" s="79"/>
      <c r="M557" s="79"/>
      <c r="N557" s="79"/>
      <c r="O557" s="79"/>
      <c r="P557" s="79"/>
      <c r="Q557" s="79"/>
      <c r="R557" s="79"/>
      <c r="S557" s="79"/>
      <c r="T557" s="79"/>
      <c r="U557" s="79"/>
      <c r="V557" s="79"/>
      <c r="W557" s="79"/>
      <c r="X557" s="79"/>
      <c r="Y557" s="79"/>
      <c r="Z557" s="96"/>
    </row>
    <row r="558" ht="18.75" customHeight="1" spans="1:26">
      <c r="A558" s="100" t="s">
        <v>4300</v>
      </c>
      <c r="B558" s="100">
        <v>90093</v>
      </c>
      <c r="C558" s="102" t="s">
        <v>4301</v>
      </c>
      <c r="D558" s="103" t="s">
        <v>3719</v>
      </c>
      <c r="E558" s="139">
        <f>I570</f>
        <v>196.99</v>
      </c>
      <c r="F558" s="47" t="s">
        <v>4283</v>
      </c>
      <c r="G558" s="68" t="s">
        <v>4302</v>
      </c>
      <c r="H558" s="68" t="s">
        <v>4214</v>
      </c>
      <c r="I558" s="138" t="s">
        <v>3830</v>
      </c>
      <c r="J558" s="79"/>
      <c r="K558" s="79"/>
      <c r="L558" s="79"/>
      <c r="M558" s="79"/>
      <c r="N558" s="79"/>
      <c r="O558" s="79"/>
      <c r="P558" s="79"/>
      <c r="Q558" s="79"/>
      <c r="R558" s="79"/>
      <c r="S558" s="79"/>
      <c r="T558" s="79"/>
      <c r="U558" s="79"/>
      <c r="V558" s="79"/>
      <c r="W558" s="79"/>
      <c r="X558" s="79"/>
      <c r="Y558" s="79"/>
      <c r="Z558" s="96"/>
    </row>
    <row r="559" ht="15.75" customHeight="1" spans="1:26">
      <c r="A559" s="105"/>
      <c r="B559" s="105"/>
      <c r="C559" s="106"/>
      <c r="D559" s="105"/>
      <c r="E559" s="144"/>
      <c r="F559" s="61" t="s">
        <v>3831</v>
      </c>
      <c r="G559" s="137">
        <v>1.4</v>
      </c>
      <c r="H559" s="137">
        <v>3.4</v>
      </c>
      <c r="I559" s="109">
        <f t="shared" ref="I559:I569" si="12">TRUNC(PRODUCT(G559:H559),2)</f>
        <v>4.76</v>
      </c>
      <c r="J559" s="79"/>
      <c r="K559" s="79"/>
      <c r="L559" s="79"/>
      <c r="M559" s="79"/>
      <c r="N559" s="79"/>
      <c r="O559" s="79"/>
      <c r="P559" s="79"/>
      <c r="Q559" s="79"/>
      <c r="R559" s="79"/>
      <c r="S559" s="79"/>
      <c r="T559" s="79"/>
      <c r="U559" s="79"/>
      <c r="V559" s="79"/>
      <c r="W559" s="79"/>
      <c r="X559" s="79"/>
      <c r="Y559" s="79"/>
      <c r="Z559" s="96"/>
    </row>
    <row r="560" ht="15.75" customHeight="1" spans="1:26">
      <c r="A560" s="105"/>
      <c r="B560" s="105"/>
      <c r="C560" s="106"/>
      <c r="D560" s="105"/>
      <c r="E560" s="144"/>
      <c r="F560" s="61" t="s">
        <v>4235</v>
      </c>
      <c r="G560" s="137">
        <v>1.51</v>
      </c>
      <c r="H560" s="137">
        <v>3.4</v>
      </c>
      <c r="I560" s="109">
        <f t="shared" si="12"/>
        <v>5.13</v>
      </c>
      <c r="J560" s="79"/>
      <c r="K560" s="79"/>
      <c r="L560" s="79"/>
      <c r="M560" s="79"/>
      <c r="N560" s="79"/>
      <c r="O560" s="79"/>
      <c r="P560" s="79"/>
      <c r="Q560" s="79"/>
      <c r="R560" s="79"/>
      <c r="S560" s="79"/>
      <c r="T560" s="79"/>
      <c r="U560" s="79"/>
      <c r="V560" s="79"/>
      <c r="W560" s="79"/>
      <c r="X560" s="79"/>
      <c r="Y560" s="79"/>
      <c r="Z560" s="96"/>
    </row>
    <row r="561" ht="15.75" customHeight="1" spans="1:26">
      <c r="A561" s="105"/>
      <c r="B561" s="105"/>
      <c r="C561" s="106"/>
      <c r="D561" s="105"/>
      <c r="E561" s="144"/>
      <c r="F561" s="61" t="s">
        <v>3833</v>
      </c>
      <c r="G561" s="137">
        <v>2.89</v>
      </c>
      <c r="H561" s="137">
        <v>3.4</v>
      </c>
      <c r="I561" s="109">
        <f t="shared" si="12"/>
        <v>9.82</v>
      </c>
      <c r="J561" s="79"/>
      <c r="K561" s="79"/>
      <c r="L561" s="79"/>
      <c r="M561" s="79"/>
      <c r="N561" s="79"/>
      <c r="O561" s="79"/>
      <c r="P561" s="79"/>
      <c r="Q561" s="79"/>
      <c r="R561" s="79"/>
      <c r="S561" s="79"/>
      <c r="T561" s="79"/>
      <c r="U561" s="79"/>
      <c r="V561" s="79"/>
      <c r="W561" s="79"/>
      <c r="X561" s="79"/>
      <c r="Y561" s="79"/>
      <c r="Z561" s="96"/>
    </row>
    <row r="562" ht="15.75" customHeight="1" spans="1:26">
      <c r="A562" s="105"/>
      <c r="B562" s="105"/>
      <c r="C562" s="106"/>
      <c r="D562" s="105"/>
      <c r="E562" s="144"/>
      <c r="F562" s="61" t="s">
        <v>3836</v>
      </c>
      <c r="G562" s="137">
        <v>3</v>
      </c>
      <c r="H562" s="137">
        <v>3.4</v>
      </c>
      <c r="I562" s="109">
        <f t="shared" si="12"/>
        <v>10.2</v>
      </c>
      <c r="J562" s="79"/>
      <c r="K562" s="79"/>
      <c r="L562" s="79"/>
      <c r="M562" s="79"/>
      <c r="N562" s="79"/>
      <c r="O562" s="79"/>
      <c r="P562" s="79"/>
      <c r="Q562" s="79"/>
      <c r="R562" s="79"/>
      <c r="S562" s="79"/>
      <c r="T562" s="79"/>
      <c r="U562" s="79"/>
      <c r="V562" s="79"/>
      <c r="W562" s="79"/>
      <c r="X562" s="79"/>
      <c r="Y562" s="79"/>
      <c r="Z562" s="96"/>
    </row>
    <row r="563" ht="15.75" customHeight="1" spans="1:26">
      <c r="A563" s="105"/>
      <c r="B563" s="105"/>
      <c r="C563" s="106"/>
      <c r="D563" s="105"/>
      <c r="E563" s="144"/>
      <c r="F563" s="61" t="s">
        <v>3837</v>
      </c>
      <c r="G563" s="137">
        <v>3</v>
      </c>
      <c r="H563" s="137">
        <v>3.4</v>
      </c>
      <c r="I563" s="109">
        <f t="shared" si="12"/>
        <v>10.2</v>
      </c>
      <c r="J563" s="79"/>
      <c r="K563" s="79"/>
      <c r="L563" s="79"/>
      <c r="M563" s="79"/>
      <c r="N563" s="79"/>
      <c r="O563" s="79"/>
      <c r="P563" s="79"/>
      <c r="Q563" s="79"/>
      <c r="R563" s="79"/>
      <c r="S563" s="79"/>
      <c r="T563" s="79"/>
      <c r="U563" s="79"/>
      <c r="V563" s="79"/>
      <c r="W563" s="79"/>
      <c r="X563" s="79"/>
      <c r="Y563" s="79"/>
      <c r="Z563" s="96"/>
    </row>
    <row r="564" ht="15.75" customHeight="1" spans="1:26">
      <c r="A564" s="105"/>
      <c r="B564" s="105"/>
      <c r="C564" s="106"/>
      <c r="D564" s="105"/>
      <c r="E564" s="144"/>
      <c r="F564" s="61" t="s">
        <v>3839</v>
      </c>
      <c r="G564" s="137">
        <v>1.58</v>
      </c>
      <c r="H564" s="137">
        <v>3.4</v>
      </c>
      <c r="I564" s="109">
        <f t="shared" si="12"/>
        <v>5.37</v>
      </c>
      <c r="J564" s="79"/>
      <c r="K564" s="79"/>
      <c r="L564" s="79"/>
      <c r="M564" s="79"/>
      <c r="N564" s="79"/>
      <c r="O564" s="79"/>
      <c r="P564" s="79"/>
      <c r="Q564" s="79"/>
      <c r="R564" s="79"/>
      <c r="S564" s="79"/>
      <c r="T564" s="79"/>
      <c r="U564" s="79"/>
      <c r="V564" s="79"/>
      <c r="W564" s="79"/>
      <c r="X564" s="79"/>
      <c r="Y564" s="79"/>
      <c r="Z564" s="96"/>
    </row>
    <row r="565" ht="15.75" customHeight="1" spans="1:26">
      <c r="A565" s="105"/>
      <c r="B565" s="105"/>
      <c r="C565" s="106"/>
      <c r="D565" s="105"/>
      <c r="E565" s="144"/>
      <c r="F565" s="61" t="s">
        <v>3840</v>
      </c>
      <c r="G565" s="137">
        <v>1.53</v>
      </c>
      <c r="H565" s="137">
        <v>3.4</v>
      </c>
      <c r="I565" s="109">
        <f t="shared" si="12"/>
        <v>5.2</v>
      </c>
      <c r="J565" s="79"/>
      <c r="K565" s="79"/>
      <c r="L565" s="79"/>
      <c r="M565" s="79"/>
      <c r="N565" s="79"/>
      <c r="O565" s="79"/>
      <c r="P565" s="79"/>
      <c r="Q565" s="79"/>
      <c r="R565" s="79"/>
      <c r="S565" s="79"/>
      <c r="T565" s="79"/>
      <c r="U565" s="79"/>
      <c r="V565" s="79"/>
      <c r="W565" s="79"/>
      <c r="X565" s="79"/>
      <c r="Y565" s="79"/>
      <c r="Z565" s="96"/>
    </row>
    <row r="566" ht="15.75" customHeight="1" spans="1:26">
      <c r="A566" s="105"/>
      <c r="B566" s="105"/>
      <c r="C566" s="106"/>
      <c r="D566" s="105"/>
      <c r="E566" s="144"/>
      <c r="F566" s="61" t="s">
        <v>3841</v>
      </c>
      <c r="G566" s="137">
        <v>1.62</v>
      </c>
      <c r="H566" s="137">
        <v>3.4</v>
      </c>
      <c r="I566" s="109">
        <f t="shared" si="12"/>
        <v>5.5</v>
      </c>
      <c r="J566" s="79"/>
      <c r="K566" s="79"/>
      <c r="L566" s="79"/>
      <c r="M566" s="79"/>
      <c r="N566" s="79"/>
      <c r="O566" s="79"/>
      <c r="P566" s="79"/>
      <c r="Q566" s="79"/>
      <c r="R566" s="79"/>
      <c r="S566" s="79"/>
      <c r="T566" s="79"/>
      <c r="U566" s="79"/>
      <c r="V566" s="79"/>
      <c r="W566" s="79"/>
      <c r="X566" s="79"/>
      <c r="Y566" s="79"/>
      <c r="Z566" s="96"/>
    </row>
    <row r="567" ht="15.75" customHeight="1" spans="1:26">
      <c r="A567" s="105"/>
      <c r="B567" s="105"/>
      <c r="C567" s="106"/>
      <c r="D567" s="105"/>
      <c r="E567" s="144"/>
      <c r="F567" s="61" t="s">
        <v>4238</v>
      </c>
      <c r="G567" s="137">
        <v>1.62</v>
      </c>
      <c r="H567" s="137">
        <v>3.4</v>
      </c>
      <c r="I567" s="109">
        <f t="shared" si="12"/>
        <v>5.5</v>
      </c>
      <c r="J567" s="79"/>
      <c r="K567" s="79"/>
      <c r="L567" s="79"/>
      <c r="M567" s="79"/>
      <c r="N567" s="79"/>
      <c r="O567" s="79"/>
      <c r="P567" s="79"/>
      <c r="Q567" s="79"/>
      <c r="R567" s="79"/>
      <c r="S567" s="79"/>
      <c r="T567" s="79"/>
      <c r="U567" s="79"/>
      <c r="V567" s="79"/>
      <c r="W567" s="79"/>
      <c r="X567" s="79"/>
      <c r="Y567" s="79"/>
      <c r="Z567" s="96"/>
    </row>
    <row r="568" ht="15.75" customHeight="1" spans="1:26">
      <c r="A568" s="105"/>
      <c r="B568" s="105"/>
      <c r="C568" s="106"/>
      <c r="D568" s="105"/>
      <c r="E568" s="144"/>
      <c r="F568" s="61" t="s">
        <v>4239</v>
      </c>
      <c r="G568" s="137">
        <v>1.62</v>
      </c>
      <c r="H568" s="137">
        <v>3.4</v>
      </c>
      <c r="I568" s="109">
        <f t="shared" si="12"/>
        <v>5.5</v>
      </c>
      <c r="J568" s="79"/>
      <c r="K568" s="79"/>
      <c r="L568" s="79"/>
      <c r="M568" s="79"/>
      <c r="N568" s="79"/>
      <c r="O568" s="79"/>
      <c r="P568" s="79"/>
      <c r="Q568" s="79"/>
      <c r="R568" s="79"/>
      <c r="S568" s="79"/>
      <c r="T568" s="79"/>
      <c r="U568" s="79"/>
      <c r="V568" s="79"/>
      <c r="W568" s="79"/>
      <c r="X568" s="79"/>
      <c r="Y568" s="79"/>
      <c r="Z568" s="96"/>
    </row>
    <row r="569" ht="15.75" customHeight="1" spans="1:26">
      <c r="A569" s="105"/>
      <c r="B569" s="105"/>
      <c r="C569" s="106"/>
      <c r="D569" s="105"/>
      <c r="E569" s="144"/>
      <c r="F569" s="61" t="s">
        <v>4303</v>
      </c>
      <c r="G569" s="68">
        <v>38.18</v>
      </c>
      <c r="H569" s="137">
        <v>3.4</v>
      </c>
      <c r="I569" s="109">
        <f t="shared" si="12"/>
        <v>129.81</v>
      </c>
      <c r="J569" s="79"/>
      <c r="K569" s="79"/>
      <c r="L569" s="79"/>
      <c r="M569" s="79"/>
      <c r="N569" s="79"/>
      <c r="O569" s="79"/>
      <c r="P569" s="79"/>
      <c r="Q569" s="79"/>
      <c r="R569" s="79"/>
      <c r="S569" s="79"/>
      <c r="T569" s="79"/>
      <c r="U569" s="79"/>
      <c r="V569" s="79"/>
      <c r="W569" s="79"/>
      <c r="X569" s="79"/>
      <c r="Y569" s="79"/>
      <c r="Z569" s="96"/>
    </row>
    <row r="570" ht="15.75" customHeight="1" spans="1:26">
      <c r="A570" s="105"/>
      <c r="B570" s="105"/>
      <c r="C570" s="106"/>
      <c r="D570" s="105"/>
      <c r="E570" s="144"/>
      <c r="F570" s="38"/>
      <c r="G570" s="68"/>
      <c r="H570" s="68" t="s">
        <v>3689</v>
      </c>
      <c r="I570" s="125">
        <f>SUM(I559:I569)</f>
        <v>196.99</v>
      </c>
      <c r="J570" s="79"/>
      <c r="K570" s="79"/>
      <c r="L570" s="79"/>
      <c r="M570" s="79"/>
      <c r="N570" s="79"/>
      <c r="O570" s="79"/>
      <c r="P570" s="79"/>
      <c r="Q570" s="79"/>
      <c r="R570" s="79"/>
      <c r="S570" s="79"/>
      <c r="T570" s="79"/>
      <c r="U570" s="79"/>
      <c r="V570" s="79"/>
      <c r="W570" s="79"/>
      <c r="X570" s="79"/>
      <c r="Y570" s="79"/>
      <c r="Z570" s="96"/>
    </row>
    <row r="571" ht="15.75" customHeight="1" spans="1:26">
      <c r="A571" s="39">
        <v>23</v>
      </c>
      <c r="B571" s="40"/>
      <c r="C571" s="41" t="s">
        <v>41</v>
      </c>
      <c r="D571" s="42"/>
      <c r="E571" s="43"/>
      <c r="F571" s="66"/>
      <c r="G571" s="67"/>
      <c r="H571" s="67"/>
      <c r="I571" s="95"/>
      <c r="J571" s="79"/>
      <c r="K571" s="79"/>
      <c r="L571" s="79"/>
      <c r="M571" s="79"/>
      <c r="N571" s="79"/>
      <c r="O571" s="79"/>
      <c r="P571" s="79"/>
      <c r="Q571" s="79"/>
      <c r="R571" s="79"/>
      <c r="S571" s="79"/>
      <c r="T571" s="79"/>
      <c r="U571" s="79"/>
      <c r="V571" s="79"/>
      <c r="W571" s="79"/>
      <c r="X571" s="79"/>
      <c r="Y571" s="79"/>
      <c r="Z571" s="96"/>
    </row>
    <row r="572" ht="18.75" customHeight="1" spans="1:26">
      <c r="A572" s="100" t="s">
        <v>4304</v>
      </c>
      <c r="B572" s="101" t="s">
        <v>4305</v>
      </c>
      <c r="C572" s="102" t="s">
        <v>4306</v>
      </c>
      <c r="D572" s="103" t="s">
        <v>3719</v>
      </c>
      <c r="E572" s="139">
        <f>G575</f>
        <v>117.51</v>
      </c>
      <c r="F572" s="47" t="s">
        <v>4283</v>
      </c>
      <c r="G572" s="117" t="s">
        <v>3830</v>
      </c>
      <c r="H572" s="117"/>
      <c r="I572" s="172"/>
      <c r="J572" s="79"/>
      <c r="K572" s="79"/>
      <c r="L572" s="79"/>
      <c r="M572" s="79"/>
      <c r="N572" s="79"/>
      <c r="O572" s="79"/>
      <c r="P572" s="79"/>
      <c r="Q572" s="79"/>
      <c r="R572" s="79"/>
      <c r="S572" s="79"/>
      <c r="T572" s="79"/>
      <c r="U572" s="79"/>
      <c r="V572" s="79"/>
      <c r="W572" s="79"/>
      <c r="X572" s="79"/>
      <c r="Y572" s="79"/>
      <c r="Z572" s="96"/>
    </row>
    <row r="573" ht="15.75" customHeight="1" spans="1:26">
      <c r="A573" s="105"/>
      <c r="B573" s="105"/>
      <c r="C573" s="106"/>
      <c r="D573" s="105"/>
      <c r="E573" s="140"/>
      <c r="F573" s="47" t="s">
        <v>3831</v>
      </c>
      <c r="G573" s="117">
        <f>33.98</f>
        <v>33.98</v>
      </c>
      <c r="H573" s="117"/>
      <c r="I573" s="172"/>
      <c r="J573" s="79"/>
      <c r="K573" s="79"/>
      <c r="L573" s="79"/>
      <c r="M573" s="79"/>
      <c r="N573" s="79"/>
      <c r="O573" s="79"/>
      <c r="P573" s="79"/>
      <c r="Q573" s="79"/>
      <c r="R573" s="79"/>
      <c r="S573" s="79"/>
      <c r="T573" s="79"/>
      <c r="U573" s="79"/>
      <c r="V573" s="79"/>
      <c r="W573" s="79"/>
      <c r="X573" s="79"/>
      <c r="Y573" s="79"/>
      <c r="Z573" s="96"/>
    </row>
    <row r="574" ht="15.75" customHeight="1" spans="1:26">
      <c r="A574" s="105"/>
      <c r="B574" s="105"/>
      <c r="C574" s="106"/>
      <c r="D574" s="105"/>
      <c r="E574" s="140"/>
      <c r="F574" s="168" t="s">
        <v>4216</v>
      </c>
      <c r="G574" s="117">
        <v>83.53</v>
      </c>
      <c r="H574" s="117"/>
      <c r="I574" s="172"/>
      <c r="J574" s="79"/>
      <c r="K574" s="79"/>
      <c r="L574" s="79"/>
      <c r="M574" s="79"/>
      <c r="N574" s="79"/>
      <c r="O574" s="79"/>
      <c r="P574" s="79"/>
      <c r="Q574" s="79"/>
      <c r="R574" s="79"/>
      <c r="S574" s="79"/>
      <c r="T574" s="79"/>
      <c r="U574" s="79"/>
      <c r="V574" s="79"/>
      <c r="W574" s="79"/>
      <c r="X574" s="79"/>
      <c r="Y574" s="79"/>
      <c r="Z574" s="96"/>
    </row>
    <row r="575" ht="15.75" customHeight="1" spans="1:26">
      <c r="A575" s="114"/>
      <c r="B575" s="114"/>
      <c r="C575" s="141"/>
      <c r="D575" s="114"/>
      <c r="E575" s="142"/>
      <c r="F575" s="169" t="s">
        <v>3689</v>
      </c>
      <c r="G575" s="170">
        <f>SUM(G573:G574)</f>
        <v>117.51</v>
      </c>
      <c r="H575" s="117"/>
      <c r="I575" s="172"/>
      <c r="J575" s="79"/>
      <c r="K575" s="79"/>
      <c r="L575" s="79"/>
      <c r="M575" s="79"/>
      <c r="N575" s="79"/>
      <c r="O575" s="79"/>
      <c r="P575" s="79"/>
      <c r="Q575" s="79"/>
      <c r="R575" s="79"/>
      <c r="S575" s="79"/>
      <c r="T575" s="79"/>
      <c r="U575" s="79"/>
      <c r="V575" s="79"/>
      <c r="W575" s="79"/>
      <c r="X575" s="79"/>
      <c r="Y575" s="79"/>
      <c r="Z575" s="96"/>
    </row>
    <row r="576" ht="18.75" customHeight="1" spans="1:26">
      <c r="A576" s="100" t="s">
        <v>4307</v>
      </c>
      <c r="B576" s="101" t="s">
        <v>4308</v>
      </c>
      <c r="C576" s="171" t="s">
        <v>1338</v>
      </c>
      <c r="D576" s="103" t="s">
        <v>3719</v>
      </c>
      <c r="E576" s="104">
        <f>I576</f>
        <v>416.52</v>
      </c>
      <c r="F576" s="61" t="s">
        <v>4283</v>
      </c>
      <c r="G576" s="119" t="s">
        <v>4309</v>
      </c>
      <c r="H576" s="17"/>
      <c r="I576" s="127">
        <f>507.61-91.09</f>
        <v>416.52</v>
      </c>
      <c r="J576" s="79"/>
      <c r="K576" s="79"/>
      <c r="L576" s="79"/>
      <c r="M576" s="79"/>
      <c r="N576" s="79"/>
      <c r="O576" s="79"/>
      <c r="P576" s="79"/>
      <c r="Q576" s="79"/>
      <c r="R576" s="79"/>
      <c r="S576" s="79"/>
      <c r="T576" s="79"/>
      <c r="U576" s="79"/>
      <c r="V576" s="79"/>
      <c r="W576" s="79"/>
      <c r="X576" s="79"/>
      <c r="Y576" s="79"/>
      <c r="Z576" s="96"/>
    </row>
    <row r="577" ht="18.75" customHeight="1" spans="1:26">
      <c r="A577" s="100" t="s">
        <v>4310</v>
      </c>
      <c r="B577" s="100">
        <v>96113</v>
      </c>
      <c r="C577" s="158" t="s">
        <v>1341</v>
      </c>
      <c r="D577" s="103" t="s">
        <v>3719</v>
      </c>
      <c r="E577" s="139">
        <f>G582</f>
        <v>39.47</v>
      </c>
      <c r="F577" s="61" t="s">
        <v>4283</v>
      </c>
      <c r="G577" s="117" t="s">
        <v>3830</v>
      </c>
      <c r="H577" s="117"/>
      <c r="I577" s="172"/>
      <c r="J577" s="79"/>
      <c r="K577" s="79"/>
      <c r="L577" s="79"/>
      <c r="M577" s="79"/>
      <c r="N577" s="79"/>
      <c r="O577" s="79"/>
      <c r="P577" s="79"/>
      <c r="Q577" s="79"/>
      <c r="R577" s="79"/>
      <c r="S577" s="79"/>
      <c r="T577" s="79"/>
      <c r="U577" s="79"/>
      <c r="V577" s="79"/>
      <c r="W577" s="79"/>
      <c r="X577" s="79"/>
      <c r="Y577" s="79"/>
      <c r="Z577" s="96"/>
    </row>
    <row r="578" ht="15.75" customHeight="1" spans="1:26">
      <c r="A578" s="105"/>
      <c r="B578" s="105"/>
      <c r="C578" s="106"/>
      <c r="D578" s="105"/>
      <c r="E578" s="140"/>
      <c r="F578" s="173" t="s">
        <v>4251</v>
      </c>
      <c r="G578" s="117">
        <v>16.08</v>
      </c>
      <c r="H578" s="117"/>
      <c r="I578" s="172"/>
      <c r="J578" s="79"/>
      <c r="K578" s="79"/>
      <c r="L578" s="79"/>
      <c r="M578" s="79"/>
      <c r="N578" s="79"/>
      <c r="O578" s="79"/>
      <c r="P578" s="79"/>
      <c r="Q578" s="79"/>
      <c r="R578" s="79"/>
      <c r="S578" s="79"/>
      <c r="T578" s="79"/>
      <c r="U578" s="79"/>
      <c r="V578" s="79"/>
      <c r="W578" s="79"/>
      <c r="X578" s="79"/>
      <c r="Y578" s="79"/>
      <c r="Z578" s="96"/>
    </row>
    <row r="579" ht="15.75" customHeight="1" spans="1:26">
      <c r="A579" s="105"/>
      <c r="B579" s="105"/>
      <c r="C579" s="106"/>
      <c r="D579" s="105"/>
      <c r="E579" s="140"/>
      <c r="F579" s="173" t="s">
        <v>4252</v>
      </c>
      <c r="G579" s="117">
        <v>16.16</v>
      </c>
      <c r="H579" s="117"/>
      <c r="I579" s="172"/>
      <c r="J579" s="79"/>
      <c r="K579" s="79"/>
      <c r="L579" s="79"/>
      <c r="M579" s="79"/>
      <c r="N579" s="79"/>
      <c r="O579" s="79"/>
      <c r="P579" s="79"/>
      <c r="Q579" s="79"/>
      <c r="R579" s="79"/>
      <c r="S579" s="79"/>
      <c r="T579" s="79"/>
      <c r="U579" s="79"/>
      <c r="V579" s="79"/>
      <c r="W579" s="79"/>
      <c r="X579" s="79"/>
      <c r="Y579" s="79"/>
      <c r="Z579" s="96"/>
    </row>
    <row r="580" ht="15.75" customHeight="1" spans="1:26">
      <c r="A580" s="105"/>
      <c r="B580" s="105"/>
      <c r="C580" s="106"/>
      <c r="D580" s="105"/>
      <c r="E580" s="140"/>
      <c r="F580" s="173" t="s">
        <v>4311</v>
      </c>
      <c r="G580" s="153">
        <v>3.4</v>
      </c>
      <c r="H580" s="117"/>
      <c r="I580" s="172"/>
      <c r="J580" s="79"/>
      <c r="K580" s="79"/>
      <c r="L580" s="79"/>
      <c r="M580" s="79"/>
      <c r="N580" s="79"/>
      <c r="O580" s="79"/>
      <c r="P580" s="79"/>
      <c r="Q580" s="79"/>
      <c r="R580" s="79"/>
      <c r="S580" s="79"/>
      <c r="T580" s="79"/>
      <c r="U580" s="79"/>
      <c r="V580" s="79"/>
      <c r="W580" s="79"/>
      <c r="X580" s="79"/>
      <c r="Y580" s="79"/>
      <c r="Z580" s="96"/>
    </row>
    <row r="581" ht="15.75" customHeight="1" spans="1:26">
      <c r="A581" s="105"/>
      <c r="B581" s="105"/>
      <c r="C581" s="106"/>
      <c r="D581" s="105"/>
      <c r="E581" s="140"/>
      <c r="F581" s="173" t="s">
        <v>4312</v>
      </c>
      <c r="G581" s="153">
        <v>3.83</v>
      </c>
      <c r="H581" s="117"/>
      <c r="I581" s="172"/>
      <c r="J581" s="79"/>
      <c r="K581" s="79"/>
      <c r="L581" s="79"/>
      <c r="M581" s="79"/>
      <c r="N581" s="79"/>
      <c r="O581" s="79"/>
      <c r="P581" s="79"/>
      <c r="Q581" s="79"/>
      <c r="R581" s="79"/>
      <c r="S581" s="79"/>
      <c r="T581" s="79"/>
      <c r="U581" s="79"/>
      <c r="V581" s="79"/>
      <c r="W581" s="79"/>
      <c r="X581" s="79"/>
      <c r="Y581" s="79"/>
      <c r="Z581" s="96"/>
    </row>
    <row r="582" ht="15.75" customHeight="1" spans="1:26">
      <c r="A582" s="105"/>
      <c r="B582" s="105"/>
      <c r="C582" s="106"/>
      <c r="D582" s="105"/>
      <c r="E582" s="140"/>
      <c r="F582" s="169" t="s">
        <v>3689</v>
      </c>
      <c r="G582" s="170">
        <f>SUM(G578:G581)</f>
        <v>39.47</v>
      </c>
      <c r="H582" s="152"/>
      <c r="I582" s="172"/>
      <c r="J582" s="79"/>
      <c r="K582" s="79"/>
      <c r="L582" s="79"/>
      <c r="M582" s="79"/>
      <c r="N582" s="79"/>
      <c r="O582" s="79"/>
      <c r="P582" s="79"/>
      <c r="Q582" s="79"/>
      <c r="R582" s="79"/>
      <c r="S582" s="79"/>
      <c r="T582" s="79"/>
      <c r="U582" s="79"/>
      <c r="V582" s="79"/>
      <c r="W582" s="79"/>
      <c r="X582" s="79"/>
      <c r="Y582" s="79"/>
      <c r="Z582" s="96"/>
    </row>
    <row r="583" ht="15.75" customHeight="1" spans="1:26">
      <c r="A583" s="39">
        <v>24</v>
      </c>
      <c r="B583" s="40"/>
      <c r="C583" s="41" t="s">
        <v>42</v>
      </c>
      <c r="D583" s="42"/>
      <c r="E583" s="174"/>
      <c r="F583" s="175"/>
      <c r="G583" s="176"/>
      <c r="H583" s="176"/>
      <c r="I583" s="183"/>
      <c r="J583" s="79"/>
      <c r="K583" s="79"/>
      <c r="L583" s="79"/>
      <c r="M583" s="79"/>
      <c r="N583" s="79"/>
      <c r="O583" s="79"/>
      <c r="P583" s="79"/>
      <c r="Q583" s="79"/>
      <c r="R583" s="79"/>
      <c r="S583" s="79"/>
      <c r="T583" s="79"/>
      <c r="U583" s="79"/>
      <c r="V583" s="79"/>
      <c r="W583" s="79"/>
      <c r="X583" s="79"/>
      <c r="Y583" s="79"/>
      <c r="Z583" s="96"/>
    </row>
    <row r="584" ht="15.75" customHeight="1" spans="1:26">
      <c r="A584" s="39" t="s">
        <v>4313</v>
      </c>
      <c r="B584" s="40"/>
      <c r="C584" s="41" t="s">
        <v>1347</v>
      </c>
      <c r="D584" s="42"/>
      <c r="E584" s="174"/>
      <c r="F584" s="175"/>
      <c r="G584" s="176"/>
      <c r="H584" s="176"/>
      <c r="I584" s="183"/>
      <c r="J584" s="79"/>
      <c r="K584" s="79"/>
      <c r="L584" s="79"/>
      <c r="M584" s="79"/>
      <c r="N584" s="79"/>
      <c r="O584" s="79"/>
      <c r="P584" s="79"/>
      <c r="Q584" s="79"/>
      <c r="R584" s="79"/>
      <c r="S584" s="79"/>
      <c r="T584" s="79"/>
      <c r="U584" s="79"/>
      <c r="V584" s="79"/>
      <c r="W584" s="79"/>
      <c r="X584" s="79"/>
      <c r="Y584" s="79"/>
      <c r="Z584" s="96"/>
    </row>
    <row r="585" ht="15.75" customHeight="1" spans="1:26">
      <c r="A585" s="33" t="s">
        <v>4314</v>
      </c>
      <c r="B585" s="34" t="s">
        <v>4315</v>
      </c>
      <c r="C585" s="46" t="s">
        <v>4316</v>
      </c>
      <c r="D585" s="36" t="s">
        <v>105</v>
      </c>
      <c r="E585" s="37">
        <f>I585</f>
        <v>1</v>
      </c>
      <c r="F585" s="61" t="s">
        <v>4159</v>
      </c>
      <c r="G585" s="117" t="s">
        <v>4317</v>
      </c>
      <c r="H585" s="17"/>
      <c r="I585" s="88">
        <v>1</v>
      </c>
      <c r="J585" s="79"/>
      <c r="K585" s="79"/>
      <c r="L585" s="79"/>
      <c r="M585" s="79"/>
      <c r="N585" s="79"/>
      <c r="O585" s="79"/>
      <c r="P585" s="79"/>
      <c r="Q585" s="79"/>
      <c r="R585" s="79"/>
      <c r="S585" s="79"/>
      <c r="T585" s="79"/>
      <c r="U585" s="79"/>
      <c r="V585" s="79"/>
      <c r="W585" s="79"/>
      <c r="X585" s="79"/>
      <c r="Y585" s="79"/>
      <c r="Z585" s="96"/>
    </row>
    <row r="586" ht="15.75" customHeight="1" spans="1:26">
      <c r="A586" s="33" t="s">
        <v>4318</v>
      </c>
      <c r="B586" s="34" t="s">
        <v>4319</v>
      </c>
      <c r="C586" s="46" t="s">
        <v>4320</v>
      </c>
      <c r="D586" s="36" t="s">
        <v>105</v>
      </c>
      <c r="E586" s="37">
        <f>I586</f>
        <v>4</v>
      </c>
      <c r="F586" s="61" t="s">
        <v>4159</v>
      </c>
      <c r="G586" s="117" t="s">
        <v>4317</v>
      </c>
      <c r="H586" s="17"/>
      <c r="I586" s="88">
        <v>4</v>
      </c>
      <c r="J586" s="79"/>
      <c r="K586" s="79"/>
      <c r="L586" s="79"/>
      <c r="M586" s="79"/>
      <c r="N586" s="79"/>
      <c r="O586" s="79"/>
      <c r="P586" s="79"/>
      <c r="Q586" s="79"/>
      <c r="R586" s="79"/>
      <c r="S586" s="79"/>
      <c r="T586" s="79"/>
      <c r="U586" s="79"/>
      <c r="V586" s="79"/>
      <c r="W586" s="79"/>
      <c r="X586" s="79"/>
      <c r="Y586" s="79"/>
      <c r="Z586" s="96"/>
    </row>
    <row r="587" ht="15.75" customHeight="1" spans="1:26">
      <c r="A587" s="33" t="s">
        <v>4321</v>
      </c>
      <c r="B587" s="34" t="s">
        <v>4322</v>
      </c>
      <c r="C587" s="46" t="s">
        <v>4323</v>
      </c>
      <c r="D587" s="36" t="s">
        <v>3719</v>
      </c>
      <c r="E587" s="37">
        <f>I587</f>
        <v>1968.07</v>
      </c>
      <c r="F587" s="61" t="s">
        <v>4159</v>
      </c>
      <c r="G587" s="117" t="s">
        <v>4317</v>
      </c>
      <c r="H587" s="17"/>
      <c r="I587" s="127">
        <v>1968.07</v>
      </c>
      <c r="J587" s="79"/>
      <c r="K587" s="79"/>
      <c r="L587" s="79"/>
      <c r="M587" s="79"/>
      <c r="N587" s="79"/>
      <c r="O587" s="79"/>
      <c r="P587" s="79"/>
      <c r="Q587" s="79"/>
      <c r="R587" s="79"/>
      <c r="S587" s="79"/>
      <c r="T587" s="79"/>
      <c r="U587" s="79"/>
      <c r="V587" s="79"/>
      <c r="W587" s="79"/>
      <c r="X587" s="79"/>
      <c r="Y587" s="79"/>
      <c r="Z587" s="96"/>
    </row>
    <row r="588" ht="15.75" customHeight="1" spans="1:26">
      <c r="A588" s="33" t="s">
        <v>4324</v>
      </c>
      <c r="B588" s="34">
        <v>98516</v>
      </c>
      <c r="C588" s="46" t="s">
        <v>4325</v>
      </c>
      <c r="D588" s="36" t="s">
        <v>105</v>
      </c>
      <c r="E588" s="37">
        <f>I588</f>
        <v>10</v>
      </c>
      <c r="F588" s="61" t="s">
        <v>4159</v>
      </c>
      <c r="G588" s="117" t="s">
        <v>4317</v>
      </c>
      <c r="H588" s="17"/>
      <c r="I588" s="127">
        <v>10</v>
      </c>
      <c r="J588" s="79"/>
      <c r="K588" s="79"/>
      <c r="L588" s="79"/>
      <c r="M588" s="79"/>
      <c r="N588" s="79"/>
      <c r="O588" s="79"/>
      <c r="P588" s="79"/>
      <c r="Q588" s="79"/>
      <c r="R588" s="79"/>
      <c r="S588" s="79"/>
      <c r="T588" s="79"/>
      <c r="U588" s="79"/>
      <c r="V588" s="79"/>
      <c r="W588" s="79"/>
      <c r="X588" s="79"/>
      <c r="Y588" s="79"/>
      <c r="Z588" s="96"/>
    </row>
    <row r="589" ht="15.75" customHeight="1" spans="1:26">
      <c r="A589" s="33" t="s">
        <v>4326</v>
      </c>
      <c r="B589" s="34" t="s">
        <v>4327</v>
      </c>
      <c r="C589" s="46" t="s">
        <v>4328</v>
      </c>
      <c r="D589" s="36" t="s">
        <v>105</v>
      </c>
      <c r="E589" s="37">
        <f>I589</f>
        <v>18</v>
      </c>
      <c r="F589" s="61" t="s">
        <v>4159</v>
      </c>
      <c r="G589" s="117" t="s">
        <v>4317</v>
      </c>
      <c r="H589" s="17"/>
      <c r="I589" s="127">
        <v>18</v>
      </c>
      <c r="J589" s="79"/>
      <c r="K589" s="79"/>
      <c r="L589" s="79"/>
      <c r="M589" s="79"/>
      <c r="N589" s="79"/>
      <c r="O589" s="79"/>
      <c r="P589" s="79"/>
      <c r="Q589" s="79"/>
      <c r="R589" s="79"/>
      <c r="S589" s="79"/>
      <c r="T589" s="79"/>
      <c r="U589" s="79"/>
      <c r="V589" s="79"/>
      <c r="W589" s="79"/>
      <c r="X589" s="79"/>
      <c r="Y589" s="79"/>
      <c r="Z589" s="96"/>
    </row>
    <row r="590" ht="15.75" customHeight="1" spans="1:26">
      <c r="A590" s="39" t="s">
        <v>4329</v>
      </c>
      <c r="B590" s="40"/>
      <c r="C590" s="41" t="s">
        <v>4330</v>
      </c>
      <c r="D590" s="42"/>
      <c r="E590" s="174"/>
      <c r="F590" s="175"/>
      <c r="G590" s="176"/>
      <c r="H590" s="176"/>
      <c r="I590" s="183"/>
      <c r="J590" s="79"/>
      <c r="K590" s="79"/>
      <c r="L590" s="79"/>
      <c r="M590" s="79"/>
      <c r="N590" s="79"/>
      <c r="O590" s="79"/>
      <c r="P590" s="79"/>
      <c r="Q590" s="79"/>
      <c r="R590" s="79"/>
      <c r="S590" s="79"/>
      <c r="T590" s="79"/>
      <c r="U590" s="79"/>
      <c r="V590" s="79"/>
      <c r="W590" s="79"/>
      <c r="X590" s="79"/>
      <c r="Y590" s="79"/>
      <c r="Z590" s="96"/>
    </row>
    <row r="591" ht="15.75" customHeight="1" spans="1:26">
      <c r="A591" s="33" t="s">
        <v>4331</v>
      </c>
      <c r="B591" s="34">
        <v>92398</v>
      </c>
      <c r="C591" s="46" t="s">
        <v>1370</v>
      </c>
      <c r="D591" s="36" t="s">
        <v>3719</v>
      </c>
      <c r="E591" s="37">
        <f t="shared" ref="E591:E598" si="13">I591</f>
        <v>1113.82</v>
      </c>
      <c r="F591" s="61" t="s">
        <v>4159</v>
      </c>
      <c r="G591" s="117" t="s">
        <v>4332</v>
      </c>
      <c r="H591" s="17"/>
      <c r="I591" s="88">
        <v>1113.82</v>
      </c>
      <c r="J591" s="79"/>
      <c r="K591" s="79"/>
      <c r="L591" s="79"/>
      <c r="M591" s="79"/>
      <c r="N591" s="79"/>
      <c r="O591" s="79"/>
      <c r="P591" s="79"/>
      <c r="Q591" s="79"/>
      <c r="R591" s="79"/>
      <c r="S591" s="79"/>
      <c r="T591" s="79"/>
      <c r="U591" s="79"/>
      <c r="V591" s="79"/>
      <c r="W591" s="79"/>
      <c r="X591" s="79"/>
      <c r="Y591" s="79"/>
      <c r="Z591" s="96"/>
    </row>
    <row r="592" ht="15.75" customHeight="1" spans="1:26">
      <c r="A592" s="33" t="s">
        <v>4333</v>
      </c>
      <c r="B592" s="34" t="s">
        <v>4282</v>
      </c>
      <c r="C592" s="46" t="s">
        <v>1302</v>
      </c>
      <c r="D592" s="36" t="s">
        <v>3719</v>
      </c>
      <c r="E592" s="37">
        <f t="shared" si="13"/>
        <v>796.05</v>
      </c>
      <c r="F592" s="61" t="s">
        <v>4159</v>
      </c>
      <c r="G592" s="117" t="s">
        <v>4332</v>
      </c>
      <c r="H592" s="17"/>
      <c r="I592" s="88">
        <v>796.05</v>
      </c>
      <c r="J592" s="79"/>
      <c r="K592" s="79"/>
      <c r="L592" s="79"/>
      <c r="M592" s="79"/>
      <c r="N592" s="79"/>
      <c r="O592" s="79"/>
      <c r="P592" s="79"/>
      <c r="Q592" s="79"/>
      <c r="R592" s="79"/>
      <c r="S592" s="79"/>
      <c r="T592" s="79"/>
      <c r="U592" s="79"/>
      <c r="V592" s="79"/>
      <c r="W592" s="79"/>
      <c r="X592" s="79"/>
      <c r="Y592" s="79"/>
      <c r="Z592" s="96"/>
    </row>
    <row r="593" ht="15.75" customHeight="1" spans="1:26">
      <c r="A593" s="33" t="s">
        <v>4334</v>
      </c>
      <c r="B593" s="34">
        <v>94992</v>
      </c>
      <c r="C593" s="46" t="s">
        <v>1331</v>
      </c>
      <c r="D593" s="36" t="s">
        <v>3719</v>
      </c>
      <c r="E593" s="37">
        <f t="shared" si="13"/>
        <v>28.88</v>
      </c>
      <c r="F593" s="61" t="s">
        <v>4159</v>
      </c>
      <c r="G593" s="117" t="s">
        <v>4332</v>
      </c>
      <c r="H593" s="17"/>
      <c r="I593" s="88">
        <v>28.88</v>
      </c>
      <c r="J593" s="79"/>
      <c r="K593" s="79"/>
      <c r="L593" s="79"/>
      <c r="M593" s="79"/>
      <c r="N593" s="79"/>
      <c r="O593" s="79"/>
      <c r="P593" s="79"/>
      <c r="Q593" s="79"/>
      <c r="R593" s="79"/>
      <c r="S593" s="79"/>
      <c r="T593" s="79"/>
      <c r="U593" s="79"/>
      <c r="V593" s="79"/>
      <c r="W593" s="79"/>
      <c r="X593" s="79"/>
      <c r="Y593" s="79"/>
      <c r="Z593" s="96"/>
    </row>
    <row r="594" ht="15.75" customHeight="1" spans="1:26">
      <c r="A594" s="33" t="s">
        <v>4335</v>
      </c>
      <c r="B594" s="34">
        <v>104658</v>
      </c>
      <c r="C594" s="46" t="s">
        <v>1323</v>
      </c>
      <c r="D594" s="36" t="s">
        <v>3719</v>
      </c>
      <c r="E594" s="37">
        <f t="shared" si="13"/>
        <v>17.19</v>
      </c>
      <c r="F594" s="61" t="s">
        <v>4159</v>
      </c>
      <c r="G594" s="117" t="s">
        <v>4332</v>
      </c>
      <c r="H594" s="17"/>
      <c r="I594" s="88">
        <v>17.19</v>
      </c>
      <c r="J594" s="79"/>
      <c r="K594" s="79"/>
      <c r="L594" s="79"/>
      <c r="M594" s="79"/>
      <c r="N594" s="79"/>
      <c r="O594" s="79"/>
      <c r="P594" s="79"/>
      <c r="Q594" s="79"/>
      <c r="R594" s="79"/>
      <c r="S594" s="79"/>
      <c r="T594" s="79"/>
      <c r="U594" s="79"/>
      <c r="V594" s="79"/>
      <c r="W594" s="79"/>
      <c r="X594" s="79"/>
      <c r="Y594" s="79"/>
      <c r="Z594" s="96"/>
    </row>
    <row r="595" ht="18.75" customHeight="1" spans="1:26">
      <c r="A595" s="33" t="s">
        <v>4336</v>
      </c>
      <c r="B595" s="34">
        <v>102500</v>
      </c>
      <c r="C595" s="46" t="s">
        <v>1376</v>
      </c>
      <c r="D595" s="36" t="s">
        <v>78</v>
      </c>
      <c r="E595" s="104">
        <f t="shared" si="13"/>
        <v>314.44</v>
      </c>
      <c r="F595" s="61" t="s">
        <v>3730</v>
      </c>
      <c r="G595" s="118" t="s">
        <v>4337</v>
      </c>
      <c r="H595" s="17"/>
      <c r="I595" s="88">
        <f>(32*5)+(4.9*4)+(18*1.63)+(9*2.5)+(30*2.5)+(1*8)</f>
        <v>314.44</v>
      </c>
      <c r="J595" s="79"/>
      <c r="K595" s="79"/>
      <c r="L595" s="79"/>
      <c r="M595" s="79"/>
      <c r="N595" s="79"/>
      <c r="O595" s="79"/>
      <c r="P595" s="79"/>
      <c r="Q595" s="79"/>
      <c r="R595" s="79"/>
      <c r="S595" s="79"/>
      <c r="T595" s="79"/>
      <c r="U595" s="79"/>
      <c r="V595" s="79"/>
      <c r="W595" s="79"/>
      <c r="X595" s="79"/>
      <c r="Y595" s="79"/>
      <c r="Z595" s="96"/>
    </row>
    <row r="596" ht="18.75" customHeight="1" spans="1:26">
      <c r="A596" s="33" t="s">
        <v>4338</v>
      </c>
      <c r="B596" s="34" t="s">
        <v>4339</v>
      </c>
      <c r="C596" s="46" t="s">
        <v>964</v>
      </c>
      <c r="D596" s="177" t="s">
        <v>105</v>
      </c>
      <c r="E596" s="104">
        <f t="shared" si="13"/>
        <v>20</v>
      </c>
      <c r="F596" s="61" t="s">
        <v>3730</v>
      </c>
      <c r="G596" s="119" t="s">
        <v>4340</v>
      </c>
      <c r="H596" s="17"/>
      <c r="I596" s="88">
        <v>20</v>
      </c>
      <c r="J596" s="79"/>
      <c r="K596" s="79"/>
      <c r="L596" s="79"/>
      <c r="M596" s="79"/>
      <c r="N596" s="79"/>
      <c r="O596" s="79"/>
      <c r="P596" s="79"/>
      <c r="Q596" s="79"/>
      <c r="R596" s="79"/>
      <c r="S596" s="79"/>
      <c r="T596" s="79"/>
      <c r="U596" s="79"/>
      <c r="V596" s="79"/>
      <c r="W596" s="79"/>
      <c r="X596" s="79"/>
      <c r="Y596" s="79"/>
      <c r="Z596" s="96"/>
    </row>
    <row r="597" ht="36.75" customHeight="1" spans="1:26">
      <c r="A597" s="33" t="s">
        <v>4341</v>
      </c>
      <c r="B597" s="34" t="s">
        <v>4342</v>
      </c>
      <c r="C597" s="46" t="s">
        <v>4343</v>
      </c>
      <c r="D597" s="177" t="s">
        <v>105</v>
      </c>
      <c r="E597" s="104">
        <f t="shared" si="13"/>
        <v>3</v>
      </c>
      <c r="F597" s="61" t="s">
        <v>3730</v>
      </c>
      <c r="G597" s="119" t="s">
        <v>4340</v>
      </c>
      <c r="H597" s="17"/>
      <c r="I597" s="88">
        <v>3</v>
      </c>
      <c r="J597" s="79"/>
      <c r="K597" s="79"/>
      <c r="L597" s="79"/>
      <c r="M597" s="79"/>
      <c r="N597" s="79"/>
      <c r="O597" s="79"/>
      <c r="P597" s="79"/>
      <c r="Q597" s="79"/>
      <c r="R597" s="79"/>
      <c r="S597" s="79"/>
      <c r="T597" s="79"/>
      <c r="U597" s="79"/>
      <c r="V597" s="79"/>
      <c r="W597" s="79"/>
      <c r="X597" s="79"/>
      <c r="Y597" s="79"/>
      <c r="Z597" s="96"/>
    </row>
    <row r="598" ht="36.75" customHeight="1" spans="1:26">
      <c r="A598" s="33" t="s">
        <v>4344</v>
      </c>
      <c r="B598" s="34" t="s">
        <v>4345</v>
      </c>
      <c r="C598" s="46" t="s">
        <v>4346</v>
      </c>
      <c r="D598" s="177" t="s">
        <v>105</v>
      </c>
      <c r="E598" s="37">
        <f t="shared" si="13"/>
        <v>17</v>
      </c>
      <c r="F598" s="61" t="s">
        <v>3730</v>
      </c>
      <c r="G598" s="119" t="s">
        <v>4340</v>
      </c>
      <c r="H598" s="17"/>
      <c r="I598" s="88">
        <v>17</v>
      </c>
      <c r="J598" s="79"/>
      <c r="K598" s="79"/>
      <c r="L598" s="79"/>
      <c r="M598" s="79"/>
      <c r="N598" s="79"/>
      <c r="O598" s="79"/>
      <c r="P598" s="79"/>
      <c r="Q598" s="79"/>
      <c r="R598" s="79"/>
      <c r="S598" s="79"/>
      <c r="T598" s="79"/>
      <c r="U598" s="79"/>
      <c r="V598" s="79"/>
      <c r="W598" s="79"/>
      <c r="X598" s="79"/>
      <c r="Y598" s="79"/>
      <c r="Z598" s="96"/>
    </row>
    <row r="599" ht="15.75" customHeight="1" spans="1:26">
      <c r="A599" s="39" t="s">
        <v>4347</v>
      </c>
      <c r="B599" s="40"/>
      <c r="C599" s="41" t="s">
        <v>1397</v>
      </c>
      <c r="D599" s="42"/>
      <c r="E599" s="178"/>
      <c r="F599" s="179"/>
      <c r="G599" s="180"/>
      <c r="H599" s="180"/>
      <c r="I599" s="184"/>
      <c r="J599" s="79"/>
      <c r="K599" s="79"/>
      <c r="L599" s="79"/>
      <c r="M599" s="79"/>
      <c r="N599" s="79"/>
      <c r="O599" s="79"/>
      <c r="P599" s="79"/>
      <c r="Q599" s="79"/>
      <c r="R599" s="79"/>
      <c r="S599" s="79"/>
      <c r="T599" s="79"/>
      <c r="U599" s="79"/>
      <c r="V599" s="79"/>
      <c r="W599" s="79"/>
      <c r="X599" s="79"/>
      <c r="Y599" s="79"/>
      <c r="Z599" s="96"/>
    </row>
    <row r="600" ht="15.75" customHeight="1" spans="1:26">
      <c r="A600" s="33" t="s">
        <v>4348</v>
      </c>
      <c r="B600" s="34" t="s">
        <v>4349</v>
      </c>
      <c r="C600" s="46" t="s">
        <v>4350</v>
      </c>
      <c r="D600" s="36" t="s">
        <v>78</v>
      </c>
      <c r="E600" s="37">
        <f>I600</f>
        <v>61.92</v>
      </c>
      <c r="F600" s="61" t="s">
        <v>3730</v>
      </c>
      <c r="G600" s="117" t="s">
        <v>4351</v>
      </c>
      <c r="H600" s="17"/>
      <c r="I600" s="88">
        <f>7.74*8</f>
        <v>61.92</v>
      </c>
      <c r="J600" s="79"/>
      <c r="K600" s="79"/>
      <c r="L600" s="79"/>
      <c r="M600" s="79"/>
      <c r="N600" s="79"/>
      <c r="O600" s="79"/>
      <c r="P600" s="79"/>
      <c r="Q600" s="79"/>
      <c r="R600" s="79"/>
      <c r="S600" s="79"/>
      <c r="T600" s="79"/>
      <c r="U600" s="79"/>
      <c r="V600" s="79"/>
      <c r="W600" s="79"/>
      <c r="X600" s="79"/>
      <c r="Y600" s="79"/>
      <c r="Z600" s="96"/>
    </row>
    <row r="601" ht="15.75" customHeight="1" spans="1:26">
      <c r="A601" s="39">
        <v>25</v>
      </c>
      <c r="B601" s="40"/>
      <c r="C601" s="41" t="s">
        <v>44</v>
      </c>
      <c r="D601" s="42"/>
      <c r="E601" s="178"/>
      <c r="F601" s="179"/>
      <c r="G601" s="180"/>
      <c r="H601" s="180"/>
      <c r="I601" s="184"/>
      <c r="J601" s="79"/>
      <c r="K601" s="79"/>
      <c r="L601" s="79"/>
      <c r="M601" s="79"/>
      <c r="N601" s="79"/>
      <c r="O601" s="79"/>
      <c r="P601" s="79"/>
      <c r="Q601" s="79"/>
      <c r="R601" s="79"/>
      <c r="S601" s="79"/>
      <c r="T601" s="79"/>
      <c r="U601" s="79"/>
      <c r="V601" s="79"/>
      <c r="W601" s="79"/>
      <c r="X601" s="79"/>
      <c r="Y601" s="79"/>
      <c r="Z601" s="96"/>
    </row>
    <row r="602" ht="15.75" customHeight="1" spans="1:26">
      <c r="A602" s="134" t="s">
        <v>4352</v>
      </c>
      <c r="B602" s="133" t="s">
        <v>4353</v>
      </c>
      <c r="C602" s="134" t="s">
        <v>1420</v>
      </c>
      <c r="D602" s="133" t="s">
        <v>105</v>
      </c>
      <c r="E602" s="135">
        <v>8</v>
      </c>
      <c r="F602" s="181" t="s">
        <v>4354</v>
      </c>
      <c r="G602" s="19"/>
      <c r="H602" s="19"/>
      <c r="I602" s="20"/>
      <c r="J602" s="79"/>
      <c r="K602" s="79"/>
      <c r="L602" s="79"/>
      <c r="M602" s="79"/>
      <c r="N602" s="79"/>
      <c r="O602" s="79"/>
      <c r="P602" s="79"/>
      <c r="Q602" s="79"/>
      <c r="R602" s="79"/>
      <c r="S602" s="79"/>
      <c r="T602" s="79"/>
      <c r="U602" s="79"/>
      <c r="V602" s="79"/>
      <c r="W602" s="79"/>
      <c r="X602" s="79"/>
      <c r="Y602" s="79"/>
      <c r="Z602" s="96"/>
    </row>
    <row r="603" ht="15.75" customHeight="1" spans="1:26">
      <c r="A603" s="134" t="s">
        <v>4355</v>
      </c>
      <c r="B603" s="133" t="s">
        <v>4356</v>
      </c>
      <c r="C603" s="134" t="s">
        <v>1423</v>
      </c>
      <c r="D603" s="133" t="s">
        <v>105</v>
      </c>
      <c r="E603" s="135">
        <v>17</v>
      </c>
      <c r="F603" s="181" t="s">
        <v>4354</v>
      </c>
      <c r="G603" s="19"/>
      <c r="H603" s="19"/>
      <c r="I603" s="20"/>
      <c r="J603" s="79"/>
      <c r="K603" s="79"/>
      <c r="L603" s="79"/>
      <c r="M603" s="79"/>
      <c r="N603" s="79"/>
      <c r="O603" s="79"/>
      <c r="P603" s="79"/>
      <c r="Q603" s="79"/>
      <c r="R603" s="79"/>
      <c r="S603" s="79"/>
      <c r="T603" s="79"/>
      <c r="U603" s="79"/>
      <c r="V603" s="79"/>
      <c r="W603" s="79"/>
      <c r="X603" s="79"/>
      <c r="Y603" s="79"/>
      <c r="Z603" s="96"/>
    </row>
    <row r="604" ht="15.75" customHeight="1" spans="1:26">
      <c r="A604" s="134" t="s">
        <v>4357</v>
      </c>
      <c r="B604" s="133" t="s">
        <v>4358</v>
      </c>
      <c r="C604" s="134" t="s">
        <v>1426</v>
      </c>
      <c r="D604" s="133" t="s">
        <v>105</v>
      </c>
      <c r="E604" s="135">
        <v>1</v>
      </c>
      <c r="F604" s="181" t="s">
        <v>4354</v>
      </c>
      <c r="G604" s="19"/>
      <c r="H604" s="19"/>
      <c r="I604" s="20"/>
      <c r="J604" s="79"/>
      <c r="K604" s="79"/>
      <c r="L604" s="79"/>
      <c r="M604" s="79"/>
      <c r="N604" s="79"/>
      <c r="O604" s="79"/>
      <c r="P604" s="79"/>
      <c r="Q604" s="79"/>
      <c r="R604" s="79"/>
      <c r="S604" s="79"/>
      <c r="T604" s="79"/>
      <c r="U604" s="79"/>
      <c r="V604" s="79"/>
      <c r="W604" s="79"/>
      <c r="X604" s="79"/>
      <c r="Y604" s="79"/>
      <c r="Z604" s="96"/>
    </row>
    <row r="605" ht="15.75" customHeight="1" spans="1:26">
      <c r="A605" s="134" t="s">
        <v>4359</v>
      </c>
      <c r="B605" s="133" t="s">
        <v>4360</v>
      </c>
      <c r="C605" s="134" t="s">
        <v>1429</v>
      </c>
      <c r="D605" s="133" t="s">
        <v>105</v>
      </c>
      <c r="E605" s="135">
        <v>1</v>
      </c>
      <c r="F605" s="181" t="s">
        <v>4354</v>
      </c>
      <c r="G605" s="19"/>
      <c r="H605" s="19"/>
      <c r="I605" s="20"/>
      <c r="J605" s="79"/>
      <c r="K605" s="79"/>
      <c r="L605" s="79"/>
      <c r="M605" s="79"/>
      <c r="N605" s="79"/>
      <c r="O605" s="79"/>
      <c r="P605" s="79"/>
      <c r="Q605" s="79"/>
      <c r="R605" s="79"/>
      <c r="S605" s="79"/>
      <c r="T605" s="79"/>
      <c r="U605" s="79"/>
      <c r="V605" s="79"/>
      <c r="W605" s="79"/>
      <c r="X605" s="79"/>
      <c r="Y605" s="79"/>
      <c r="Z605" s="96"/>
    </row>
    <row r="606" ht="15.75" customHeight="1" spans="1:26">
      <c r="A606" s="134" t="s">
        <v>4361</v>
      </c>
      <c r="B606" s="133" t="s">
        <v>4362</v>
      </c>
      <c r="C606" s="134" t="s">
        <v>1432</v>
      </c>
      <c r="D606" s="133" t="s">
        <v>105</v>
      </c>
      <c r="E606" s="135">
        <v>1</v>
      </c>
      <c r="F606" s="181" t="s">
        <v>4354</v>
      </c>
      <c r="G606" s="19"/>
      <c r="H606" s="19"/>
      <c r="I606" s="20"/>
      <c r="J606" s="79"/>
      <c r="K606" s="79"/>
      <c r="L606" s="79"/>
      <c r="M606" s="79"/>
      <c r="N606" s="79"/>
      <c r="O606" s="79"/>
      <c r="P606" s="79"/>
      <c r="Q606" s="79"/>
      <c r="R606" s="79"/>
      <c r="S606" s="79"/>
      <c r="T606" s="79"/>
      <c r="U606" s="79"/>
      <c r="V606" s="79"/>
      <c r="W606" s="79"/>
      <c r="X606" s="79"/>
      <c r="Y606" s="79"/>
      <c r="Z606" s="96"/>
    </row>
    <row r="607" ht="15.75" customHeight="1" spans="1:26">
      <c r="A607" s="134" t="s">
        <v>4363</v>
      </c>
      <c r="B607" s="133" t="s">
        <v>4364</v>
      </c>
      <c r="C607" s="134" t="s">
        <v>1435</v>
      </c>
      <c r="D607" s="133" t="s">
        <v>105</v>
      </c>
      <c r="E607" s="135">
        <v>1</v>
      </c>
      <c r="F607" s="181" t="s">
        <v>4354</v>
      </c>
      <c r="G607" s="19"/>
      <c r="H607" s="19"/>
      <c r="I607" s="20"/>
      <c r="J607" s="79"/>
      <c r="K607" s="79"/>
      <c r="L607" s="79"/>
      <c r="M607" s="79"/>
      <c r="N607" s="79"/>
      <c r="O607" s="79"/>
      <c r="P607" s="79"/>
      <c r="Q607" s="79"/>
      <c r="R607" s="79"/>
      <c r="S607" s="79"/>
      <c r="T607" s="79"/>
      <c r="U607" s="79"/>
      <c r="V607" s="79"/>
      <c r="W607" s="79"/>
      <c r="X607" s="79"/>
      <c r="Y607" s="79"/>
      <c r="Z607" s="96"/>
    </row>
    <row r="608" ht="15.75" customHeight="1" spans="1:26">
      <c r="A608" s="134" t="s">
        <v>4365</v>
      </c>
      <c r="B608" s="133" t="s">
        <v>4366</v>
      </c>
      <c r="C608" s="134" t="s">
        <v>1438</v>
      </c>
      <c r="D608" s="133" t="s">
        <v>105</v>
      </c>
      <c r="E608" s="135">
        <v>1</v>
      </c>
      <c r="F608" s="181" t="s">
        <v>4354</v>
      </c>
      <c r="G608" s="19"/>
      <c r="H608" s="19"/>
      <c r="I608" s="20"/>
      <c r="J608" s="79"/>
      <c r="K608" s="79"/>
      <c r="L608" s="79"/>
      <c r="M608" s="79"/>
      <c r="N608" s="79"/>
      <c r="O608" s="79"/>
      <c r="P608" s="79"/>
      <c r="Q608" s="79"/>
      <c r="R608" s="79"/>
      <c r="S608" s="79"/>
      <c r="T608" s="79"/>
      <c r="U608" s="79"/>
      <c r="V608" s="79"/>
      <c r="W608" s="79"/>
      <c r="X608" s="79"/>
      <c r="Y608" s="79"/>
      <c r="Z608" s="96"/>
    </row>
    <row r="609" ht="15.75" customHeight="1" spans="1:26">
      <c r="A609" s="134" t="s">
        <v>4367</v>
      </c>
      <c r="B609" s="133" t="s">
        <v>4368</v>
      </c>
      <c r="C609" s="134" t="s">
        <v>1441</v>
      </c>
      <c r="D609" s="133" t="s">
        <v>105</v>
      </c>
      <c r="E609" s="135">
        <v>2</v>
      </c>
      <c r="F609" s="181" t="s">
        <v>4354</v>
      </c>
      <c r="G609" s="19"/>
      <c r="H609" s="19"/>
      <c r="I609" s="20"/>
      <c r="J609" s="79"/>
      <c r="K609" s="79"/>
      <c r="L609" s="79"/>
      <c r="M609" s="79"/>
      <c r="N609" s="79"/>
      <c r="O609" s="79"/>
      <c r="P609" s="79"/>
      <c r="Q609" s="79"/>
      <c r="R609" s="79"/>
      <c r="S609" s="79"/>
      <c r="T609" s="79"/>
      <c r="U609" s="79"/>
      <c r="V609" s="79"/>
      <c r="W609" s="79"/>
      <c r="X609" s="79"/>
      <c r="Y609" s="79"/>
      <c r="Z609" s="96"/>
    </row>
    <row r="610" ht="15.75" customHeight="1" spans="1:26">
      <c r="A610" s="134" t="s">
        <v>4369</v>
      </c>
      <c r="B610" s="133" t="s">
        <v>4370</v>
      </c>
      <c r="C610" s="134" t="s">
        <v>1444</v>
      </c>
      <c r="D610" s="133" t="s">
        <v>105</v>
      </c>
      <c r="E610" s="135">
        <v>2</v>
      </c>
      <c r="F610" s="181" t="s">
        <v>4354</v>
      </c>
      <c r="G610" s="19"/>
      <c r="H610" s="19"/>
      <c r="I610" s="20"/>
      <c r="J610" s="79"/>
      <c r="K610" s="79"/>
      <c r="L610" s="79"/>
      <c r="M610" s="79"/>
      <c r="N610" s="79"/>
      <c r="O610" s="79"/>
      <c r="P610" s="79"/>
      <c r="Q610" s="79"/>
      <c r="R610" s="79"/>
      <c r="S610" s="79"/>
      <c r="T610" s="79"/>
      <c r="U610" s="79"/>
      <c r="V610" s="79"/>
      <c r="W610" s="79"/>
      <c r="X610" s="79"/>
      <c r="Y610" s="79"/>
      <c r="Z610" s="96"/>
    </row>
    <row r="611" ht="15.75" customHeight="1" spans="1:26">
      <c r="A611" s="134" t="s">
        <v>4371</v>
      </c>
      <c r="B611" s="133" t="s">
        <v>4370</v>
      </c>
      <c r="C611" s="134" t="s">
        <v>1447</v>
      </c>
      <c r="D611" s="133" t="s">
        <v>105</v>
      </c>
      <c r="E611" s="135">
        <v>1</v>
      </c>
      <c r="F611" s="181" t="s">
        <v>4354</v>
      </c>
      <c r="G611" s="19"/>
      <c r="H611" s="19"/>
      <c r="I611" s="20"/>
      <c r="J611" s="79"/>
      <c r="K611" s="79"/>
      <c r="L611" s="79"/>
      <c r="M611" s="79"/>
      <c r="N611" s="79"/>
      <c r="O611" s="79"/>
      <c r="P611" s="79"/>
      <c r="Q611" s="79"/>
      <c r="R611" s="79"/>
      <c r="S611" s="79"/>
      <c r="T611" s="79"/>
      <c r="U611" s="79"/>
      <c r="V611" s="79"/>
      <c r="W611" s="79"/>
      <c r="X611" s="79"/>
      <c r="Y611" s="79"/>
      <c r="Z611" s="96"/>
    </row>
    <row r="612" ht="15.75" customHeight="1" spans="1:26">
      <c r="A612" s="39">
        <v>26</v>
      </c>
      <c r="B612" s="40"/>
      <c r="C612" s="41" t="s">
        <v>45</v>
      </c>
      <c r="D612" s="42"/>
      <c r="E612" s="178"/>
      <c r="F612" s="179"/>
      <c r="G612" s="180"/>
      <c r="H612" s="180"/>
      <c r="I612" s="184"/>
      <c r="J612" s="79"/>
      <c r="K612" s="79"/>
      <c r="L612" s="79"/>
      <c r="M612" s="79"/>
      <c r="N612" s="79"/>
      <c r="O612" s="79"/>
      <c r="P612" s="79"/>
      <c r="Q612" s="79"/>
      <c r="R612" s="79"/>
      <c r="S612" s="79"/>
      <c r="T612" s="79"/>
      <c r="U612" s="79"/>
      <c r="V612" s="79"/>
      <c r="W612" s="79"/>
      <c r="X612" s="79"/>
      <c r="Y612" s="79"/>
      <c r="Z612" s="96"/>
    </row>
    <row r="613" ht="15.75" customHeight="1" spans="1:26">
      <c r="A613" s="39" t="s">
        <v>4372</v>
      </c>
      <c r="B613" s="40"/>
      <c r="C613" s="41" t="s">
        <v>1450</v>
      </c>
      <c r="D613" s="42"/>
      <c r="E613" s="178"/>
      <c r="F613" s="179"/>
      <c r="G613" s="180"/>
      <c r="H613" s="180"/>
      <c r="I613" s="184"/>
      <c r="J613" s="79"/>
      <c r="K613" s="79"/>
      <c r="L613" s="79"/>
      <c r="M613" s="79"/>
      <c r="N613" s="79"/>
      <c r="O613" s="79"/>
      <c r="P613" s="79"/>
      <c r="Q613" s="79"/>
      <c r="R613" s="79"/>
      <c r="S613" s="79"/>
      <c r="T613" s="79"/>
      <c r="U613" s="79"/>
      <c r="V613" s="79"/>
      <c r="W613" s="79"/>
      <c r="X613" s="79"/>
      <c r="Y613" s="79"/>
      <c r="Z613" s="96"/>
    </row>
    <row r="614" ht="15.75" customHeight="1" spans="1:26">
      <c r="A614" s="39" t="s">
        <v>4373</v>
      </c>
      <c r="B614" s="40"/>
      <c r="C614" s="41" t="s">
        <v>1452</v>
      </c>
      <c r="D614" s="42"/>
      <c r="E614" s="178"/>
      <c r="F614" s="179"/>
      <c r="G614" s="180"/>
      <c r="H614" s="180"/>
      <c r="I614" s="184"/>
      <c r="J614" s="79"/>
      <c r="K614" s="79"/>
      <c r="L614" s="79"/>
      <c r="M614" s="79"/>
      <c r="N614" s="79"/>
      <c r="O614" s="79"/>
      <c r="P614" s="79"/>
      <c r="Q614" s="79"/>
      <c r="R614" s="79"/>
      <c r="S614" s="79"/>
      <c r="T614" s="79"/>
      <c r="U614" s="79"/>
      <c r="V614" s="79"/>
      <c r="W614" s="79"/>
      <c r="X614" s="79"/>
      <c r="Y614" s="79"/>
      <c r="Z614" s="96"/>
    </row>
    <row r="615" ht="15.75" customHeight="1" spans="1:26">
      <c r="A615" s="134" t="s">
        <v>4374</v>
      </c>
      <c r="B615" s="133" t="s">
        <v>4375</v>
      </c>
      <c r="C615" s="134" t="s">
        <v>148</v>
      </c>
      <c r="D615" s="133" t="s">
        <v>3742</v>
      </c>
      <c r="E615" s="135">
        <v>4.4</v>
      </c>
      <c r="F615" s="181" t="s">
        <v>3751</v>
      </c>
      <c r="G615" s="19"/>
      <c r="H615" s="19"/>
      <c r="I615" s="20"/>
      <c r="J615" s="79"/>
      <c r="K615" s="79"/>
      <c r="L615" s="79"/>
      <c r="M615" s="79"/>
      <c r="N615" s="79"/>
      <c r="O615" s="79"/>
      <c r="P615" s="79"/>
      <c r="Q615" s="79"/>
      <c r="R615" s="79"/>
      <c r="S615" s="79"/>
      <c r="T615" s="79"/>
      <c r="U615" s="79"/>
      <c r="V615" s="79"/>
      <c r="W615" s="79"/>
      <c r="X615" s="79"/>
      <c r="Y615" s="79"/>
      <c r="Z615" s="96"/>
    </row>
    <row r="616" ht="15.75" customHeight="1" spans="1:26">
      <c r="A616" s="134" t="s">
        <v>4376</v>
      </c>
      <c r="B616" s="133" t="s">
        <v>4377</v>
      </c>
      <c r="C616" s="134" t="s">
        <v>170</v>
      </c>
      <c r="D616" s="133" t="s">
        <v>158</v>
      </c>
      <c r="E616" s="135">
        <v>173.4</v>
      </c>
      <c r="F616" s="181" t="s">
        <v>3751</v>
      </c>
      <c r="G616" s="19"/>
      <c r="H616" s="19"/>
      <c r="I616" s="20"/>
      <c r="J616" s="79"/>
      <c r="K616" s="79"/>
      <c r="L616" s="79"/>
      <c r="M616" s="79"/>
      <c r="N616" s="79"/>
      <c r="O616" s="79"/>
      <c r="P616" s="79"/>
      <c r="Q616" s="79"/>
      <c r="R616" s="79"/>
      <c r="S616" s="79"/>
      <c r="T616" s="79"/>
      <c r="U616" s="79"/>
      <c r="V616" s="79"/>
      <c r="W616" s="79"/>
      <c r="X616" s="79"/>
      <c r="Y616" s="79"/>
      <c r="Z616" s="96"/>
    </row>
    <row r="617" ht="15.75" customHeight="1" spans="1:26">
      <c r="A617" s="134" t="s">
        <v>4378</v>
      </c>
      <c r="B617" s="133" t="s">
        <v>4379</v>
      </c>
      <c r="C617" s="134" t="s">
        <v>179</v>
      </c>
      <c r="D617" s="133" t="s">
        <v>3742</v>
      </c>
      <c r="E617" s="135">
        <v>4.4</v>
      </c>
      <c r="F617" s="181" t="s">
        <v>3751</v>
      </c>
      <c r="G617" s="19"/>
      <c r="H617" s="19"/>
      <c r="I617" s="20"/>
      <c r="J617" s="79"/>
      <c r="K617" s="79"/>
      <c r="L617" s="79"/>
      <c r="M617" s="79"/>
      <c r="N617" s="79"/>
      <c r="O617" s="79"/>
      <c r="P617" s="79"/>
      <c r="Q617" s="79"/>
      <c r="R617" s="79"/>
      <c r="S617" s="79"/>
      <c r="T617" s="79"/>
      <c r="U617" s="79"/>
      <c r="V617" s="79"/>
      <c r="W617" s="79"/>
      <c r="X617" s="79"/>
      <c r="Y617" s="79"/>
      <c r="Z617" s="96"/>
    </row>
    <row r="618" ht="15.75" customHeight="1" spans="1:26">
      <c r="A618" s="134" t="s">
        <v>4380</v>
      </c>
      <c r="B618" s="133" t="s">
        <v>4381</v>
      </c>
      <c r="C618" s="134" t="s">
        <v>1464</v>
      </c>
      <c r="D618" s="133" t="s">
        <v>3742</v>
      </c>
      <c r="E618" s="135">
        <v>3.3</v>
      </c>
      <c r="F618" s="181" t="s">
        <v>3751</v>
      </c>
      <c r="G618" s="19"/>
      <c r="H618" s="19"/>
      <c r="I618" s="20"/>
      <c r="J618" s="79"/>
      <c r="K618" s="79"/>
      <c r="L618" s="79"/>
      <c r="M618" s="79"/>
      <c r="N618" s="79"/>
      <c r="O618" s="79"/>
      <c r="P618" s="79"/>
      <c r="Q618" s="79"/>
      <c r="R618" s="79"/>
      <c r="S618" s="79"/>
      <c r="T618" s="79"/>
      <c r="U618" s="79"/>
      <c r="V618" s="79"/>
      <c r="W618" s="79"/>
      <c r="X618" s="79"/>
      <c r="Y618" s="79"/>
      <c r="Z618" s="96"/>
    </row>
    <row r="619" ht="15.75" customHeight="1" spans="1:26">
      <c r="A619" s="39" t="s">
        <v>4382</v>
      </c>
      <c r="B619" s="40"/>
      <c r="C619" s="41" t="s">
        <v>1466</v>
      </c>
      <c r="D619" s="42"/>
      <c r="E619" s="178"/>
      <c r="F619" s="179"/>
      <c r="G619" s="180"/>
      <c r="H619" s="180"/>
      <c r="I619" s="184"/>
      <c r="J619" s="79"/>
      <c r="K619" s="79"/>
      <c r="L619" s="79"/>
      <c r="M619" s="79"/>
      <c r="N619" s="79"/>
      <c r="O619" s="79"/>
      <c r="P619" s="79"/>
      <c r="Q619" s="79"/>
      <c r="R619" s="79"/>
      <c r="S619" s="79"/>
      <c r="T619" s="79"/>
      <c r="U619" s="79"/>
      <c r="V619" s="79"/>
      <c r="W619" s="79"/>
      <c r="X619" s="79"/>
      <c r="Y619" s="79"/>
      <c r="Z619" s="96"/>
    </row>
    <row r="620" ht="15.75" customHeight="1" spans="1:26">
      <c r="A620" s="134" t="s">
        <v>4383</v>
      </c>
      <c r="B620" s="133" t="s">
        <v>4384</v>
      </c>
      <c r="C620" s="134" t="s">
        <v>210</v>
      </c>
      <c r="D620" s="133" t="s">
        <v>3719</v>
      </c>
      <c r="E620" s="135">
        <v>18</v>
      </c>
      <c r="F620" s="181" t="s">
        <v>3751</v>
      </c>
      <c r="G620" s="19"/>
      <c r="H620" s="19"/>
      <c r="I620" s="20"/>
      <c r="J620" s="79"/>
      <c r="K620" s="79"/>
      <c r="L620" s="79"/>
      <c r="M620" s="79"/>
      <c r="N620" s="79"/>
      <c r="O620" s="79"/>
      <c r="P620" s="79"/>
      <c r="Q620" s="79"/>
      <c r="R620" s="79"/>
      <c r="S620" s="79"/>
      <c r="T620" s="79"/>
      <c r="U620" s="79"/>
      <c r="V620" s="79"/>
      <c r="W620" s="79"/>
      <c r="X620" s="79"/>
      <c r="Y620" s="79"/>
      <c r="Z620" s="96"/>
    </row>
    <row r="621" ht="15.75" customHeight="1" spans="1:26">
      <c r="A621" s="134" t="s">
        <v>4385</v>
      </c>
      <c r="B621" s="133" t="s">
        <v>4386</v>
      </c>
      <c r="C621" s="134" t="s">
        <v>236</v>
      </c>
      <c r="D621" s="133" t="s">
        <v>3719</v>
      </c>
      <c r="E621" s="135">
        <v>24.9</v>
      </c>
      <c r="F621" s="181" t="s">
        <v>3751</v>
      </c>
      <c r="G621" s="19"/>
      <c r="H621" s="19"/>
      <c r="I621" s="20"/>
      <c r="J621" s="79"/>
      <c r="K621" s="79"/>
      <c r="L621" s="79"/>
      <c r="M621" s="79"/>
      <c r="N621" s="79"/>
      <c r="O621" s="79"/>
      <c r="P621" s="79"/>
      <c r="Q621" s="79"/>
      <c r="R621" s="79"/>
      <c r="S621" s="79"/>
      <c r="T621" s="79"/>
      <c r="U621" s="79"/>
      <c r="V621" s="79"/>
      <c r="W621" s="79"/>
      <c r="X621" s="79"/>
      <c r="Y621" s="79"/>
      <c r="Z621" s="96"/>
    </row>
    <row r="622" ht="15.75" customHeight="1" spans="1:26">
      <c r="A622" s="134" t="s">
        <v>4387</v>
      </c>
      <c r="B622" s="133" t="s">
        <v>4388</v>
      </c>
      <c r="C622" s="134" t="s">
        <v>213</v>
      </c>
      <c r="D622" s="133" t="s">
        <v>158</v>
      </c>
      <c r="E622" s="135">
        <v>72.4</v>
      </c>
      <c r="F622" s="181" t="s">
        <v>3751</v>
      </c>
      <c r="G622" s="19"/>
      <c r="H622" s="19"/>
      <c r="I622" s="20"/>
      <c r="J622" s="79"/>
      <c r="K622" s="79"/>
      <c r="L622" s="79"/>
      <c r="M622" s="79"/>
      <c r="N622" s="79"/>
      <c r="O622" s="79"/>
      <c r="P622" s="79"/>
      <c r="Q622" s="79"/>
      <c r="R622" s="79"/>
      <c r="S622" s="79"/>
      <c r="T622" s="79"/>
      <c r="U622" s="79"/>
      <c r="V622" s="79"/>
      <c r="W622" s="79"/>
      <c r="X622" s="79"/>
      <c r="Y622" s="79"/>
      <c r="Z622" s="96"/>
    </row>
    <row r="623" ht="15.75" customHeight="1" spans="1:26">
      <c r="A623" s="134" t="s">
        <v>4389</v>
      </c>
      <c r="B623" s="133" t="s">
        <v>4390</v>
      </c>
      <c r="C623" s="134" t="s">
        <v>216</v>
      </c>
      <c r="D623" s="133" t="s">
        <v>158</v>
      </c>
      <c r="E623" s="135">
        <v>4.1</v>
      </c>
      <c r="F623" s="181" t="s">
        <v>3751</v>
      </c>
      <c r="G623" s="19"/>
      <c r="H623" s="19"/>
      <c r="I623" s="20"/>
      <c r="J623" s="79"/>
      <c r="K623" s="79"/>
      <c r="L623" s="79"/>
      <c r="M623" s="79"/>
      <c r="N623" s="79"/>
      <c r="O623" s="79"/>
      <c r="P623" s="79"/>
      <c r="Q623" s="79"/>
      <c r="R623" s="79"/>
      <c r="S623" s="79"/>
      <c r="T623" s="79"/>
      <c r="U623" s="79"/>
      <c r="V623" s="79"/>
      <c r="W623" s="79"/>
      <c r="X623" s="79"/>
      <c r="Y623" s="79"/>
      <c r="Z623" s="96"/>
    </row>
    <row r="624" ht="15.75" customHeight="1" spans="1:26">
      <c r="A624" s="134" t="s">
        <v>4391</v>
      </c>
      <c r="B624" s="133" t="s">
        <v>4392</v>
      </c>
      <c r="C624" s="134" t="s">
        <v>222</v>
      </c>
      <c r="D624" s="133" t="s">
        <v>158</v>
      </c>
      <c r="E624" s="135">
        <v>315.5</v>
      </c>
      <c r="F624" s="181" t="s">
        <v>3751</v>
      </c>
      <c r="G624" s="19"/>
      <c r="H624" s="19"/>
      <c r="I624" s="20"/>
      <c r="J624" s="79"/>
      <c r="K624" s="79"/>
      <c r="L624" s="79"/>
      <c r="M624" s="79"/>
      <c r="N624" s="79"/>
      <c r="O624" s="79"/>
      <c r="P624" s="79"/>
      <c r="Q624" s="79"/>
      <c r="R624" s="79"/>
      <c r="S624" s="79"/>
      <c r="T624" s="79"/>
      <c r="U624" s="79"/>
      <c r="V624" s="79"/>
      <c r="W624" s="79"/>
      <c r="X624" s="79"/>
      <c r="Y624" s="79"/>
      <c r="Z624" s="96"/>
    </row>
    <row r="625" ht="15.75" customHeight="1" spans="1:26">
      <c r="A625" s="134" t="s">
        <v>4393</v>
      </c>
      <c r="B625" s="133" t="s">
        <v>4394</v>
      </c>
      <c r="C625" s="134" t="s">
        <v>225</v>
      </c>
      <c r="D625" s="133" t="s">
        <v>158</v>
      </c>
      <c r="E625" s="135">
        <v>575</v>
      </c>
      <c r="F625" s="181" t="s">
        <v>3751</v>
      </c>
      <c r="G625" s="19"/>
      <c r="H625" s="19"/>
      <c r="I625" s="20"/>
      <c r="J625" s="79"/>
      <c r="K625" s="79"/>
      <c r="L625" s="79"/>
      <c r="M625" s="79"/>
      <c r="N625" s="79"/>
      <c r="O625" s="79"/>
      <c r="P625" s="79"/>
      <c r="Q625" s="79"/>
      <c r="R625" s="79"/>
      <c r="S625" s="79"/>
      <c r="T625" s="79"/>
      <c r="U625" s="79"/>
      <c r="V625" s="79"/>
      <c r="W625" s="79"/>
      <c r="X625" s="79"/>
      <c r="Y625" s="79"/>
      <c r="Z625" s="96"/>
    </row>
    <row r="626" ht="15.75" customHeight="1" spans="1:26">
      <c r="A626" s="134" t="s">
        <v>4395</v>
      </c>
      <c r="B626" s="133" t="s">
        <v>4396</v>
      </c>
      <c r="C626" s="134" t="s">
        <v>228</v>
      </c>
      <c r="D626" s="133" t="s">
        <v>158</v>
      </c>
      <c r="E626" s="135">
        <v>298.9</v>
      </c>
      <c r="F626" s="181" t="s">
        <v>3751</v>
      </c>
      <c r="G626" s="19"/>
      <c r="H626" s="19"/>
      <c r="I626" s="20"/>
      <c r="J626" s="79"/>
      <c r="K626" s="79"/>
      <c r="L626" s="79"/>
      <c r="M626" s="79"/>
      <c r="N626" s="79"/>
      <c r="O626" s="79"/>
      <c r="P626" s="79"/>
      <c r="Q626" s="79"/>
      <c r="R626" s="79"/>
      <c r="S626" s="79"/>
      <c r="T626" s="79"/>
      <c r="U626" s="79"/>
      <c r="V626" s="79"/>
      <c r="W626" s="79"/>
      <c r="X626" s="79"/>
      <c r="Y626" s="79"/>
      <c r="Z626" s="96"/>
    </row>
    <row r="627" ht="15.75" customHeight="1" spans="1:26">
      <c r="A627" s="134" t="s">
        <v>4397</v>
      </c>
      <c r="B627" s="133" t="s">
        <v>4398</v>
      </c>
      <c r="C627" s="134" t="s">
        <v>231</v>
      </c>
      <c r="D627" s="133" t="s">
        <v>3742</v>
      </c>
      <c r="E627" s="135">
        <v>4.4</v>
      </c>
      <c r="F627" s="181" t="s">
        <v>3751</v>
      </c>
      <c r="G627" s="19"/>
      <c r="H627" s="19"/>
      <c r="I627" s="20"/>
      <c r="J627" s="79"/>
      <c r="K627" s="79"/>
      <c r="L627" s="79"/>
      <c r="M627" s="79"/>
      <c r="N627" s="79"/>
      <c r="O627" s="79"/>
      <c r="P627" s="79"/>
      <c r="Q627" s="79"/>
      <c r="R627" s="79"/>
      <c r="S627" s="79"/>
      <c r="T627" s="79"/>
      <c r="U627" s="79"/>
      <c r="V627" s="79"/>
      <c r="W627" s="79"/>
      <c r="X627" s="79"/>
      <c r="Y627" s="79"/>
      <c r="Z627" s="96"/>
    </row>
    <row r="628" ht="15.75" customHeight="1" spans="1:26">
      <c r="A628" s="39" t="s">
        <v>4399</v>
      </c>
      <c r="B628" s="40"/>
      <c r="C628" s="41" t="s">
        <v>247</v>
      </c>
      <c r="D628" s="42"/>
      <c r="E628" s="178"/>
      <c r="F628" s="179"/>
      <c r="G628" s="180"/>
      <c r="H628" s="180"/>
      <c r="I628" s="184"/>
      <c r="J628" s="79"/>
      <c r="K628" s="79"/>
      <c r="L628" s="79"/>
      <c r="M628" s="79"/>
      <c r="N628" s="79"/>
      <c r="O628" s="79"/>
      <c r="P628" s="79"/>
      <c r="Q628" s="79"/>
      <c r="R628" s="79"/>
      <c r="S628" s="79"/>
      <c r="T628" s="79"/>
      <c r="U628" s="79"/>
      <c r="V628" s="79"/>
      <c r="W628" s="79"/>
      <c r="X628" s="79"/>
      <c r="Y628" s="79"/>
      <c r="Z628" s="96"/>
    </row>
    <row r="629" ht="15.75" customHeight="1" spans="1:26">
      <c r="A629" s="134" t="s">
        <v>4400</v>
      </c>
      <c r="B629" s="133" t="s">
        <v>4401</v>
      </c>
      <c r="C629" s="134" t="s">
        <v>250</v>
      </c>
      <c r="D629" s="133" t="s">
        <v>3719</v>
      </c>
      <c r="E629" s="135">
        <v>35.2</v>
      </c>
      <c r="F629" s="181" t="s">
        <v>3751</v>
      </c>
      <c r="G629" s="19"/>
      <c r="H629" s="19"/>
      <c r="I629" s="20"/>
      <c r="J629" s="79"/>
      <c r="K629" s="79"/>
      <c r="L629" s="79"/>
      <c r="M629" s="79"/>
      <c r="N629" s="79"/>
      <c r="O629" s="79"/>
      <c r="P629" s="79"/>
      <c r="Q629" s="79"/>
      <c r="R629" s="79"/>
      <c r="S629" s="79"/>
      <c r="T629" s="79"/>
      <c r="U629" s="79"/>
      <c r="V629" s="79"/>
      <c r="W629" s="79"/>
      <c r="X629" s="79"/>
      <c r="Y629" s="79"/>
      <c r="Z629" s="96"/>
    </row>
    <row r="630" ht="15.75" customHeight="1" spans="1:26">
      <c r="A630" s="134" t="s">
        <v>4402</v>
      </c>
      <c r="B630" s="133" t="s">
        <v>4403</v>
      </c>
      <c r="C630" s="134" t="s">
        <v>262</v>
      </c>
      <c r="D630" s="133" t="s">
        <v>158</v>
      </c>
      <c r="E630" s="135">
        <v>113.5</v>
      </c>
      <c r="F630" s="181" t="s">
        <v>3751</v>
      </c>
      <c r="G630" s="19"/>
      <c r="H630" s="19"/>
      <c r="I630" s="20"/>
      <c r="J630" s="79"/>
      <c r="K630" s="79"/>
      <c r="L630" s="79"/>
      <c r="M630" s="79"/>
      <c r="N630" s="79"/>
      <c r="O630" s="79"/>
      <c r="P630" s="79"/>
      <c r="Q630" s="79"/>
      <c r="R630" s="79"/>
      <c r="S630" s="79"/>
      <c r="T630" s="79"/>
      <c r="U630" s="79"/>
      <c r="V630" s="79"/>
      <c r="W630" s="79"/>
      <c r="X630" s="79"/>
      <c r="Y630" s="79"/>
      <c r="Z630" s="96"/>
    </row>
    <row r="631" ht="15.75" customHeight="1" spans="1:26">
      <c r="A631" s="134" t="s">
        <v>4404</v>
      </c>
      <c r="B631" s="133" t="s">
        <v>4405</v>
      </c>
      <c r="C631" s="134" t="s">
        <v>265</v>
      </c>
      <c r="D631" s="133" t="s">
        <v>158</v>
      </c>
      <c r="E631" s="135">
        <v>341.3</v>
      </c>
      <c r="F631" s="181" t="s">
        <v>3751</v>
      </c>
      <c r="G631" s="19"/>
      <c r="H631" s="19"/>
      <c r="I631" s="20"/>
      <c r="J631" s="79"/>
      <c r="K631" s="79"/>
      <c r="L631" s="79"/>
      <c r="M631" s="79"/>
      <c r="N631" s="79"/>
      <c r="O631" s="79"/>
      <c r="P631" s="79"/>
      <c r="Q631" s="79"/>
      <c r="R631" s="79"/>
      <c r="S631" s="79"/>
      <c r="T631" s="79"/>
      <c r="U631" s="79"/>
      <c r="V631" s="79"/>
      <c r="W631" s="79"/>
      <c r="X631" s="79"/>
      <c r="Y631" s="79"/>
      <c r="Z631" s="96"/>
    </row>
    <row r="632" ht="15.75" customHeight="1" spans="1:26">
      <c r="A632" s="134" t="s">
        <v>4406</v>
      </c>
      <c r="B632" s="133" t="s">
        <v>4407</v>
      </c>
      <c r="C632" s="134" t="s">
        <v>268</v>
      </c>
      <c r="D632" s="133" t="s">
        <v>158</v>
      </c>
      <c r="E632" s="135">
        <v>263.8</v>
      </c>
      <c r="F632" s="181" t="s">
        <v>3751</v>
      </c>
      <c r="G632" s="19"/>
      <c r="H632" s="19"/>
      <c r="I632" s="20"/>
      <c r="J632" s="79"/>
      <c r="K632" s="79"/>
      <c r="L632" s="79"/>
      <c r="M632" s="79"/>
      <c r="N632" s="79"/>
      <c r="O632" s="79"/>
      <c r="P632" s="79"/>
      <c r="Q632" s="79"/>
      <c r="R632" s="79"/>
      <c r="S632" s="79"/>
      <c r="T632" s="79"/>
      <c r="U632" s="79"/>
      <c r="V632" s="79"/>
      <c r="W632" s="79"/>
      <c r="X632" s="79"/>
      <c r="Y632" s="79"/>
      <c r="Z632" s="96"/>
    </row>
    <row r="633" ht="15.75" customHeight="1" spans="1:26">
      <c r="A633" s="134" t="s">
        <v>4408</v>
      </c>
      <c r="B633" s="133" t="s">
        <v>4409</v>
      </c>
      <c r="C633" s="134" t="s">
        <v>277</v>
      </c>
      <c r="D633" s="133" t="s">
        <v>3742</v>
      </c>
      <c r="E633" s="135">
        <v>9.6</v>
      </c>
      <c r="F633" s="181" t="s">
        <v>3751</v>
      </c>
      <c r="G633" s="19"/>
      <c r="H633" s="19"/>
      <c r="I633" s="20"/>
      <c r="J633" s="79"/>
      <c r="K633" s="79"/>
      <c r="L633" s="79"/>
      <c r="M633" s="79"/>
      <c r="N633" s="79"/>
      <c r="O633" s="79"/>
      <c r="P633" s="79"/>
      <c r="Q633" s="79"/>
      <c r="R633" s="79"/>
      <c r="S633" s="79"/>
      <c r="T633" s="79"/>
      <c r="U633" s="79"/>
      <c r="V633" s="79"/>
      <c r="W633" s="79"/>
      <c r="X633" s="79"/>
      <c r="Y633" s="79"/>
      <c r="Z633" s="96"/>
    </row>
    <row r="634" ht="15.75" customHeight="1" spans="1:26">
      <c r="A634" s="39" t="s">
        <v>4410</v>
      </c>
      <c r="B634" s="40"/>
      <c r="C634" s="41" t="s">
        <v>4411</v>
      </c>
      <c r="D634" s="42"/>
      <c r="E634" s="178"/>
      <c r="F634" s="179"/>
      <c r="G634" s="180"/>
      <c r="H634" s="180"/>
      <c r="I634" s="184"/>
      <c r="J634" s="79"/>
      <c r="K634" s="79"/>
      <c r="L634" s="79"/>
      <c r="M634" s="79"/>
      <c r="N634" s="79"/>
      <c r="O634" s="79"/>
      <c r="P634" s="79"/>
      <c r="Q634" s="79"/>
      <c r="R634" s="79"/>
      <c r="S634" s="79"/>
      <c r="T634" s="79"/>
      <c r="U634" s="79"/>
      <c r="V634" s="79"/>
      <c r="W634" s="79"/>
      <c r="X634" s="79"/>
      <c r="Y634" s="79"/>
      <c r="Z634" s="96"/>
    </row>
    <row r="635" ht="15.75" customHeight="1" spans="1:26">
      <c r="A635" s="134" t="s">
        <v>4412</v>
      </c>
      <c r="B635" s="133" t="s">
        <v>4413</v>
      </c>
      <c r="C635" s="134" t="s">
        <v>4414</v>
      </c>
      <c r="D635" s="133" t="s">
        <v>105</v>
      </c>
      <c r="E635" s="135">
        <v>3</v>
      </c>
      <c r="F635" s="182" t="s">
        <v>4415</v>
      </c>
      <c r="G635" s="17"/>
      <c r="H635" s="17"/>
      <c r="I635" s="185"/>
      <c r="J635" s="79"/>
      <c r="K635" s="79"/>
      <c r="L635" s="79"/>
      <c r="M635" s="79"/>
      <c r="N635" s="79"/>
      <c r="O635" s="79"/>
      <c r="P635" s="79"/>
      <c r="Q635" s="79"/>
      <c r="R635" s="79"/>
      <c r="S635" s="79"/>
      <c r="T635" s="79"/>
      <c r="U635" s="79"/>
      <c r="V635" s="79"/>
      <c r="W635" s="79"/>
      <c r="X635" s="79"/>
      <c r="Y635" s="79"/>
      <c r="Z635" s="96"/>
    </row>
    <row r="636" ht="15.75" customHeight="1" spans="1:26">
      <c r="A636" s="134" t="s">
        <v>4416</v>
      </c>
      <c r="B636" s="133" t="s">
        <v>4417</v>
      </c>
      <c r="C636" s="134" t="s">
        <v>4418</v>
      </c>
      <c r="D636" s="133" t="s">
        <v>105</v>
      </c>
      <c r="E636" s="135">
        <v>19</v>
      </c>
      <c r="F636" s="182" t="s">
        <v>4415</v>
      </c>
      <c r="G636" s="17"/>
      <c r="H636" s="17"/>
      <c r="I636" s="185"/>
      <c r="J636" s="79"/>
      <c r="K636" s="79"/>
      <c r="L636" s="79"/>
      <c r="M636" s="79"/>
      <c r="N636" s="79"/>
      <c r="O636" s="79"/>
      <c r="P636" s="79"/>
      <c r="Q636" s="79"/>
      <c r="R636" s="79"/>
      <c r="S636" s="79"/>
      <c r="T636" s="79"/>
      <c r="U636" s="79"/>
      <c r="V636" s="79"/>
      <c r="W636" s="79"/>
      <c r="X636" s="79"/>
      <c r="Y636" s="79"/>
      <c r="Z636" s="96"/>
    </row>
    <row r="637" ht="15.75" customHeight="1" spans="1:26">
      <c r="A637" s="134" t="s">
        <v>4419</v>
      </c>
      <c r="B637" s="133" t="s">
        <v>4420</v>
      </c>
      <c r="C637" s="134" t="s">
        <v>4421</v>
      </c>
      <c r="D637" s="133" t="s">
        <v>105</v>
      </c>
      <c r="E637" s="135">
        <v>10</v>
      </c>
      <c r="F637" s="182" t="s">
        <v>4415</v>
      </c>
      <c r="G637" s="17"/>
      <c r="H637" s="17"/>
      <c r="I637" s="185"/>
      <c r="J637" s="79"/>
      <c r="K637" s="79"/>
      <c r="L637" s="79"/>
      <c r="M637" s="79"/>
      <c r="N637" s="79"/>
      <c r="O637" s="79"/>
      <c r="P637" s="79"/>
      <c r="Q637" s="79"/>
      <c r="R637" s="79"/>
      <c r="S637" s="79"/>
      <c r="T637" s="79"/>
      <c r="U637" s="79"/>
      <c r="V637" s="79"/>
      <c r="W637" s="79"/>
      <c r="X637" s="79"/>
      <c r="Y637" s="79"/>
      <c r="Z637" s="96"/>
    </row>
    <row r="638" ht="15.75" customHeight="1" spans="1:26">
      <c r="A638" s="134" t="s">
        <v>4422</v>
      </c>
      <c r="B638" s="133" t="s">
        <v>4423</v>
      </c>
      <c r="C638" s="134" t="s">
        <v>4424</v>
      </c>
      <c r="D638" s="133" t="s">
        <v>105</v>
      </c>
      <c r="E638" s="135">
        <v>10</v>
      </c>
      <c r="F638" s="182" t="s">
        <v>4415</v>
      </c>
      <c r="G638" s="17"/>
      <c r="H638" s="17"/>
      <c r="I638" s="185"/>
      <c r="J638" s="79"/>
      <c r="K638" s="79"/>
      <c r="L638" s="79"/>
      <c r="M638" s="79"/>
      <c r="N638" s="79"/>
      <c r="O638" s="79"/>
      <c r="P638" s="79"/>
      <c r="Q638" s="79"/>
      <c r="R638" s="79"/>
      <c r="S638" s="79"/>
      <c r="T638" s="79"/>
      <c r="U638" s="79"/>
      <c r="V638" s="79"/>
      <c r="W638" s="79"/>
      <c r="X638" s="79"/>
      <c r="Y638" s="79"/>
      <c r="Z638" s="96"/>
    </row>
    <row r="639" ht="15.75" customHeight="1" spans="1:26">
      <c r="A639" s="134" t="s">
        <v>4425</v>
      </c>
      <c r="B639" s="133" t="s">
        <v>4426</v>
      </c>
      <c r="C639" s="134" t="s">
        <v>4427</v>
      </c>
      <c r="D639" s="133" t="s">
        <v>105</v>
      </c>
      <c r="E639" s="135">
        <v>3</v>
      </c>
      <c r="F639" s="182" t="s">
        <v>4415</v>
      </c>
      <c r="G639" s="17"/>
      <c r="H639" s="17"/>
      <c r="I639" s="185"/>
      <c r="J639" s="79"/>
      <c r="K639" s="79"/>
      <c r="L639" s="79"/>
      <c r="M639" s="79"/>
      <c r="N639" s="79"/>
      <c r="O639" s="79"/>
      <c r="P639" s="79"/>
      <c r="Q639" s="79"/>
      <c r="R639" s="79"/>
      <c r="S639" s="79"/>
      <c r="T639" s="79"/>
      <c r="U639" s="79"/>
      <c r="V639" s="79"/>
      <c r="W639" s="79"/>
      <c r="X639" s="79"/>
      <c r="Y639" s="79"/>
      <c r="Z639" s="96"/>
    </row>
    <row r="640" ht="15.75" customHeight="1" spans="1:26">
      <c r="A640" s="134" t="s">
        <v>4428</v>
      </c>
      <c r="B640" s="133" t="s">
        <v>4429</v>
      </c>
      <c r="C640" s="134" t="s">
        <v>4430</v>
      </c>
      <c r="D640" s="133" t="s">
        <v>105</v>
      </c>
      <c r="E640" s="135">
        <v>3</v>
      </c>
      <c r="F640" s="182" t="s">
        <v>4415</v>
      </c>
      <c r="G640" s="17"/>
      <c r="H640" s="17"/>
      <c r="I640" s="185"/>
      <c r="J640" s="79"/>
      <c r="K640" s="79"/>
      <c r="L640" s="79"/>
      <c r="M640" s="79"/>
      <c r="N640" s="79"/>
      <c r="O640" s="79"/>
      <c r="P640" s="79"/>
      <c r="Q640" s="79"/>
      <c r="R640" s="79"/>
      <c r="S640" s="79"/>
      <c r="T640" s="79"/>
      <c r="U640" s="79"/>
      <c r="V640" s="79"/>
      <c r="W640" s="79"/>
      <c r="X640" s="79"/>
      <c r="Y640" s="79"/>
      <c r="Z640" s="96"/>
    </row>
    <row r="641" ht="15.75" customHeight="1" spans="1:26">
      <c r="A641" s="134" t="s">
        <v>4431</v>
      </c>
      <c r="B641" s="133" t="s">
        <v>4432</v>
      </c>
      <c r="C641" s="134" t="s">
        <v>4433</v>
      </c>
      <c r="D641" s="133" t="s">
        <v>105</v>
      </c>
      <c r="E641" s="135">
        <v>9</v>
      </c>
      <c r="F641" s="182" t="s">
        <v>4415</v>
      </c>
      <c r="G641" s="17"/>
      <c r="H641" s="17"/>
      <c r="I641" s="185"/>
      <c r="J641" s="79"/>
      <c r="K641" s="79"/>
      <c r="L641" s="79"/>
      <c r="M641" s="79"/>
      <c r="N641" s="79"/>
      <c r="O641" s="79"/>
      <c r="P641" s="79"/>
      <c r="Q641" s="79"/>
      <c r="R641" s="79"/>
      <c r="S641" s="79"/>
      <c r="T641" s="79"/>
      <c r="U641" s="79"/>
      <c r="V641" s="79"/>
      <c r="W641" s="79"/>
      <c r="X641" s="79"/>
      <c r="Y641" s="79"/>
      <c r="Z641" s="96"/>
    </row>
    <row r="642" ht="15.75" customHeight="1" spans="1:26">
      <c r="A642" s="134" t="s">
        <v>4434</v>
      </c>
      <c r="B642" s="133" t="s">
        <v>4435</v>
      </c>
      <c r="C642" s="134" t="s">
        <v>4436</v>
      </c>
      <c r="D642" s="133" t="s">
        <v>105</v>
      </c>
      <c r="E642" s="135">
        <v>3</v>
      </c>
      <c r="F642" s="182" t="s">
        <v>4415</v>
      </c>
      <c r="G642" s="17"/>
      <c r="H642" s="17"/>
      <c r="I642" s="185"/>
      <c r="J642" s="79"/>
      <c r="K642" s="79"/>
      <c r="L642" s="79"/>
      <c r="M642" s="79"/>
      <c r="N642" s="79"/>
      <c r="O642" s="79"/>
      <c r="P642" s="79"/>
      <c r="Q642" s="79"/>
      <c r="R642" s="79"/>
      <c r="S642" s="79"/>
      <c r="T642" s="79"/>
      <c r="U642" s="79"/>
      <c r="V642" s="79"/>
      <c r="W642" s="79"/>
      <c r="X642" s="79"/>
      <c r="Y642" s="79"/>
      <c r="Z642" s="96"/>
    </row>
    <row r="643" ht="15.75" customHeight="1" spans="1:26">
      <c r="A643" s="134" t="s">
        <v>4437</v>
      </c>
      <c r="B643" s="133" t="s">
        <v>4438</v>
      </c>
      <c r="C643" s="134" t="s">
        <v>4439</v>
      </c>
      <c r="D643" s="133" t="s">
        <v>105</v>
      </c>
      <c r="E643" s="135">
        <v>9</v>
      </c>
      <c r="F643" s="182" t="s">
        <v>4415</v>
      </c>
      <c r="G643" s="17"/>
      <c r="H643" s="17"/>
      <c r="I643" s="185"/>
      <c r="J643" s="79"/>
      <c r="K643" s="79"/>
      <c r="L643" s="79"/>
      <c r="M643" s="79"/>
      <c r="N643" s="79"/>
      <c r="O643" s="79"/>
      <c r="P643" s="79"/>
      <c r="Q643" s="79"/>
      <c r="R643" s="79"/>
      <c r="S643" s="79"/>
      <c r="T643" s="79"/>
      <c r="U643" s="79"/>
      <c r="V643" s="79"/>
      <c r="W643" s="79"/>
      <c r="X643" s="79"/>
      <c r="Y643" s="79"/>
      <c r="Z643" s="96"/>
    </row>
    <row r="644" ht="15.75" customHeight="1" spans="1:26">
      <c r="A644" s="134" t="s">
        <v>4440</v>
      </c>
      <c r="B644" s="133" t="s">
        <v>4441</v>
      </c>
      <c r="C644" s="134" t="s">
        <v>4442</v>
      </c>
      <c r="D644" s="133" t="s">
        <v>105</v>
      </c>
      <c r="E644" s="135">
        <v>9</v>
      </c>
      <c r="F644" s="182" t="s">
        <v>4415</v>
      </c>
      <c r="G644" s="17"/>
      <c r="H644" s="17"/>
      <c r="I644" s="185"/>
      <c r="J644" s="79"/>
      <c r="K644" s="79"/>
      <c r="L644" s="79"/>
      <c r="M644" s="79"/>
      <c r="N644" s="79"/>
      <c r="O644" s="79"/>
      <c r="P644" s="79"/>
      <c r="Q644" s="79"/>
      <c r="R644" s="79"/>
      <c r="S644" s="79"/>
      <c r="T644" s="79"/>
      <c r="U644" s="79"/>
      <c r="V644" s="79"/>
      <c r="W644" s="79"/>
      <c r="X644" s="79"/>
      <c r="Y644" s="79"/>
      <c r="Z644" s="96"/>
    </row>
    <row r="645" ht="15.75" customHeight="1" spans="1:26">
      <c r="A645" s="134" t="s">
        <v>4443</v>
      </c>
      <c r="B645" s="133" t="s">
        <v>4444</v>
      </c>
      <c r="C645" s="134" t="s">
        <v>4445</v>
      </c>
      <c r="D645" s="133" t="s">
        <v>105</v>
      </c>
      <c r="E645" s="135">
        <v>9</v>
      </c>
      <c r="F645" s="182" t="s">
        <v>4415</v>
      </c>
      <c r="G645" s="17"/>
      <c r="H645" s="17"/>
      <c r="I645" s="185"/>
      <c r="J645" s="79"/>
      <c r="K645" s="79"/>
      <c r="L645" s="79"/>
      <c r="M645" s="79"/>
      <c r="N645" s="79"/>
      <c r="O645" s="79"/>
      <c r="P645" s="79"/>
      <c r="Q645" s="79"/>
      <c r="R645" s="79"/>
      <c r="S645" s="79"/>
      <c r="T645" s="79"/>
      <c r="U645" s="79"/>
      <c r="V645" s="79"/>
      <c r="W645" s="79"/>
      <c r="X645" s="79"/>
      <c r="Y645" s="79"/>
      <c r="Z645" s="96"/>
    </row>
    <row r="646" ht="15.75" customHeight="1" spans="1:26">
      <c r="A646" s="134" t="s">
        <v>4446</v>
      </c>
      <c r="B646" s="133" t="s">
        <v>4447</v>
      </c>
      <c r="C646" s="134" t="s">
        <v>4448</v>
      </c>
      <c r="D646" s="133" t="s">
        <v>105</v>
      </c>
      <c r="E646" s="135">
        <v>15</v>
      </c>
      <c r="F646" s="182" t="s">
        <v>4415</v>
      </c>
      <c r="G646" s="17"/>
      <c r="H646" s="17"/>
      <c r="I646" s="185"/>
      <c r="J646" s="79"/>
      <c r="K646" s="79"/>
      <c r="L646" s="79"/>
      <c r="M646" s="79"/>
      <c r="N646" s="79"/>
      <c r="O646" s="79"/>
      <c r="P646" s="79"/>
      <c r="Q646" s="79"/>
      <c r="R646" s="79"/>
      <c r="S646" s="79"/>
      <c r="T646" s="79"/>
      <c r="U646" s="79"/>
      <c r="V646" s="79"/>
      <c r="W646" s="79"/>
      <c r="X646" s="79"/>
      <c r="Y646" s="79"/>
      <c r="Z646" s="96"/>
    </row>
    <row r="647" ht="15.75" customHeight="1" spans="1:26">
      <c r="A647" s="134" t="s">
        <v>4449</v>
      </c>
      <c r="B647" s="133" t="s">
        <v>4450</v>
      </c>
      <c r="C647" s="134" t="s">
        <v>4451</v>
      </c>
      <c r="D647" s="133" t="s">
        <v>105</v>
      </c>
      <c r="E647" s="135">
        <v>24</v>
      </c>
      <c r="F647" s="182" t="s">
        <v>4415</v>
      </c>
      <c r="G647" s="17"/>
      <c r="H647" s="17"/>
      <c r="I647" s="185"/>
      <c r="J647" s="79"/>
      <c r="K647" s="79"/>
      <c r="L647" s="79"/>
      <c r="M647" s="79"/>
      <c r="N647" s="79"/>
      <c r="O647" s="79"/>
      <c r="P647" s="79"/>
      <c r="Q647" s="79"/>
      <c r="R647" s="79"/>
      <c r="S647" s="79"/>
      <c r="T647" s="79"/>
      <c r="U647" s="79"/>
      <c r="V647" s="79"/>
      <c r="W647" s="79"/>
      <c r="X647" s="79"/>
      <c r="Y647" s="79"/>
      <c r="Z647" s="96"/>
    </row>
    <row r="648" ht="15.75" customHeight="1" spans="1:26">
      <c r="A648" s="134" t="s">
        <v>4452</v>
      </c>
      <c r="B648" s="133" t="s">
        <v>4453</v>
      </c>
      <c r="C648" s="134" t="s">
        <v>4454</v>
      </c>
      <c r="D648" s="133" t="s">
        <v>78</v>
      </c>
      <c r="E648" s="135">
        <v>6</v>
      </c>
      <c r="F648" s="182" t="s">
        <v>4415</v>
      </c>
      <c r="G648" s="17"/>
      <c r="H648" s="17"/>
      <c r="I648" s="185"/>
      <c r="J648" s="79"/>
      <c r="K648" s="79"/>
      <c r="L648" s="79"/>
      <c r="M648" s="79"/>
      <c r="N648" s="79"/>
      <c r="O648" s="79"/>
      <c r="P648" s="79"/>
      <c r="Q648" s="79"/>
      <c r="R648" s="79"/>
      <c r="S648" s="79"/>
      <c r="T648" s="79"/>
      <c r="U648" s="79"/>
      <c r="V648" s="79"/>
      <c r="W648" s="79"/>
      <c r="X648" s="79"/>
      <c r="Y648" s="79"/>
      <c r="Z648" s="96"/>
    </row>
    <row r="649" ht="15.75" customHeight="1" spans="1:26">
      <c r="A649" s="134" t="s">
        <v>4455</v>
      </c>
      <c r="B649" s="133" t="s">
        <v>4456</v>
      </c>
      <c r="C649" s="134" t="s">
        <v>4457</v>
      </c>
      <c r="D649" s="133" t="s">
        <v>1079</v>
      </c>
      <c r="E649" s="135">
        <v>2</v>
      </c>
      <c r="F649" s="182" t="s">
        <v>4415</v>
      </c>
      <c r="G649" s="17"/>
      <c r="H649" s="17"/>
      <c r="I649" s="185"/>
      <c r="J649" s="79"/>
      <c r="K649" s="79"/>
      <c r="L649" s="79"/>
      <c r="M649" s="79"/>
      <c r="N649" s="79"/>
      <c r="O649" s="79"/>
      <c r="P649" s="79"/>
      <c r="Q649" s="79"/>
      <c r="R649" s="79"/>
      <c r="S649" s="79"/>
      <c r="T649" s="79"/>
      <c r="U649" s="79"/>
      <c r="V649" s="79"/>
      <c r="W649" s="79"/>
      <c r="X649" s="79"/>
      <c r="Y649" s="79"/>
      <c r="Z649" s="96"/>
    </row>
    <row r="650" ht="15.75" customHeight="1" spans="1:26">
      <c r="A650" s="134" t="s">
        <v>4458</v>
      </c>
      <c r="B650" s="133" t="s">
        <v>4459</v>
      </c>
      <c r="C650" s="134" t="s">
        <v>4460</v>
      </c>
      <c r="D650" s="133" t="s">
        <v>78</v>
      </c>
      <c r="E650" s="135">
        <v>15</v>
      </c>
      <c r="F650" s="182" t="s">
        <v>4415</v>
      </c>
      <c r="G650" s="17"/>
      <c r="H650" s="17"/>
      <c r="I650" s="185"/>
      <c r="J650" s="79"/>
      <c r="K650" s="79"/>
      <c r="L650" s="79"/>
      <c r="M650" s="79"/>
      <c r="N650" s="79"/>
      <c r="O650" s="79"/>
      <c r="P650" s="79"/>
      <c r="Q650" s="79"/>
      <c r="R650" s="79"/>
      <c r="S650" s="79"/>
      <c r="T650" s="79"/>
      <c r="U650" s="79"/>
      <c r="V650" s="79"/>
      <c r="W650" s="79"/>
      <c r="X650" s="79"/>
      <c r="Y650" s="79"/>
      <c r="Z650" s="96"/>
    </row>
    <row r="651" ht="15.75" customHeight="1" spans="1:26">
      <c r="A651" s="134" t="s">
        <v>4461</v>
      </c>
      <c r="B651" s="133" t="s">
        <v>4462</v>
      </c>
      <c r="C651" s="134" t="s">
        <v>4463</v>
      </c>
      <c r="D651" s="133" t="s">
        <v>78</v>
      </c>
      <c r="E651" s="135">
        <v>6</v>
      </c>
      <c r="F651" s="182" t="s">
        <v>4415</v>
      </c>
      <c r="G651" s="17"/>
      <c r="H651" s="17"/>
      <c r="I651" s="185"/>
      <c r="J651" s="79"/>
      <c r="K651" s="79"/>
      <c r="L651" s="79"/>
      <c r="M651" s="79"/>
      <c r="N651" s="79"/>
      <c r="O651" s="79"/>
      <c r="P651" s="79"/>
      <c r="Q651" s="79"/>
      <c r="R651" s="79"/>
      <c r="S651" s="79"/>
      <c r="T651" s="79"/>
      <c r="U651" s="79"/>
      <c r="V651" s="79"/>
      <c r="W651" s="79"/>
      <c r="X651" s="79"/>
      <c r="Y651" s="79"/>
      <c r="Z651" s="96"/>
    </row>
    <row r="652" ht="15.75" customHeight="1" spans="1:26">
      <c r="A652" s="134" t="s">
        <v>4464</v>
      </c>
      <c r="B652" s="133" t="s">
        <v>4465</v>
      </c>
      <c r="C652" s="134" t="s">
        <v>4466</v>
      </c>
      <c r="D652" s="133" t="s">
        <v>78</v>
      </c>
      <c r="E652" s="135">
        <v>6</v>
      </c>
      <c r="F652" s="182" t="s">
        <v>4415</v>
      </c>
      <c r="G652" s="17"/>
      <c r="H652" s="17"/>
      <c r="I652" s="185"/>
      <c r="J652" s="79"/>
      <c r="K652" s="79"/>
      <c r="L652" s="79"/>
      <c r="M652" s="79"/>
      <c r="N652" s="79"/>
      <c r="O652" s="79"/>
      <c r="P652" s="79"/>
      <c r="Q652" s="79"/>
      <c r="R652" s="79"/>
      <c r="S652" s="79"/>
      <c r="T652" s="79"/>
      <c r="U652" s="79"/>
      <c r="V652" s="79"/>
      <c r="W652" s="79"/>
      <c r="X652" s="79"/>
      <c r="Y652" s="79"/>
      <c r="Z652" s="96"/>
    </row>
    <row r="653" ht="15.75" customHeight="1" spans="1:26">
      <c r="A653" s="134" t="s">
        <v>4467</v>
      </c>
      <c r="B653" s="133" t="s">
        <v>4468</v>
      </c>
      <c r="C653" s="134" t="s">
        <v>4469</v>
      </c>
      <c r="D653" s="133" t="s">
        <v>78</v>
      </c>
      <c r="E653" s="135">
        <v>10</v>
      </c>
      <c r="F653" s="182" t="s">
        <v>4415</v>
      </c>
      <c r="G653" s="17"/>
      <c r="H653" s="17"/>
      <c r="I653" s="185"/>
      <c r="J653" s="79"/>
      <c r="K653" s="79"/>
      <c r="L653" s="79"/>
      <c r="M653" s="79"/>
      <c r="N653" s="79"/>
      <c r="O653" s="79"/>
      <c r="P653" s="79"/>
      <c r="Q653" s="79"/>
      <c r="R653" s="79"/>
      <c r="S653" s="79"/>
      <c r="T653" s="79"/>
      <c r="U653" s="79"/>
      <c r="V653" s="79"/>
      <c r="W653" s="79"/>
      <c r="X653" s="79"/>
      <c r="Y653" s="79"/>
      <c r="Z653" s="96"/>
    </row>
    <row r="654" ht="15.75" customHeight="1" spans="1:26">
      <c r="A654" s="134" t="s">
        <v>4470</v>
      </c>
      <c r="B654" s="133" t="s">
        <v>4471</v>
      </c>
      <c r="C654" s="134" t="s">
        <v>4472</v>
      </c>
      <c r="D654" s="133" t="s">
        <v>78</v>
      </c>
      <c r="E654" s="135">
        <v>450</v>
      </c>
      <c r="F654" s="182" t="s">
        <v>4415</v>
      </c>
      <c r="G654" s="17"/>
      <c r="H654" s="17"/>
      <c r="I654" s="185"/>
      <c r="J654" s="79"/>
      <c r="K654" s="79"/>
      <c r="L654" s="79"/>
      <c r="M654" s="79"/>
      <c r="N654" s="79"/>
      <c r="O654" s="79"/>
      <c r="P654" s="79"/>
      <c r="Q654" s="79"/>
      <c r="R654" s="79"/>
      <c r="S654" s="79"/>
      <c r="T654" s="79"/>
      <c r="U654" s="79"/>
      <c r="V654" s="79"/>
      <c r="W654" s="79"/>
      <c r="X654" s="79"/>
      <c r="Y654" s="79"/>
      <c r="Z654" s="96"/>
    </row>
    <row r="655" ht="15.75" customHeight="1" spans="1:26">
      <c r="A655" s="134" t="s">
        <v>4473</v>
      </c>
      <c r="B655" s="133" t="s">
        <v>4474</v>
      </c>
      <c r="C655" s="134" t="s">
        <v>4475</v>
      </c>
      <c r="D655" s="133" t="s">
        <v>78</v>
      </c>
      <c r="E655" s="135">
        <v>121</v>
      </c>
      <c r="F655" s="182" t="s">
        <v>4415</v>
      </c>
      <c r="G655" s="17"/>
      <c r="H655" s="17"/>
      <c r="I655" s="185"/>
      <c r="J655" s="79"/>
      <c r="K655" s="79"/>
      <c r="L655" s="79"/>
      <c r="M655" s="79"/>
      <c r="N655" s="79"/>
      <c r="O655" s="79"/>
      <c r="P655" s="79"/>
      <c r="Q655" s="79"/>
      <c r="R655" s="79"/>
      <c r="S655" s="79"/>
      <c r="T655" s="79"/>
      <c r="U655" s="79"/>
      <c r="V655" s="79"/>
      <c r="W655" s="79"/>
      <c r="X655" s="79"/>
      <c r="Y655" s="79"/>
      <c r="Z655" s="96"/>
    </row>
    <row r="656" ht="15.75" customHeight="1" spans="1:26">
      <c r="A656" s="134" t="s">
        <v>4476</v>
      </c>
      <c r="B656" s="133" t="s">
        <v>4477</v>
      </c>
      <c r="C656" s="134" t="s">
        <v>871</v>
      </c>
      <c r="D656" s="133" t="s">
        <v>78</v>
      </c>
      <c r="E656" s="135">
        <v>300</v>
      </c>
      <c r="F656" s="182" t="s">
        <v>4415</v>
      </c>
      <c r="G656" s="17"/>
      <c r="H656" s="17"/>
      <c r="I656" s="185"/>
      <c r="J656" s="79"/>
      <c r="K656" s="79"/>
      <c r="L656" s="79"/>
      <c r="M656" s="79"/>
      <c r="N656" s="79"/>
      <c r="O656" s="79"/>
      <c r="P656" s="79"/>
      <c r="Q656" s="79"/>
      <c r="R656" s="79"/>
      <c r="S656" s="79"/>
      <c r="T656" s="79"/>
      <c r="U656" s="79"/>
      <c r="V656" s="79"/>
      <c r="W656" s="79"/>
      <c r="X656" s="79"/>
      <c r="Y656" s="79"/>
      <c r="Z656" s="96"/>
    </row>
    <row r="657" ht="15.75" customHeight="1" spans="1:26">
      <c r="A657" s="134" t="s">
        <v>4478</v>
      </c>
      <c r="B657" s="133" t="s">
        <v>4479</v>
      </c>
      <c r="C657" s="134" t="s">
        <v>859</v>
      </c>
      <c r="D657" s="133" t="s">
        <v>78</v>
      </c>
      <c r="E657" s="135">
        <v>80</v>
      </c>
      <c r="F657" s="182" t="s">
        <v>4415</v>
      </c>
      <c r="G657" s="17"/>
      <c r="H657" s="17"/>
      <c r="I657" s="185"/>
      <c r="J657" s="79"/>
      <c r="K657" s="79"/>
      <c r="L657" s="79"/>
      <c r="M657" s="79"/>
      <c r="N657" s="79"/>
      <c r="O657" s="79"/>
      <c r="P657" s="79"/>
      <c r="Q657" s="79"/>
      <c r="R657" s="79"/>
      <c r="S657" s="79"/>
      <c r="T657" s="79"/>
      <c r="U657" s="79"/>
      <c r="V657" s="79"/>
      <c r="W657" s="79"/>
      <c r="X657" s="79"/>
      <c r="Y657" s="79"/>
      <c r="Z657" s="96"/>
    </row>
    <row r="658" ht="15.75" customHeight="1" spans="1:26">
      <c r="A658" s="134" t="s">
        <v>4480</v>
      </c>
      <c r="B658" s="133" t="s">
        <v>4481</v>
      </c>
      <c r="C658" s="134" t="s">
        <v>862</v>
      </c>
      <c r="D658" s="133" t="s">
        <v>78</v>
      </c>
      <c r="E658" s="135">
        <v>250</v>
      </c>
      <c r="F658" s="182" t="s">
        <v>4415</v>
      </c>
      <c r="G658" s="17"/>
      <c r="H658" s="17"/>
      <c r="I658" s="185"/>
      <c r="J658" s="79"/>
      <c r="K658" s="79"/>
      <c r="L658" s="79"/>
      <c r="M658" s="79"/>
      <c r="N658" s="79"/>
      <c r="O658" s="79"/>
      <c r="P658" s="79"/>
      <c r="Q658" s="79"/>
      <c r="R658" s="79"/>
      <c r="S658" s="79"/>
      <c r="T658" s="79"/>
      <c r="U658" s="79"/>
      <c r="V658" s="79"/>
      <c r="W658" s="79"/>
      <c r="X658" s="79"/>
      <c r="Y658" s="79"/>
      <c r="Z658" s="96"/>
    </row>
    <row r="659" ht="15.75" customHeight="1" spans="1:26">
      <c r="A659" s="134" t="s">
        <v>4482</v>
      </c>
      <c r="B659" s="133" t="s">
        <v>4483</v>
      </c>
      <c r="C659" s="134" t="s">
        <v>865</v>
      </c>
      <c r="D659" s="133" t="s">
        <v>78</v>
      </c>
      <c r="E659" s="135">
        <v>30</v>
      </c>
      <c r="F659" s="182" t="s">
        <v>4415</v>
      </c>
      <c r="G659" s="17"/>
      <c r="H659" s="17"/>
      <c r="I659" s="185"/>
      <c r="J659" s="79"/>
      <c r="K659" s="79"/>
      <c r="L659" s="79"/>
      <c r="M659" s="79"/>
      <c r="N659" s="79"/>
      <c r="O659" s="79"/>
      <c r="P659" s="79"/>
      <c r="Q659" s="79"/>
      <c r="R659" s="79"/>
      <c r="S659" s="79"/>
      <c r="T659" s="79"/>
      <c r="U659" s="79"/>
      <c r="V659" s="79"/>
      <c r="W659" s="79"/>
      <c r="X659" s="79"/>
      <c r="Y659" s="79"/>
      <c r="Z659" s="96"/>
    </row>
    <row r="660" ht="15.75" customHeight="1" spans="1:26">
      <c r="A660" s="134" t="s">
        <v>4484</v>
      </c>
      <c r="B660" s="133" t="s">
        <v>4485</v>
      </c>
      <c r="C660" s="134" t="s">
        <v>868</v>
      </c>
      <c r="D660" s="133" t="s">
        <v>78</v>
      </c>
      <c r="E660" s="135">
        <v>80</v>
      </c>
      <c r="F660" s="182" t="s">
        <v>4415</v>
      </c>
      <c r="G660" s="17"/>
      <c r="H660" s="17"/>
      <c r="I660" s="185"/>
      <c r="J660" s="79"/>
      <c r="K660" s="79"/>
      <c r="L660" s="79"/>
      <c r="M660" s="79"/>
      <c r="N660" s="79"/>
      <c r="O660" s="79"/>
      <c r="P660" s="79"/>
      <c r="Q660" s="79"/>
      <c r="R660" s="79"/>
      <c r="S660" s="79"/>
      <c r="T660" s="79"/>
      <c r="U660" s="79"/>
      <c r="V660" s="79"/>
      <c r="W660" s="79"/>
      <c r="X660" s="79"/>
      <c r="Y660" s="79"/>
      <c r="Z660" s="96"/>
    </row>
    <row r="661" ht="15.75" customHeight="1" spans="1:26">
      <c r="A661" s="134" t="s">
        <v>4486</v>
      </c>
      <c r="B661" s="133" t="s">
        <v>4487</v>
      </c>
      <c r="C661" s="134" t="s">
        <v>4488</v>
      </c>
      <c r="D661" s="133" t="s">
        <v>78</v>
      </c>
      <c r="E661" s="135">
        <v>120</v>
      </c>
      <c r="F661" s="182" t="s">
        <v>4415</v>
      </c>
      <c r="G661" s="17"/>
      <c r="H661" s="17"/>
      <c r="I661" s="185"/>
      <c r="J661" s="79"/>
      <c r="K661" s="79"/>
      <c r="L661" s="79"/>
      <c r="M661" s="79"/>
      <c r="N661" s="79"/>
      <c r="O661" s="79"/>
      <c r="P661" s="79"/>
      <c r="Q661" s="79"/>
      <c r="R661" s="79"/>
      <c r="S661" s="79"/>
      <c r="T661" s="79"/>
      <c r="U661" s="79"/>
      <c r="V661" s="79"/>
      <c r="W661" s="79"/>
      <c r="X661" s="79"/>
      <c r="Y661" s="79"/>
      <c r="Z661" s="96"/>
    </row>
    <row r="662" ht="15.75" customHeight="1" spans="1:26">
      <c r="A662" s="134" t="s">
        <v>4489</v>
      </c>
      <c r="B662" s="133" t="s">
        <v>4468</v>
      </c>
      <c r="C662" s="134" t="s">
        <v>4469</v>
      </c>
      <c r="D662" s="133" t="s">
        <v>78</v>
      </c>
      <c r="E662" s="135">
        <v>570</v>
      </c>
      <c r="F662" s="182" t="s">
        <v>4415</v>
      </c>
      <c r="G662" s="17"/>
      <c r="H662" s="17"/>
      <c r="I662" s="185"/>
      <c r="J662" s="79"/>
      <c r="K662" s="79"/>
      <c r="L662" s="79"/>
      <c r="M662" s="79"/>
      <c r="N662" s="79"/>
      <c r="O662" s="79"/>
      <c r="P662" s="79"/>
      <c r="Q662" s="79"/>
      <c r="R662" s="79"/>
      <c r="S662" s="79"/>
      <c r="T662" s="79"/>
      <c r="U662" s="79"/>
      <c r="V662" s="79"/>
      <c r="W662" s="79"/>
      <c r="X662" s="79"/>
      <c r="Y662" s="79"/>
      <c r="Z662" s="96"/>
    </row>
    <row r="663" ht="15.75" customHeight="1" spans="1:26">
      <c r="A663" s="134" t="s">
        <v>4490</v>
      </c>
      <c r="B663" s="133" t="s">
        <v>4491</v>
      </c>
      <c r="C663" s="134" t="s">
        <v>4492</v>
      </c>
      <c r="D663" s="133" t="s">
        <v>105</v>
      </c>
      <c r="E663" s="135">
        <v>24</v>
      </c>
      <c r="F663" s="182" t="s">
        <v>4415</v>
      </c>
      <c r="G663" s="17"/>
      <c r="H663" s="17"/>
      <c r="I663" s="185"/>
      <c r="J663" s="79"/>
      <c r="K663" s="79"/>
      <c r="L663" s="79"/>
      <c r="M663" s="79"/>
      <c r="N663" s="79"/>
      <c r="O663" s="79"/>
      <c r="P663" s="79"/>
      <c r="Q663" s="79"/>
      <c r="R663" s="79"/>
      <c r="S663" s="79"/>
      <c r="T663" s="79"/>
      <c r="U663" s="79"/>
      <c r="V663" s="79"/>
      <c r="W663" s="79"/>
      <c r="X663" s="79"/>
      <c r="Y663" s="79"/>
      <c r="Z663" s="96"/>
    </row>
    <row r="664" ht="15.75" customHeight="1" spans="1:26">
      <c r="A664" s="134" t="s">
        <v>4493</v>
      </c>
      <c r="B664" s="133" t="s">
        <v>4494</v>
      </c>
      <c r="C664" s="134" t="s">
        <v>4495</v>
      </c>
      <c r="D664" s="133" t="s">
        <v>105</v>
      </c>
      <c r="E664" s="135">
        <v>197</v>
      </c>
      <c r="F664" s="182" t="s">
        <v>4415</v>
      </c>
      <c r="G664" s="17"/>
      <c r="H664" s="17"/>
      <c r="I664" s="185"/>
      <c r="J664" s="79"/>
      <c r="K664" s="79"/>
      <c r="L664" s="79"/>
      <c r="M664" s="79"/>
      <c r="N664" s="79"/>
      <c r="O664" s="79"/>
      <c r="P664" s="79"/>
      <c r="Q664" s="79"/>
      <c r="R664" s="79"/>
      <c r="S664" s="79"/>
      <c r="T664" s="79"/>
      <c r="U664" s="79"/>
      <c r="V664" s="79"/>
      <c r="W664" s="79"/>
      <c r="X664" s="79"/>
      <c r="Y664" s="79"/>
      <c r="Z664" s="96"/>
    </row>
    <row r="665" ht="15.75" customHeight="1" spans="1:26">
      <c r="A665" s="134" t="s">
        <v>4496</v>
      </c>
      <c r="B665" s="133" t="s">
        <v>4497</v>
      </c>
      <c r="C665" s="134" t="s">
        <v>4498</v>
      </c>
      <c r="D665" s="133" t="s">
        <v>105</v>
      </c>
      <c r="E665" s="135">
        <v>2</v>
      </c>
      <c r="F665" s="182" t="s">
        <v>4415</v>
      </c>
      <c r="G665" s="17"/>
      <c r="H665" s="17"/>
      <c r="I665" s="185"/>
      <c r="J665" s="79"/>
      <c r="K665" s="79"/>
      <c r="L665" s="79"/>
      <c r="M665" s="79"/>
      <c r="N665" s="79"/>
      <c r="O665" s="79"/>
      <c r="P665" s="79"/>
      <c r="Q665" s="79"/>
      <c r="R665" s="79"/>
      <c r="S665" s="79"/>
      <c r="T665" s="79"/>
      <c r="U665" s="79"/>
      <c r="V665" s="79"/>
      <c r="W665" s="79"/>
      <c r="X665" s="79"/>
      <c r="Y665" s="79"/>
      <c r="Z665" s="96"/>
    </row>
    <row r="666" ht="15.75" customHeight="1" spans="1:26">
      <c r="A666" s="134" t="s">
        <v>4499</v>
      </c>
      <c r="B666" s="133" t="s">
        <v>4500</v>
      </c>
      <c r="C666" s="134" t="s">
        <v>4501</v>
      </c>
      <c r="D666" s="133" t="s">
        <v>105</v>
      </c>
      <c r="E666" s="135">
        <v>3</v>
      </c>
      <c r="F666" s="182" t="s">
        <v>4415</v>
      </c>
      <c r="G666" s="17"/>
      <c r="H666" s="17"/>
      <c r="I666" s="185"/>
      <c r="J666" s="79"/>
      <c r="K666" s="79"/>
      <c r="L666" s="79"/>
      <c r="M666" s="79"/>
      <c r="N666" s="79"/>
      <c r="O666" s="79"/>
      <c r="P666" s="79"/>
      <c r="Q666" s="79"/>
      <c r="R666" s="79"/>
      <c r="S666" s="79"/>
      <c r="T666" s="79"/>
      <c r="U666" s="79"/>
      <c r="V666" s="79"/>
      <c r="W666" s="79"/>
      <c r="X666" s="79"/>
      <c r="Y666" s="79"/>
      <c r="Z666" s="96"/>
    </row>
    <row r="667" ht="15.75" customHeight="1" spans="1:26">
      <c r="A667" s="134" t="s">
        <v>4502</v>
      </c>
      <c r="B667" s="133" t="s">
        <v>4043</v>
      </c>
      <c r="C667" s="134" t="s">
        <v>4503</v>
      </c>
      <c r="D667" s="133" t="s">
        <v>105</v>
      </c>
      <c r="E667" s="135">
        <v>12</v>
      </c>
      <c r="F667" s="182" t="s">
        <v>4415</v>
      </c>
      <c r="G667" s="17"/>
      <c r="H667" s="17"/>
      <c r="I667" s="185"/>
      <c r="J667" s="79"/>
      <c r="K667" s="79"/>
      <c r="L667" s="79"/>
      <c r="M667" s="79"/>
      <c r="N667" s="79"/>
      <c r="O667" s="79"/>
      <c r="P667" s="79"/>
      <c r="Q667" s="79"/>
      <c r="R667" s="79"/>
      <c r="S667" s="79"/>
      <c r="T667" s="79"/>
      <c r="U667" s="79"/>
      <c r="V667" s="79"/>
      <c r="W667" s="79"/>
      <c r="X667" s="79"/>
      <c r="Y667" s="79"/>
      <c r="Z667" s="96"/>
    </row>
    <row r="668" ht="15.75" customHeight="1" spans="1:26">
      <c r="A668" s="134" t="s">
        <v>4504</v>
      </c>
      <c r="B668" s="133" t="s">
        <v>4087</v>
      </c>
      <c r="C668" s="134" t="s">
        <v>982</v>
      </c>
      <c r="D668" s="133" t="s">
        <v>105</v>
      </c>
      <c r="E668" s="135">
        <v>1</v>
      </c>
      <c r="F668" s="182" t="s">
        <v>4415</v>
      </c>
      <c r="G668" s="17"/>
      <c r="H668" s="17"/>
      <c r="I668" s="185"/>
      <c r="J668" s="79"/>
      <c r="K668" s="79"/>
      <c r="L668" s="79"/>
      <c r="M668" s="79"/>
      <c r="N668" s="79"/>
      <c r="O668" s="79"/>
      <c r="P668" s="79"/>
      <c r="Q668" s="79"/>
      <c r="R668" s="79"/>
      <c r="S668" s="79"/>
      <c r="T668" s="79"/>
      <c r="U668" s="79"/>
      <c r="V668" s="79"/>
      <c r="W668" s="79"/>
      <c r="X668" s="79"/>
      <c r="Y668" s="79"/>
      <c r="Z668" s="96"/>
    </row>
    <row r="669" ht="15.75" customHeight="1" spans="1:26">
      <c r="A669" s="134" t="s">
        <v>4505</v>
      </c>
      <c r="B669" s="133" t="s">
        <v>4506</v>
      </c>
      <c r="C669" s="134" t="s">
        <v>4507</v>
      </c>
      <c r="D669" s="133" t="s">
        <v>105</v>
      </c>
      <c r="E669" s="135">
        <v>21</v>
      </c>
      <c r="F669" s="182" t="s">
        <v>4415</v>
      </c>
      <c r="G669" s="17"/>
      <c r="H669" s="17"/>
      <c r="I669" s="185"/>
      <c r="J669" s="79"/>
      <c r="K669" s="79"/>
      <c r="L669" s="79"/>
      <c r="M669" s="79"/>
      <c r="N669" s="79"/>
      <c r="O669" s="79"/>
      <c r="P669" s="79"/>
      <c r="Q669" s="79"/>
      <c r="R669" s="79"/>
      <c r="S669" s="79"/>
      <c r="T669" s="79"/>
      <c r="U669" s="79"/>
      <c r="V669" s="79"/>
      <c r="W669" s="79"/>
      <c r="X669" s="79"/>
      <c r="Y669" s="79"/>
      <c r="Z669" s="96"/>
    </row>
    <row r="670" ht="15.75" customHeight="1" spans="1:26">
      <c r="A670" s="134" t="s">
        <v>4508</v>
      </c>
      <c r="B670" s="133" t="s">
        <v>4509</v>
      </c>
      <c r="C670" s="134" t="s">
        <v>4510</v>
      </c>
      <c r="D670" s="133" t="s">
        <v>105</v>
      </c>
      <c r="E670" s="135">
        <v>3</v>
      </c>
      <c r="F670" s="182" t="s">
        <v>4415</v>
      </c>
      <c r="G670" s="17"/>
      <c r="H670" s="17"/>
      <c r="I670" s="185"/>
      <c r="J670" s="79"/>
      <c r="K670" s="79"/>
      <c r="L670" s="79"/>
      <c r="M670" s="79"/>
      <c r="N670" s="79"/>
      <c r="O670" s="79"/>
      <c r="P670" s="79"/>
      <c r="Q670" s="79"/>
      <c r="R670" s="79"/>
      <c r="S670" s="79"/>
      <c r="T670" s="79"/>
      <c r="U670" s="79"/>
      <c r="V670" s="79"/>
      <c r="W670" s="79"/>
      <c r="X670" s="79"/>
      <c r="Y670" s="79"/>
      <c r="Z670" s="96"/>
    </row>
    <row r="671" ht="15.75" customHeight="1" spans="1:26">
      <c r="A671" s="134" t="s">
        <v>4511</v>
      </c>
      <c r="B671" s="133" t="s">
        <v>4512</v>
      </c>
      <c r="C671" s="134" t="s">
        <v>4513</v>
      </c>
      <c r="D671" s="133" t="s">
        <v>105</v>
      </c>
      <c r="E671" s="135">
        <v>3</v>
      </c>
      <c r="F671" s="182" t="s">
        <v>4415</v>
      </c>
      <c r="G671" s="17"/>
      <c r="H671" s="17"/>
      <c r="I671" s="185"/>
      <c r="J671" s="79"/>
      <c r="K671" s="79"/>
      <c r="L671" s="79"/>
      <c r="M671" s="79"/>
      <c r="N671" s="79"/>
      <c r="O671" s="79"/>
      <c r="P671" s="79"/>
      <c r="Q671" s="79"/>
      <c r="R671" s="79"/>
      <c r="S671" s="79"/>
      <c r="T671" s="79"/>
      <c r="U671" s="79"/>
      <c r="V671" s="79"/>
      <c r="W671" s="79"/>
      <c r="X671" s="79"/>
      <c r="Y671" s="79"/>
      <c r="Z671" s="96"/>
    </row>
    <row r="672" ht="15.75" customHeight="1" spans="1:26">
      <c r="A672" s="134" t="s">
        <v>4514</v>
      </c>
      <c r="B672" s="133" t="s">
        <v>4515</v>
      </c>
      <c r="C672" s="134" t="s">
        <v>4516</v>
      </c>
      <c r="D672" s="133" t="s">
        <v>3719</v>
      </c>
      <c r="E672" s="135">
        <v>0.14</v>
      </c>
      <c r="F672" s="182" t="s">
        <v>4415</v>
      </c>
      <c r="G672" s="17"/>
      <c r="H672" s="17"/>
      <c r="I672" s="185"/>
      <c r="J672" s="79"/>
      <c r="K672" s="79"/>
      <c r="L672" s="79"/>
      <c r="M672" s="79"/>
      <c r="N672" s="79"/>
      <c r="O672" s="79"/>
      <c r="P672" s="79"/>
      <c r="Q672" s="79"/>
      <c r="R672" s="79"/>
      <c r="S672" s="79"/>
      <c r="T672" s="79"/>
      <c r="U672" s="79"/>
      <c r="V672" s="79"/>
      <c r="W672" s="79"/>
      <c r="X672" s="79"/>
      <c r="Y672" s="79"/>
      <c r="Z672" s="96"/>
    </row>
    <row r="673" ht="15.75" customHeight="1" spans="1:26">
      <c r="A673" s="134" t="s">
        <v>4517</v>
      </c>
      <c r="B673" s="133" t="s">
        <v>4518</v>
      </c>
      <c r="C673" s="134" t="s">
        <v>1489</v>
      </c>
      <c r="D673" s="133" t="s">
        <v>105</v>
      </c>
      <c r="E673" s="135">
        <v>2</v>
      </c>
      <c r="F673" s="182" t="s">
        <v>4415</v>
      </c>
      <c r="G673" s="17"/>
      <c r="H673" s="17"/>
      <c r="I673" s="185"/>
      <c r="J673" s="79"/>
      <c r="K673" s="79"/>
      <c r="L673" s="79"/>
      <c r="M673" s="79"/>
      <c r="N673" s="79"/>
      <c r="O673" s="79"/>
      <c r="P673" s="79"/>
      <c r="Q673" s="79"/>
      <c r="R673" s="79"/>
      <c r="S673" s="79"/>
      <c r="T673" s="79"/>
      <c r="U673" s="79"/>
      <c r="V673" s="79"/>
      <c r="W673" s="79"/>
      <c r="X673" s="79"/>
      <c r="Y673" s="79"/>
      <c r="Z673" s="96"/>
    </row>
    <row r="674" ht="15.75" customHeight="1" spans="1:26">
      <c r="A674" s="134" t="s">
        <v>4519</v>
      </c>
      <c r="B674" s="133" t="s">
        <v>4520</v>
      </c>
      <c r="C674" s="134" t="s">
        <v>4521</v>
      </c>
      <c r="D674" s="133" t="s">
        <v>105</v>
      </c>
      <c r="E674" s="135">
        <v>10</v>
      </c>
      <c r="F674" s="182" t="s">
        <v>4415</v>
      </c>
      <c r="G674" s="17"/>
      <c r="H674" s="17"/>
      <c r="I674" s="185"/>
      <c r="J674" s="79"/>
      <c r="K674" s="79"/>
      <c r="L674" s="79"/>
      <c r="M674" s="79"/>
      <c r="N674" s="79"/>
      <c r="O674" s="79"/>
      <c r="P674" s="79"/>
      <c r="Q674" s="79"/>
      <c r="R674" s="79"/>
      <c r="S674" s="79"/>
      <c r="T674" s="79"/>
      <c r="U674" s="79"/>
      <c r="V674" s="79"/>
      <c r="W674" s="79"/>
      <c r="X674" s="79"/>
      <c r="Y674" s="79"/>
      <c r="Z674" s="96"/>
    </row>
    <row r="675" ht="15.75" customHeight="1" spans="1:26">
      <c r="A675" s="39" t="s">
        <v>4522</v>
      </c>
      <c r="B675" s="40"/>
      <c r="C675" s="41" t="s">
        <v>924</v>
      </c>
      <c r="D675" s="42"/>
      <c r="E675" s="178"/>
      <c r="F675" s="186"/>
      <c r="G675" s="187"/>
      <c r="H675" s="187"/>
      <c r="I675" s="188"/>
      <c r="J675" s="79"/>
      <c r="K675" s="79"/>
      <c r="L675" s="79"/>
      <c r="M675" s="79"/>
      <c r="N675" s="79"/>
      <c r="O675" s="79"/>
      <c r="P675" s="79"/>
      <c r="Q675" s="79"/>
      <c r="R675" s="79"/>
      <c r="S675" s="79"/>
      <c r="T675" s="79"/>
      <c r="U675" s="79"/>
      <c r="V675" s="79"/>
      <c r="W675" s="79"/>
      <c r="X675" s="79"/>
      <c r="Y675" s="79"/>
      <c r="Z675" s="96"/>
    </row>
    <row r="676" ht="15.75" customHeight="1" spans="1:26">
      <c r="A676" s="134" t="s">
        <v>4523</v>
      </c>
      <c r="B676" s="133" t="s">
        <v>4524</v>
      </c>
      <c r="C676" s="134" t="s">
        <v>927</v>
      </c>
      <c r="D676" s="133" t="s">
        <v>105</v>
      </c>
      <c r="E676" s="135">
        <v>11</v>
      </c>
      <c r="F676" s="182" t="s">
        <v>4415</v>
      </c>
      <c r="G676" s="17"/>
      <c r="H676" s="17"/>
      <c r="I676" s="185"/>
      <c r="J676" s="79"/>
      <c r="K676" s="79"/>
      <c r="L676" s="79"/>
      <c r="M676" s="79"/>
      <c r="N676" s="79"/>
      <c r="O676" s="79"/>
      <c r="P676" s="79"/>
      <c r="Q676" s="79"/>
      <c r="R676" s="79"/>
      <c r="S676" s="79"/>
      <c r="T676" s="79"/>
      <c r="U676" s="79"/>
      <c r="V676" s="79"/>
      <c r="W676" s="79"/>
      <c r="X676" s="79"/>
      <c r="Y676" s="79"/>
      <c r="Z676" s="96"/>
    </row>
    <row r="677" ht="15.75" customHeight="1" spans="1:26">
      <c r="A677" s="134" t="s">
        <v>4525</v>
      </c>
      <c r="B677" s="133" t="s">
        <v>4524</v>
      </c>
      <c r="C677" s="134" t="s">
        <v>4526</v>
      </c>
      <c r="D677" s="133" t="s">
        <v>105</v>
      </c>
      <c r="E677" s="135">
        <v>16</v>
      </c>
      <c r="F677" s="182" t="s">
        <v>4415</v>
      </c>
      <c r="G677" s="17"/>
      <c r="H677" s="17"/>
      <c r="I677" s="185"/>
      <c r="J677" s="79"/>
      <c r="K677" s="79"/>
      <c r="L677" s="79"/>
      <c r="M677" s="79"/>
      <c r="N677" s="79"/>
      <c r="O677" s="79"/>
      <c r="P677" s="79"/>
      <c r="Q677" s="79"/>
      <c r="R677" s="79"/>
      <c r="S677" s="79"/>
      <c r="T677" s="79"/>
      <c r="U677" s="79"/>
      <c r="V677" s="79"/>
      <c r="W677" s="79"/>
      <c r="X677" s="79"/>
      <c r="Y677" s="79"/>
      <c r="Z677" s="96"/>
    </row>
    <row r="678" ht="15.75" customHeight="1" spans="1:26">
      <c r="A678" s="134" t="s">
        <v>4527</v>
      </c>
      <c r="B678" s="133" t="s">
        <v>4528</v>
      </c>
      <c r="C678" s="134" t="s">
        <v>4529</v>
      </c>
      <c r="D678" s="133" t="s">
        <v>105</v>
      </c>
      <c r="E678" s="135">
        <v>1</v>
      </c>
      <c r="F678" s="182" t="s">
        <v>4415</v>
      </c>
      <c r="G678" s="17"/>
      <c r="H678" s="17"/>
      <c r="I678" s="185"/>
      <c r="J678" s="79"/>
      <c r="K678" s="79"/>
      <c r="L678" s="79"/>
      <c r="M678" s="79"/>
      <c r="N678" s="79"/>
      <c r="O678" s="79"/>
      <c r="P678" s="79"/>
      <c r="Q678" s="79"/>
      <c r="R678" s="79"/>
      <c r="S678" s="79"/>
      <c r="T678" s="79"/>
      <c r="U678" s="79"/>
      <c r="V678" s="79"/>
      <c r="W678" s="79"/>
      <c r="X678" s="79"/>
      <c r="Y678" s="79"/>
      <c r="Z678" s="96"/>
    </row>
    <row r="679" ht="15.75" customHeight="1" spans="1:26">
      <c r="A679" s="134" t="s">
        <v>4530</v>
      </c>
      <c r="B679" s="133" t="s">
        <v>4531</v>
      </c>
      <c r="C679" s="134" t="s">
        <v>4532</v>
      </c>
      <c r="D679" s="133" t="s">
        <v>105</v>
      </c>
      <c r="E679" s="135">
        <v>3</v>
      </c>
      <c r="F679" s="182" t="s">
        <v>4415</v>
      </c>
      <c r="G679" s="17"/>
      <c r="H679" s="17"/>
      <c r="I679" s="185"/>
      <c r="J679" s="79"/>
      <c r="K679" s="79"/>
      <c r="L679" s="79"/>
      <c r="M679" s="79"/>
      <c r="N679" s="79"/>
      <c r="O679" s="79"/>
      <c r="P679" s="79"/>
      <c r="Q679" s="79"/>
      <c r="R679" s="79"/>
      <c r="S679" s="79"/>
      <c r="T679" s="79"/>
      <c r="U679" s="79"/>
      <c r="V679" s="79"/>
      <c r="W679" s="79"/>
      <c r="X679" s="79"/>
      <c r="Y679" s="79"/>
      <c r="Z679" s="96"/>
    </row>
    <row r="680" ht="15.75" customHeight="1" spans="1:26">
      <c r="A680" s="134" t="s">
        <v>4533</v>
      </c>
      <c r="B680" s="133" t="s">
        <v>4534</v>
      </c>
      <c r="C680" s="134" t="s">
        <v>4535</v>
      </c>
      <c r="D680" s="133" t="s">
        <v>105</v>
      </c>
      <c r="E680" s="135">
        <v>22</v>
      </c>
      <c r="F680" s="182" t="s">
        <v>4415</v>
      </c>
      <c r="G680" s="17"/>
      <c r="H680" s="17"/>
      <c r="I680" s="185"/>
      <c r="J680" s="79"/>
      <c r="K680" s="79"/>
      <c r="L680" s="79"/>
      <c r="M680" s="79"/>
      <c r="N680" s="79"/>
      <c r="O680" s="79"/>
      <c r="P680" s="79"/>
      <c r="Q680" s="79"/>
      <c r="R680" s="79"/>
      <c r="S680" s="79"/>
      <c r="T680" s="79"/>
      <c r="U680" s="79"/>
      <c r="V680" s="79"/>
      <c r="W680" s="79"/>
      <c r="X680" s="79"/>
      <c r="Y680" s="79"/>
      <c r="Z680" s="96"/>
    </row>
    <row r="681" ht="15.75" customHeight="1" spans="1:26">
      <c r="A681" s="134" t="s">
        <v>4536</v>
      </c>
      <c r="B681" s="133" t="s">
        <v>4537</v>
      </c>
      <c r="C681" s="134" t="s">
        <v>4538</v>
      </c>
      <c r="D681" s="133" t="s">
        <v>105</v>
      </c>
      <c r="E681" s="135">
        <v>69</v>
      </c>
      <c r="F681" s="182" t="s">
        <v>4415</v>
      </c>
      <c r="G681" s="17"/>
      <c r="H681" s="17"/>
      <c r="I681" s="185"/>
      <c r="J681" s="79"/>
      <c r="K681" s="79"/>
      <c r="L681" s="79"/>
      <c r="M681" s="79"/>
      <c r="N681" s="79"/>
      <c r="O681" s="79"/>
      <c r="P681" s="79"/>
      <c r="Q681" s="79"/>
      <c r="R681" s="79"/>
      <c r="S681" s="79"/>
      <c r="T681" s="79"/>
      <c r="U681" s="79"/>
      <c r="V681" s="79"/>
      <c r="W681" s="79"/>
      <c r="X681" s="79"/>
      <c r="Y681" s="79"/>
      <c r="Z681" s="96"/>
    </row>
    <row r="682" ht="15.75" customHeight="1" spans="1:26">
      <c r="A682" s="134" t="s">
        <v>4539</v>
      </c>
      <c r="B682" s="133" t="s">
        <v>4540</v>
      </c>
      <c r="C682" s="134" t="s">
        <v>4541</v>
      </c>
      <c r="D682" s="133" t="s">
        <v>105</v>
      </c>
      <c r="E682" s="135">
        <v>9</v>
      </c>
      <c r="F682" s="182" t="s">
        <v>4415</v>
      </c>
      <c r="G682" s="17"/>
      <c r="H682" s="17"/>
      <c r="I682" s="185"/>
      <c r="J682" s="79"/>
      <c r="K682" s="79"/>
      <c r="L682" s="79"/>
      <c r="M682" s="79"/>
      <c r="N682" s="79"/>
      <c r="O682" s="79"/>
      <c r="P682" s="79"/>
      <c r="Q682" s="79"/>
      <c r="R682" s="79"/>
      <c r="S682" s="79"/>
      <c r="T682" s="79"/>
      <c r="U682" s="79"/>
      <c r="V682" s="79"/>
      <c r="W682" s="79"/>
      <c r="X682" s="79"/>
      <c r="Y682" s="79"/>
      <c r="Z682" s="96"/>
    </row>
    <row r="683" ht="15.75" customHeight="1" spans="1:26">
      <c r="A683" s="134" t="s">
        <v>4542</v>
      </c>
      <c r="B683" s="133" t="s">
        <v>4543</v>
      </c>
      <c r="C683" s="134" t="s">
        <v>4544</v>
      </c>
      <c r="D683" s="133" t="s">
        <v>105</v>
      </c>
      <c r="E683" s="135">
        <v>36</v>
      </c>
      <c r="F683" s="182" t="s">
        <v>4415</v>
      </c>
      <c r="G683" s="17"/>
      <c r="H683" s="17"/>
      <c r="I683" s="185"/>
      <c r="J683" s="79"/>
      <c r="K683" s="79"/>
      <c r="L683" s="79"/>
      <c r="M683" s="79"/>
      <c r="N683" s="79"/>
      <c r="O683" s="79"/>
      <c r="P683" s="79"/>
      <c r="Q683" s="79"/>
      <c r="R683" s="79"/>
      <c r="S683" s="79"/>
      <c r="T683" s="79"/>
      <c r="U683" s="79"/>
      <c r="V683" s="79"/>
      <c r="W683" s="79"/>
      <c r="X683" s="79"/>
      <c r="Y683" s="79"/>
      <c r="Z683" s="96"/>
    </row>
    <row r="684" ht="15.75" customHeight="1" spans="1:26">
      <c r="A684" s="134" t="s">
        <v>4545</v>
      </c>
      <c r="B684" s="133" t="s">
        <v>4546</v>
      </c>
      <c r="C684" s="134" t="s">
        <v>4547</v>
      </c>
      <c r="D684" s="133" t="s">
        <v>105</v>
      </c>
      <c r="E684" s="135">
        <v>2</v>
      </c>
      <c r="F684" s="182" t="s">
        <v>4415</v>
      </c>
      <c r="G684" s="17"/>
      <c r="H684" s="17"/>
      <c r="I684" s="185"/>
      <c r="J684" s="79"/>
      <c r="K684" s="79"/>
      <c r="L684" s="79"/>
      <c r="M684" s="79"/>
      <c r="N684" s="79"/>
      <c r="O684" s="79"/>
      <c r="P684" s="79"/>
      <c r="Q684" s="79"/>
      <c r="R684" s="79"/>
      <c r="S684" s="79"/>
      <c r="T684" s="79"/>
      <c r="U684" s="79"/>
      <c r="V684" s="79"/>
      <c r="W684" s="79"/>
      <c r="X684" s="79"/>
      <c r="Y684" s="79"/>
      <c r="Z684" s="96"/>
    </row>
    <row r="685" ht="15.75" customHeight="1" spans="1:26">
      <c r="A685" s="134" t="s">
        <v>4548</v>
      </c>
      <c r="B685" s="133" t="s">
        <v>4549</v>
      </c>
      <c r="C685" s="134" t="s">
        <v>4550</v>
      </c>
      <c r="D685" s="133" t="s">
        <v>1079</v>
      </c>
      <c r="E685" s="135">
        <v>146</v>
      </c>
      <c r="F685" s="182" t="s">
        <v>4415</v>
      </c>
      <c r="G685" s="17"/>
      <c r="H685" s="17"/>
      <c r="I685" s="185"/>
      <c r="J685" s="79"/>
      <c r="K685" s="79"/>
      <c r="L685" s="79"/>
      <c r="M685" s="79"/>
      <c r="N685" s="79"/>
      <c r="O685" s="79"/>
      <c r="P685" s="79"/>
      <c r="Q685" s="79"/>
      <c r="R685" s="79"/>
      <c r="S685" s="79"/>
      <c r="T685" s="79"/>
      <c r="U685" s="79"/>
      <c r="V685" s="79"/>
      <c r="W685" s="79"/>
      <c r="X685" s="79"/>
      <c r="Y685" s="79"/>
      <c r="Z685" s="96"/>
    </row>
    <row r="686" ht="15.75" customHeight="1" spans="1:26">
      <c r="A686" s="39" t="s">
        <v>4551</v>
      </c>
      <c r="B686" s="40"/>
      <c r="C686" s="41" t="s">
        <v>1151</v>
      </c>
      <c r="D686" s="42"/>
      <c r="E686" s="178"/>
      <c r="F686" s="186"/>
      <c r="G686" s="187"/>
      <c r="H686" s="187"/>
      <c r="I686" s="188"/>
      <c r="J686" s="79"/>
      <c r="K686" s="79"/>
      <c r="L686" s="79"/>
      <c r="M686" s="79"/>
      <c r="N686" s="79"/>
      <c r="O686" s="79"/>
      <c r="P686" s="79"/>
      <c r="Q686" s="79"/>
      <c r="R686" s="79"/>
      <c r="S686" s="79"/>
      <c r="T686" s="79"/>
      <c r="U686" s="79"/>
      <c r="V686" s="79"/>
      <c r="W686" s="79"/>
      <c r="X686" s="79"/>
      <c r="Y686" s="79"/>
      <c r="Z686" s="96"/>
    </row>
    <row r="687" ht="15.75" customHeight="1" spans="1:26">
      <c r="A687" s="134" t="s">
        <v>4552</v>
      </c>
      <c r="B687" s="133" t="s">
        <v>4553</v>
      </c>
      <c r="C687" s="134" t="s">
        <v>4554</v>
      </c>
      <c r="D687" s="133" t="s">
        <v>78</v>
      </c>
      <c r="E687" s="135">
        <v>130</v>
      </c>
      <c r="F687" s="182" t="s">
        <v>4415</v>
      </c>
      <c r="G687" s="17"/>
      <c r="H687" s="17"/>
      <c r="I687" s="185"/>
      <c r="J687" s="79"/>
      <c r="K687" s="79"/>
      <c r="L687" s="79"/>
      <c r="M687" s="79"/>
      <c r="N687" s="79"/>
      <c r="O687" s="79"/>
      <c r="P687" s="79"/>
      <c r="Q687" s="79"/>
      <c r="R687" s="79"/>
      <c r="S687" s="79"/>
      <c r="T687" s="79"/>
      <c r="U687" s="79"/>
      <c r="V687" s="79"/>
      <c r="W687" s="79"/>
      <c r="X687" s="79"/>
      <c r="Y687" s="79"/>
      <c r="Z687" s="96"/>
    </row>
    <row r="688" ht="15.75" customHeight="1" spans="1:26">
      <c r="A688" s="134" t="s">
        <v>4555</v>
      </c>
      <c r="B688" s="133" t="s">
        <v>4556</v>
      </c>
      <c r="C688" s="134" t="s">
        <v>4557</v>
      </c>
      <c r="D688" s="133" t="s">
        <v>78</v>
      </c>
      <c r="E688" s="135">
        <v>270</v>
      </c>
      <c r="F688" s="182" t="s">
        <v>4415</v>
      </c>
      <c r="G688" s="17"/>
      <c r="H688" s="17"/>
      <c r="I688" s="185"/>
      <c r="J688" s="79"/>
      <c r="K688" s="79"/>
      <c r="L688" s="79"/>
      <c r="M688" s="79"/>
      <c r="N688" s="79"/>
      <c r="O688" s="79"/>
      <c r="P688" s="79"/>
      <c r="Q688" s="79"/>
      <c r="R688" s="79"/>
      <c r="S688" s="79"/>
      <c r="T688" s="79"/>
      <c r="U688" s="79"/>
      <c r="V688" s="79"/>
      <c r="W688" s="79"/>
      <c r="X688" s="79"/>
      <c r="Y688" s="79"/>
      <c r="Z688" s="96"/>
    </row>
    <row r="689" ht="15.75" customHeight="1" spans="1:26">
      <c r="A689" s="134" t="s">
        <v>4558</v>
      </c>
      <c r="B689" s="133" t="s">
        <v>4559</v>
      </c>
      <c r="C689" s="134" t="s">
        <v>4560</v>
      </c>
      <c r="D689" s="133" t="s">
        <v>78</v>
      </c>
      <c r="E689" s="135">
        <v>20</v>
      </c>
      <c r="F689" s="182" t="s">
        <v>4415</v>
      </c>
      <c r="G689" s="17"/>
      <c r="H689" s="17"/>
      <c r="I689" s="185"/>
      <c r="J689" s="79"/>
      <c r="K689" s="79"/>
      <c r="L689" s="79"/>
      <c r="M689" s="79"/>
      <c r="N689" s="79"/>
      <c r="O689" s="79"/>
      <c r="P689" s="79"/>
      <c r="Q689" s="79"/>
      <c r="R689" s="79"/>
      <c r="S689" s="79"/>
      <c r="T689" s="79"/>
      <c r="U689" s="79"/>
      <c r="V689" s="79"/>
      <c r="W689" s="79"/>
      <c r="X689" s="79"/>
      <c r="Y689" s="79"/>
      <c r="Z689" s="96"/>
    </row>
    <row r="690" ht="15.75" customHeight="1" spans="1:26">
      <c r="A690" s="134" t="s">
        <v>4561</v>
      </c>
      <c r="B690" s="133" t="s">
        <v>4553</v>
      </c>
      <c r="C690" s="134" t="s">
        <v>4554</v>
      </c>
      <c r="D690" s="133" t="s">
        <v>78</v>
      </c>
      <c r="E690" s="135">
        <v>140</v>
      </c>
      <c r="F690" s="182" t="s">
        <v>4415</v>
      </c>
      <c r="G690" s="17"/>
      <c r="H690" s="17"/>
      <c r="I690" s="185"/>
      <c r="J690" s="79"/>
      <c r="K690" s="79"/>
      <c r="L690" s="79"/>
      <c r="M690" s="79"/>
      <c r="N690" s="79"/>
      <c r="O690" s="79"/>
      <c r="P690" s="79"/>
      <c r="Q690" s="79"/>
      <c r="R690" s="79"/>
      <c r="S690" s="79"/>
      <c r="T690" s="79"/>
      <c r="U690" s="79"/>
      <c r="V690" s="79"/>
      <c r="W690" s="79"/>
      <c r="X690" s="79"/>
      <c r="Y690" s="79"/>
      <c r="Z690" s="96"/>
    </row>
    <row r="691" ht="15.75" customHeight="1" spans="1:26">
      <c r="A691" s="134" t="s">
        <v>4562</v>
      </c>
      <c r="B691" s="133" t="s">
        <v>4563</v>
      </c>
      <c r="C691" s="134" t="s">
        <v>4564</v>
      </c>
      <c r="D691" s="133" t="s">
        <v>78</v>
      </c>
      <c r="E691" s="135">
        <v>10</v>
      </c>
      <c r="F691" s="182" t="s">
        <v>4415</v>
      </c>
      <c r="G691" s="17"/>
      <c r="H691" s="17"/>
      <c r="I691" s="185"/>
      <c r="J691" s="79"/>
      <c r="K691" s="79"/>
      <c r="L691" s="79"/>
      <c r="M691" s="79"/>
      <c r="N691" s="79"/>
      <c r="O691" s="79"/>
      <c r="P691" s="79"/>
      <c r="Q691" s="79"/>
      <c r="R691" s="79"/>
      <c r="S691" s="79"/>
      <c r="T691" s="79"/>
      <c r="U691" s="79"/>
      <c r="V691" s="79"/>
      <c r="W691" s="79"/>
      <c r="X691" s="79"/>
      <c r="Y691" s="79"/>
      <c r="Z691" s="96"/>
    </row>
    <row r="692" ht="15.75" customHeight="1" spans="1:26">
      <c r="A692" s="134" t="s">
        <v>4565</v>
      </c>
      <c r="B692" s="133" t="s">
        <v>4566</v>
      </c>
      <c r="C692" s="134" t="s">
        <v>4567</v>
      </c>
      <c r="D692" s="133" t="s">
        <v>78</v>
      </c>
      <c r="E692" s="135">
        <v>40</v>
      </c>
      <c r="F692" s="182" t="s">
        <v>4415</v>
      </c>
      <c r="G692" s="17"/>
      <c r="H692" s="17"/>
      <c r="I692" s="185"/>
      <c r="J692" s="79"/>
      <c r="K692" s="79"/>
      <c r="L692" s="79"/>
      <c r="M692" s="79"/>
      <c r="N692" s="79"/>
      <c r="O692" s="79"/>
      <c r="P692" s="79"/>
      <c r="Q692" s="79"/>
      <c r="R692" s="79"/>
      <c r="S692" s="79"/>
      <c r="T692" s="79"/>
      <c r="U692" s="79"/>
      <c r="V692" s="79"/>
      <c r="W692" s="79"/>
      <c r="X692" s="79"/>
      <c r="Y692" s="79"/>
      <c r="Z692" s="96"/>
    </row>
    <row r="693" ht="15.75" customHeight="1" spans="1:26">
      <c r="A693" s="134" t="s">
        <v>4568</v>
      </c>
      <c r="B693" s="133" t="s">
        <v>4569</v>
      </c>
      <c r="C693" s="134" t="s">
        <v>4570</v>
      </c>
      <c r="D693" s="133" t="s">
        <v>105</v>
      </c>
      <c r="E693" s="135">
        <v>28</v>
      </c>
      <c r="F693" s="182" t="s">
        <v>4415</v>
      </c>
      <c r="G693" s="17"/>
      <c r="H693" s="17"/>
      <c r="I693" s="185"/>
      <c r="J693" s="79"/>
      <c r="K693" s="79"/>
      <c r="L693" s="79"/>
      <c r="M693" s="79"/>
      <c r="N693" s="79"/>
      <c r="O693" s="79"/>
      <c r="P693" s="79"/>
      <c r="Q693" s="79"/>
      <c r="R693" s="79"/>
      <c r="S693" s="79"/>
      <c r="T693" s="79"/>
      <c r="U693" s="79"/>
      <c r="V693" s="79"/>
      <c r="W693" s="79"/>
      <c r="X693" s="79"/>
      <c r="Y693" s="79"/>
      <c r="Z693" s="96"/>
    </row>
    <row r="694" ht="15.75" customHeight="1" spans="1:26">
      <c r="A694" s="134" t="s">
        <v>4571</v>
      </c>
      <c r="B694" s="133" t="s">
        <v>4572</v>
      </c>
      <c r="C694" s="134" t="s">
        <v>4573</v>
      </c>
      <c r="D694" s="133" t="s">
        <v>78</v>
      </c>
      <c r="E694" s="135">
        <v>100</v>
      </c>
      <c r="F694" s="182" t="s">
        <v>4415</v>
      </c>
      <c r="G694" s="17"/>
      <c r="H694" s="17"/>
      <c r="I694" s="185"/>
      <c r="J694" s="79"/>
      <c r="K694" s="79"/>
      <c r="L694" s="79"/>
      <c r="M694" s="79"/>
      <c r="N694" s="79"/>
      <c r="O694" s="79"/>
      <c r="P694" s="79"/>
      <c r="Q694" s="79"/>
      <c r="R694" s="79"/>
      <c r="S694" s="79"/>
      <c r="T694" s="79"/>
      <c r="U694" s="79"/>
      <c r="V694" s="79"/>
      <c r="W694" s="79"/>
      <c r="X694" s="79"/>
      <c r="Y694" s="79"/>
      <c r="Z694" s="96"/>
    </row>
    <row r="695" ht="15.75" customHeight="1" spans="1:26">
      <c r="A695" s="134" t="s">
        <v>4574</v>
      </c>
      <c r="B695" s="133" t="s">
        <v>4575</v>
      </c>
      <c r="C695" s="134" t="s">
        <v>761</v>
      </c>
      <c r="D695" s="133" t="s">
        <v>78</v>
      </c>
      <c r="E695" s="135">
        <v>7200</v>
      </c>
      <c r="F695" s="182" t="s">
        <v>4415</v>
      </c>
      <c r="G695" s="17"/>
      <c r="H695" s="17"/>
      <c r="I695" s="185"/>
      <c r="J695" s="79"/>
      <c r="K695" s="79"/>
      <c r="L695" s="79"/>
      <c r="M695" s="79"/>
      <c r="N695" s="79"/>
      <c r="O695" s="79"/>
      <c r="P695" s="79"/>
      <c r="Q695" s="79"/>
      <c r="R695" s="79"/>
      <c r="S695" s="79"/>
      <c r="T695" s="79"/>
      <c r="U695" s="79"/>
      <c r="V695" s="79"/>
      <c r="W695" s="79"/>
      <c r="X695" s="79"/>
      <c r="Y695" s="79"/>
      <c r="Z695" s="96"/>
    </row>
    <row r="696" ht="15.75" customHeight="1" spans="1:26">
      <c r="A696" s="134" t="s">
        <v>4576</v>
      </c>
      <c r="B696" s="133" t="s">
        <v>4577</v>
      </c>
      <c r="C696" s="134" t="s">
        <v>764</v>
      </c>
      <c r="D696" s="133" t="s">
        <v>78</v>
      </c>
      <c r="E696" s="135">
        <v>5500</v>
      </c>
      <c r="F696" s="182" t="s">
        <v>4415</v>
      </c>
      <c r="G696" s="17"/>
      <c r="H696" s="17"/>
      <c r="I696" s="185"/>
      <c r="J696" s="79"/>
      <c r="K696" s="79"/>
      <c r="L696" s="79"/>
      <c r="M696" s="79"/>
      <c r="N696" s="79"/>
      <c r="O696" s="79"/>
      <c r="P696" s="79"/>
      <c r="Q696" s="79"/>
      <c r="R696" s="79"/>
      <c r="S696" s="79"/>
      <c r="T696" s="79"/>
      <c r="U696" s="79"/>
      <c r="V696" s="79"/>
      <c r="W696" s="79"/>
      <c r="X696" s="79"/>
      <c r="Y696" s="79"/>
      <c r="Z696" s="96"/>
    </row>
    <row r="697" ht="15.75" customHeight="1" spans="1:26">
      <c r="A697" s="134" t="s">
        <v>4578</v>
      </c>
      <c r="B697" s="133" t="s">
        <v>4579</v>
      </c>
      <c r="C697" s="134" t="s">
        <v>767</v>
      </c>
      <c r="D697" s="133" t="s">
        <v>78</v>
      </c>
      <c r="E697" s="135">
        <v>200</v>
      </c>
      <c r="F697" s="182" t="s">
        <v>4415</v>
      </c>
      <c r="G697" s="17"/>
      <c r="H697" s="17"/>
      <c r="I697" s="185"/>
      <c r="J697" s="79"/>
      <c r="K697" s="79"/>
      <c r="L697" s="79"/>
      <c r="M697" s="79"/>
      <c r="N697" s="79"/>
      <c r="O697" s="79"/>
      <c r="P697" s="79"/>
      <c r="Q697" s="79"/>
      <c r="R697" s="79"/>
      <c r="S697" s="79"/>
      <c r="T697" s="79"/>
      <c r="U697" s="79"/>
      <c r="V697" s="79"/>
      <c r="W697" s="79"/>
      <c r="X697" s="79"/>
      <c r="Y697" s="79"/>
      <c r="Z697" s="96"/>
    </row>
    <row r="698" ht="15.75" customHeight="1" spans="1:26">
      <c r="A698" s="134" t="s">
        <v>4580</v>
      </c>
      <c r="B698" s="133" t="s">
        <v>4581</v>
      </c>
      <c r="C698" s="134" t="s">
        <v>4582</v>
      </c>
      <c r="D698" s="133" t="s">
        <v>78</v>
      </c>
      <c r="E698" s="135">
        <v>1100</v>
      </c>
      <c r="F698" s="182" t="s">
        <v>4415</v>
      </c>
      <c r="G698" s="17"/>
      <c r="H698" s="17"/>
      <c r="I698" s="185"/>
      <c r="J698" s="79"/>
      <c r="K698" s="79"/>
      <c r="L698" s="79"/>
      <c r="M698" s="79"/>
      <c r="N698" s="79"/>
      <c r="O698" s="79"/>
      <c r="P698" s="79"/>
      <c r="Q698" s="79"/>
      <c r="R698" s="79"/>
      <c r="S698" s="79"/>
      <c r="T698" s="79"/>
      <c r="U698" s="79"/>
      <c r="V698" s="79"/>
      <c r="W698" s="79"/>
      <c r="X698" s="79"/>
      <c r="Y698" s="79"/>
      <c r="Z698" s="96"/>
    </row>
    <row r="699" ht="15.75" customHeight="1" spans="1:26">
      <c r="A699" s="134" t="s">
        <v>4583</v>
      </c>
      <c r="B699" s="133" t="s">
        <v>4584</v>
      </c>
      <c r="C699" s="134" t="s">
        <v>4585</v>
      </c>
      <c r="D699" s="133" t="s">
        <v>78</v>
      </c>
      <c r="E699" s="135">
        <v>150</v>
      </c>
      <c r="F699" s="182" t="s">
        <v>4415</v>
      </c>
      <c r="G699" s="17"/>
      <c r="H699" s="17"/>
      <c r="I699" s="185"/>
      <c r="J699" s="79"/>
      <c r="K699" s="79"/>
      <c r="L699" s="79"/>
      <c r="M699" s="79"/>
      <c r="N699" s="79"/>
      <c r="O699" s="79"/>
      <c r="P699" s="79"/>
      <c r="Q699" s="79"/>
      <c r="R699" s="79"/>
      <c r="S699" s="79"/>
      <c r="T699" s="79"/>
      <c r="U699" s="79"/>
      <c r="V699" s="79"/>
      <c r="W699" s="79"/>
      <c r="X699" s="79"/>
      <c r="Y699" s="79"/>
      <c r="Z699" s="96"/>
    </row>
    <row r="700" ht="15.75" customHeight="1" spans="1:26">
      <c r="A700" s="134" t="s">
        <v>4586</v>
      </c>
      <c r="B700" s="133" t="s">
        <v>4584</v>
      </c>
      <c r="C700" s="134" t="s">
        <v>4585</v>
      </c>
      <c r="D700" s="133" t="s">
        <v>78</v>
      </c>
      <c r="E700" s="135">
        <v>30</v>
      </c>
      <c r="F700" s="182" t="s">
        <v>4415</v>
      </c>
      <c r="G700" s="17"/>
      <c r="H700" s="17"/>
      <c r="I700" s="185"/>
      <c r="J700" s="79"/>
      <c r="K700" s="79"/>
      <c r="L700" s="79"/>
      <c r="M700" s="79"/>
      <c r="N700" s="79"/>
      <c r="O700" s="79"/>
      <c r="P700" s="79"/>
      <c r="Q700" s="79"/>
      <c r="R700" s="79"/>
      <c r="S700" s="79"/>
      <c r="T700" s="79"/>
      <c r="U700" s="79"/>
      <c r="V700" s="79"/>
      <c r="W700" s="79"/>
      <c r="X700" s="79"/>
      <c r="Y700" s="79"/>
      <c r="Z700" s="96"/>
    </row>
    <row r="701" ht="15.75" customHeight="1" spans="1:26">
      <c r="A701" s="134" t="s">
        <v>4587</v>
      </c>
      <c r="B701" s="133" t="s">
        <v>4588</v>
      </c>
      <c r="C701" s="134" t="s">
        <v>779</v>
      </c>
      <c r="D701" s="133" t="s">
        <v>78</v>
      </c>
      <c r="E701" s="135">
        <v>200</v>
      </c>
      <c r="F701" s="182" t="s">
        <v>4415</v>
      </c>
      <c r="G701" s="17"/>
      <c r="H701" s="17"/>
      <c r="I701" s="185"/>
      <c r="J701" s="79"/>
      <c r="K701" s="79"/>
      <c r="L701" s="79"/>
      <c r="M701" s="79"/>
      <c r="N701" s="79"/>
      <c r="O701" s="79"/>
      <c r="P701" s="79"/>
      <c r="Q701" s="79"/>
      <c r="R701" s="79"/>
      <c r="S701" s="79"/>
      <c r="T701" s="79"/>
      <c r="U701" s="79"/>
      <c r="V701" s="79"/>
      <c r="W701" s="79"/>
      <c r="X701" s="79"/>
      <c r="Y701" s="79"/>
      <c r="Z701" s="96"/>
    </row>
    <row r="702" ht="15.75" customHeight="1" spans="1:26">
      <c r="A702" s="134" t="s">
        <v>4589</v>
      </c>
      <c r="B702" s="133" t="s">
        <v>4590</v>
      </c>
      <c r="C702" s="134" t="s">
        <v>782</v>
      </c>
      <c r="D702" s="133" t="s">
        <v>78</v>
      </c>
      <c r="E702" s="135">
        <v>345</v>
      </c>
      <c r="F702" s="182" t="s">
        <v>4415</v>
      </c>
      <c r="G702" s="17"/>
      <c r="H702" s="17"/>
      <c r="I702" s="185"/>
      <c r="J702" s="79"/>
      <c r="K702" s="79"/>
      <c r="L702" s="79"/>
      <c r="M702" s="79"/>
      <c r="N702" s="79"/>
      <c r="O702" s="79"/>
      <c r="P702" s="79"/>
      <c r="Q702" s="79"/>
      <c r="R702" s="79"/>
      <c r="S702" s="79"/>
      <c r="T702" s="79"/>
      <c r="U702" s="79"/>
      <c r="V702" s="79"/>
      <c r="W702" s="79"/>
      <c r="X702" s="79"/>
      <c r="Y702" s="79"/>
      <c r="Z702" s="96"/>
    </row>
    <row r="703" ht="15.75" customHeight="1" spans="1:26">
      <c r="A703" s="134" t="s">
        <v>4591</v>
      </c>
      <c r="B703" s="133" t="s">
        <v>4592</v>
      </c>
      <c r="C703" s="134" t="s">
        <v>797</v>
      </c>
      <c r="D703" s="133" t="s">
        <v>78</v>
      </c>
      <c r="E703" s="135">
        <v>90</v>
      </c>
      <c r="F703" s="182" t="s">
        <v>4415</v>
      </c>
      <c r="G703" s="17"/>
      <c r="H703" s="17"/>
      <c r="I703" s="185"/>
      <c r="J703" s="79"/>
      <c r="K703" s="79"/>
      <c r="L703" s="79"/>
      <c r="M703" s="79"/>
      <c r="N703" s="79"/>
      <c r="O703" s="79"/>
      <c r="P703" s="79"/>
      <c r="Q703" s="79"/>
      <c r="R703" s="79"/>
      <c r="S703" s="79"/>
      <c r="T703" s="79"/>
      <c r="U703" s="79"/>
      <c r="V703" s="79"/>
      <c r="W703" s="79"/>
      <c r="X703" s="79"/>
      <c r="Y703" s="79"/>
      <c r="Z703" s="96"/>
    </row>
    <row r="704" ht="15.75" customHeight="1" spans="1:26">
      <c r="A704" s="134" t="s">
        <v>4593</v>
      </c>
      <c r="B704" s="133" t="s">
        <v>4594</v>
      </c>
      <c r="C704" s="134" t="s">
        <v>785</v>
      </c>
      <c r="D704" s="133" t="s">
        <v>78</v>
      </c>
      <c r="E704" s="135">
        <v>40</v>
      </c>
      <c r="F704" s="182" t="s">
        <v>4415</v>
      </c>
      <c r="G704" s="17"/>
      <c r="H704" s="17"/>
      <c r="I704" s="185"/>
      <c r="J704" s="79"/>
      <c r="K704" s="79"/>
      <c r="L704" s="79"/>
      <c r="M704" s="79"/>
      <c r="N704" s="79"/>
      <c r="O704" s="79"/>
      <c r="P704" s="79"/>
      <c r="Q704" s="79"/>
      <c r="R704" s="79"/>
      <c r="S704" s="79"/>
      <c r="T704" s="79"/>
      <c r="U704" s="79"/>
      <c r="V704" s="79"/>
      <c r="W704" s="79"/>
      <c r="X704" s="79"/>
      <c r="Y704" s="79"/>
      <c r="Z704" s="96"/>
    </row>
    <row r="705" ht="15.75" customHeight="1" spans="1:26">
      <c r="A705" s="134" t="s">
        <v>4595</v>
      </c>
      <c r="B705" s="133" t="s">
        <v>4596</v>
      </c>
      <c r="C705" s="134" t="s">
        <v>800</v>
      </c>
      <c r="D705" s="133" t="s">
        <v>78</v>
      </c>
      <c r="E705" s="135">
        <v>250</v>
      </c>
      <c r="F705" s="182" t="s">
        <v>4415</v>
      </c>
      <c r="G705" s="17"/>
      <c r="H705" s="17"/>
      <c r="I705" s="185"/>
      <c r="J705" s="79"/>
      <c r="K705" s="79"/>
      <c r="L705" s="79"/>
      <c r="M705" s="79"/>
      <c r="N705" s="79"/>
      <c r="O705" s="79"/>
      <c r="P705" s="79"/>
      <c r="Q705" s="79"/>
      <c r="R705" s="79"/>
      <c r="S705" s="79"/>
      <c r="T705" s="79"/>
      <c r="U705" s="79"/>
      <c r="V705" s="79"/>
      <c r="W705" s="79"/>
      <c r="X705" s="79"/>
      <c r="Y705" s="79"/>
      <c r="Z705" s="96"/>
    </row>
    <row r="706" ht="15.75" customHeight="1" spans="1:26">
      <c r="A706" s="134" t="s">
        <v>4597</v>
      </c>
      <c r="B706" s="133" t="s">
        <v>4598</v>
      </c>
      <c r="C706" s="134" t="s">
        <v>788</v>
      </c>
      <c r="D706" s="133" t="s">
        <v>78</v>
      </c>
      <c r="E706" s="135">
        <v>70</v>
      </c>
      <c r="F706" s="182" t="s">
        <v>4415</v>
      </c>
      <c r="G706" s="17"/>
      <c r="H706" s="17"/>
      <c r="I706" s="185"/>
      <c r="J706" s="79"/>
      <c r="K706" s="79"/>
      <c r="L706" s="79"/>
      <c r="M706" s="79"/>
      <c r="N706" s="79"/>
      <c r="O706" s="79"/>
      <c r="P706" s="79"/>
      <c r="Q706" s="79"/>
      <c r="R706" s="79"/>
      <c r="S706" s="79"/>
      <c r="T706" s="79"/>
      <c r="U706" s="79"/>
      <c r="V706" s="79"/>
      <c r="W706" s="79"/>
      <c r="X706" s="79"/>
      <c r="Y706" s="79"/>
      <c r="Z706" s="96"/>
    </row>
    <row r="707" ht="15.75" customHeight="1" spans="1:26">
      <c r="A707" s="39" t="s">
        <v>4599</v>
      </c>
      <c r="B707" s="40"/>
      <c r="C707" s="41" t="s">
        <v>895</v>
      </c>
      <c r="D707" s="42"/>
      <c r="E707" s="178"/>
      <c r="F707" s="186"/>
      <c r="G707" s="187"/>
      <c r="H707" s="187"/>
      <c r="I707" s="188"/>
      <c r="J707" s="79"/>
      <c r="K707" s="79"/>
      <c r="L707" s="79"/>
      <c r="M707" s="79"/>
      <c r="N707" s="79"/>
      <c r="O707" s="79"/>
      <c r="P707" s="79"/>
      <c r="Q707" s="79"/>
      <c r="R707" s="79"/>
      <c r="S707" s="79"/>
      <c r="T707" s="79"/>
      <c r="U707" s="79"/>
      <c r="V707" s="79"/>
      <c r="W707" s="79"/>
      <c r="X707" s="79"/>
      <c r="Y707" s="79"/>
      <c r="Z707" s="96"/>
    </row>
    <row r="708" ht="15.75" customHeight="1" spans="1:26">
      <c r="A708" s="134" t="s">
        <v>4600</v>
      </c>
      <c r="B708" s="133" t="s">
        <v>4601</v>
      </c>
      <c r="C708" s="134" t="s">
        <v>4602</v>
      </c>
      <c r="D708" s="133" t="s">
        <v>105</v>
      </c>
      <c r="E708" s="135">
        <v>19</v>
      </c>
      <c r="F708" s="182" t="s">
        <v>4415</v>
      </c>
      <c r="G708" s="17"/>
      <c r="H708" s="17"/>
      <c r="I708" s="185"/>
      <c r="J708" s="79"/>
      <c r="K708" s="79"/>
      <c r="L708" s="79"/>
      <c r="M708" s="79"/>
      <c r="N708" s="79"/>
      <c r="O708" s="79"/>
      <c r="P708" s="79"/>
      <c r="Q708" s="79"/>
      <c r="R708" s="79"/>
      <c r="S708" s="79"/>
      <c r="T708" s="79"/>
      <c r="U708" s="79"/>
      <c r="V708" s="79"/>
      <c r="W708" s="79"/>
      <c r="X708" s="79"/>
      <c r="Y708" s="79"/>
      <c r="Z708" s="96"/>
    </row>
    <row r="709" ht="15.75" customHeight="1" spans="1:26">
      <c r="A709" s="134" t="s">
        <v>4603</v>
      </c>
      <c r="B709" s="133" t="s">
        <v>4604</v>
      </c>
      <c r="C709" s="134" t="s">
        <v>4605</v>
      </c>
      <c r="D709" s="133" t="s">
        <v>105</v>
      </c>
      <c r="E709" s="135">
        <v>3</v>
      </c>
      <c r="F709" s="182" t="s">
        <v>4415</v>
      </c>
      <c r="G709" s="17"/>
      <c r="H709" s="17"/>
      <c r="I709" s="185"/>
      <c r="J709" s="79"/>
      <c r="K709" s="79"/>
      <c r="L709" s="79"/>
      <c r="M709" s="79"/>
      <c r="N709" s="79"/>
      <c r="O709" s="79"/>
      <c r="P709" s="79"/>
      <c r="Q709" s="79"/>
      <c r="R709" s="79"/>
      <c r="S709" s="79"/>
      <c r="T709" s="79"/>
      <c r="U709" s="79"/>
      <c r="V709" s="79"/>
      <c r="W709" s="79"/>
      <c r="X709" s="79"/>
      <c r="Y709" s="79"/>
      <c r="Z709" s="96"/>
    </row>
    <row r="710" ht="15.75" customHeight="1" spans="1:26">
      <c r="A710" s="134" t="s">
        <v>4606</v>
      </c>
      <c r="B710" s="133" t="s">
        <v>4607</v>
      </c>
      <c r="C710" s="134" t="s">
        <v>4608</v>
      </c>
      <c r="D710" s="133" t="s">
        <v>105</v>
      </c>
      <c r="E710" s="135">
        <v>13</v>
      </c>
      <c r="F710" s="182" t="s">
        <v>4415</v>
      </c>
      <c r="G710" s="17"/>
      <c r="H710" s="17"/>
      <c r="I710" s="185"/>
      <c r="J710" s="79"/>
      <c r="K710" s="79"/>
      <c r="L710" s="79"/>
      <c r="M710" s="79"/>
      <c r="N710" s="79"/>
      <c r="O710" s="79"/>
      <c r="P710" s="79"/>
      <c r="Q710" s="79"/>
      <c r="R710" s="79"/>
      <c r="S710" s="79"/>
      <c r="T710" s="79"/>
      <c r="U710" s="79"/>
      <c r="V710" s="79"/>
      <c r="W710" s="79"/>
      <c r="X710" s="79"/>
      <c r="Y710" s="79"/>
      <c r="Z710" s="96"/>
    </row>
    <row r="711" ht="15.75" customHeight="1" spans="1:26">
      <c r="A711" s="134" t="s">
        <v>4609</v>
      </c>
      <c r="B711" s="133" t="s">
        <v>4610</v>
      </c>
      <c r="C711" s="134" t="s">
        <v>4611</v>
      </c>
      <c r="D711" s="133" t="s">
        <v>105</v>
      </c>
      <c r="E711" s="135">
        <v>365</v>
      </c>
      <c r="F711" s="182" t="s">
        <v>4415</v>
      </c>
      <c r="G711" s="17"/>
      <c r="H711" s="17"/>
      <c r="I711" s="185"/>
      <c r="J711" s="79"/>
      <c r="K711" s="79"/>
      <c r="L711" s="79"/>
      <c r="M711" s="79"/>
      <c r="N711" s="79"/>
      <c r="O711" s="79"/>
      <c r="P711" s="79"/>
      <c r="Q711" s="79"/>
      <c r="R711" s="79"/>
      <c r="S711" s="79"/>
      <c r="T711" s="79"/>
      <c r="U711" s="79"/>
      <c r="V711" s="79"/>
      <c r="W711" s="79"/>
      <c r="X711" s="79"/>
      <c r="Y711" s="79"/>
      <c r="Z711" s="96"/>
    </row>
    <row r="712" ht="15.75" customHeight="1" spans="1:26">
      <c r="A712" s="134" t="s">
        <v>4612</v>
      </c>
      <c r="B712" s="133" t="s">
        <v>4613</v>
      </c>
      <c r="C712" s="134" t="s">
        <v>4614</v>
      </c>
      <c r="D712" s="133" t="s">
        <v>105</v>
      </c>
      <c r="E712" s="135">
        <v>3</v>
      </c>
      <c r="F712" s="182" t="s">
        <v>4415</v>
      </c>
      <c r="G712" s="17"/>
      <c r="H712" s="17"/>
      <c r="I712" s="185"/>
      <c r="J712" s="79"/>
      <c r="K712" s="79"/>
      <c r="L712" s="79"/>
      <c r="M712" s="79"/>
      <c r="N712" s="79"/>
      <c r="O712" s="79"/>
      <c r="P712" s="79"/>
      <c r="Q712" s="79"/>
      <c r="R712" s="79"/>
      <c r="S712" s="79"/>
      <c r="T712" s="79"/>
      <c r="U712" s="79"/>
      <c r="V712" s="79"/>
      <c r="W712" s="79"/>
      <c r="X712" s="79"/>
      <c r="Y712" s="79"/>
      <c r="Z712" s="96"/>
    </row>
    <row r="713" ht="15.75" customHeight="1" spans="1:26">
      <c r="A713" s="134" t="s">
        <v>4615</v>
      </c>
      <c r="B713" s="133" t="s">
        <v>4616</v>
      </c>
      <c r="C713" s="134" t="s">
        <v>4617</v>
      </c>
      <c r="D713" s="133" t="s">
        <v>105</v>
      </c>
      <c r="E713" s="135">
        <v>16</v>
      </c>
      <c r="F713" s="182" t="s">
        <v>4415</v>
      </c>
      <c r="G713" s="17"/>
      <c r="H713" s="17"/>
      <c r="I713" s="185"/>
      <c r="J713" s="79"/>
      <c r="K713" s="79"/>
      <c r="L713" s="79"/>
      <c r="M713" s="79"/>
      <c r="N713" s="79"/>
      <c r="O713" s="79"/>
      <c r="P713" s="79"/>
      <c r="Q713" s="79"/>
      <c r="R713" s="79"/>
      <c r="S713" s="79"/>
      <c r="T713" s="79"/>
      <c r="U713" s="79"/>
      <c r="V713" s="79"/>
      <c r="W713" s="79"/>
      <c r="X713" s="79"/>
      <c r="Y713" s="79"/>
      <c r="Z713" s="96"/>
    </row>
    <row r="714" ht="15.75" customHeight="1" spans="1:26">
      <c r="A714" s="134" t="s">
        <v>4618</v>
      </c>
      <c r="B714" s="133" t="s">
        <v>4342</v>
      </c>
      <c r="C714" s="134" t="s">
        <v>4619</v>
      </c>
      <c r="D714" s="133" t="s">
        <v>1380</v>
      </c>
      <c r="E714" s="135">
        <v>3</v>
      </c>
      <c r="F714" s="182" t="s">
        <v>4415</v>
      </c>
      <c r="G714" s="17"/>
      <c r="H714" s="17"/>
      <c r="I714" s="185"/>
      <c r="J714" s="79"/>
      <c r="K714" s="79"/>
      <c r="L714" s="79"/>
      <c r="M714" s="79"/>
      <c r="N714" s="79"/>
      <c r="O714" s="79"/>
      <c r="P714" s="79"/>
      <c r="Q714" s="79"/>
      <c r="R714" s="79"/>
      <c r="S714" s="79"/>
      <c r="T714" s="79"/>
      <c r="U714" s="79"/>
      <c r="V714" s="79"/>
      <c r="W714" s="79"/>
      <c r="X714" s="79"/>
      <c r="Y714" s="79"/>
      <c r="Z714" s="96"/>
    </row>
    <row r="715" ht="15.75" customHeight="1" spans="1:26">
      <c r="A715" s="134" t="s">
        <v>4620</v>
      </c>
      <c r="B715" s="133" t="s">
        <v>4621</v>
      </c>
      <c r="C715" s="134" t="s">
        <v>922</v>
      </c>
      <c r="D715" s="133" t="s">
        <v>105</v>
      </c>
      <c r="E715" s="135">
        <v>175</v>
      </c>
      <c r="F715" s="182" t="s">
        <v>4415</v>
      </c>
      <c r="G715" s="17"/>
      <c r="H715" s="17"/>
      <c r="I715" s="185"/>
      <c r="J715" s="79"/>
      <c r="K715" s="79"/>
      <c r="L715" s="79"/>
      <c r="M715" s="79"/>
      <c r="N715" s="79"/>
      <c r="O715" s="79"/>
      <c r="P715" s="79"/>
      <c r="Q715" s="79"/>
      <c r="R715" s="79"/>
      <c r="S715" s="79"/>
      <c r="T715" s="79"/>
      <c r="U715" s="79"/>
      <c r="V715" s="79"/>
      <c r="W715" s="79"/>
      <c r="X715" s="79"/>
      <c r="Y715" s="79"/>
      <c r="Z715" s="96"/>
    </row>
    <row r="716" ht="15.75" customHeight="1" spans="1:26">
      <c r="A716" s="39" t="s">
        <v>4622</v>
      </c>
      <c r="B716" s="40"/>
      <c r="C716" s="41" t="s">
        <v>43</v>
      </c>
      <c r="D716" s="42"/>
      <c r="E716" s="178"/>
      <c r="F716" s="186"/>
      <c r="G716" s="187"/>
      <c r="H716" s="187"/>
      <c r="I716" s="188"/>
      <c r="J716" s="79"/>
      <c r="K716" s="79"/>
      <c r="L716" s="79"/>
      <c r="M716" s="79"/>
      <c r="N716" s="79"/>
      <c r="O716" s="79"/>
      <c r="P716" s="79"/>
      <c r="Q716" s="79"/>
      <c r="R716" s="79"/>
      <c r="S716" s="79"/>
      <c r="T716" s="79"/>
      <c r="U716" s="79"/>
      <c r="V716" s="79"/>
      <c r="W716" s="79"/>
      <c r="X716" s="79"/>
      <c r="Y716" s="79"/>
      <c r="Z716" s="96"/>
    </row>
    <row r="717" ht="15.75" customHeight="1" spans="1:26">
      <c r="A717" s="134" t="s">
        <v>4623</v>
      </c>
      <c r="B717" s="133" t="s">
        <v>4624</v>
      </c>
      <c r="C717" s="134" t="s">
        <v>4625</v>
      </c>
      <c r="D717" s="133" t="s">
        <v>105</v>
      </c>
      <c r="E717" s="135">
        <v>1</v>
      </c>
      <c r="F717" s="182" t="s">
        <v>4415</v>
      </c>
      <c r="G717" s="17"/>
      <c r="H717" s="17"/>
      <c r="I717" s="185"/>
      <c r="J717" s="79"/>
      <c r="K717" s="79"/>
      <c r="L717" s="79"/>
      <c r="M717" s="79"/>
      <c r="N717" s="79"/>
      <c r="O717" s="79"/>
      <c r="P717" s="79"/>
      <c r="Q717" s="79"/>
      <c r="R717" s="79"/>
      <c r="S717" s="79"/>
      <c r="T717" s="79"/>
      <c r="U717" s="79"/>
      <c r="V717" s="79"/>
      <c r="W717" s="79"/>
      <c r="X717" s="79"/>
      <c r="Y717" s="79"/>
      <c r="Z717" s="96"/>
    </row>
    <row r="718" ht="15.75" customHeight="1" spans="1:26">
      <c r="A718" s="39" t="s">
        <v>4626</v>
      </c>
      <c r="B718" s="40"/>
      <c r="C718" s="41" t="s">
        <v>1501</v>
      </c>
      <c r="D718" s="42"/>
      <c r="E718" s="178"/>
      <c r="F718" s="186" t="s">
        <v>4415</v>
      </c>
      <c r="G718" s="187"/>
      <c r="H718" s="187"/>
      <c r="I718" s="188"/>
      <c r="J718" s="79"/>
      <c r="K718" s="79"/>
      <c r="L718" s="79"/>
      <c r="M718" s="79"/>
      <c r="N718" s="79"/>
      <c r="O718" s="79"/>
      <c r="P718" s="79"/>
      <c r="Q718" s="79"/>
      <c r="R718" s="79"/>
      <c r="S718" s="79"/>
      <c r="T718" s="79"/>
      <c r="U718" s="79"/>
      <c r="V718" s="79"/>
      <c r="W718" s="79"/>
      <c r="X718" s="79"/>
      <c r="Y718" s="79"/>
      <c r="Z718" s="96"/>
    </row>
    <row r="719" ht="15.75" customHeight="1" spans="1:26">
      <c r="A719" s="134" t="s">
        <v>4627</v>
      </c>
      <c r="B719" s="133" t="s">
        <v>4628</v>
      </c>
      <c r="C719" s="134" t="s">
        <v>4629</v>
      </c>
      <c r="D719" s="133" t="s">
        <v>105</v>
      </c>
      <c r="E719" s="135">
        <v>14</v>
      </c>
      <c r="F719" s="182" t="s">
        <v>4415</v>
      </c>
      <c r="G719" s="17"/>
      <c r="H719" s="17"/>
      <c r="I719" s="185"/>
      <c r="J719" s="79"/>
      <c r="K719" s="79"/>
      <c r="L719" s="79"/>
      <c r="M719" s="79"/>
      <c r="N719" s="79"/>
      <c r="O719" s="79"/>
      <c r="P719" s="79"/>
      <c r="Q719" s="79"/>
      <c r="R719" s="79"/>
      <c r="S719" s="79"/>
      <c r="T719" s="79"/>
      <c r="U719" s="79"/>
      <c r="V719" s="79"/>
      <c r="W719" s="79"/>
      <c r="X719" s="79"/>
      <c r="Y719" s="79"/>
      <c r="Z719" s="96"/>
    </row>
    <row r="720" ht="15.75" customHeight="1" spans="1:26">
      <c r="A720" s="134" t="s">
        <v>4630</v>
      </c>
      <c r="B720" s="133" t="s">
        <v>4631</v>
      </c>
      <c r="C720" s="134" t="s">
        <v>4632</v>
      </c>
      <c r="D720" s="133" t="s">
        <v>105</v>
      </c>
      <c r="E720" s="135">
        <v>1</v>
      </c>
      <c r="F720" s="182" t="s">
        <v>4415</v>
      </c>
      <c r="G720" s="17"/>
      <c r="H720" s="17"/>
      <c r="I720" s="185"/>
      <c r="J720" s="79"/>
      <c r="K720" s="79"/>
      <c r="L720" s="79"/>
      <c r="M720" s="79"/>
      <c r="N720" s="79"/>
      <c r="O720" s="79"/>
      <c r="P720" s="79"/>
      <c r="Q720" s="79"/>
      <c r="R720" s="79"/>
      <c r="S720" s="79"/>
      <c r="T720" s="79"/>
      <c r="U720" s="79"/>
      <c r="V720" s="79"/>
      <c r="W720" s="79"/>
      <c r="X720" s="79"/>
      <c r="Y720" s="79"/>
      <c r="Z720" s="96"/>
    </row>
    <row r="721" ht="15.75" customHeight="1" spans="1:26">
      <c r="A721" s="134" t="s">
        <v>4633</v>
      </c>
      <c r="B721" s="133" t="s">
        <v>4634</v>
      </c>
      <c r="C721" s="134" t="s">
        <v>4635</v>
      </c>
      <c r="D721" s="133" t="s">
        <v>105</v>
      </c>
      <c r="E721" s="135">
        <v>35</v>
      </c>
      <c r="F721" s="182" t="s">
        <v>4415</v>
      </c>
      <c r="G721" s="17"/>
      <c r="H721" s="17"/>
      <c r="I721" s="185"/>
      <c r="J721" s="79"/>
      <c r="K721" s="79"/>
      <c r="L721" s="79"/>
      <c r="M721" s="79"/>
      <c r="N721" s="79"/>
      <c r="O721" s="79"/>
      <c r="P721" s="79"/>
      <c r="Q721" s="79"/>
      <c r="R721" s="79"/>
      <c r="S721" s="79"/>
      <c r="T721" s="79"/>
      <c r="U721" s="79"/>
      <c r="V721" s="79"/>
      <c r="W721" s="79"/>
      <c r="X721" s="79"/>
      <c r="Y721" s="79"/>
      <c r="Z721" s="96"/>
    </row>
    <row r="722" ht="15.75" customHeight="1" spans="1:26">
      <c r="A722" s="134" t="s">
        <v>4636</v>
      </c>
      <c r="B722" s="133" t="s">
        <v>4637</v>
      </c>
      <c r="C722" s="134" t="s">
        <v>4638</v>
      </c>
      <c r="D722" s="133" t="s">
        <v>105</v>
      </c>
      <c r="E722" s="135">
        <v>7</v>
      </c>
      <c r="F722" s="182" t="s">
        <v>4415</v>
      </c>
      <c r="G722" s="17"/>
      <c r="H722" s="17"/>
      <c r="I722" s="185"/>
      <c r="J722" s="79"/>
      <c r="K722" s="79"/>
      <c r="L722" s="79"/>
      <c r="M722" s="79"/>
      <c r="N722" s="79"/>
      <c r="O722" s="79"/>
      <c r="P722" s="79"/>
      <c r="Q722" s="79"/>
      <c r="R722" s="79"/>
      <c r="S722" s="79"/>
      <c r="T722" s="79"/>
      <c r="U722" s="79"/>
      <c r="V722" s="79"/>
      <c r="W722" s="79"/>
      <c r="X722" s="79"/>
      <c r="Y722" s="79"/>
      <c r="Z722" s="96"/>
    </row>
    <row r="723" ht="15.75" customHeight="1" spans="1:26">
      <c r="A723" s="134" t="s">
        <v>4639</v>
      </c>
      <c r="B723" s="133" t="s">
        <v>4640</v>
      </c>
      <c r="C723" s="134" t="s">
        <v>4641</v>
      </c>
      <c r="D723" s="133" t="s">
        <v>105</v>
      </c>
      <c r="E723" s="135">
        <v>1</v>
      </c>
      <c r="F723" s="182" t="s">
        <v>4415</v>
      </c>
      <c r="G723" s="17"/>
      <c r="H723" s="17"/>
      <c r="I723" s="185"/>
      <c r="J723" s="79"/>
      <c r="K723" s="79"/>
      <c r="L723" s="79"/>
      <c r="M723" s="79"/>
      <c r="N723" s="79"/>
      <c r="O723" s="79"/>
      <c r="P723" s="79"/>
      <c r="Q723" s="79"/>
      <c r="R723" s="79"/>
      <c r="S723" s="79"/>
      <c r="T723" s="79"/>
      <c r="U723" s="79"/>
      <c r="V723" s="79"/>
      <c r="W723" s="79"/>
      <c r="X723" s="79"/>
      <c r="Y723" s="79"/>
      <c r="Z723" s="96"/>
    </row>
    <row r="724" ht="15.75" customHeight="1" spans="1:26">
      <c r="A724" s="134" t="s">
        <v>4642</v>
      </c>
      <c r="B724" s="133" t="s">
        <v>4643</v>
      </c>
      <c r="C724" s="134" t="s">
        <v>4644</v>
      </c>
      <c r="D724" s="133" t="s">
        <v>105</v>
      </c>
      <c r="E724" s="135">
        <v>3</v>
      </c>
      <c r="F724" s="182" t="s">
        <v>4415</v>
      </c>
      <c r="G724" s="17"/>
      <c r="H724" s="17"/>
      <c r="I724" s="185"/>
      <c r="J724" s="79"/>
      <c r="K724" s="79"/>
      <c r="L724" s="79"/>
      <c r="M724" s="79"/>
      <c r="N724" s="79"/>
      <c r="O724" s="79"/>
      <c r="P724" s="79"/>
      <c r="Q724" s="79"/>
      <c r="R724" s="79"/>
      <c r="S724" s="79"/>
      <c r="T724" s="79"/>
      <c r="U724" s="79"/>
      <c r="V724" s="79"/>
      <c r="W724" s="79"/>
      <c r="X724" s="79"/>
      <c r="Y724" s="79"/>
      <c r="Z724" s="96"/>
    </row>
    <row r="725" ht="15.75" customHeight="1" spans="1:26">
      <c r="A725" s="134" t="s">
        <v>4645</v>
      </c>
      <c r="B725" s="133" t="s">
        <v>4646</v>
      </c>
      <c r="C725" s="134" t="s">
        <v>4647</v>
      </c>
      <c r="D725" s="133" t="s">
        <v>105</v>
      </c>
      <c r="E725" s="135">
        <v>2</v>
      </c>
      <c r="F725" s="182" t="s">
        <v>4415</v>
      </c>
      <c r="G725" s="17"/>
      <c r="H725" s="17"/>
      <c r="I725" s="185"/>
      <c r="J725" s="79"/>
      <c r="K725" s="79"/>
      <c r="L725" s="79"/>
      <c r="M725" s="79"/>
      <c r="N725" s="79"/>
      <c r="O725" s="79"/>
      <c r="P725" s="79"/>
      <c r="Q725" s="79"/>
      <c r="R725" s="79"/>
      <c r="S725" s="79"/>
      <c r="T725" s="79"/>
      <c r="U725" s="79"/>
      <c r="V725" s="79"/>
      <c r="W725" s="79"/>
      <c r="X725" s="79"/>
      <c r="Y725" s="79"/>
      <c r="Z725" s="96"/>
    </row>
    <row r="726" ht="15.75" customHeight="1" spans="1:26">
      <c r="A726" s="134" t="s">
        <v>4648</v>
      </c>
      <c r="B726" s="133" t="s">
        <v>4649</v>
      </c>
      <c r="C726" s="134" t="s">
        <v>4650</v>
      </c>
      <c r="D726" s="133" t="s">
        <v>105</v>
      </c>
      <c r="E726" s="135">
        <v>2</v>
      </c>
      <c r="F726" s="182" t="s">
        <v>4415</v>
      </c>
      <c r="G726" s="17"/>
      <c r="H726" s="17"/>
      <c r="I726" s="185"/>
      <c r="J726" s="79"/>
      <c r="K726" s="79"/>
      <c r="L726" s="79"/>
      <c r="M726" s="79"/>
      <c r="N726" s="79"/>
      <c r="O726" s="79"/>
      <c r="P726" s="79"/>
      <c r="Q726" s="79"/>
      <c r="R726" s="79"/>
      <c r="S726" s="79"/>
      <c r="T726" s="79"/>
      <c r="U726" s="79"/>
      <c r="V726" s="79"/>
      <c r="W726" s="79"/>
      <c r="X726" s="79"/>
      <c r="Y726" s="79"/>
      <c r="Z726" s="96"/>
    </row>
    <row r="727" ht="15.75" customHeight="1" spans="1:26">
      <c r="A727" s="134" t="s">
        <v>4651</v>
      </c>
      <c r="B727" s="133" t="s">
        <v>4652</v>
      </c>
      <c r="C727" s="134" t="s">
        <v>4653</v>
      </c>
      <c r="D727" s="133" t="s">
        <v>105</v>
      </c>
      <c r="E727" s="135">
        <v>2</v>
      </c>
      <c r="F727" s="182" t="s">
        <v>4415</v>
      </c>
      <c r="G727" s="17"/>
      <c r="H727" s="17"/>
      <c r="I727" s="185"/>
      <c r="J727" s="79"/>
      <c r="K727" s="79"/>
      <c r="L727" s="79"/>
      <c r="M727" s="79"/>
      <c r="N727" s="79"/>
      <c r="O727" s="79"/>
      <c r="P727" s="79"/>
      <c r="Q727" s="79"/>
      <c r="R727" s="79"/>
      <c r="S727" s="79"/>
      <c r="T727" s="79"/>
      <c r="U727" s="79"/>
      <c r="V727" s="79"/>
      <c r="W727" s="79"/>
      <c r="X727" s="79"/>
      <c r="Y727" s="79"/>
      <c r="Z727" s="96"/>
    </row>
    <row r="728" ht="15.75" customHeight="1" spans="1:26">
      <c r="A728" s="134" t="s">
        <v>4654</v>
      </c>
      <c r="B728" s="133" t="s">
        <v>4655</v>
      </c>
      <c r="C728" s="134" t="s">
        <v>4656</v>
      </c>
      <c r="D728" s="133" t="s">
        <v>105</v>
      </c>
      <c r="E728" s="135">
        <v>1</v>
      </c>
      <c r="F728" s="182" t="s">
        <v>4415</v>
      </c>
      <c r="G728" s="17"/>
      <c r="H728" s="17"/>
      <c r="I728" s="185"/>
      <c r="J728" s="79"/>
      <c r="K728" s="79"/>
      <c r="L728" s="79"/>
      <c r="M728" s="79"/>
      <c r="N728" s="79"/>
      <c r="O728" s="79"/>
      <c r="P728" s="79"/>
      <c r="Q728" s="79"/>
      <c r="R728" s="79"/>
      <c r="S728" s="79"/>
      <c r="T728" s="79"/>
      <c r="U728" s="79"/>
      <c r="V728" s="79"/>
      <c r="W728" s="79"/>
      <c r="X728" s="79"/>
      <c r="Y728" s="79"/>
      <c r="Z728" s="96"/>
    </row>
    <row r="729" ht="15.75" customHeight="1" spans="1:26">
      <c r="A729" s="134" t="s">
        <v>4657</v>
      </c>
      <c r="B729" s="133" t="s">
        <v>4658</v>
      </c>
      <c r="C729" s="134" t="s">
        <v>4659</v>
      </c>
      <c r="D729" s="133" t="s">
        <v>105</v>
      </c>
      <c r="E729" s="135">
        <v>3</v>
      </c>
      <c r="F729" s="182" t="s">
        <v>4415</v>
      </c>
      <c r="G729" s="17"/>
      <c r="H729" s="17"/>
      <c r="I729" s="185"/>
      <c r="J729" s="79"/>
      <c r="K729" s="79"/>
      <c r="L729" s="79"/>
      <c r="M729" s="79"/>
      <c r="N729" s="79"/>
      <c r="O729" s="79"/>
      <c r="P729" s="79"/>
      <c r="Q729" s="79"/>
      <c r="R729" s="79"/>
      <c r="S729" s="79"/>
      <c r="T729" s="79"/>
      <c r="U729" s="79"/>
      <c r="V729" s="79"/>
      <c r="W729" s="79"/>
      <c r="X729" s="79"/>
      <c r="Y729" s="79"/>
      <c r="Z729" s="96"/>
    </row>
    <row r="730" ht="15.75" customHeight="1" spans="1:26">
      <c r="A730" s="134" t="s">
        <v>4660</v>
      </c>
      <c r="B730" s="133" t="s">
        <v>4661</v>
      </c>
      <c r="C730" s="134" t="s">
        <v>4662</v>
      </c>
      <c r="D730" s="133" t="s">
        <v>105</v>
      </c>
      <c r="E730" s="135">
        <v>2</v>
      </c>
      <c r="F730" s="182" t="s">
        <v>4415</v>
      </c>
      <c r="G730" s="17"/>
      <c r="H730" s="17"/>
      <c r="I730" s="185"/>
      <c r="J730" s="79"/>
      <c r="K730" s="79"/>
      <c r="L730" s="79"/>
      <c r="M730" s="79"/>
      <c r="N730" s="79"/>
      <c r="O730" s="79"/>
      <c r="P730" s="79"/>
      <c r="Q730" s="79"/>
      <c r="R730" s="79"/>
      <c r="S730" s="79"/>
      <c r="T730" s="79"/>
      <c r="U730" s="79"/>
      <c r="V730" s="79"/>
      <c r="W730" s="79"/>
      <c r="X730" s="79"/>
      <c r="Y730" s="79"/>
      <c r="Z730" s="96"/>
    </row>
    <row r="731" ht="15.75" customHeight="1" spans="1:26">
      <c r="A731" s="134" t="s">
        <v>4663</v>
      </c>
      <c r="B731" s="133" t="s">
        <v>4664</v>
      </c>
      <c r="C731" s="134" t="s">
        <v>4665</v>
      </c>
      <c r="D731" s="133" t="s">
        <v>105</v>
      </c>
      <c r="E731" s="189">
        <v>2</v>
      </c>
      <c r="F731" s="182" t="s">
        <v>4415</v>
      </c>
      <c r="G731" s="17"/>
      <c r="H731" s="17"/>
      <c r="I731" s="185"/>
      <c r="J731" s="79"/>
      <c r="K731" s="79"/>
      <c r="L731" s="79"/>
      <c r="M731" s="79"/>
      <c r="N731" s="79"/>
      <c r="O731" s="79"/>
      <c r="P731" s="79"/>
      <c r="Q731" s="79"/>
      <c r="R731" s="79"/>
      <c r="S731" s="79"/>
      <c r="T731" s="79"/>
      <c r="U731" s="79"/>
      <c r="V731" s="79"/>
      <c r="W731" s="79"/>
      <c r="X731" s="79"/>
      <c r="Y731" s="79"/>
      <c r="Z731" s="96"/>
    </row>
    <row r="732" ht="15.75" customHeight="1" spans="1:26">
      <c r="A732" s="41" t="s">
        <v>1544</v>
      </c>
      <c r="B732" s="41" t="s">
        <v>61</v>
      </c>
      <c r="C732" s="41" t="s">
        <v>46</v>
      </c>
      <c r="D732" s="41"/>
      <c r="E732" s="190"/>
      <c r="F732" s="186"/>
      <c r="G732" s="187"/>
      <c r="H732" s="187"/>
      <c r="I732" s="188"/>
      <c r="J732" s="79"/>
      <c r="K732" s="79"/>
      <c r="L732" s="79"/>
      <c r="M732" s="79"/>
      <c r="N732" s="79"/>
      <c r="O732" s="79"/>
      <c r="P732" s="79"/>
      <c r="Q732" s="79"/>
      <c r="R732" s="79"/>
      <c r="S732" s="79"/>
      <c r="T732" s="79"/>
      <c r="U732" s="79"/>
      <c r="V732" s="79"/>
      <c r="W732" s="79"/>
      <c r="X732" s="79"/>
      <c r="Y732" s="79"/>
      <c r="Z732" s="96"/>
    </row>
    <row r="733" ht="15.75" customHeight="1" spans="1:26">
      <c r="A733" s="41" t="s">
        <v>1545</v>
      </c>
      <c r="B733" s="41" t="s">
        <v>61</v>
      </c>
      <c r="C733" s="41" t="s">
        <v>1546</v>
      </c>
      <c r="D733" s="41"/>
      <c r="E733" s="190"/>
      <c r="F733" s="186"/>
      <c r="G733" s="187"/>
      <c r="H733" s="187"/>
      <c r="I733" s="188"/>
      <c r="J733" s="79"/>
      <c r="K733" s="79"/>
      <c r="L733" s="79"/>
      <c r="M733" s="79"/>
      <c r="N733" s="79"/>
      <c r="O733" s="79"/>
      <c r="P733" s="79"/>
      <c r="Q733" s="79"/>
      <c r="R733" s="79"/>
      <c r="S733" s="79"/>
      <c r="T733" s="79"/>
      <c r="U733" s="79"/>
      <c r="V733" s="79"/>
      <c r="W733" s="79"/>
      <c r="X733" s="79"/>
      <c r="Y733" s="79"/>
      <c r="Z733" s="96"/>
    </row>
    <row r="734" ht="15.75" customHeight="1" spans="1:26">
      <c r="A734" s="134" t="s">
        <v>1547</v>
      </c>
      <c r="B734" s="133" t="s">
        <v>147</v>
      </c>
      <c r="C734" s="134" t="s">
        <v>148</v>
      </c>
      <c r="D734" s="133" t="s">
        <v>129</v>
      </c>
      <c r="E734" s="37">
        <v>1.76</v>
      </c>
      <c r="F734" s="181" t="s">
        <v>3751</v>
      </c>
      <c r="G734" s="19"/>
      <c r="H734" s="19"/>
      <c r="I734" s="20"/>
      <c r="J734" s="79"/>
      <c r="K734" s="79"/>
      <c r="L734" s="79"/>
      <c r="M734" s="79"/>
      <c r="N734" s="79"/>
      <c r="O734" s="79"/>
      <c r="P734" s="79"/>
      <c r="Q734" s="79"/>
      <c r="R734" s="79"/>
      <c r="S734" s="79"/>
      <c r="T734" s="79"/>
      <c r="U734" s="79"/>
      <c r="V734" s="79"/>
      <c r="W734" s="79"/>
      <c r="X734" s="79"/>
      <c r="Y734" s="79"/>
      <c r="Z734" s="96"/>
    </row>
    <row r="735" ht="15.75" customHeight="1" spans="1:26">
      <c r="A735" s="134" t="s">
        <v>1548</v>
      </c>
      <c r="B735" s="133" t="s">
        <v>1455</v>
      </c>
      <c r="C735" s="134" t="s">
        <v>1456</v>
      </c>
      <c r="D735" s="133" t="s">
        <v>73</v>
      </c>
      <c r="E735" s="37">
        <v>6.78</v>
      </c>
      <c r="F735" s="181" t="s">
        <v>3751</v>
      </c>
      <c r="G735" s="19"/>
      <c r="H735" s="19"/>
      <c r="I735" s="20"/>
      <c r="J735" s="79"/>
      <c r="K735" s="79"/>
      <c r="L735" s="79"/>
      <c r="M735" s="79"/>
      <c r="N735" s="79"/>
      <c r="O735" s="79"/>
      <c r="P735" s="79"/>
      <c r="Q735" s="79"/>
      <c r="R735" s="79"/>
      <c r="S735" s="79"/>
      <c r="T735" s="79"/>
      <c r="U735" s="79"/>
      <c r="V735" s="79"/>
      <c r="W735" s="79"/>
      <c r="X735" s="79"/>
      <c r="Y735" s="79"/>
      <c r="Z735" s="96"/>
    </row>
    <row r="736" ht="15.75" customHeight="1" spans="1:26">
      <c r="A736" s="134" t="s">
        <v>1549</v>
      </c>
      <c r="B736" s="133" t="s">
        <v>169</v>
      </c>
      <c r="C736" s="134" t="s">
        <v>170</v>
      </c>
      <c r="D736" s="133" t="s">
        <v>158</v>
      </c>
      <c r="E736" s="37">
        <v>77</v>
      </c>
      <c r="F736" s="181" t="s">
        <v>3751</v>
      </c>
      <c r="G736" s="19"/>
      <c r="H736" s="19"/>
      <c r="I736" s="20"/>
      <c r="J736" s="79"/>
      <c r="K736" s="79"/>
      <c r="L736" s="79"/>
      <c r="M736" s="79"/>
      <c r="N736" s="79"/>
      <c r="O736" s="79"/>
      <c r="P736" s="79"/>
      <c r="Q736" s="79"/>
      <c r="R736" s="79"/>
      <c r="S736" s="79"/>
      <c r="T736" s="79"/>
      <c r="U736" s="79"/>
      <c r="V736" s="79"/>
      <c r="W736" s="79"/>
      <c r="X736" s="79"/>
      <c r="Y736" s="79"/>
      <c r="Z736" s="96"/>
    </row>
    <row r="737" ht="15.75" customHeight="1" spans="1:26">
      <c r="A737" s="134" t="s">
        <v>1550</v>
      </c>
      <c r="B737" s="133" t="s">
        <v>172</v>
      </c>
      <c r="C737" s="134" t="s">
        <v>173</v>
      </c>
      <c r="D737" s="133" t="s">
        <v>158</v>
      </c>
      <c r="E737" s="37">
        <v>10</v>
      </c>
      <c r="F737" s="181" t="s">
        <v>3751</v>
      </c>
      <c r="G737" s="19"/>
      <c r="H737" s="19"/>
      <c r="I737" s="20"/>
      <c r="J737" s="79"/>
      <c r="K737" s="79"/>
      <c r="L737" s="79"/>
      <c r="M737" s="79"/>
      <c r="N737" s="79"/>
      <c r="O737" s="79"/>
      <c r="P737" s="79"/>
      <c r="Q737" s="79"/>
      <c r="R737" s="79"/>
      <c r="S737" s="79"/>
      <c r="T737" s="79"/>
      <c r="U737" s="79"/>
      <c r="V737" s="79"/>
      <c r="W737" s="79"/>
      <c r="X737" s="79"/>
      <c r="Y737" s="79"/>
      <c r="Z737" s="96"/>
    </row>
    <row r="738" ht="15.75" customHeight="1" spans="1:26">
      <c r="A738" s="134" t="s">
        <v>1551</v>
      </c>
      <c r="B738" s="133" t="s">
        <v>1460</v>
      </c>
      <c r="C738" s="134" t="s">
        <v>1461</v>
      </c>
      <c r="D738" s="133" t="s">
        <v>129</v>
      </c>
      <c r="E738" s="37">
        <v>1.76</v>
      </c>
      <c r="F738" s="181" t="s">
        <v>3751</v>
      </c>
      <c r="G738" s="19"/>
      <c r="H738" s="19"/>
      <c r="I738" s="20"/>
      <c r="J738" s="79"/>
      <c r="K738" s="79"/>
      <c r="L738" s="79"/>
      <c r="M738" s="79"/>
      <c r="N738" s="79"/>
      <c r="O738" s="79"/>
      <c r="P738" s="79"/>
      <c r="Q738" s="79"/>
      <c r="R738" s="79"/>
      <c r="S738" s="79"/>
      <c r="T738" s="79"/>
      <c r="U738" s="79"/>
      <c r="V738" s="79"/>
      <c r="W738" s="79"/>
      <c r="X738" s="79"/>
      <c r="Y738" s="79"/>
      <c r="Z738" s="96"/>
    </row>
    <row r="739" ht="15.75" customHeight="1" spans="1:26">
      <c r="A739" s="41" t="s">
        <v>1552</v>
      </c>
      <c r="B739" s="41" t="s">
        <v>61</v>
      </c>
      <c r="C739" s="41" t="s">
        <v>247</v>
      </c>
      <c r="D739" s="41"/>
      <c r="E739" s="190"/>
      <c r="F739" s="186"/>
      <c r="G739" s="187"/>
      <c r="H739" s="187"/>
      <c r="I739" s="188"/>
      <c r="J739" s="79"/>
      <c r="K739" s="79"/>
      <c r="L739" s="79"/>
      <c r="M739" s="79"/>
      <c r="N739" s="79"/>
      <c r="O739" s="79"/>
      <c r="P739" s="79"/>
      <c r="Q739" s="79"/>
      <c r="R739" s="79"/>
      <c r="S739" s="79"/>
      <c r="T739" s="79"/>
      <c r="U739" s="79"/>
      <c r="V739" s="79"/>
      <c r="W739" s="79"/>
      <c r="X739" s="79"/>
      <c r="Y739" s="79"/>
      <c r="Z739" s="96"/>
    </row>
    <row r="740" ht="15.75" customHeight="1" spans="1:26">
      <c r="A740" s="134" t="s">
        <v>1553</v>
      </c>
      <c r="B740" s="133" t="s">
        <v>249</v>
      </c>
      <c r="C740" s="134" t="s">
        <v>250</v>
      </c>
      <c r="D740" s="133" t="s">
        <v>73</v>
      </c>
      <c r="E740" s="37">
        <v>7.22</v>
      </c>
      <c r="F740" s="181" t="s">
        <v>3751</v>
      </c>
      <c r="G740" s="19"/>
      <c r="H740" s="19"/>
      <c r="I740" s="20"/>
      <c r="J740" s="79"/>
      <c r="K740" s="79"/>
      <c r="L740" s="79"/>
      <c r="M740" s="79"/>
      <c r="N740" s="79"/>
      <c r="O740" s="79"/>
      <c r="P740" s="79"/>
      <c r="Q740" s="79"/>
      <c r="R740" s="79"/>
      <c r="S740" s="79"/>
      <c r="T740" s="79"/>
      <c r="U740" s="79"/>
      <c r="V740" s="79"/>
      <c r="W740" s="79"/>
      <c r="X740" s="79"/>
      <c r="Y740" s="79"/>
      <c r="Z740" s="96"/>
    </row>
    <row r="741" ht="15.75" customHeight="1" spans="1:26">
      <c r="A741" s="134" t="s">
        <v>1554</v>
      </c>
      <c r="B741" s="133" t="s">
        <v>1460</v>
      </c>
      <c r="C741" s="134" t="s">
        <v>1461</v>
      </c>
      <c r="D741" s="133" t="s">
        <v>129</v>
      </c>
      <c r="E741" s="37">
        <v>0.87</v>
      </c>
      <c r="F741" s="181" t="s">
        <v>3751</v>
      </c>
      <c r="G741" s="19"/>
      <c r="H741" s="19"/>
      <c r="I741" s="20"/>
      <c r="J741" s="79"/>
      <c r="K741" s="79"/>
      <c r="L741" s="79"/>
      <c r="M741" s="79"/>
      <c r="N741" s="79"/>
      <c r="O741" s="79"/>
      <c r="P741" s="79"/>
      <c r="Q741" s="79"/>
      <c r="R741" s="79"/>
      <c r="S741" s="79"/>
      <c r="T741" s="79"/>
      <c r="U741" s="79"/>
      <c r="V741" s="79"/>
      <c r="W741" s="79"/>
      <c r="X741" s="79"/>
      <c r="Y741" s="79"/>
      <c r="Z741" s="96"/>
    </row>
    <row r="742" ht="15.75" customHeight="1" spans="1:26">
      <c r="A742" s="134" t="s">
        <v>1555</v>
      </c>
      <c r="B742" s="133" t="s">
        <v>252</v>
      </c>
      <c r="C742" s="134" t="s">
        <v>253</v>
      </c>
      <c r="D742" s="133" t="s">
        <v>158</v>
      </c>
      <c r="E742" s="37">
        <v>34</v>
      </c>
      <c r="F742" s="181" t="s">
        <v>3751</v>
      </c>
      <c r="G742" s="19"/>
      <c r="H742" s="19"/>
      <c r="I742" s="20"/>
      <c r="J742" s="79"/>
      <c r="K742" s="79"/>
      <c r="L742" s="79"/>
      <c r="M742" s="79"/>
      <c r="N742" s="79"/>
      <c r="O742" s="79"/>
      <c r="P742" s="79"/>
      <c r="Q742" s="79"/>
      <c r="R742" s="79"/>
      <c r="S742" s="79"/>
      <c r="T742" s="79"/>
      <c r="U742" s="79"/>
      <c r="V742" s="79"/>
      <c r="W742" s="79"/>
      <c r="X742" s="79"/>
      <c r="Y742" s="79"/>
      <c r="Z742" s="96"/>
    </row>
    <row r="743" ht="15.75" customHeight="1" spans="1:26">
      <c r="A743" s="134" t="s">
        <v>1556</v>
      </c>
      <c r="B743" s="133" t="s">
        <v>255</v>
      </c>
      <c r="C743" s="134" t="s">
        <v>256</v>
      </c>
      <c r="D743" s="133" t="s">
        <v>158</v>
      </c>
      <c r="E743" s="37">
        <v>18</v>
      </c>
      <c r="F743" s="181" t="s">
        <v>3751</v>
      </c>
      <c r="G743" s="19"/>
      <c r="H743" s="19"/>
      <c r="I743" s="20"/>
      <c r="J743" s="79"/>
      <c r="K743" s="79"/>
      <c r="L743" s="79"/>
      <c r="M743" s="79"/>
      <c r="N743" s="79"/>
      <c r="O743" s="79"/>
      <c r="P743" s="79"/>
      <c r="Q743" s="79"/>
      <c r="R743" s="79"/>
      <c r="S743" s="79"/>
      <c r="T743" s="79"/>
      <c r="U743" s="79"/>
      <c r="V743" s="79"/>
      <c r="W743" s="79"/>
      <c r="X743" s="79"/>
      <c r="Y743" s="79"/>
      <c r="Z743" s="96"/>
    </row>
    <row r="744" ht="15.75" customHeight="1" spans="1:26">
      <c r="A744" s="134" t="s">
        <v>1557</v>
      </c>
      <c r="B744" s="133" t="s">
        <v>1558</v>
      </c>
      <c r="C744" s="134" t="s">
        <v>1559</v>
      </c>
      <c r="D744" s="133" t="s">
        <v>73</v>
      </c>
      <c r="E744" s="37">
        <v>8.55</v>
      </c>
      <c r="F744" s="181" t="s">
        <v>3751</v>
      </c>
      <c r="G744" s="19"/>
      <c r="H744" s="19"/>
      <c r="I744" s="20"/>
      <c r="J744" s="79"/>
      <c r="K744" s="79"/>
      <c r="L744" s="79"/>
      <c r="M744" s="79"/>
      <c r="N744" s="79"/>
      <c r="O744" s="79"/>
      <c r="P744" s="79"/>
      <c r="Q744" s="79"/>
      <c r="R744" s="79"/>
      <c r="S744" s="79"/>
      <c r="T744" s="79"/>
      <c r="U744" s="79"/>
      <c r="V744" s="79"/>
      <c r="W744" s="79"/>
      <c r="X744" s="79"/>
      <c r="Y744" s="79"/>
      <c r="Z744" s="96"/>
    </row>
    <row r="745" ht="15.75" customHeight="1" spans="1:26">
      <c r="A745" s="41" t="s">
        <v>1560</v>
      </c>
      <c r="B745" s="41" t="s">
        <v>61</v>
      </c>
      <c r="C745" s="41" t="s">
        <v>1466</v>
      </c>
      <c r="D745" s="41"/>
      <c r="E745" s="190"/>
      <c r="F745" s="186"/>
      <c r="G745" s="187"/>
      <c r="H745" s="187"/>
      <c r="I745" s="188"/>
      <c r="J745" s="79"/>
      <c r="K745" s="79"/>
      <c r="L745" s="79"/>
      <c r="M745" s="79"/>
      <c r="N745" s="79"/>
      <c r="O745" s="79"/>
      <c r="P745" s="79"/>
      <c r="Q745" s="79"/>
      <c r="R745" s="79"/>
      <c r="S745" s="79"/>
      <c r="T745" s="79"/>
      <c r="U745" s="79"/>
      <c r="V745" s="79"/>
      <c r="W745" s="79"/>
      <c r="X745" s="79"/>
      <c r="Y745" s="79"/>
      <c r="Z745" s="96"/>
    </row>
    <row r="746" ht="15.75" customHeight="1" spans="1:26">
      <c r="A746" s="134" t="s">
        <v>1561</v>
      </c>
      <c r="B746" s="133" t="s">
        <v>209</v>
      </c>
      <c r="C746" s="134" t="s">
        <v>210</v>
      </c>
      <c r="D746" s="133" t="s">
        <v>73</v>
      </c>
      <c r="E746" s="37">
        <v>13.43</v>
      </c>
      <c r="F746" s="181" t="s">
        <v>3751</v>
      </c>
      <c r="G746" s="19"/>
      <c r="H746" s="19"/>
      <c r="I746" s="20"/>
      <c r="J746" s="79"/>
      <c r="K746" s="79"/>
      <c r="L746" s="79"/>
      <c r="M746" s="79"/>
      <c r="N746" s="79"/>
      <c r="O746" s="79"/>
      <c r="P746" s="79"/>
      <c r="Q746" s="79"/>
      <c r="R746" s="79"/>
      <c r="S746" s="79"/>
      <c r="T746" s="79"/>
      <c r="U746" s="79"/>
      <c r="V746" s="79"/>
      <c r="W746" s="79"/>
      <c r="X746" s="79"/>
      <c r="Y746" s="79"/>
      <c r="Z746" s="96"/>
    </row>
    <row r="747" ht="15.75" customHeight="1" spans="1:26">
      <c r="A747" s="134" t="s">
        <v>1562</v>
      </c>
      <c r="B747" s="133" t="s">
        <v>235</v>
      </c>
      <c r="C747" s="134" t="s">
        <v>236</v>
      </c>
      <c r="D747" s="133" t="s">
        <v>73</v>
      </c>
      <c r="E747" s="37">
        <v>12.27</v>
      </c>
      <c r="F747" s="181" t="s">
        <v>3751</v>
      </c>
      <c r="G747" s="19"/>
      <c r="H747" s="19"/>
      <c r="I747" s="20"/>
      <c r="J747" s="79"/>
      <c r="K747" s="79"/>
      <c r="L747" s="79"/>
      <c r="M747" s="79"/>
      <c r="N747" s="79"/>
      <c r="O747" s="79"/>
      <c r="P747" s="79"/>
      <c r="Q747" s="79"/>
      <c r="R747" s="79"/>
      <c r="S747" s="79"/>
      <c r="T747" s="79"/>
      <c r="U747" s="79"/>
      <c r="V747" s="79"/>
      <c r="W747" s="79"/>
      <c r="X747" s="79"/>
      <c r="Y747" s="79"/>
      <c r="Z747" s="96"/>
    </row>
    <row r="748" ht="15.75" customHeight="1" spans="1:26">
      <c r="A748" s="134" t="s">
        <v>1563</v>
      </c>
      <c r="B748" s="133" t="s">
        <v>1460</v>
      </c>
      <c r="C748" s="134" t="s">
        <v>1461</v>
      </c>
      <c r="D748" s="133" t="s">
        <v>129</v>
      </c>
      <c r="E748" s="37">
        <v>1.91</v>
      </c>
      <c r="F748" s="181" t="s">
        <v>3751</v>
      </c>
      <c r="G748" s="19"/>
      <c r="H748" s="19"/>
      <c r="I748" s="20"/>
      <c r="J748" s="79"/>
      <c r="K748" s="79"/>
      <c r="L748" s="79"/>
      <c r="M748" s="79"/>
      <c r="N748" s="79"/>
      <c r="O748" s="79"/>
      <c r="P748" s="79"/>
      <c r="Q748" s="79"/>
      <c r="R748" s="79"/>
      <c r="S748" s="79"/>
      <c r="T748" s="79"/>
      <c r="U748" s="79"/>
      <c r="V748" s="79"/>
      <c r="W748" s="79"/>
      <c r="X748" s="79"/>
      <c r="Y748" s="79"/>
      <c r="Z748" s="96"/>
    </row>
    <row r="749" ht="15.75" customHeight="1" spans="1:26">
      <c r="A749" s="134" t="s">
        <v>1564</v>
      </c>
      <c r="B749" s="133" t="s">
        <v>212</v>
      </c>
      <c r="C749" s="134" t="s">
        <v>213</v>
      </c>
      <c r="D749" s="133" t="s">
        <v>158</v>
      </c>
      <c r="E749" s="37">
        <v>48</v>
      </c>
      <c r="F749" s="181" t="s">
        <v>3751</v>
      </c>
      <c r="G749" s="19"/>
      <c r="H749" s="19"/>
      <c r="I749" s="20"/>
      <c r="J749" s="79"/>
      <c r="K749" s="79"/>
      <c r="L749" s="79"/>
      <c r="M749" s="79"/>
      <c r="N749" s="79"/>
      <c r="O749" s="79"/>
      <c r="P749" s="79"/>
      <c r="Q749" s="79"/>
      <c r="R749" s="79"/>
      <c r="S749" s="79"/>
      <c r="T749" s="79"/>
      <c r="U749" s="79"/>
      <c r="V749" s="79"/>
      <c r="W749" s="79"/>
      <c r="X749" s="79"/>
      <c r="Y749" s="79"/>
      <c r="Z749" s="96"/>
    </row>
    <row r="750" ht="15.75" customHeight="1" spans="1:26">
      <c r="A750" s="134" t="s">
        <v>1565</v>
      </c>
      <c r="B750" s="133" t="s">
        <v>221</v>
      </c>
      <c r="C750" s="134" t="s">
        <v>222</v>
      </c>
      <c r="D750" s="133" t="s">
        <v>158</v>
      </c>
      <c r="E750" s="37">
        <v>121</v>
      </c>
      <c r="F750" s="181" t="s">
        <v>3751</v>
      </c>
      <c r="G750" s="19"/>
      <c r="H750" s="19"/>
      <c r="I750" s="20"/>
      <c r="J750" s="79"/>
      <c r="K750" s="79"/>
      <c r="L750" s="79"/>
      <c r="M750" s="79"/>
      <c r="N750" s="79"/>
      <c r="O750" s="79"/>
      <c r="P750" s="79"/>
      <c r="Q750" s="79"/>
      <c r="R750" s="79"/>
      <c r="S750" s="79"/>
      <c r="T750" s="79"/>
      <c r="U750" s="79"/>
      <c r="V750" s="79"/>
      <c r="W750" s="79"/>
      <c r="X750" s="79"/>
      <c r="Y750" s="79"/>
      <c r="Z750" s="96"/>
    </row>
    <row r="751" ht="15.75" customHeight="1" spans="1:26">
      <c r="A751" s="134" t="s">
        <v>1566</v>
      </c>
      <c r="B751" s="133" t="s">
        <v>224</v>
      </c>
      <c r="C751" s="134" t="s">
        <v>225</v>
      </c>
      <c r="D751" s="133" t="s">
        <v>158</v>
      </c>
      <c r="E751" s="37">
        <v>11</v>
      </c>
      <c r="F751" s="181" t="s">
        <v>3751</v>
      </c>
      <c r="G751" s="19"/>
      <c r="H751" s="19"/>
      <c r="I751" s="20"/>
      <c r="J751" s="79"/>
      <c r="K751" s="79"/>
      <c r="L751" s="79"/>
      <c r="M751" s="79"/>
      <c r="N751" s="79"/>
      <c r="O751" s="79"/>
      <c r="P751" s="79"/>
      <c r="Q751" s="79"/>
      <c r="R751" s="79"/>
      <c r="S751" s="79"/>
      <c r="T751" s="79"/>
      <c r="U751" s="79"/>
      <c r="V751" s="79"/>
      <c r="W751" s="79"/>
      <c r="X751" s="79"/>
      <c r="Y751" s="79"/>
      <c r="Z751" s="96"/>
    </row>
    <row r="752" ht="15.75" customHeight="1" spans="1:26">
      <c r="A752" s="41" t="s">
        <v>1567</v>
      </c>
      <c r="B752" s="41" t="s">
        <v>61</v>
      </c>
      <c r="C752" s="41" t="s">
        <v>279</v>
      </c>
      <c r="D752" s="41"/>
      <c r="E752" s="190"/>
      <c r="F752" s="186"/>
      <c r="G752" s="187"/>
      <c r="H752" s="187"/>
      <c r="I752" s="188"/>
      <c r="J752" s="79"/>
      <c r="K752" s="79"/>
      <c r="L752" s="79"/>
      <c r="M752" s="79"/>
      <c r="N752" s="79"/>
      <c r="O752" s="79"/>
      <c r="P752" s="79"/>
      <c r="Q752" s="79"/>
      <c r="R752" s="79"/>
      <c r="S752" s="79"/>
      <c r="T752" s="79"/>
      <c r="U752" s="79"/>
      <c r="V752" s="79"/>
      <c r="W752" s="79"/>
      <c r="X752" s="79"/>
      <c r="Y752" s="79"/>
      <c r="Z752" s="96"/>
    </row>
    <row r="753" ht="15.75" customHeight="1" spans="1:26">
      <c r="A753" s="134" t="s">
        <v>1568</v>
      </c>
      <c r="B753" s="133" t="s">
        <v>281</v>
      </c>
      <c r="C753" s="134" t="s">
        <v>282</v>
      </c>
      <c r="D753" s="133" t="s">
        <v>73</v>
      </c>
      <c r="E753" s="37">
        <v>1.55</v>
      </c>
      <c r="F753" s="181" t="s">
        <v>3751</v>
      </c>
      <c r="G753" s="19"/>
      <c r="H753" s="19"/>
      <c r="I753" s="20"/>
      <c r="J753" s="79"/>
      <c r="K753" s="79"/>
      <c r="L753" s="79"/>
      <c r="M753" s="79"/>
      <c r="N753" s="79"/>
      <c r="O753" s="79"/>
      <c r="P753" s="79"/>
      <c r="Q753" s="79"/>
      <c r="R753" s="79"/>
      <c r="S753" s="79"/>
      <c r="T753" s="79"/>
      <c r="U753" s="79"/>
      <c r="V753" s="79"/>
      <c r="W753" s="79"/>
      <c r="X753" s="79"/>
      <c r="Y753" s="79"/>
      <c r="Z753" s="96"/>
    </row>
    <row r="754" ht="15.75" customHeight="1" spans="1:26">
      <c r="A754" s="134" t="s">
        <v>1569</v>
      </c>
      <c r="B754" s="133" t="s">
        <v>1460</v>
      </c>
      <c r="C754" s="134" t="s">
        <v>1461</v>
      </c>
      <c r="D754" s="133" t="s">
        <v>129</v>
      </c>
      <c r="E754" s="37">
        <v>0.25</v>
      </c>
      <c r="F754" s="181" t="s">
        <v>3751</v>
      </c>
      <c r="G754" s="19"/>
      <c r="H754" s="19"/>
      <c r="I754" s="20"/>
      <c r="J754" s="79"/>
      <c r="K754" s="79"/>
      <c r="L754" s="79"/>
      <c r="M754" s="79"/>
      <c r="N754" s="79"/>
      <c r="O754" s="79"/>
      <c r="P754" s="79"/>
      <c r="Q754" s="79"/>
      <c r="R754" s="79"/>
      <c r="S754" s="79"/>
      <c r="T754" s="79"/>
      <c r="U754" s="79"/>
      <c r="V754" s="79"/>
      <c r="W754" s="79"/>
      <c r="X754" s="79"/>
      <c r="Y754" s="79"/>
      <c r="Z754" s="96"/>
    </row>
    <row r="755" ht="15.75" customHeight="1" spans="1:26">
      <c r="A755" s="134" t="s">
        <v>1570</v>
      </c>
      <c r="B755" s="133" t="s">
        <v>290</v>
      </c>
      <c r="C755" s="134" t="s">
        <v>291</v>
      </c>
      <c r="D755" s="133" t="s">
        <v>158</v>
      </c>
      <c r="E755" s="37">
        <v>7</v>
      </c>
      <c r="F755" s="181" t="s">
        <v>3751</v>
      </c>
      <c r="G755" s="19"/>
      <c r="H755" s="19"/>
      <c r="I755" s="20"/>
      <c r="J755" s="79"/>
      <c r="K755" s="79"/>
      <c r="L755" s="79"/>
      <c r="M755" s="79"/>
      <c r="N755" s="79"/>
      <c r="O755" s="79"/>
      <c r="P755" s="79"/>
      <c r="Q755" s="79"/>
      <c r="R755" s="79"/>
      <c r="S755" s="79"/>
      <c r="T755" s="79"/>
      <c r="U755" s="79"/>
      <c r="V755" s="79"/>
      <c r="W755" s="79"/>
      <c r="X755" s="79"/>
      <c r="Y755" s="79"/>
      <c r="Z755" s="96"/>
    </row>
    <row r="756" ht="15.75" customHeight="1" spans="1:26">
      <c r="A756" s="134" t="s">
        <v>1571</v>
      </c>
      <c r="B756" s="133" t="s">
        <v>293</v>
      </c>
      <c r="C756" s="134" t="s">
        <v>294</v>
      </c>
      <c r="D756" s="133" t="s">
        <v>158</v>
      </c>
      <c r="E756" s="37">
        <v>18</v>
      </c>
      <c r="F756" s="181" t="s">
        <v>3751</v>
      </c>
      <c r="G756" s="19"/>
      <c r="H756" s="19"/>
      <c r="I756" s="20"/>
      <c r="J756" s="79"/>
      <c r="K756" s="79"/>
      <c r="L756" s="79"/>
      <c r="M756" s="79"/>
      <c r="N756" s="79"/>
      <c r="O756" s="79"/>
      <c r="P756" s="79"/>
      <c r="Q756" s="79"/>
      <c r="R756" s="79"/>
      <c r="S756" s="79"/>
      <c r="T756" s="79"/>
      <c r="U756" s="79"/>
      <c r="V756" s="79"/>
      <c r="W756" s="79"/>
      <c r="X756" s="79"/>
      <c r="Y756" s="79"/>
      <c r="Z756" s="96"/>
    </row>
    <row r="757" ht="15.75" customHeight="1" spans="1:26">
      <c r="A757" s="41" t="s">
        <v>1572</v>
      </c>
      <c r="B757" s="41" t="s">
        <v>61</v>
      </c>
      <c r="C757" s="41" t="s">
        <v>47</v>
      </c>
      <c r="D757" s="191"/>
      <c r="E757" s="192"/>
      <c r="F757" s="186"/>
      <c r="G757" s="187"/>
      <c r="H757" s="187"/>
      <c r="I757" s="188"/>
      <c r="J757" s="79"/>
      <c r="K757" s="79"/>
      <c r="L757" s="79"/>
      <c r="M757" s="79"/>
      <c r="N757" s="79"/>
      <c r="O757" s="79"/>
      <c r="P757" s="79"/>
      <c r="Q757" s="79"/>
      <c r="R757" s="79"/>
      <c r="S757" s="79"/>
      <c r="T757" s="79"/>
      <c r="U757" s="79"/>
      <c r="V757" s="79"/>
      <c r="W757" s="79"/>
      <c r="X757" s="79"/>
      <c r="Y757" s="79"/>
      <c r="Z757" s="96"/>
    </row>
    <row r="758" ht="15.75" customHeight="1" spans="1:26">
      <c r="A758" s="134" t="s">
        <v>1573</v>
      </c>
      <c r="B758" s="133" t="s">
        <v>147</v>
      </c>
      <c r="C758" s="134" t="s">
        <v>148</v>
      </c>
      <c r="D758" s="133" t="s">
        <v>129</v>
      </c>
      <c r="E758" s="37">
        <v>4.9</v>
      </c>
      <c r="F758" s="181" t="s">
        <v>3751</v>
      </c>
      <c r="G758" s="19"/>
      <c r="H758" s="19"/>
      <c r="I758" s="20"/>
      <c r="J758" s="79"/>
      <c r="K758" s="79"/>
      <c r="L758" s="79"/>
      <c r="M758" s="79"/>
      <c r="N758" s="79"/>
      <c r="O758" s="79"/>
      <c r="P758" s="79"/>
      <c r="Q758" s="79"/>
      <c r="R758" s="79"/>
      <c r="S758" s="79"/>
      <c r="T758" s="79"/>
      <c r="U758" s="79"/>
      <c r="V758" s="79"/>
      <c r="W758" s="79"/>
      <c r="X758" s="79"/>
      <c r="Y758" s="79"/>
      <c r="Z758" s="96"/>
    </row>
    <row r="759" ht="15.75" customHeight="1" spans="1:26">
      <c r="A759" s="134" t="s">
        <v>1574</v>
      </c>
      <c r="B759" s="133" t="s">
        <v>1455</v>
      </c>
      <c r="C759" s="134" t="s">
        <v>1456</v>
      </c>
      <c r="D759" s="133" t="s">
        <v>73</v>
      </c>
      <c r="E759" s="37">
        <v>6.1</v>
      </c>
      <c r="F759" s="181" t="s">
        <v>3751</v>
      </c>
      <c r="G759" s="19"/>
      <c r="H759" s="19"/>
      <c r="I759" s="20"/>
      <c r="J759" s="79"/>
      <c r="K759" s="79"/>
      <c r="L759" s="79"/>
      <c r="M759" s="79"/>
      <c r="N759" s="79"/>
      <c r="O759" s="79"/>
      <c r="P759" s="79"/>
      <c r="Q759" s="79"/>
      <c r="R759" s="79"/>
      <c r="S759" s="79"/>
      <c r="T759" s="79"/>
      <c r="U759" s="79"/>
      <c r="V759" s="79"/>
      <c r="W759" s="79"/>
      <c r="X759" s="79"/>
      <c r="Y759" s="79"/>
      <c r="Z759" s="96"/>
    </row>
    <row r="760" ht="15.75" customHeight="1" spans="1:26">
      <c r="A760" s="134" t="s">
        <v>1575</v>
      </c>
      <c r="B760" s="133" t="s">
        <v>169</v>
      </c>
      <c r="C760" s="134" t="s">
        <v>170</v>
      </c>
      <c r="D760" s="133" t="s">
        <v>158</v>
      </c>
      <c r="E760" s="37">
        <v>190.4</v>
      </c>
      <c r="F760" s="181" t="s">
        <v>3751</v>
      </c>
      <c r="G760" s="19"/>
      <c r="H760" s="19"/>
      <c r="I760" s="20"/>
      <c r="J760" s="79"/>
      <c r="K760" s="79"/>
      <c r="L760" s="79"/>
      <c r="M760" s="79"/>
      <c r="N760" s="79"/>
      <c r="O760" s="79"/>
      <c r="P760" s="79"/>
      <c r="Q760" s="79"/>
      <c r="R760" s="79"/>
      <c r="S760" s="79"/>
      <c r="T760" s="79"/>
      <c r="U760" s="79"/>
      <c r="V760" s="79"/>
      <c r="W760" s="79"/>
      <c r="X760" s="79"/>
      <c r="Y760" s="79"/>
      <c r="Z760" s="96"/>
    </row>
    <row r="761" ht="15.75" customHeight="1" spans="1:26">
      <c r="A761" s="134" t="s">
        <v>1576</v>
      </c>
      <c r="B761" s="133" t="s">
        <v>249</v>
      </c>
      <c r="C761" s="134" t="s">
        <v>250</v>
      </c>
      <c r="D761" s="133" t="s">
        <v>73</v>
      </c>
      <c r="E761" s="37">
        <v>3.39</v>
      </c>
      <c r="F761" s="181" t="s">
        <v>3751</v>
      </c>
      <c r="G761" s="19"/>
      <c r="H761" s="19"/>
      <c r="I761" s="20"/>
      <c r="J761" s="79"/>
      <c r="K761" s="79"/>
      <c r="L761" s="79"/>
      <c r="M761" s="79"/>
      <c r="N761" s="79"/>
      <c r="O761" s="79"/>
      <c r="P761" s="79"/>
      <c r="Q761" s="79"/>
      <c r="R761" s="79"/>
      <c r="S761" s="79"/>
      <c r="T761" s="79"/>
      <c r="U761" s="79"/>
      <c r="V761" s="79"/>
      <c r="W761" s="79"/>
      <c r="X761" s="79"/>
      <c r="Y761" s="79"/>
      <c r="Z761" s="96"/>
    </row>
    <row r="762" ht="15.75" customHeight="1" spans="1:26">
      <c r="A762" s="134" t="s">
        <v>1577</v>
      </c>
      <c r="B762" s="133" t="s">
        <v>255</v>
      </c>
      <c r="C762" s="134" t="s">
        <v>256</v>
      </c>
      <c r="D762" s="133" t="s">
        <v>158</v>
      </c>
      <c r="E762" s="37">
        <v>126.1</v>
      </c>
      <c r="F762" s="181" t="s">
        <v>3751</v>
      </c>
      <c r="G762" s="19"/>
      <c r="H762" s="19"/>
      <c r="I762" s="20"/>
      <c r="J762" s="79"/>
      <c r="K762" s="79"/>
      <c r="L762" s="79"/>
      <c r="M762" s="79"/>
      <c r="N762" s="79"/>
      <c r="O762" s="79"/>
      <c r="P762" s="79"/>
      <c r="Q762" s="79"/>
      <c r="R762" s="79"/>
      <c r="S762" s="79"/>
      <c r="T762" s="79"/>
      <c r="U762" s="79"/>
      <c r="V762" s="79"/>
      <c r="W762" s="79"/>
      <c r="X762" s="79"/>
      <c r="Y762" s="79"/>
      <c r="Z762" s="96"/>
    </row>
    <row r="763" ht="15.75" customHeight="1" spans="1:26">
      <c r="A763" s="134" t="s">
        <v>1578</v>
      </c>
      <c r="B763" s="133" t="s">
        <v>209</v>
      </c>
      <c r="C763" s="134" t="s">
        <v>210</v>
      </c>
      <c r="D763" s="133" t="s">
        <v>73</v>
      </c>
      <c r="E763" s="37">
        <v>38.9</v>
      </c>
      <c r="F763" s="181" t="s">
        <v>3751</v>
      </c>
      <c r="G763" s="19"/>
      <c r="H763" s="19"/>
      <c r="I763" s="20"/>
      <c r="J763" s="79"/>
      <c r="K763" s="79"/>
      <c r="L763" s="79"/>
      <c r="M763" s="79"/>
      <c r="N763" s="79"/>
      <c r="O763" s="79"/>
      <c r="P763" s="79"/>
      <c r="Q763" s="79"/>
      <c r="R763" s="79"/>
      <c r="S763" s="79"/>
      <c r="T763" s="79"/>
      <c r="U763" s="79"/>
      <c r="V763" s="79"/>
      <c r="W763" s="79"/>
      <c r="X763" s="79"/>
      <c r="Y763" s="79"/>
      <c r="Z763" s="96"/>
    </row>
    <row r="764" ht="15.75" customHeight="1" spans="1:26">
      <c r="A764" s="134" t="s">
        <v>1579</v>
      </c>
      <c r="B764" s="133" t="s">
        <v>235</v>
      </c>
      <c r="C764" s="134" t="s">
        <v>236</v>
      </c>
      <c r="D764" s="133" t="s">
        <v>73</v>
      </c>
      <c r="E764" s="37">
        <v>166.1</v>
      </c>
      <c r="F764" s="181" t="s">
        <v>3751</v>
      </c>
      <c r="G764" s="19"/>
      <c r="H764" s="19"/>
      <c r="I764" s="20"/>
      <c r="J764" s="79"/>
      <c r="K764" s="79"/>
      <c r="L764" s="79"/>
      <c r="M764" s="79"/>
      <c r="N764" s="79"/>
      <c r="O764" s="79"/>
      <c r="P764" s="79"/>
      <c r="Q764" s="79"/>
      <c r="R764" s="79"/>
      <c r="S764" s="79"/>
      <c r="T764" s="79"/>
      <c r="U764" s="79"/>
      <c r="V764" s="79"/>
      <c r="W764" s="79"/>
      <c r="X764" s="79"/>
      <c r="Y764" s="79"/>
      <c r="Z764" s="96"/>
    </row>
    <row r="765" ht="15.75" customHeight="1" spans="1:26">
      <c r="A765" s="134" t="s">
        <v>1580</v>
      </c>
      <c r="B765" s="133" t="s">
        <v>255</v>
      </c>
      <c r="C765" s="134" t="s">
        <v>256</v>
      </c>
      <c r="D765" s="133" t="s">
        <v>158</v>
      </c>
      <c r="E765" s="37">
        <v>142</v>
      </c>
      <c r="F765" s="181" t="s">
        <v>3751</v>
      </c>
      <c r="G765" s="19"/>
      <c r="H765" s="19"/>
      <c r="I765" s="20"/>
      <c r="J765" s="79"/>
      <c r="K765" s="79"/>
      <c r="L765" s="79"/>
      <c r="M765" s="79"/>
      <c r="N765" s="79"/>
      <c r="O765" s="79"/>
      <c r="P765" s="79"/>
      <c r="Q765" s="79"/>
      <c r="R765" s="79"/>
      <c r="S765" s="79"/>
      <c r="T765" s="79"/>
      <c r="U765" s="79"/>
      <c r="V765" s="79"/>
      <c r="W765" s="79"/>
      <c r="X765" s="79"/>
      <c r="Y765" s="79"/>
      <c r="Z765" s="96"/>
    </row>
    <row r="766" ht="15.75" customHeight="1" spans="1:26">
      <c r="A766" s="134" t="s">
        <v>1581</v>
      </c>
      <c r="B766" s="133" t="s">
        <v>224</v>
      </c>
      <c r="C766" s="134" t="s">
        <v>225</v>
      </c>
      <c r="D766" s="133" t="s">
        <v>158</v>
      </c>
      <c r="E766" s="37">
        <v>498.2</v>
      </c>
      <c r="F766" s="181" t="s">
        <v>3751</v>
      </c>
      <c r="G766" s="19"/>
      <c r="H766" s="19"/>
      <c r="I766" s="20"/>
      <c r="J766" s="79"/>
      <c r="K766" s="79"/>
      <c r="L766" s="79"/>
      <c r="M766" s="79"/>
      <c r="N766" s="79"/>
      <c r="O766" s="79"/>
      <c r="P766" s="79"/>
      <c r="Q766" s="79"/>
      <c r="R766" s="79"/>
      <c r="S766" s="79"/>
      <c r="T766" s="79"/>
      <c r="U766" s="79"/>
      <c r="V766" s="79"/>
      <c r="W766" s="79"/>
      <c r="X766" s="79"/>
      <c r="Y766" s="79"/>
      <c r="Z766" s="96"/>
    </row>
    <row r="767" ht="15.75" customHeight="1" spans="1:26">
      <c r="A767" s="134" t="s">
        <v>1582</v>
      </c>
      <c r="B767" s="133" t="s">
        <v>227</v>
      </c>
      <c r="C767" s="134" t="s">
        <v>228</v>
      </c>
      <c r="D767" s="133" t="s">
        <v>158</v>
      </c>
      <c r="E767" s="37">
        <v>118.8</v>
      </c>
      <c r="F767" s="181" t="s">
        <v>3751</v>
      </c>
      <c r="G767" s="19"/>
      <c r="H767" s="19"/>
      <c r="I767" s="20"/>
      <c r="J767" s="79"/>
      <c r="K767" s="79"/>
      <c r="L767" s="79"/>
      <c r="M767" s="79"/>
      <c r="N767" s="79"/>
      <c r="O767" s="79"/>
      <c r="P767" s="79"/>
      <c r="Q767" s="79"/>
      <c r="R767" s="79"/>
      <c r="S767" s="79"/>
      <c r="T767" s="79"/>
      <c r="U767" s="79"/>
      <c r="V767" s="79"/>
      <c r="W767" s="79"/>
      <c r="X767" s="79"/>
      <c r="Y767" s="79"/>
      <c r="Z767" s="96"/>
    </row>
    <row r="768" ht="15.75" customHeight="1" spans="1:26">
      <c r="A768" s="134" t="s">
        <v>1583</v>
      </c>
      <c r="B768" s="133" t="s">
        <v>1460</v>
      </c>
      <c r="C768" s="134" t="s">
        <v>1461</v>
      </c>
      <c r="D768" s="133" t="s">
        <v>129</v>
      </c>
      <c r="E768" s="37">
        <v>36.1</v>
      </c>
      <c r="F768" s="181" t="s">
        <v>3751</v>
      </c>
      <c r="G768" s="19"/>
      <c r="H768" s="19"/>
      <c r="I768" s="20"/>
      <c r="J768" s="79"/>
      <c r="K768" s="79"/>
      <c r="L768" s="79"/>
      <c r="M768" s="79"/>
      <c r="N768" s="79"/>
      <c r="O768" s="79"/>
      <c r="P768" s="79"/>
      <c r="Q768" s="79"/>
      <c r="R768" s="79"/>
      <c r="S768" s="79"/>
      <c r="T768" s="79"/>
      <c r="U768" s="79"/>
      <c r="V768" s="79"/>
      <c r="W768" s="79"/>
      <c r="X768" s="79"/>
      <c r="Y768" s="79"/>
      <c r="Z768" s="96"/>
    </row>
    <row r="769" ht="15.75" customHeight="1" spans="1:26">
      <c r="A769" s="134" t="s">
        <v>1584</v>
      </c>
      <c r="B769" s="133" t="s">
        <v>169</v>
      </c>
      <c r="C769" s="134" t="s">
        <v>170</v>
      </c>
      <c r="D769" s="133" t="s">
        <v>158</v>
      </c>
      <c r="E769" s="37">
        <v>865.4</v>
      </c>
      <c r="F769" s="181" t="s">
        <v>3751</v>
      </c>
      <c r="G769" s="19"/>
      <c r="H769" s="19"/>
      <c r="I769" s="20"/>
      <c r="J769" s="79"/>
      <c r="K769" s="79"/>
      <c r="L769" s="79"/>
      <c r="M769" s="79"/>
      <c r="N769" s="79"/>
      <c r="O769" s="79"/>
      <c r="P769" s="79"/>
      <c r="Q769" s="79"/>
      <c r="R769" s="79"/>
      <c r="S769" s="79"/>
      <c r="T769" s="79"/>
      <c r="U769" s="79"/>
      <c r="V769" s="79"/>
      <c r="W769" s="79"/>
      <c r="X769" s="79"/>
      <c r="Y769" s="79"/>
      <c r="Z769" s="96"/>
    </row>
    <row r="770" ht="15.75" customHeight="1" spans="1:26">
      <c r="A770" s="41" t="s">
        <v>1585</v>
      </c>
      <c r="B770" s="41" t="s">
        <v>61</v>
      </c>
      <c r="C770" s="41" t="s">
        <v>48</v>
      </c>
      <c r="D770" s="191"/>
      <c r="E770" s="192"/>
      <c r="F770" s="186"/>
      <c r="G770" s="187"/>
      <c r="H770" s="187"/>
      <c r="I770" s="188"/>
      <c r="J770" s="79"/>
      <c r="K770" s="79"/>
      <c r="L770" s="79"/>
      <c r="M770" s="79"/>
      <c r="N770" s="79"/>
      <c r="O770" s="79"/>
      <c r="P770" s="79"/>
      <c r="Q770" s="79"/>
      <c r="R770" s="79"/>
      <c r="S770" s="79"/>
      <c r="T770" s="79"/>
      <c r="U770" s="79"/>
      <c r="V770" s="79"/>
      <c r="W770" s="79"/>
      <c r="X770" s="79"/>
      <c r="Y770" s="79"/>
      <c r="Z770" s="96"/>
    </row>
    <row r="771" ht="15.75" customHeight="1" spans="1:26">
      <c r="A771" s="134" t="s">
        <v>1586</v>
      </c>
      <c r="B771" s="133" t="s">
        <v>1587</v>
      </c>
      <c r="C771" s="134" t="s">
        <v>1588</v>
      </c>
      <c r="D771" s="133" t="s">
        <v>67</v>
      </c>
      <c r="E771" s="104">
        <v>851.28</v>
      </c>
      <c r="F771" s="49" t="s">
        <v>4666</v>
      </c>
      <c r="G771" s="193" t="s">
        <v>4667</v>
      </c>
      <c r="H771" s="19"/>
      <c r="I771" s="200">
        <v>851.28</v>
      </c>
      <c r="J771" s="79"/>
      <c r="K771" s="79"/>
      <c r="L771" s="79"/>
      <c r="M771" s="79"/>
      <c r="N771" s="79"/>
      <c r="O771" s="79"/>
      <c r="P771" s="79"/>
      <c r="Q771" s="79"/>
      <c r="R771" s="79"/>
      <c r="S771" s="79"/>
      <c r="T771" s="79"/>
      <c r="U771" s="79"/>
      <c r="V771" s="79"/>
      <c r="W771" s="79"/>
      <c r="X771" s="79"/>
      <c r="Y771" s="79"/>
      <c r="Z771" s="96"/>
    </row>
    <row r="772" ht="15.75" customHeight="1" spans="1:26">
      <c r="A772" s="134" t="s">
        <v>1589</v>
      </c>
      <c r="B772" s="133" t="s">
        <v>1590</v>
      </c>
      <c r="C772" s="134" t="s">
        <v>1591</v>
      </c>
      <c r="D772" s="194" t="s">
        <v>67</v>
      </c>
      <c r="E772" s="195">
        <v>1</v>
      </c>
      <c r="F772" s="196" t="s">
        <v>3728</v>
      </c>
      <c r="G772" s="196"/>
      <c r="H772" s="196"/>
      <c r="I772" s="196"/>
      <c r="J772" s="79"/>
      <c r="K772" s="79"/>
      <c r="L772" s="79"/>
      <c r="M772" s="79"/>
      <c r="N772" s="79"/>
      <c r="O772" s="79"/>
      <c r="P772" s="79"/>
      <c r="Q772" s="79"/>
      <c r="R772" s="79"/>
      <c r="S772" s="79"/>
      <c r="T772" s="79"/>
      <c r="U772" s="79"/>
      <c r="V772" s="79"/>
      <c r="W772" s="79"/>
      <c r="X772" s="79"/>
      <c r="Y772" s="79"/>
      <c r="Z772" s="96"/>
    </row>
    <row r="773" ht="15.75" customHeight="1" spans="1:26">
      <c r="A773" s="79"/>
      <c r="B773" s="79"/>
      <c r="C773" s="197"/>
      <c r="D773" s="79"/>
      <c r="E773" s="198"/>
      <c r="F773" s="79"/>
      <c r="G773" s="79"/>
      <c r="H773" s="79"/>
      <c r="I773" s="79"/>
      <c r="J773" s="79"/>
      <c r="K773" s="79"/>
      <c r="L773" s="79"/>
      <c r="M773" s="79"/>
      <c r="N773" s="79"/>
      <c r="O773" s="79"/>
      <c r="P773" s="79"/>
      <c r="Q773" s="79"/>
      <c r="R773" s="79"/>
      <c r="S773" s="79"/>
      <c r="T773" s="79"/>
      <c r="U773" s="79"/>
      <c r="V773" s="79"/>
      <c r="W773" s="79"/>
      <c r="X773" s="79"/>
      <c r="Y773" s="79"/>
      <c r="Z773" s="96"/>
    </row>
    <row r="774" ht="15.75" customHeight="1" spans="1:26">
      <c r="A774" s="79"/>
      <c r="B774" s="79"/>
      <c r="C774" s="197"/>
      <c r="D774" s="79"/>
      <c r="E774" s="79"/>
      <c r="F774" s="79"/>
      <c r="G774" s="79"/>
      <c r="H774" s="79"/>
      <c r="I774" s="79"/>
      <c r="J774" s="79"/>
      <c r="K774" s="79"/>
      <c r="L774" s="79"/>
      <c r="M774" s="79"/>
      <c r="N774" s="79"/>
      <c r="O774" s="79"/>
      <c r="P774" s="79"/>
      <c r="Q774" s="79"/>
      <c r="R774" s="79"/>
      <c r="S774" s="79"/>
      <c r="T774" s="79"/>
      <c r="U774" s="79"/>
      <c r="V774" s="79"/>
      <c r="W774" s="79"/>
      <c r="X774" s="79"/>
      <c r="Y774" s="79"/>
      <c r="Z774" s="96"/>
    </row>
    <row r="775" ht="15.75" customHeight="1" spans="1:26">
      <c r="A775" s="79"/>
      <c r="B775" s="79"/>
      <c r="C775" s="197"/>
      <c r="D775" s="79"/>
      <c r="E775" s="79"/>
      <c r="F775" s="79"/>
      <c r="G775" s="79"/>
      <c r="H775" s="79"/>
      <c r="I775" s="79"/>
      <c r="J775" s="79"/>
      <c r="K775" s="79"/>
      <c r="L775" s="79"/>
      <c r="M775" s="79"/>
      <c r="N775" s="79"/>
      <c r="O775" s="79"/>
      <c r="P775" s="79"/>
      <c r="Q775" s="79"/>
      <c r="R775" s="79"/>
      <c r="S775" s="79"/>
      <c r="T775" s="79"/>
      <c r="U775" s="79"/>
      <c r="V775" s="79"/>
      <c r="W775" s="79"/>
      <c r="X775" s="79"/>
      <c r="Y775" s="79"/>
      <c r="Z775" s="96"/>
    </row>
    <row r="776" ht="15.75" customHeight="1" spans="1:26">
      <c r="A776" s="79"/>
      <c r="B776" s="79"/>
      <c r="C776" s="197"/>
      <c r="D776" s="79"/>
      <c r="E776" s="79"/>
      <c r="F776" s="79"/>
      <c r="G776" s="79"/>
      <c r="H776" s="79"/>
      <c r="I776" s="79"/>
      <c r="J776" s="79"/>
      <c r="K776" s="79"/>
      <c r="L776" s="79"/>
      <c r="M776" s="79"/>
      <c r="N776" s="79"/>
      <c r="O776" s="79"/>
      <c r="P776" s="79"/>
      <c r="Q776" s="79"/>
      <c r="R776" s="79"/>
      <c r="S776" s="79"/>
      <c r="T776" s="79"/>
      <c r="U776" s="79"/>
      <c r="V776" s="79"/>
      <c r="W776" s="79"/>
      <c r="X776" s="79"/>
      <c r="Y776" s="79"/>
      <c r="Z776" s="96"/>
    </row>
    <row r="777" ht="15.75" customHeight="1" spans="1:26">
      <c r="A777" s="79"/>
      <c r="B777" s="79"/>
      <c r="C777" s="197"/>
      <c r="D777" s="79"/>
      <c r="E777" s="79"/>
      <c r="F777" s="79"/>
      <c r="G777" s="79"/>
      <c r="H777" s="79"/>
      <c r="I777" s="79"/>
      <c r="J777" s="79"/>
      <c r="K777" s="79"/>
      <c r="L777" s="79"/>
      <c r="M777" s="79"/>
      <c r="N777" s="79"/>
      <c r="O777" s="79"/>
      <c r="P777" s="79"/>
      <c r="Q777" s="79"/>
      <c r="R777" s="79"/>
      <c r="S777" s="79"/>
      <c r="T777" s="79"/>
      <c r="U777" s="79"/>
      <c r="V777" s="79"/>
      <c r="W777" s="79"/>
      <c r="X777" s="79"/>
      <c r="Y777" s="79"/>
      <c r="Z777" s="96"/>
    </row>
    <row r="778" ht="15.75" customHeight="1" spans="1:26">
      <c r="A778" s="79"/>
      <c r="B778" s="79"/>
      <c r="C778" s="197"/>
      <c r="D778" s="79"/>
      <c r="E778" s="79"/>
      <c r="F778" s="79"/>
      <c r="G778" s="79"/>
      <c r="H778" s="79"/>
      <c r="I778" s="79"/>
      <c r="J778" s="79"/>
      <c r="K778" s="79"/>
      <c r="L778" s="79"/>
      <c r="M778" s="79"/>
      <c r="N778" s="79"/>
      <c r="O778" s="79"/>
      <c r="P778" s="79"/>
      <c r="Q778" s="79"/>
      <c r="R778" s="79"/>
      <c r="S778" s="79"/>
      <c r="T778" s="79"/>
      <c r="U778" s="79"/>
      <c r="V778" s="79"/>
      <c r="W778" s="79"/>
      <c r="X778" s="79"/>
      <c r="Y778" s="79"/>
      <c r="Z778" s="96"/>
    </row>
    <row r="779" ht="15.75" customHeight="1" spans="1:26">
      <c r="A779" s="79"/>
      <c r="B779" s="79"/>
      <c r="C779" s="197"/>
      <c r="D779" s="79"/>
      <c r="E779" s="79"/>
      <c r="F779" s="79"/>
      <c r="G779" s="79"/>
      <c r="H779" s="79"/>
      <c r="I779" s="79"/>
      <c r="J779" s="79"/>
      <c r="K779" s="79"/>
      <c r="L779" s="79"/>
      <c r="M779" s="79"/>
      <c r="N779" s="79"/>
      <c r="O779" s="79"/>
      <c r="P779" s="79"/>
      <c r="Q779" s="79"/>
      <c r="R779" s="79"/>
      <c r="S779" s="79"/>
      <c r="T779" s="79"/>
      <c r="U779" s="79"/>
      <c r="V779" s="79"/>
      <c r="W779" s="79"/>
      <c r="X779" s="79"/>
      <c r="Y779" s="79"/>
      <c r="Z779" s="96"/>
    </row>
    <row r="780" ht="15.75" customHeight="1" spans="1:26">
      <c r="A780" s="79"/>
      <c r="B780" s="79"/>
      <c r="C780" s="197"/>
      <c r="D780" s="79"/>
      <c r="E780" s="79"/>
      <c r="F780" s="79"/>
      <c r="G780" s="79"/>
      <c r="H780" s="79"/>
      <c r="I780" s="79"/>
      <c r="J780" s="79"/>
      <c r="K780" s="79"/>
      <c r="L780" s="79"/>
      <c r="M780" s="79"/>
      <c r="N780" s="79"/>
      <c r="O780" s="79"/>
      <c r="P780" s="79"/>
      <c r="Q780" s="79"/>
      <c r="R780" s="79"/>
      <c r="S780" s="79"/>
      <c r="T780" s="79"/>
      <c r="U780" s="79"/>
      <c r="V780" s="79"/>
      <c r="W780" s="79"/>
      <c r="X780" s="79"/>
      <c r="Y780" s="79"/>
      <c r="Z780" s="96"/>
    </row>
    <row r="781" ht="15.75" customHeight="1" spans="1:26">
      <c r="A781" s="79"/>
      <c r="B781" s="79"/>
      <c r="C781" s="197"/>
      <c r="D781" s="79"/>
      <c r="E781" s="79"/>
      <c r="F781" s="79"/>
      <c r="G781" s="79"/>
      <c r="H781" s="79"/>
      <c r="I781" s="79"/>
      <c r="J781" s="79"/>
      <c r="K781" s="79"/>
      <c r="L781" s="79"/>
      <c r="M781" s="79"/>
      <c r="N781" s="79"/>
      <c r="O781" s="79"/>
      <c r="P781" s="79"/>
      <c r="Q781" s="79"/>
      <c r="R781" s="79"/>
      <c r="S781" s="79"/>
      <c r="T781" s="79"/>
      <c r="U781" s="79"/>
      <c r="V781" s="79"/>
      <c r="W781" s="79"/>
      <c r="X781" s="79"/>
      <c r="Y781" s="79"/>
      <c r="Z781" s="96"/>
    </row>
    <row r="782" ht="15.75" customHeight="1" spans="1:26">
      <c r="A782" s="79"/>
      <c r="B782" s="79"/>
      <c r="C782" s="197"/>
      <c r="D782" s="79"/>
      <c r="E782" s="79"/>
      <c r="F782" s="79"/>
      <c r="G782" s="79"/>
      <c r="H782" s="79"/>
      <c r="I782" s="79"/>
      <c r="J782" s="79"/>
      <c r="K782" s="79"/>
      <c r="L782" s="79"/>
      <c r="M782" s="79"/>
      <c r="N782" s="79"/>
      <c r="O782" s="79"/>
      <c r="P782" s="79"/>
      <c r="Q782" s="79"/>
      <c r="R782" s="79"/>
      <c r="S782" s="79"/>
      <c r="T782" s="79"/>
      <c r="U782" s="79"/>
      <c r="V782" s="79"/>
      <c r="W782" s="79"/>
      <c r="X782" s="79"/>
      <c r="Y782" s="79"/>
      <c r="Z782" s="96"/>
    </row>
    <row r="783" ht="15.75" customHeight="1" spans="1:26">
      <c r="A783" s="79"/>
      <c r="B783" s="79"/>
      <c r="C783" s="197"/>
      <c r="D783" s="79"/>
      <c r="E783" s="79"/>
      <c r="F783" s="79"/>
      <c r="G783" s="79"/>
      <c r="H783" s="79"/>
      <c r="I783" s="79"/>
      <c r="J783" s="79"/>
      <c r="K783" s="79"/>
      <c r="L783" s="79"/>
      <c r="M783" s="79"/>
      <c r="N783" s="79"/>
      <c r="O783" s="79"/>
      <c r="P783" s="79"/>
      <c r="Q783" s="79"/>
      <c r="R783" s="79"/>
      <c r="S783" s="79"/>
      <c r="T783" s="79"/>
      <c r="U783" s="79"/>
      <c r="V783" s="79"/>
      <c r="W783" s="79"/>
      <c r="X783" s="79"/>
      <c r="Y783" s="79"/>
      <c r="Z783" s="96"/>
    </row>
    <row r="784" ht="15.75" customHeight="1" spans="1:26">
      <c r="A784" s="79"/>
      <c r="B784" s="79"/>
      <c r="C784" s="197"/>
      <c r="D784" s="79"/>
      <c r="E784" s="79"/>
      <c r="F784" s="79"/>
      <c r="G784" s="79"/>
      <c r="H784" s="79"/>
      <c r="I784" s="79"/>
      <c r="J784" s="79"/>
      <c r="K784" s="79"/>
      <c r="L784" s="79"/>
      <c r="M784" s="79"/>
      <c r="N784" s="79"/>
      <c r="O784" s="79"/>
      <c r="P784" s="79"/>
      <c r="Q784" s="79"/>
      <c r="R784" s="79"/>
      <c r="S784" s="79"/>
      <c r="T784" s="79"/>
      <c r="U784" s="79"/>
      <c r="V784" s="79"/>
      <c r="W784" s="79"/>
      <c r="X784" s="79"/>
      <c r="Y784" s="79"/>
      <c r="Z784" s="96"/>
    </row>
    <row r="785" ht="15.75" customHeight="1" spans="1:26">
      <c r="A785" s="79"/>
      <c r="B785" s="79"/>
      <c r="C785" s="197"/>
      <c r="D785" s="79"/>
      <c r="E785" s="79"/>
      <c r="F785" s="79"/>
      <c r="G785" s="79"/>
      <c r="H785" s="79"/>
      <c r="I785" s="79"/>
      <c r="J785" s="79"/>
      <c r="K785" s="79"/>
      <c r="L785" s="79"/>
      <c r="M785" s="79"/>
      <c r="N785" s="79"/>
      <c r="O785" s="79"/>
      <c r="P785" s="79"/>
      <c r="Q785" s="79"/>
      <c r="R785" s="79"/>
      <c r="S785" s="79"/>
      <c r="T785" s="79"/>
      <c r="U785" s="79"/>
      <c r="V785" s="79"/>
      <c r="W785" s="79"/>
      <c r="X785" s="79"/>
      <c r="Y785" s="79"/>
      <c r="Z785" s="96"/>
    </row>
    <row r="786" ht="15.75" customHeight="1" spans="1:26">
      <c r="A786" s="79"/>
      <c r="B786" s="79"/>
      <c r="C786" s="197"/>
      <c r="D786" s="79"/>
      <c r="E786" s="79"/>
      <c r="F786" s="79"/>
      <c r="G786" s="79"/>
      <c r="H786" s="79"/>
      <c r="I786" s="79"/>
      <c r="J786" s="79"/>
      <c r="K786" s="79"/>
      <c r="L786" s="79"/>
      <c r="M786" s="79"/>
      <c r="N786" s="79"/>
      <c r="O786" s="79"/>
      <c r="P786" s="79"/>
      <c r="Q786" s="79"/>
      <c r="R786" s="79"/>
      <c r="S786" s="79"/>
      <c r="T786" s="79"/>
      <c r="U786" s="79"/>
      <c r="V786" s="79"/>
      <c r="W786" s="79"/>
      <c r="X786" s="79"/>
      <c r="Y786" s="79"/>
      <c r="Z786" s="96"/>
    </row>
    <row r="787" ht="15.75" customHeight="1" spans="1:26">
      <c r="A787" s="79"/>
      <c r="B787" s="79"/>
      <c r="C787" s="197"/>
      <c r="D787" s="79"/>
      <c r="E787" s="79"/>
      <c r="F787" s="79"/>
      <c r="G787" s="79"/>
      <c r="H787" s="79"/>
      <c r="I787" s="79"/>
      <c r="J787" s="79"/>
      <c r="K787" s="79"/>
      <c r="L787" s="79"/>
      <c r="M787" s="79"/>
      <c r="N787" s="79"/>
      <c r="O787" s="79"/>
      <c r="P787" s="79"/>
      <c r="Q787" s="79"/>
      <c r="R787" s="79"/>
      <c r="S787" s="79"/>
      <c r="T787" s="79"/>
      <c r="U787" s="79"/>
      <c r="V787" s="79"/>
      <c r="W787" s="79"/>
      <c r="X787" s="79"/>
      <c r="Y787" s="79"/>
      <c r="Z787" s="96"/>
    </row>
    <row r="788" ht="15.75" customHeight="1" spans="1:26">
      <c r="A788" s="79"/>
      <c r="B788" s="79"/>
      <c r="C788" s="197"/>
      <c r="D788" s="79"/>
      <c r="E788" s="79"/>
      <c r="F788" s="79"/>
      <c r="G788" s="79"/>
      <c r="H788" s="79"/>
      <c r="I788" s="79"/>
      <c r="J788" s="79"/>
      <c r="K788" s="79"/>
      <c r="L788" s="79"/>
      <c r="M788" s="79"/>
      <c r="N788" s="79"/>
      <c r="O788" s="79"/>
      <c r="P788" s="79"/>
      <c r="Q788" s="79"/>
      <c r="R788" s="79"/>
      <c r="S788" s="79"/>
      <c r="T788" s="79"/>
      <c r="U788" s="79"/>
      <c r="V788" s="79"/>
      <c r="W788" s="79"/>
      <c r="X788" s="79"/>
      <c r="Y788" s="79"/>
      <c r="Z788" s="96"/>
    </row>
    <row r="789" ht="15.75" customHeight="1" spans="1:26">
      <c r="A789" s="79"/>
      <c r="B789" s="79"/>
      <c r="C789" s="197"/>
      <c r="D789" s="79"/>
      <c r="E789" s="79"/>
      <c r="F789" s="79"/>
      <c r="G789" s="79"/>
      <c r="H789" s="79"/>
      <c r="I789" s="79"/>
      <c r="J789" s="79"/>
      <c r="K789" s="79"/>
      <c r="L789" s="79"/>
      <c r="M789" s="79"/>
      <c r="N789" s="79"/>
      <c r="O789" s="79"/>
      <c r="P789" s="79"/>
      <c r="Q789" s="79"/>
      <c r="R789" s="79"/>
      <c r="S789" s="79"/>
      <c r="T789" s="79"/>
      <c r="U789" s="79"/>
      <c r="V789" s="79"/>
      <c r="W789" s="79"/>
      <c r="X789" s="79"/>
      <c r="Y789" s="79"/>
      <c r="Z789" s="96"/>
    </row>
    <row r="790" ht="15.75" customHeight="1" spans="1:26">
      <c r="A790" s="79"/>
      <c r="B790" s="79"/>
      <c r="C790" s="197"/>
      <c r="D790" s="79"/>
      <c r="E790" s="79"/>
      <c r="F790" s="79"/>
      <c r="G790" s="79"/>
      <c r="H790" s="79"/>
      <c r="I790" s="79"/>
      <c r="J790" s="79"/>
      <c r="K790" s="79"/>
      <c r="L790" s="79"/>
      <c r="M790" s="79"/>
      <c r="N790" s="79"/>
      <c r="O790" s="79"/>
      <c r="P790" s="79"/>
      <c r="Q790" s="79"/>
      <c r="R790" s="79"/>
      <c r="S790" s="79"/>
      <c r="T790" s="79"/>
      <c r="U790" s="79"/>
      <c r="V790" s="79"/>
      <c r="W790" s="79"/>
      <c r="X790" s="79"/>
      <c r="Y790" s="79"/>
      <c r="Z790" s="96"/>
    </row>
    <row r="791" ht="15.75" customHeight="1" spans="1:26">
      <c r="A791" s="79"/>
      <c r="B791" s="79"/>
      <c r="C791" s="197"/>
      <c r="D791" s="79"/>
      <c r="E791" s="79"/>
      <c r="F791" s="79"/>
      <c r="G791" s="79"/>
      <c r="H791" s="79"/>
      <c r="I791" s="79"/>
      <c r="J791" s="79"/>
      <c r="K791" s="79"/>
      <c r="L791" s="79"/>
      <c r="M791" s="79"/>
      <c r="N791" s="79"/>
      <c r="O791" s="79"/>
      <c r="P791" s="79"/>
      <c r="Q791" s="79"/>
      <c r="R791" s="79"/>
      <c r="S791" s="79"/>
      <c r="T791" s="79"/>
      <c r="U791" s="79"/>
      <c r="V791" s="79"/>
      <c r="W791" s="79"/>
      <c r="X791" s="79"/>
      <c r="Y791" s="79"/>
      <c r="Z791" s="96"/>
    </row>
    <row r="792" ht="15.75" customHeight="1" spans="1:26">
      <c r="A792" s="79"/>
      <c r="B792" s="79"/>
      <c r="C792" s="197"/>
      <c r="D792" s="79"/>
      <c r="E792" s="79"/>
      <c r="F792" s="79"/>
      <c r="G792" s="79"/>
      <c r="H792" s="79"/>
      <c r="I792" s="79"/>
      <c r="J792" s="79"/>
      <c r="K792" s="79"/>
      <c r="L792" s="79"/>
      <c r="M792" s="79"/>
      <c r="N792" s="79"/>
      <c r="O792" s="79"/>
      <c r="P792" s="79"/>
      <c r="Q792" s="79"/>
      <c r="R792" s="79"/>
      <c r="S792" s="79"/>
      <c r="T792" s="79"/>
      <c r="U792" s="79"/>
      <c r="V792" s="79"/>
      <c r="W792" s="79"/>
      <c r="X792" s="79"/>
      <c r="Y792" s="79"/>
      <c r="Z792" s="96"/>
    </row>
    <row r="793" ht="15.75" customHeight="1" spans="1:26">
      <c r="A793" s="79"/>
      <c r="B793" s="79"/>
      <c r="C793" s="197"/>
      <c r="D793" s="79"/>
      <c r="E793" s="79"/>
      <c r="F793" s="79"/>
      <c r="G793" s="79"/>
      <c r="H793" s="79"/>
      <c r="I793" s="79"/>
      <c r="J793" s="79"/>
      <c r="K793" s="79"/>
      <c r="L793" s="79"/>
      <c r="M793" s="79"/>
      <c r="N793" s="79"/>
      <c r="O793" s="79"/>
      <c r="P793" s="79"/>
      <c r="Q793" s="79"/>
      <c r="R793" s="79"/>
      <c r="S793" s="79"/>
      <c r="T793" s="79"/>
      <c r="U793" s="79"/>
      <c r="V793" s="79"/>
      <c r="W793" s="79"/>
      <c r="X793" s="79"/>
      <c r="Y793" s="79"/>
      <c r="Z793" s="96"/>
    </row>
    <row r="794" ht="15.75" customHeight="1" spans="1:26">
      <c r="A794" s="79"/>
      <c r="B794" s="79"/>
      <c r="C794" s="197"/>
      <c r="D794" s="79"/>
      <c r="E794" s="79"/>
      <c r="F794" s="79"/>
      <c r="G794" s="79"/>
      <c r="H794" s="79"/>
      <c r="I794" s="79"/>
      <c r="J794" s="79"/>
      <c r="K794" s="79"/>
      <c r="L794" s="79"/>
      <c r="M794" s="79"/>
      <c r="N794" s="79"/>
      <c r="O794" s="79"/>
      <c r="P794" s="79"/>
      <c r="Q794" s="79"/>
      <c r="R794" s="79"/>
      <c r="S794" s="79"/>
      <c r="T794" s="79"/>
      <c r="U794" s="79"/>
      <c r="V794" s="79"/>
      <c r="W794" s="79"/>
      <c r="X794" s="79"/>
      <c r="Y794" s="79"/>
      <c r="Z794" s="96"/>
    </row>
    <row r="795" ht="15.75" customHeight="1" spans="1:26">
      <c r="A795" s="79"/>
      <c r="B795" s="79"/>
      <c r="C795" s="197"/>
      <c r="D795" s="79"/>
      <c r="E795" s="79"/>
      <c r="F795" s="79"/>
      <c r="G795" s="79"/>
      <c r="H795" s="79"/>
      <c r="I795" s="79"/>
      <c r="J795" s="79"/>
      <c r="K795" s="79"/>
      <c r="L795" s="79"/>
      <c r="M795" s="79"/>
      <c r="N795" s="79"/>
      <c r="O795" s="79"/>
      <c r="P795" s="79"/>
      <c r="Q795" s="79"/>
      <c r="R795" s="79"/>
      <c r="S795" s="79"/>
      <c r="T795" s="79"/>
      <c r="U795" s="79"/>
      <c r="V795" s="79"/>
      <c r="W795" s="79"/>
      <c r="X795" s="79"/>
      <c r="Y795" s="79"/>
      <c r="Z795" s="96"/>
    </row>
    <row r="796" ht="15.75" customHeight="1" spans="1:26">
      <c r="A796" s="79"/>
      <c r="B796" s="79"/>
      <c r="C796" s="197"/>
      <c r="D796" s="79"/>
      <c r="E796" s="79"/>
      <c r="F796" s="79"/>
      <c r="G796" s="79"/>
      <c r="H796" s="79"/>
      <c r="I796" s="79"/>
      <c r="J796" s="79"/>
      <c r="K796" s="79"/>
      <c r="L796" s="79"/>
      <c r="M796" s="79"/>
      <c r="N796" s="79"/>
      <c r="O796" s="79"/>
      <c r="P796" s="79"/>
      <c r="Q796" s="79"/>
      <c r="R796" s="79"/>
      <c r="S796" s="79"/>
      <c r="T796" s="79"/>
      <c r="U796" s="79"/>
      <c r="V796" s="79"/>
      <c r="W796" s="79"/>
      <c r="X796" s="79"/>
      <c r="Y796" s="79"/>
      <c r="Z796" s="96"/>
    </row>
    <row r="797" ht="15.75" customHeight="1" spans="1:26">
      <c r="A797" s="79"/>
      <c r="B797" s="79"/>
      <c r="C797" s="197"/>
      <c r="D797" s="79"/>
      <c r="E797" s="79"/>
      <c r="F797" s="79"/>
      <c r="G797" s="79"/>
      <c r="H797" s="79"/>
      <c r="I797" s="79"/>
      <c r="J797" s="79"/>
      <c r="K797" s="79"/>
      <c r="L797" s="79"/>
      <c r="M797" s="79"/>
      <c r="N797" s="79"/>
      <c r="O797" s="79"/>
      <c r="P797" s="79"/>
      <c r="Q797" s="79"/>
      <c r="R797" s="79"/>
      <c r="S797" s="79"/>
      <c r="T797" s="79"/>
      <c r="U797" s="79"/>
      <c r="V797" s="79"/>
      <c r="W797" s="79"/>
      <c r="X797" s="79"/>
      <c r="Y797" s="79"/>
      <c r="Z797" s="96"/>
    </row>
    <row r="798" ht="15.75" customHeight="1" spans="1:26">
      <c r="A798" s="79"/>
      <c r="B798" s="79"/>
      <c r="C798" s="197"/>
      <c r="D798" s="79"/>
      <c r="E798" s="79"/>
      <c r="F798" s="79"/>
      <c r="G798" s="79"/>
      <c r="H798" s="79"/>
      <c r="I798" s="79"/>
      <c r="J798" s="79"/>
      <c r="K798" s="79"/>
      <c r="L798" s="79"/>
      <c r="M798" s="79"/>
      <c r="N798" s="79"/>
      <c r="O798" s="79"/>
      <c r="P798" s="79"/>
      <c r="Q798" s="79"/>
      <c r="R798" s="79"/>
      <c r="S798" s="79"/>
      <c r="T798" s="79"/>
      <c r="U798" s="79"/>
      <c r="V798" s="79"/>
      <c r="W798" s="79"/>
      <c r="X798" s="79"/>
      <c r="Y798" s="79"/>
      <c r="Z798" s="96"/>
    </row>
    <row r="799" ht="15.75" customHeight="1" spans="1:26">
      <c r="A799" s="79"/>
      <c r="B799" s="79"/>
      <c r="C799" s="197"/>
      <c r="D799" s="79"/>
      <c r="E799" s="79"/>
      <c r="F799" s="79"/>
      <c r="G799" s="79"/>
      <c r="H799" s="79"/>
      <c r="I799" s="79"/>
      <c r="J799" s="79"/>
      <c r="K799" s="79"/>
      <c r="L799" s="79"/>
      <c r="M799" s="79"/>
      <c r="N799" s="79"/>
      <c r="O799" s="79"/>
      <c r="P799" s="79"/>
      <c r="Q799" s="79"/>
      <c r="R799" s="79"/>
      <c r="S799" s="79"/>
      <c r="T799" s="79"/>
      <c r="U799" s="79"/>
      <c r="V799" s="79"/>
      <c r="W799" s="79"/>
      <c r="X799" s="79"/>
      <c r="Y799" s="79"/>
      <c r="Z799" s="96"/>
    </row>
    <row r="800" ht="15.75" customHeight="1" spans="1:26">
      <c r="A800" s="79"/>
      <c r="B800" s="79"/>
      <c r="C800" s="197"/>
      <c r="D800" s="79"/>
      <c r="E800" s="79"/>
      <c r="F800" s="79"/>
      <c r="G800" s="79"/>
      <c r="H800" s="79"/>
      <c r="I800" s="79"/>
      <c r="J800" s="79"/>
      <c r="K800" s="79"/>
      <c r="L800" s="79"/>
      <c r="M800" s="79"/>
      <c r="N800" s="79"/>
      <c r="O800" s="79"/>
      <c r="P800" s="79"/>
      <c r="Q800" s="79"/>
      <c r="R800" s="79"/>
      <c r="S800" s="79"/>
      <c r="T800" s="79"/>
      <c r="U800" s="79"/>
      <c r="V800" s="79"/>
      <c r="W800" s="79"/>
      <c r="X800" s="79"/>
      <c r="Y800" s="79"/>
      <c r="Z800" s="96"/>
    </row>
    <row r="801" ht="15.75" customHeight="1" spans="1:26">
      <c r="A801" s="79"/>
      <c r="B801" s="79"/>
      <c r="C801" s="197"/>
      <c r="D801" s="79"/>
      <c r="E801" s="79"/>
      <c r="F801" s="79"/>
      <c r="G801" s="79"/>
      <c r="H801" s="79"/>
      <c r="I801" s="79"/>
      <c r="J801" s="79"/>
      <c r="K801" s="79"/>
      <c r="L801" s="79"/>
      <c r="M801" s="79"/>
      <c r="N801" s="79"/>
      <c r="O801" s="79"/>
      <c r="P801" s="79"/>
      <c r="Q801" s="79"/>
      <c r="R801" s="79"/>
      <c r="S801" s="79"/>
      <c r="T801" s="79"/>
      <c r="U801" s="79"/>
      <c r="V801" s="79"/>
      <c r="W801" s="79"/>
      <c r="X801" s="79"/>
      <c r="Y801" s="79"/>
      <c r="Z801" s="96"/>
    </row>
    <row r="802" ht="15.75" customHeight="1" spans="1:26">
      <c r="A802" s="79"/>
      <c r="B802" s="79"/>
      <c r="C802" s="197"/>
      <c r="D802" s="79"/>
      <c r="E802" s="79"/>
      <c r="F802" s="79"/>
      <c r="G802" s="79"/>
      <c r="H802" s="79"/>
      <c r="I802" s="79"/>
      <c r="J802" s="79"/>
      <c r="K802" s="79"/>
      <c r="L802" s="79"/>
      <c r="M802" s="79"/>
      <c r="N802" s="79"/>
      <c r="O802" s="79"/>
      <c r="P802" s="79"/>
      <c r="Q802" s="79"/>
      <c r="R802" s="79"/>
      <c r="S802" s="79"/>
      <c r="T802" s="79"/>
      <c r="U802" s="79"/>
      <c r="V802" s="79"/>
      <c r="W802" s="79"/>
      <c r="X802" s="79"/>
      <c r="Y802" s="79"/>
      <c r="Z802" s="96"/>
    </row>
    <row r="803" ht="15.75" customHeight="1" spans="1:26">
      <c r="A803" s="79"/>
      <c r="B803" s="79"/>
      <c r="C803" s="197"/>
      <c r="D803" s="79"/>
      <c r="E803" s="79"/>
      <c r="F803" s="79"/>
      <c r="G803" s="79"/>
      <c r="H803" s="79"/>
      <c r="I803" s="79"/>
      <c r="J803" s="79"/>
      <c r="K803" s="79"/>
      <c r="L803" s="79"/>
      <c r="M803" s="79"/>
      <c r="N803" s="79"/>
      <c r="O803" s="79"/>
      <c r="P803" s="79"/>
      <c r="Q803" s="79"/>
      <c r="R803" s="79"/>
      <c r="S803" s="79"/>
      <c r="T803" s="79"/>
      <c r="U803" s="79"/>
      <c r="V803" s="79"/>
      <c r="W803" s="79"/>
      <c r="X803" s="79"/>
      <c r="Y803" s="79"/>
      <c r="Z803" s="96"/>
    </row>
    <row r="804" ht="15.75" customHeight="1" spans="1:26">
      <c r="A804" s="79"/>
      <c r="B804" s="79"/>
      <c r="C804" s="197"/>
      <c r="D804" s="79"/>
      <c r="E804" s="79"/>
      <c r="F804" s="79"/>
      <c r="G804" s="79"/>
      <c r="H804" s="79"/>
      <c r="I804" s="79"/>
      <c r="J804" s="79"/>
      <c r="K804" s="79"/>
      <c r="L804" s="79"/>
      <c r="M804" s="79"/>
      <c r="N804" s="79"/>
      <c r="O804" s="79"/>
      <c r="P804" s="79"/>
      <c r="Q804" s="79"/>
      <c r="R804" s="79"/>
      <c r="S804" s="79"/>
      <c r="T804" s="79"/>
      <c r="U804" s="79"/>
      <c r="V804" s="79"/>
      <c r="W804" s="79"/>
      <c r="X804" s="79"/>
      <c r="Y804" s="79"/>
      <c r="Z804" s="96"/>
    </row>
    <row r="805" ht="15.75" customHeight="1" spans="1:26">
      <c r="A805" s="79"/>
      <c r="B805" s="79"/>
      <c r="C805" s="197"/>
      <c r="D805" s="79"/>
      <c r="E805" s="79"/>
      <c r="F805" s="79"/>
      <c r="G805" s="79"/>
      <c r="H805" s="79"/>
      <c r="I805" s="79"/>
      <c r="J805" s="79"/>
      <c r="K805" s="79"/>
      <c r="L805" s="79"/>
      <c r="M805" s="79"/>
      <c r="N805" s="79"/>
      <c r="O805" s="79"/>
      <c r="P805" s="79"/>
      <c r="Q805" s="79"/>
      <c r="R805" s="79"/>
      <c r="S805" s="79"/>
      <c r="T805" s="79"/>
      <c r="U805" s="79"/>
      <c r="V805" s="79"/>
      <c r="W805" s="79"/>
      <c r="X805" s="79"/>
      <c r="Y805" s="79"/>
      <c r="Z805" s="96"/>
    </row>
    <row r="806" ht="15.75" customHeight="1" spans="1:26">
      <c r="A806" s="79"/>
      <c r="B806" s="79"/>
      <c r="C806" s="197"/>
      <c r="D806" s="79"/>
      <c r="E806" s="79"/>
      <c r="F806" s="79"/>
      <c r="G806" s="79"/>
      <c r="H806" s="79"/>
      <c r="I806" s="79"/>
      <c r="J806" s="79"/>
      <c r="K806" s="79"/>
      <c r="L806" s="79"/>
      <c r="M806" s="79"/>
      <c r="N806" s="79"/>
      <c r="O806" s="79"/>
      <c r="P806" s="79"/>
      <c r="Q806" s="79"/>
      <c r="R806" s="79"/>
      <c r="S806" s="79"/>
      <c r="T806" s="79"/>
      <c r="U806" s="79"/>
      <c r="V806" s="79"/>
      <c r="W806" s="79"/>
      <c r="X806" s="79"/>
      <c r="Y806" s="79"/>
      <c r="Z806" s="96"/>
    </row>
    <row r="807" ht="15.75" customHeight="1" spans="1:26">
      <c r="A807" s="96"/>
      <c r="B807" s="96"/>
      <c r="C807" s="199"/>
      <c r="D807" s="96"/>
      <c r="E807" s="96"/>
      <c r="F807" s="96"/>
      <c r="G807" s="96"/>
      <c r="H807" s="96"/>
      <c r="I807" s="96"/>
      <c r="J807" s="96"/>
      <c r="K807" s="96"/>
      <c r="L807" s="96"/>
      <c r="M807" s="96"/>
      <c r="N807" s="96"/>
      <c r="O807" s="96"/>
      <c r="P807" s="96"/>
      <c r="Q807" s="96"/>
      <c r="R807" s="96"/>
      <c r="S807" s="96"/>
      <c r="T807" s="96"/>
      <c r="U807" s="96"/>
      <c r="V807" s="96"/>
      <c r="W807" s="96"/>
      <c r="X807" s="96"/>
      <c r="Y807" s="96"/>
      <c r="Z807" s="96"/>
    </row>
    <row r="808" ht="15.75" customHeight="1" spans="1:26">
      <c r="A808" s="96"/>
      <c r="B808" s="96"/>
      <c r="C808" s="199"/>
      <c r="D808" s="96"/>
      <c r="E808" s="96"/>
      <c r="F808" s="96"/>
      <c r="G808" s="96"/>
      <c r="H808" s="96"/>
      <c r="I808" s="96"/>
      <c r="J808" s="96"/>
      <c r="K808" s="96"/>
      <c r="L808" s="96"/>
      <c r="M808" s="96"/>
      <c r="N808" s="96"/>
      <c r="O808" s="96"/>
      <c r="P808" s="96"/>
      <c r="Q808" s="96"/>
      <c r="R808" s="96"/>
      <c r="S808" s="96"/>
      <c r="T808" s="96"/>
      <c r="U808" s="96"/>
      <c r="V808" s="96"/>
      <c r="W808" s="96"/>
      <c r="X808" s="96"/>
      <c r="Y808" s="96"/>
      <c r="Z808" s="96"/>
    </row>
    <row r="809" ht="15.75" customHeight="1" spans="1:26">
      <c r="A809" s="96"/>
      <c r="B809" s="96"/>
      <c r="C809" s="199"/>
      <c r="D809" s="96"/>
      <c r="E809" s="96"/>
      <c r="F809" s="96"/>
      <c r="G809" s="96"/>
      <c r="H809" s="96"/>
      <c r="I809" s="96"/>
      <c r="J809" s="96"/>
      <c r="K809" s="96"/>
      <c r="L809" s="96"/>
      <c r="M809" s="96"/>
      <c r="N809" s="96"/>
      <c r="O809" s="96"/>
      <c r="P809" s="96"/>
      <c r="Q809" s="96"/>
      <c r="R809" s="96"/>
      <c r="S809" s="96"/>
      <c r="T809" s="96"/>
      <c r="U809" s="96"/>
      <c r="V809" s="96"/>
      <c r="W809" s="96"/>
      <c r="X809" s="96"/>
      <c r="Y809" s="96"/>
      <c r="Z809" s="96"/>
    </row>
    <row r="810" ht="15.75" customHeight="1" spans="1:26">
      <c r="A810" s="96"/>
      <c r="B810" s="96"/>
      <c r="C810" s="199"/>
      <c r="D810" s="96"/>
      <c r="E810" s="96"/>
      <c r="F810" s="96"/>
      <c r="G810" s="96"/>
      <c r="H810" s="96"/>
      <c r="I810" s="96"/>
      <c r="J810" s="96"/>
      <c r="K810" s="96"/>
      <c r="L810" s="96"/>
      <c r="M810" s="96"/>
      <c r="N810" s="96"/>
      <c r="O810" s="96"/>
      <c r="P810" s="96"/>
      <c r="Q810" s="96"/>
      <c r="R810" s="96"/>
      <c r="S810" s="96"/>
      <c r="T810" s="96"/>
      <c r="U810" s="96"/>
      <c r="V810" s="96"/>
      <c r="W810" s="96"/>
      <c r="X810" s="96"/>
      <c r="Y810" s="96"/>
      <c r="Z810" s="96"/>
    </row>
    <row r="811" ht="15.75" customHeight="1" spans="1:26">
      <c r="A811" s="96"/>
      <c r="B811" s="96"/>
      <c r="C811" s="199"/>
      <c r="D811" s="96"/>
      <c r="E811" s="96"/>
      <c r="F811" s="96"/>
      <c r="G811" s="96"/>
      <c r="H811" s="96"/>
      <c r="I811" s="96"/>
      <c r="J811" s="96"/>
      <c r="K811" s="96"/>
      <c r="L811" s="96"/>
      <c r="M811" s="96"/>
      <c r="N811" s="96"/>
      <c r="O811" s="96"/>
      <c r="P811" s="96"/>
      <c r="Q811" s="96"/>
      <c r="R811" s="96"/>
      <c r="S811" s="96"/>
      <c r="T811" s="96"/>
      <c r="U811" s="96"/>
      <c r="V811" s="96"/>
      <c r="W811" s="96"/>
      <c r="X811" s="96"/>
      <c r="Y811" s="96"/>
      <c r="Z811" s="96"/>
    </row>
    <row r="812" ht="15.75" customHeight="1" spans="1:26">
      <c r="A812" s="96"/>
      <c r="B812" s="96"/>
      <c r="C812" s="199"/>
      <c r="D812" s="96"/>
      <c r="E812" s="96"/>
      <c r="F812" s="96"/>
      <c r="G812" s="96"/>
      <c r="H812" s="96"/>
      <c r="I812" s="96"/>
      <c r="J812" s="96"/>
      <c r="K812" s="96"/>
      <c r="L812" s="96"/>
      <c r="M812" s="96"/>
      <c r="N812" s="96"/>
      <c r="O812" s="96"/>
      <c r="P812" s="96"/>
      <c r="Q812" s="96"/>
      <c r="R812" s="96"/>
      <c r="S812" s="96"/>
      <c r="T812" s="96"/>
      <c r="U812" s="96"/>
      <c r="V812" s="96"/>
      <c r="W812" s="96"/>
      <c r="X812" s="96"/>
      <c r="Y812" s="96"/>
      <c r="Z812" s="96"/>
    </row>
    <row r="813" ht="15.75" customHeight="1" spans="1:26">
      <c r="A813" s="96"/>
      <c r="B813" s="96"/>
      <c r="C813" s="199"/>
      <c r="D813" s="96"/>
      <c r="E813" s="96"/>
      <c r="F813" s="96"/>
      <c r="G813" s="96"/>
      <c r="H813" s="96"/>
      <c r="I813" s="96"/>
      <c r="J813" s="96"/>
      <c r="K813" s="96"/>
      <c r="L813" s="96"/>
      <c r="M813" s="96"/>
      <c r="N813" s="96"/>
      <c r="O813" s="96"/>
      <c r="P813" s="96"/>
      <c r="Q813" s="96"/>
      <c r="R813" s="96"/>
      <c r="S813" s="96"/>
      <c r="T813" s="96"/>
      <c r="U813" s="96"/>
      <c r="V813" s="96"/>
      <c r="W813" s="96"/>
      <c r="X813" s="96"/>
      <c r="Y813" s="96"/>
      <c r="Z813" s="96"/>
    </row>
    <row r="814" ht="15.75" customHeight="1" spans="1:26">
      <c r="A814" s="96"/>
      <c r="B814" s="96"/>
      <c r="C814" s="199"/>
      <c r="D814" s="96"/>
      <c r="E814" s="96"/>
      <c r="F814" s="96"/>
      <c r="G814" s="96"/>
      <c r="H814" s="96"/>
      <c r="I814" s="96"/>
      <c r="J814" s="96"/>
      <c r="K814" s="96"/>
      <c r="L814" s="96"/>
      <c r="M814" s="96"/>
      <c r="N814" s="96"/>
      <c r="O814" s="96"/>
      <c r="P814" s="96"/>
      <c r="Q814" s="96"/>
      <c r="R814" s="96"/>
      <c r="S814" s="96"/>
      <c r="T814" s="96"/>
      <c r="U814" s="96"/>
      <c r="V814" s="96"/>
      <c r="W814" s="96"/>
      <c r="X814" s="96"/>
      <c r="Y814" s="96"/>
      <c r="Z814" s="96"/>
    </row>
    <row r="815" ht="15.75" customHeight="1" spans="1:26">
      <c r="A815" s="96"/>
      <c r="B815" s="96"/>
      <c r="C815" s="199"/>
      <c r="D815" s="96"/>
      <c r="E815" s="96"/>
      <c r="F815" s="96"/>
      <c r="G815" s="96"/>
      <c r="H815" s="96"/>
      <c r="I815" s="96"/>
      <c r="J815" s="96"/>
      <c r="K815" s="96"/>
      <c r="L815" s="96"/>
      <c r="M815" s="96"/>
      <c r="N815" s="96"/>
      <c r="O815" s="96"/>
      <c r="P815" s="96"/>
      <c r="Q815" s="96"/>
      <c r="R815" s="96"/>
      <c r="S815" s="96"/>
      <c r="T815" s="96"/>
      <c r="U815" s="96"/>
      <c r="V815" s="96"/>
      <c r="W815" s="96"/>
      <c r="X815" s="96"/>
      <c r="Y815" s="96"/>
      <c r="Z815" s="96"/>
    </row>
    <row r="816" ht="15.75" customHeight="1" spans="1:26">
      <c r="A816" s="96"/>
      <c r="B816" s="96"/>
      <c r="C816" s="199"/>
      <c r="D816" s="96"/>
      <c r="E816" s="96"/>
      <c r="F816" s="96"/>
      <c r="G816" s="96"/>
      <c r="H816" s="96"/>
      <c r="I816" s="96"/>
      <c r="J816" s="96"/>
      <c r="K816" s="96"/>
      <c r="L816" s="96"/>
      <c r="M816" s="96"/>
      <c r="N816" s="96"/>
      <c r="O816" s="96"/>
      <c r="P816" s="96"/>
      <c r="Q816" s="96"/>
      <c r="R816" s="96"/>
      <c r="S816" s="96"/>
      <c r="T816" s="96"/>
      <c r="U816" s="96"/>
      <c r="V816" s="96"/>
      <c r="W816" s="96"/>
      <c r="X816" s="96"/>
      <c r="Y816" s="96"/>
      <c r="Z816" s="96"/>
    </row>
    <row r="817" ht="15.75" customHeight="1" spans="1:26">
      <c r="A817" s="96"/>
      <c r="B817" s="96"/>
      <c r="C817" s="199"/>
      <c r="D817" s="96"/>
      <c r="E817" s="96"/>
      <c r="F817" s="96"/>
      <c r="G817" s="96"/>
      <c r="H817" s="96"/>
      <c r="I817" s="96"/>
      <c r="J817" s="96"/>
      <c r="K817" s="96"/>
      <c r="L817" s="96"/>
      <c r="M817" s="96"/>
      <c r="N817" s="96"/>
      <c r="O817" s="96"/>
      <c r="P817" s="96"/>
      <c r="Q817" s="96"/>
      <c r="R817" s="96"/>
      <c r="S817" s="96"/>
      <c r="T817" s="96"/>
      <c r="U817" s="96"/>
      <c r="V817" s="96"/>
      <c r="W817" s="96"/>
      <c r="X817" s="96"/>
      <c r="Y817" s="96"/>
      <c r="Z817" s="96"/>
    </row>
    <row r="818" ht="15.75" customHeight="1" spans="1:26">
      <c r="A818" s="96"/>
      <c r="B818" s="96"/>
      <c r="C818" s="199"/>
      <c r="D818" s="96"/>
      <c r="E818" s="96"/>
      <c r="F818" s="96"/>
      <c r="G818" s="96"/>
      <c r="H818" s="96"/>
      <c r="I818" s="96"/>
      <c r="J818" s="96"/>
      <c r="K818" s="96"/>
      <c r="L818" s="96"/>
      <c r="M818" s="96"/>
      <c r="N818" s="96"/>
      <c r="O818" s="96"/>
      <c r="P818" s="96"/>
      <c r="Q818" s="96"/>
      <c r="R818" s="96"/>
      <c r="S818" s="96"/>
      <c r="T818" s="96"/>
      <c r="U818" s="96"/>
      <c r="V818" s="96"/>
      <c r="W818" s="96"/>
      <c r="X818" s="96"/>
      <c r="Y818" s="96"/>
      <c r="Z818" s="96"/>
    </row>
    <row r="819" ht="15.75" customHeight="1" spans="1:26">
      <c r="A819" s="96"/>
      <c r="B819" s="96"/>
      <c r="C819" s="199"/>
      <c r="D819" s="96"/>
      <c r="E819" s="96"/>
      <c r="F819" s="96"/>
      <c r="G819" s="96"/>
      <c r="H819" s="96"/>
      <c r="I819" s="96"/>
      <c r="J819" s="96"/>
      <c r="K819" s="96"/>
      <c r="L819" s="96"/>
      <c r="M819" s="96"/>
      <c r="N819" s="96"/>
      <c r="O819" s="96"/>
      <c r="P819" s="96"/>
      <c r="Q819" s="96"/>
      <c r="R819" s="96"/>
      <c r="S819" s="96"/>
      <c r="T819" s="96"/>
      <c r="U819" s="96"/>
      <c r="V819" s="96"/>
      <c r="W819" s="96"/>
      <c r="X819" s="96"/>
      <c r="Y819" s="96"/>
      <c r="Z819" s="96"/>
    </row>
    <row r="820" ht="15.75" customHeight="1" spans="1:26">
      <c r="A820" s="96"/>
      <c r="B820" s="96"/>
      <c r="C820" s="199"/>
      <c r="D820" s="96"/>
      <c r="E820" s="96"/>
      <c r="F820" s="96"/>
      <c r="G820" s="96"/>
      <c r="H820" s="96"/>
      <c r="I820" s="96"/>
      <c r="J820" s="96"/>
      <c r="K820" s="96"/>
      <c r="L820" s="96"/>
      <c r="M820" s="96"/>
      <c r="N820" s="96"/>
      <c r="O820" s="96"/>
      <c r="P820" s="96"/>
      <c r="Q820" s="96"/>
      <c r="R820" s="96"/>
      <c r="S820" s="96"/>
      <c r="T820" s="96"/>
      <c r="U820" s="96"/>
      <c r="V820" s="96"/>
      <c r="W820" s="96"/>
      <c r="X820" s="96"/>
      <c r="Y820" s="96"/>
      <c r="Z820" s="96"/>
    </row>
    <row r="821" ht="15.75" customHeight="1" spans="1:26">
      <c r="A821" s="96"/>
      <c r="B821" s="96"/>
      <c r="C821" s="199"/>
      <c r="D821" s="96"/>
      <c r="E821" s="96"/>
      <c r="F821" s="96"/>
      <c r="G821" s="96"/>
      <c r="H821" s="96"/>
      <c r="I821" s="96"/>
      <c r="J821" s="96"/>
      <c r="K821" s="96"/>
      <c r="L821" s="96"/>
      <c r="M821" s="96"/>
      <c r="N821" s="96"/>
      <c r="O821" s="96"/>
      <c r="P821" s="96"/>
      <c r="Q821" s="96"/>
      <c r="R821" s="96"/>
      <c r="S821" s="96"/>
      <c r="T821" s="96"/>
      <c r="U821" s="96"/>
      <c r="V821" s="96"/>
      <c r="W821" s="96"/>
      <c r="X821" s="96"/>
      <c r="Y821" s="96"/>
      <c r="Z821" s="96"/>
    </row>
    <row r="822" ht="15.75" customHeight="1" spans="1:26">
      <c r="A822" s="96"/>
      <c r="B822" s="96"/>
      <c r="C822" s="199"/>
      <c r="D822" s="96"/>
      <c r="E822" s="96"/>
      <c r="F822" s="96"/>
      <c r="G822" s="96"/>
      <c r="H822" s="96"/>
      <c r="I822" s="96"/>
      <c r="J822" s="96"/>
      <c r="K822" s="96"/>
      <c r="L822" s="96"/>
      <c r="M822" s="96"/>
      <c r="N822" s="96"/>
      <c r="O822" s="96"/>
      <c r="P822" s="96"/>
      <c r="Q822" s="96"/>
      <c r="R822" s="96"/>
      <c r="S822" s="96"/>
      <c r="T822" s="96"/>
      <c r="U822" s="96"/>
      <c r="V822" s="96"/>
      <c r="W822" s="96"/>
      <c r="X822" s="96"/>
      <c r="Y822" s="96"/>
      <c r="Z822" s="96"/>
    </row>
    <row r="823" ht="15.75" customHeight="1" spans="1:26">
      <c r="A823" s="96"/>
      <c r="B823" s="96"/>
      <c r="C823" s="199"/>
      <c r="D823" s="96"/>
      <c r="E823" s="96"/>
      <c r="F823" s="96"/>
      <c r="G823" s="96"/>
      <c r="H823" s="96"/>
      <c r="I823" s="96"/>
      <c r="J823" s="96"/>
      <c r="K823" s="96"/>
      <c r="L823" s="96"/>
      <c r="M823" s="96"/>
      <c r="N823" s="96"/>
      <c r="O823" s="96"/>
      <c r="P823" s="96"/>
      <c r="Q823" s="96"/>
      <c r="R823" s="96"/>
      <c r="S823" s="96"/>
      <c r="T823" s="96"/>
      <c r="U823" s="96"/>
      <c r="V823" s="96"/>
      <c r="W823" s="96"/>
      <c r="X823" s="96"/>
      <c r="Y823" s="96"/>
      <c r="Z823" s="96"/>
    </row>
    <row r="824" ht="15.75" customHeight="1" spans="1:26">
      <c r="A824" s="96"/>
      <c r="B824" s="96"/>
      <c r="C824" s="199"/>
      <c r="D824" s="96"/>
      <c r="E824" s="96"/>
      <c r="F824" s="96"/>
      <c r="G824" s="96"/>
      <c r="H824" s="96"/>
      <c r="I824" s="96"/>
      <c r="J824" s="96"/>
      <c r="K824" s="96"/>
      <c r="L824" s="96"/>
      <c r="M824" s="96"/>
      <c r="N824" s="96"/>
      <c r="O824" s="96"/>
      <c r="P824" s="96"/>
      <c r="Q824" s="96"/>
      <c r="R824" s="96"/>
      <c r="S824" s="96"/>
      <c r="T824" s="96"/>
      <c r="U824" s="96"/>
      <c r="V824" s="96"/>
      <c r="W824" s="96"/>
      <c r="X824" s="96"/>
      <c r="Y824" s="96"/>
      <c r="Z824" s="96"/>
    </row>
    <row r="825" ht="15.75" customHeight="1" spans="1:26">
      <c r="A825" s="96"/>
      <c r="B825" s="96"/>
      <c r="C825" s="199"/>
      <c r="D825" s="96"/>
      <c r="E825" s="96"/>
      <c r="F825" s="96"/>
      <c r="G825" s="96"/>
      <c r="H825" s="96"/>
      <c r="I825" s="96"/>
      <c r="J825" s="96"/>
      <c r="K825" s="96"/>
      <c r="L825" s="96"/>
      <c r="M825" s="96"/>
      <c r="N825" s="96"/>
      <c r="O825" s="96"/>
      <c r="P825" s="96"/>
      <c r="Q825" s="96"/>
      <c r="R825" s="96"/>
      <c r="S825" s="96"/>
      <c r="T825" s="96"/>
      <c r="U825" s="96"/>
      <c r="V825" s="96"/>
      <c r="W825" s="96"/>
      <c r="X825" s="96"/>
      <c r="Y825" s="96"/>
      <c r="Z825" s="96"/>
    </row>
    <row r="826" ht="15.75" customHeight="1" spans="1:26">
      <c r="A826" s="96"/>
      <c r="B826" s="96"/>
      <c r="C826" s="199"/>
      <c r="D826" s="96"/>
      <c r="E826" s="96"/>
      <c r="F826" s="96"/>
      <c r="G826" s="96"/>
      <c r="H826" s="96"/>
      <c r="I826" s="96"/>
      <c r="J826" s="96"/>
      <c r="K826" s="96"/>
      <c r="L826" s="96"/>
      <c r="M826" s="96"/>
      <c r="N826" s="96"/>
      <c r="O826" s="96"/>
      <c r="P826" s="96"/>
      <c r="Q826" s="96"/>
      <c r="R826" s="96"/>
      <c r="S826" s="96"/>
      <c r="T826" s="96"/>
      <c r="U826" s="96"/>
      <c r="V826" s="96"/>
      <c r="W826" s="96"/>
      <c r="X826" s="96"/>
      <c r="Y826" s="96"/>
      <c r="Z826" s="96"/>
    </row>
    <row r="827" ht="15.75" customHeight="1" spans="1:26">
      <c r="A827" s="96"/>
      <c r="B827" s="96"/>
      <c r="C827" s="199"/>
      <c r="D827" s="96"/>
      <c r="E827" s="96"/>
      <c r="F827" s="96"/>
      <c r="G827" s="96"/>
      <c r="H827" s="96"/>
      <c r="I827" s="96"/>
      <c r="J827" s="96"/>
      <c r="K827" s="96"/>
      <c r="L827" s="96"/>
      <c r="M827" s="96"/>
      <c r="N827" s="96"/>
      <c r="O827" s="96"/>
      <c r="P827" s="96"/>
      <c r="Q827" s="96"/>
      <c r="R827" s="96"/>
      <c r="S827" s="96"/>
      <c r="T827" s="96"/>
      <c r="U827" s="96"/>
      <c r="V827" s="96"/>
      <c r="W827" s="96"/>
      <c r="X827" s="96"/>
      <c r="Y827" s="96"/>
      <c r="Z827" s="96"/>
    </row>
    <row r="828" ht="15.75" customHeight="1" spans="1:26">
      <c r="A828" s="96"/>
      <c r="B828" s="96"/>
      <c r="C828" s="199"/>
      <c r="D828" s="96"/>
      <c r="E828" s="96"/>
      <c r="F828" s="96"/>
      <c r="G828" s="96"/>
      <c r="H828" s="96"/>
      <c r="I828" s="96"/>
      <c r="J828" s="96"/>
      <c r="K828" s="96"/>
      <c r="L828" s="96"/>
      <c r="M828" s="96"/>
      <c r="N828" s="96"/>
      <c r="O828" s="96"/>
      <c r="P828" s="96"/>
      <c r="Q828" s="96"/>
      <c r="R828" s="96"/>
      <c r="S828" s="96"/>
      <c r="T828" s="96"/>
      <c r="U828" s="96"/>
      <c r="V828" s="96"/>
      <c r="W828" s="96"/>
      <c r="X828" s="96"/>
      <c r="Y828" s="96"/>
      <c r="Z828" s="96"/>
    </row>
    <row r="829" ht="15.75" customHeight="1" spans="1:26">
      <c r="A829" s="96"/>
      <c r="B829" s="96"/>
      <c r="C829" s="199"/>
      <c r="D829" s="96"/>
      <c r="E829" s="96"/>
      <c r="F829" s="96"/>
      <c r="G829" s="96"/>
      <c r="H829" s="96"/>
      <c r="I829" s="96"/>
      <c r="J829" s="96"/>
      <c r="K829" s="96"/>
      <c r="L829" s="96"/>
      <c r="M829" s="96"/>
      <c r="N829" s="96"/>
      <c r="O829" s="96"/>
      <c r="P829" s="96"/>
      <c r="Q829" s="96"/>
      <c r="R829" s="96"/>
      <c r="S829" s="96"/>
      <c r="T829" s="96"/>
      <c r="U829" s="96"/>
      <c r="V829" s="96"/>
      <c r="W829" s="96"/>
      <c r="X829" s="96"/>
      <c r="Y829" s="96"/>
      <c r="Z829" s="96"/>
    </row>
    <row r="830" ht="15.75" customHeight="1" spans="1:26">
      <c r="A830" s="96"/>
      <c r="B830" s="96"/>
      <c r="C830" s="199"/>
      <c r="D830" s="96"/>
      <c r="E830" s="96"/>
      <c r="F830" s="96"/>
      <c r="G830" s="96"/>
      <c r="H830" s="96"/>
      <c r="I830" s="96"/>
      <c r="J830" s="96"/>
      <c r="K830" s="96"/>
      <c r="L830" s="96"/>
      <c r="M830" s="96"/>
      <c r="N830" s="96"/>
      <c r="O830" s="96"/>
      <c r="P830" s="96"/>
      <c r="Q830" s="96"/>
      <c r="R830" s="96"/>
      <c r="S830" s="96"/>
      <c r="T830" s="96"/>
      <c r="U830" s="96"/>
      <c r="V830" s="96"/>
      <c r="W830" s="96"/>
      <c r="X830" s="96"/>
      <c r="Y830" s="96"/>
      <c r="Z830" s="96"/>
    </row>
    <row r="831" ht="15.75" customHeight="1" spans="1:26">
      <c r="A831" s="96"/>
      <c r="B831" s="96"/>
      <c r="C831" s="199"/>
      <c r="D831" s="96"/>
      <c r="E831" s="96"/>
      <c r="F831" s="96"/>
      <c r="G831" s="96"/>
      <c r="H831" s="96"/>
      <c r="I831" s="96"/>
      <c r="J831" s="96"/>
      <c r="K831" s="96"/>
      <c r="L831" s="96"/>
      <c r="M831" s="96"/>
      <c r="N831" s="96"/>
      <c r="O831" s="96"/>
      <c r="P831" s="96"/>
      <c r="Q831" s="96"/>
      <c r="R831" s="96"/>
      <c r="S831" s="96"/>
      <c r="T831" s="96"/>
      <c r="U831" s="96"/>
      <c r="V831" s="96"/>
      <c r="W831" s="96"/>
      <c r="X831" s="96"/>
      <c r="Y831" s="96"/>
      <c r="Z831" s="96"/>
    </row>
    <row r="832" ht="15.75" customHeight="1" spans="1:26">
      <c r="A832" s="96"/>
      <c r="B832" s="96"/>
      <c r="C832" s="199"/>
      <c r="D832" s="96"/>
      <c r="E832" s="96"/>
      <c r="F832" s="96"/>
      <c r="G832" s="96"/>
      <c r="H832" s="96"/>
      <c r="I832" s="96"/>
      <c r="J832" s="96"/>
      <c r="K832" s="96"/>
      <c r="L832" s="96"/>
      <c r="M832" s="96"/>
      <c r="N832" s="96"/>
      <c r="O832" s="96"/>
      <c r="P832" s="96"/>
      <c r="Q832" s="96"/>
      <c r="R832" s="96"/>
      <c r="S832" s="96"/>
      <c r="T832" s="96"/>
      <c r="U832" s="96"/>
      <c r="V832" s="96"/>
      <c r="W832" s="96"/>
      <c r="X832" s="96"/>
      <c r="Y832" s="96"/>
      <c r="Z832" s="96"/>
    </row>
    <row r="833" ht="15.75" customHeight="1" spans="1:26">
      <c r="A833" s="96"/>
      <c r="B833" s="96"/>
      <c r="C833" s="199"/>
      <c r="D833" s="96"/>
      <c r="E833" s="96"/>
      <c r="F833" s="96"/>
      <c r="G833" s="96"/>
      <c r="H833" s="96"/>
      <c r="I833" s="96"/>
      <c r="J833" s="96"/>
      <c r="K833" s="96"/>
      <c r="L833" s="96"/>
      <c r="M833" s="96"/>
      <c r="N833" s="96"/>
      <c r="O833" s="96"/>
      <c r="P833" s="96"/>
      <c r="Q833" s="96"/>
      <c r="R833" s="96"/>
      <c r="S833" s="96"/>
      <c r="T833" s="96"/>
      <c r="U833" s="96"/>
      <c r="V833" s="96"/>
      <c r="W833" s="96"/>
      <c r="X833" s="96"/>
      <c r="Y833" s="96"/>
      <c r="Z833" s="96"/>
    </row>
    <row r="834" ht="15.75" customHeight="1" spans="1:26">
      <c r="A834" s="96"/>
      <c r="B834" s="96"/>
      <c r="C834" s="199"/>
      <c r="D834" s="96"/>
      <c r="E834" s="96"/>
      <c r="F834" s="96"/>
      <c r="G834" s="96"/>
      <c r="H834" s="96"/>
      <c r="I834" s="96"/>
      <c r="J834" s="96"/>
      <c r="K834" s="96"/>
      <c r="L834" s="96"/>
      <c r="M834" s="96"/>
      <c r="N834" s="96"/>
      <c r="O834" s="96"/>
      <c r="P834" s="96"/>
      <c r="Q834" s="96"/>
      <c r="R834" s="96"/>
      <c r="S834" s="96"/>
      <c r="T834" s="96"/>
      <c r="U834" s="96"/>
      <c r="V834" s="96"/>
      <c r="W834" s="96"/>
      <c r="X834" s="96"/>
      <c r="Y834" s="96"/>
      <c r="Z834" s="96"/>
    </row>
    <row r="835" ht="15.75" customHeight="1" spans="1:26">
      <c r="A835" s="96"/>
      <c r="B835" s="96"/>
      <c r="C835" s="199"/>
      <c r="D835" s="96"/>
      <c r="E835" s="96"/>
      <c r="F835" s="96"/>
      <c r="G835" s="96"/>
      <c r="H835" s="96"/>
      <c r="I835" s="96"/>
      <c r="J835" s="96"/>
      <c r="K835" s="96"/>
      <c r="L835" s="96"/>
      <c r="M835" s="96"/>
      <c r="N835" s="96"/>
      <c r="O835" s="96"/>
      <c r="P835" s="96"/>
      <c r="Q835" s="96"/>
      <c r="R835" s="96"/>
      <c r="S835" s="96"/>
      <c r="T835" s="96"/>
      <c r="U835" s="96"/>
      <c r="V835" s="96"/>
      <c r="W835" s="96"/>
      <c r="X835" s="96"/>
      <c r="Y835" s="96"/>
      <c r="Z835" s="96"/>
    </row>
    <row r="836" ht="15.75" customHeight="1" spans="1:26">
      <c r="A836" s="96"/>
      <c r="B836" s="96"/>
      <c r="C836" s="199"/>
      <c r="D836" s="96"/>
      <c r="E836" s="96"/>
      <c r="F836" s="96"/>
      <c r="G836" s="96"/>
      <c r="H836" s="96"/>
      <c r="I836" s="96"/>
      <c r="J836" s="96"/>
      <c r="K836" s="96"/>
      <c r="L836" s="96"/>
      <c r="M836" s="96"/>
      <c r="N836" s="96"/>
      <c r="O836" s="96"/>
      <c r="P836" s="96"/>
      <c r="Q836" s="96"/>
      <c r="R836" s="96"/>
      <c r="S836" s="96"/>
      <c r="T836" s="96"/>
      <c r="U836" s="96"/>
      <c r="V836" s="96"/>
      <c r="W836" s="96"/>
      <c r="X836" s="96"/>
      <c r="Y836" s="96"/>
      <c r="Z836" s="96"/>
    </row>
    <row r="837" ht="15.75" customHeight="1" spans="1:26">
      <c r="A837" s="96"/>
      <c r="B837" s="96"/>
      <c r="C837" s="199"/>
      <c r="D837" s="96"/>
      <c r="E837" s="96"/>
      <c r="F837" s="96"/>
      <c r="G837" s="96"/>
      <c r="H837" s="96"/>
      <c r="I837" s="96"/>
      <c r="J837" s="96"/>
      <c r="K837" s="96"/>
      <c r="L837" s="96"/>
      <c r="M837" s="96"/>
      <c r="N837" s="96"/>
      <c r="O837" s="96"/>
      <c r="P837" s="96"/>
      <c r="Q837" s="96"/>
      <c r="R837" s="96"/>
      <c r="S837" s="96"/>
      <c r="T837" s="96"/>
      <c r="U837" s="96"/>
      <c r="V837" s="96"/>
      <c r="W837" s="96"/>
      <c r="X837" s="96"/>
      <c r="Y837" s="96"/>
      <c r="Z837" s="96"/>
    </row>
    <row r="838" ht="15.75" customHeight="1" spans="1:26">
      <c r="A838" s="96"/>
      <c r="B838" s="96"/>
      <c r="C838" s="199"/>
      <c r="D838" s="96"/>
      <c r="E838" s="96"/>
      <c r="F838" s="96"/>
      <c r="G838" s="96"/>
      <c r="H838" s="96"/>
      <c r="I838" s="96"/>
      <c r="J838" s="96"/>
      <c r="K838" s="96"/>
      <c r="L838" s="96"/>
      <c r="M838" s="96"/>
      <c r="N838" s="96"/>
      <c r="O838" s="96"/>
      <c r="P838" s="96"/>
      <c r="Q838" s="96"/>
      <c r="R838" s="96"/>
      <c r="S838" s="96"/>
      <c r="T838" s="96"/>
      <c r="U838" s="96"/>
      <c r="V838" s="96"/>
      <c r="W838" s="96"/>
      <c r="X838" s="96"/>
      <c r="Y838" s="96"/>
      <c r="Z838" s="96"/>
    </row>
    <row r="839" ht="15.75" customHeight="1" spans="1:26">
      <c r="A839" s="96"/>
      <c r="B839" s="96"/>
      <c r="C839" s="199"/>
      <c r="D839" s="96"/>
      <c r="E839" s="96"/>
      <c r="F839" s="96"/>
      <c r="G839" s="96"/>
      <c r="H839" s="96"/>
      <c r="I839" s="96"/>
      <c r="J839" s="96"/>
      <c r="K839" s="96"/>
      <c r="L839" s="96"/>
      <c r="M839" s="96"/>
      <c r="N839" s="96"/>
      <c r="O839" s="96"/>
      <c r="P839" s="96"/>
      <c r="Q839" s="96"/>
      <c r="R839" s="96"/>
      <c r="S839" s="96"/>
      <c r="T839" s="96"/>
      <c r="U839" s="96"/>
      <c r="V839" s="96"/>
      <c r="W839" s="96"/>
      <c r="X839" s="96"/>
      <c r="Y839" s="96"/>
      <c r="Z839" s="96"/>
    </row>
    <row r="840" ht="15.75" customHeight="1" spans="1:26">
      <c r="A840" s="96"/>
      <c r="B840" s="96"/>
      <c r="C840" s="199"/>
      <c r="D840" s="96"/>
      <c r="E840" s="96"/>
      <c r="F840" s="96"/>
      <c r="G840" s="96"/>
      <c r="H840" s="96"/>
      <c r="I840" s="96"/>
      <c r="J840" s="96"/>
      <c r="K840" s="96"/>
      <c r="L840" s="96"/>
      <c r="M840" s="96"/>
      <c r="N840" s="96"/>
      <c r="O840" s="96"/>
      <c r="P840" s="96"/>
      <c r="Q840" s="96"/>
      <c r="R840" s="96"/>
      <c r="S840" s="96"/>
      <c r="T840" s="96"/>
      <c r="U840" s="96"/>
      <c r="V840" s="96"/>
      <c r="W840" s="96"/>
      <c r="X840" s="96"/>
      <c r="Y840" s="96"/>
      <c r="Z840" s="96"/>
    </row>
    <row r="841" ht="15.75" customHeight="1" spans="1:26">
      <c r="A841" s="96"/>
      <c r="B841" s="96"/>
      <c r="C841" s="199"/>
      <c r="D841" s="96"/>
      <c r="E841" s="96"/>
      <c r="F841" s="96"/>
      <c r="G841" s="96"/>
      <c r="H841" s="96"/>
      <c r="I841" s="96"/>
      <c r="J841" s="96"/>
      <c r="K841" s="96"/>
      <c r="L841" s="96"/>
      <c r="M841" s="96"/>
      <c r="N841" s="96"/>
      <c r="O841" s="96"/>
      <c r="P841" s="96"/>
      <c r="Q841" s="96"/>
      <c r="R841" s="96"/>
      <c r="S841" s="96"/>
      <c r="T841" s="96"/>
      <c r="U841" s="96"/>
      <c r="V841" s="96"/>
      <c r="W841" s="96"/>
      <c r="X841" s="96"/>
      <c r="Y841" s="96"/>
      <c r="Z841" s="96"/>
    </row>
    <row r="842" ht="15.75" customHeight="1" spans="1:26">
      <c r="A842" s="96"/>
      <c r="B842" s="96"/>
      <c r="C842" s="199"/>
      <c r="D842" s="96"/>
      <c r="E842" s="96"/>
      <c r="F842" s="96"/>
      <c r="G842" s="96"/>
      <c r="H842" s="96"/>
      <c r="I842" s="96"/>
      <c r="J842" s="96"/>
      <c r="K842" s="96"/>
      <c r="L842" s="96"/>
      <c r="M842" s="96"/>
      <c r="N842" s="96"/>
      <c r="O842" s="96"/>
      <c r="P842" s="96"/>
      <c r="Q842" s="96"/>
      <c r="R842" s="96"/>
      <c r="S842" s="96"/>
      <c r="T842" s="96"/>
      <c r="U842" s="96"/>
      <c r="V842" s="96"/>
      <c r="W842" s="96"/>
      <c r="X842" s="96"/>
      <c r="Y842" s="96"/>
      <c r="Z842" s="96"/>
    </row>
    <row r="843" ht="15.75" customHeight="1" spans="1:26">
      <c r="A843" s="96"/>
      <c r="B843" s="96"/>
      <c r="C843" s="199"/>
      <c r="D843" s="96"/>
      <c r="E843" s="96"/>
      <c r="F843" s="96"/>
      <c r="G843" s="96"/>
      <c r="H843" s="96"/>
      <c r="I843" s="96"/>
      <c r="J843" s="96"/>
      <c r="K843" s="96"/>
      <c r="L843" s="96"/>
      <c r="M843" s="96"/>
      <c r="N843" s="96"/>
      <c r="O843" s="96"/>
      <c r="P843" s="96"/>
      <c r="Q843" s="96"/>
      <c r="R843" s="96"/>
      <c r="S843" s="96"/>
      <c r="T843" s="96"/>
      <c r="U843" s="96"/>
      <c r="V843" s="96"/>
      <c r="W843" s="96"/>
      <c r="X843" s="96"/>
      <c r="Y843" s="96"/>
      <c r="Z843" s="96"/>
    </row>
    <row r="844" ht="15.75" customHeight="1" spans="1:26">
      <c r="A844" s="96"/>
      <c r="B844" s="96"/>
      <c r="C844" s="199"/>
      <c r="D844" s="96"/>
      <c r="E844" s="96"/>
      <c r="F844" s="96"/>
      <c r="G844" s="96"/>
      <c r="H844" s="96"/>
      <c r="I844" s="96"/>
      <c r="J844" s="96"/>
      <c r="K844" s="96"/>
      <c r="L844" s="96"/>
      <c r="M844" s="96"/>
      <c r="N844" s="96"/>
      <c r="O844" s="96"/>
      <c r="P844" s="96"/>
      <c r="Q844" s="96"/>
      <c r="R844" s="96"/>
      <c r="S844" s="96"/>
      <c r="T844" s="96"/>
      <c r="U844" s="96"/>
      <c r="V844" s="96"/>
      <c r="W844" s="96"/>
      <c r="X844" s="96"/>
      <c r="Y844" s="96"/>
      <c r="Z844" s="96"/>
    </row>
    <row r="845" ht="15.75" customHeight="1" spans="1:26">
      <c r="A845" s="96"/>
      <c r="B845" s="96"/>
      <c r="C845" s="199"/>
      <c r="D845" s="96"/>
      <c r="E845" s="96"/>
      <c r="F845" s="96"/>
      <c r="G845" s="96"/>
      <c r="H845" s="96"/>
      <c r="I845" s="96"/>
      <c r="J845" s="96"/>
      <c r="K845" s="96"/>
      <c r="L845" s="96"/>
      <c r="M845" s="96"/>
      <c r="N845" s="96"/>
      <c r="O845" s="96"/>
      <c r="P845" s="96"/>
      <c r="Q845" s="96"/>
      <c r="R845" s="96"/>
      <c r="S845" s="96"/>
      <c r="T845" s="96"/>
      <c r="U845" s="96"/>
      <c r="V845" s="96"/>
      <c r="W845" s="96"/>
      <c r="X845" s="96"/>
      <c r="Y845" s="96"/>
      <c r="Z845" s="96"/>
    </row>
    <row r="846" ht="15.75" customHeight="1" spans="1:26">
      <c r="A846" s="96"/>
      <c r="B846" s="96"/>
      <c r="C846" s="199"/>
      <c r="D846" s="96"/>
      <c r="E846" s="96"/>
      <c r="F846" s="96"/>
      <c r="G846" s="96"/>
      <c r="H846" s="96"/>
      <c r="I846" s="96"/>
      <c r="J846" s="96"/>
      <c r="K846" s="96"/>
      <c r="L846" s="96"/>
      <c r="M846" s="96"/>
      <c r="N846" s="96"/>
      <c r="O846" s="96"/>
      <c r="P846" s="96"/>
      <c r="Q846" s="96"/>
      <c r="R846" s="96"/>
      <c r="S846" s="96"/>
      <c r="T846" s="96"/>
      <c r="U846" s="96"/>
      <c r="V846" s="96"/>
      <c r="W846" s="96"/>
      <c r="X846" s="96"/>
      <c r="Y846" s="96"/>
      <c r="Z846" s="96"/>
    </row>
    <row r="847" ht="15.75" customHeight="1" spans="1:26">
      <c r="A847" s="96"/>
      <c r="B847" s="96"/>
      <c r="C847" s="199"/>
      <c r="D847" s="96"/>
      <c r="E847" s="96"/>
      <c r="F847" s="96"/>
      <c r="G847" s="96"/>
      <c r="H847" s="96"/>
      <c r="I847" s="96"/>
      <c r="J847" s="96"/>
      <c r="K847" s="96"/>
      <c r="L847" s="96"/>
      <c r="M847" s="96"/>
      <c r="N847" s="96"/>
      <c r="O847" s="96"/>
      <c r="P847" s="96"/>
      <c r="Q847" s="96"/>
      <c r="R847" s="96"/>
      <c r="S847" s="96"/>
      <c r="T847" s="96"/>
      <c r="U847" s="96"/>
      <c r="V847" s="96"/>
      <c r="W847" s="96"/>
      <c r="X847" s="96"/>
      <c r="Y847" s="96"/>
      <c r="Z847" s="96"/>
    </row>
    <row r="848" ht="15.75" customHeight="1" spans="1:26">
      <c r="A848" s="96"/>
      <c r="B848" s="96"/>
      <c r="C848" s="199"/>
      <c r="D848" s="96"/>
      <c r="E848" s="96"/>
      <c r="F848" s="96"/>
      <c r="G848" s="96"/>
      <c r="H848" s="96"/>
      <c r="I848" s="96"/>
      <c r="J848" s="96"/>
      <c r="K848" s="96"/>
      <c r="L848" s="96"/>
      <c r="M848" s="96"/>
      <c r="N848" s="96"/>
      <c r="O848" s="96"/>
      <c r="P848" s="96"/>
      <c r="Q848" s="96"/>
      <c r="R848" s="96"/>
      <c r="S848" s="96"/>
      <c r="T848" s="96"/>
      <c r="U848" s="96"/>
      <c r="V848" s="96"/>
      <c r="W848" s="96"/>
      <c r="X848" s="96"/>
      <c r="Y848" s="96"/>
      <c r="Z848" s="96"/>
    </row>
    <row r="849" ht="15.75" customHeight="1" spans="1:26">
      <c r="A849" s="96"/>
      <c r="B849" s="96"/>
      <c r="C849" s="199"/>
      <c r="D849" s="96"/>
      <c r="E849" s="96"/>
      <c r="F849" s="96"/>
      <c r="G849" s="96"/>
      <c r="H849" s="96"/>
      <c r="I849" s="96"/>
      <c r="J849" s="96"/>
      <c r="K849" s="96"/>
      <c r="L849" s="96"/>
      <c r="M849" s="96"/>
      <c r="N849" s="96"/>
      <c r="O849" s="96"/>
      <c r="P849" s="96"/>
      <c r="Q849" s="96"/>
      <c r="R849" s="96"/>
      <c r="S849" s="96"/>
      <c r="T849" s="96"/>
      <c r="U849" s="96"/>
      <c r="V849" s="96"/>
      <c r="W849" s="96"/>
      <c r="X849" s="96"/>
      <c r="Y849" s="96"/>
      <c r="Z849" s="96"/>
    </row>
    <row r="850" ht="15.75" customHeight="1" spans="1:26">
      <c r="A850" s="96"/>
      <c r="B850" s="96"/>
      <c r="C850" s="199"/>
      <c r="D850" s="96"/>
      <c r="E850" s="96"/>
      <c r="F850" s="96"/>
      <c r="G850" s="96"/>
      <c r="H850" s="96"/>
      <c r="I850" s="96"/>
      <c r="J850" s="96"/>
      <c r="K850" s="96"/>
      <c r="L850" s="96"/>
      <c r="M850" s="96"/>
      <c r="N850" s="96"/>
      <c r="O850" s="96"/>
      <c r="P850" s="96"/>
      <c r="Q850" s="96"/>
      <c r="R850" s="96"/>
      <c r="S850" s="96"/>
      <c r="T850" s="96"/>
      <c r="U850" s="96"/>
      <c r="V850" s="96"/>
      <c r="W850" s="96"/>
      <c r="X850" s="96"/>
      <c r="Y850" s="96"/>
      <c r="Z850" s="96"/>
    </row>
    <row r="851" ht="15.75" customHeight="1" spans="1:26">
      <c r="A851" s="96"/>
      <c r="B851" s="96"/>
      <c r="C851" s="199"/>
      <c r="D851" s="96"/>
      <c r="E851" s="96"/>
      <c r="F851" s="96"/>
      <c r="G851" s="96"/>
      <c r="H851" s="96"/>
      <c r="I851" s="96"/>
      <c r="J851" s="96"/>
      <c r="K851" s="96"/>
      <c r="L851" s="96"/>
      <c r="M851" s="96"/>
      <c r="N851" s="96"/>
      <c r="O851" s="96"/>
      <c r="P851" s="96"/>
      <c r="Q851" s="96"/>
      <c r="R851" s="96"/>
      <c r="S851" s="96"/>
      <c r="T851" s="96"/>
      <c r="U851" s="96"/>
      <c r="V851" s="96"/>
      <c r="W851" s="96"/>
      <c r="X851" s="96"/>
      <c r="Y851" s="96"/>
      <c r="Z851" s="96"/>
    </row>
    <row r="852" ht="15.75" customHeight="1" spans="1:26">
      <c r="A852" s="96"/>
      <c r="B852" s="96"/>
      <c r="C852" s="199"/>
      <c r="D852" s="96"/>
      <c r="E852" s="96"/>
      <c r="F852" s="96"/>
      <c r="G852" s="96"/>
      <c r="H852" s="96"/>
      <c r="I852" s="96"/>
      <c r="J852" s="96"/>
      <c r="K852" s="96"/>
      <c r="L852" s="96"/>
      <c r="M852" s="96"/>
      <c r="N852" s="96"/>
      <c r="O852" s="96"/>
      <c r="P852" s="96"/>
      <c r="Q852" s="96"/>
      <c r="R852" s="96"/>
      <c r="S852" s="96"/>
      <c r="T852" s="96"/>
      <c r="U852" s="96"/>
      <c r="V852" s="96"/>
      <c r="W852" s="96"/>
      <c r="X852" s="96"/>
      <c r="Y852" s="96"/>
      <c r="Z852" s="96"/>
    </row>
    <row r="853" ht="15.75" customHeight="1" spans="1:26">
      <c r="A853" s="96"/>
      <c r="B853" s="96"/>
      <c r="C853" s="199"/>
      <c r="D853" s="96"/>
      <c r="E853" s="96"/>
      <c r="F853" s="96"/>
      <c r="G853" s="96"/>
      <c r="H853" s="96"/>
      <c r="I853" s="96"/>
      <c r="J853" s="96"/>
      <c r="K853" s="96"/>
      <c r="L853" s="96"/>
      <c r="M853" s="96"/>
      <c r="N853" s="96"/>
      <c r="O853" s="96"/>
      <c r="P853" s="96"/>
      <c r="Q853" s="96"/>
      <c r="R853" s="96"/>
      <c r="S853" s="96"/>
      <c r="T853" s="96"/>
      <c r="U853" s="96"/>
      <c r="V853" s="96"/>
      <c r="W853" s="96"/>
      <c r="X853" s="96"/>
      <c r="Y853" s="96"/>
      <c r="Z853" s="96"/>
    </row>
    <row r="854" ht="15.75" customHeight="1" spans="1:26">
      <c r="A854" s="96"/>
      <c r="B854" s="96"/>
      <c r="C854" s="199"/>
      <c r="D854" s="96"/>
      <c r="E854" s="96"/>
      <c r="F854" s="96"/>
      <c r="G854" s="96"/>
      <c r="H854" s="96"/>
      <c r="I854" s="96"/>
      <c r="J854" s="96"/>
      <c r="K854" s="96"/>
      <c r="L854" s="96"/>
      <c r="M854" s="96"/>
      <c r="N854" s="96"/>
      <c r="O854" s="96"/>
      <c r="P854" s="96"/>
      <c r="Q854" s="96"/>
      <c r="R854" s="96"/>
      <c r="S854" s="96"/>
      <c r="T854" s="96"/>
      <c r="U854" s="96"/>
      <c r="V854" s="96"/>
      <c r="W854" s="96"/>
      <c r="X854" s="96"/>
      <c r="Y854" s="96"/>
      <c r="Z854" s="96"/>
    </row>
    <row r="855" ht="15.75" customHeight="1" spans="1:26">
      <c r="A855" s="96"/>
      <c r="B855" s="96"/>
      <c r="C855" s="199"/>
      <c r="D855" s="96"/>
      <c r="E855" s="96"/>
      <c r="F855" s="96"/>
      <c r="G855" s="96"/>
      <c r="H855" s="96"/>
      <c r="I855" s="96"/>
      <c r="J855" s="96"/>
      <c r="K855" s="96"/>
      <c r="L855" s="96"/>
      <c r="M855" s="96"/>
      <c r="N855" s="96"/>
      <c r="O855" s="96"/>
      <c r="P855" s="96"/>
      <c r="Q855" s="96"/>
      <c r="R855" s="96"/>
      <c r="S855" s="96"/>
      <c r="T855" s="96"/>
      <c r="U855" s="96"/>
      <c r="V855" s="96"/>
      <c r="W855" s="96"/>
      <c r="X855" s="96"/>
      <c r="Y855" s="96"/>
      <c r="Z855" s="96"/>
    </row>
    <row r="856" ht="15.75" customHeight="1" spans="1:26">
      <c r="A856" s="96"/>
      <c r="B856" s="96"/>
      <c r="C856" s="199"/>
      <c r="D856" s="96"/>
      <c r="E856" s="96"/>
      <c r="F856" s="96"/>
      <c r="G856" s="96"/>
      <c r="H856" s="96"/>
      <c r="I856" s="96"/>
      <c r="J856" s="96"/>
      <c r="K856" s="96"/>
      <c r="L856" s="96"/>
      <c r="M856" s="96"/>
      <c r="N856" s="96"/>
      <c r="O856" s="96"/>
      <c r="P856" s="96"/>
      <c r="Q856" s="96"/>
      <c r="R856" s="96"/>
      <c r="S856" s="96"/>
      <c r="T856" s="96"/>
      <c r="U856" s="96"/>
      <c r="V856" s="96"/>
      <c r="W856" s="96"/>
      <c r="X856" s="96"/>
      <c r="Y856" s="96"/>
      <c r="Z856" s="96"/>
    </row>
    <row r="857" ht="15.75" customHeight="1" spans="1:26">
      <c r="A857" s="96"/>
      <c r="B857" s="96"/>
      <c r="C857" s="199"/>
      <c r="D857" s="96"/>
      <c r="E857" s="96"/>
      <c r="F857" s="96"/>
      <c r="G857" s="96"/>
      <c r="H857" s="96"/>
      <c r="I857" s="96"/>
      <c r="J857" s="96"/>
      <c r="K857" s="96"/>
      <c r="L857" s="96"/>
      <c r="M857" s="96"/>
      <c r="N857" s="96"/>
      <c r="O857" s="96"/>
      <c r="P857" s="96"/>
      <c r="Q857" s="96"/>
      <c r="R857" s="96"/>
      <c r="S857" s="96"/>
      <c r="T857" s="96"/>
      <c r="U857" s="96"/>
      <c r="V857" s="96"/>
      <c r="W857" s="96"/>
      <c r="X857" s="96"/>
      <c r="Y857" s="96"/>
      <c r="Z857" s="96"/>
    </row>
    <row r="858" ht="15.75" customHeight="1" spans="1:26">
      <c r="A858" s="96"/>
      <c r="B858" s="96"/>
      <c r="C858" s="199"/>
      <c r="D858" s="96"/>
      <c r="E858" s="96"/>
      <c r="F858" s="96"/>
      <c r="G858" s="96"/>
      <c r="H858" s="96"/>
      <c r="I858" s="96"/>
      <c r="J858" s="96"/>
      <c r="K858" s="96"/>
      <c r="L858" s="96"/>
      <c r="M858" s="96"/>
      <c r="N858" s="96"/>
      <c r="O858" s="96"/>
      <c r="P858" s="96"/>
      <c r="Q858" s="96"/>
      <c r="R858" s="96"/>
      <c r="S858" s="96"/>
      <c r="T858" s="96"/>
      <c r="U858" s="96"/>
      <c r="V858" s="96"/>
      <c r="W858" s="96"/>
      <c r="X858" s="96"/>
      <c r="Y858" s="96"/>
      <c r="Z858" s="96"/>
    </row>
    <row r="859" ht="15.75" customHeight="1" spans="1:26">
      <c r="A859" s="96"/>
      <c r="B859" s="96"/>
      <c r="C859" s="199"/>
      <c r="D859" s="96"/>
      <c r="E859" s="96"/>
      <c r="F859" s="96"/>
      <c r="G859" s="96"/>
      <c r="H859" s="96"/>
      <c r="I859" s="96"/>
      <c r="J859" s="96"/>
      <c r="K859" s="96"/>
      <c r="L859" s="96"/>
      <c r="M859" s="96"/>
      <c r="N859" s="96"/>
      <c r="O859" s="96"/>
      <c r="P859" s="96"/>
      <c r="Q859" s="96"/>
      <c r="R859" s="96"/>
      <c r="S859" s="96"/>
      <c r="T859" s="96"/>
      <c r="U859" s="96"/>
      <c r="V859" s="96"/>
      <c r="W859" s="96"/>
      <c r="X859" s="96"/>
      <c r="Y859" s="96"/>
      <c r="Z859" s="96"/>
    </row>
    <row r="860" ht="15.75" customHeight="1" spans="1:26">
      <c r="A860" s="96"/>
      <c r="B860" s="96"/>
      <c r="C860" s="199"/>
      <c r="D860" s="96"/>
      <c r="E860" s="96"/>
      <c r="F860" s="96"/>
      <c r="G860" s="96"/>
      <c r="H860" s="96"/>
      <c r="I860" s="96"/>
      <c r="J860" s="96"/>
      <c r="K860" s="96"/>
      <c r="L860" s="96"/>
      <c r="M860" s="96"/>
      <c r="N860" s="96"/>
      <c r="O860" s="96"/>
      <c r="P860" s="96"/>
      <c r="Q860" s="96"/>
      <c r="R860" s="96"/>
      <c r="S860" s="96"/>
      <c r="T860" s="96"/>
      <c r="U860" s="96"/>
      <c r="V860" s="96"/>
      <c r="W860" s="96"/>
      <c r="X860" s="96"/>
      <c r="Y860" s="96"/>
      <c r="Z860" s="96"/>
    </row>
    <row r="861" ht="15.75" customHeight="1" spans="1:26">
      <c r="A861" s="96"/>
      <c r="B861" s="96"/>
      <c r="C861" s="199"/>
      <c r="D861" s="96"/>
      <c r="E861" s="96"/>
      <c r="F861" s="96"/>
      <c r="G861" s="96"/>
      <c r="H861" s="96"/>
      <c r="I861" s="96"/>
      <c r="J861" s="96"/>
      <c r="K861" s="96"/>
      <c r="L861" s="96"/>
      <c r="M861" s="96"/>
      <c r="N861" s="96"/>
      <c r="O861" s="96"/>
      <c r="P861" s="96"/>
      <c r="Q861" s="96"/>
      <c r="R861" s="96"/>
      <c r="S861" s="96"/>
      <c r="T861" s="96"/>
      <c r="U861" s="96"/>
      <c r="V861" s="96"/>
      <c r="W861" s="96"/>
      <c r="X861" s="96"/>
      <c r="Y861" s="96"/>
      <c r="Z861" s="96"/>
    </row>
    <row r="862" ht="15.75" customHeight="1" spans="1:26">
      <c r="A862" s="96"/>
      <c r="B862" s="96"/>
      <c r="C862" s="199"/>
      <c r="D862" s="96"/>
      <c r="E862" s="96"/>
      <c r="F862" s="96"/>
      <c r="G862" s="96"/>
      <c r="H862" s="96"/>
      <c r="I862" s="96"/>
      <c r="J862" s="96"/>
      <c r="K862" s="96"/>
      <c r="L862" s="96"/>
      <c r="M862" s="96"/>
      <c r="N862" s="96"/>
      <c r="O862" s="96"/>
      <c r="P862" s="96"/>
      <c r="Q862" s="96"/>
      <c r="R862" s="96"/>
      <c r="S862" s="96"/>
      <c r="T862" s="96"/>
      <c r="U862" s="96"/>
      <c r="V862" s="96"/>
      <c r="W862" s="96"/>
      <c r="X862" s="96"/>
      <c r="Y862" s="96"/>
      <c r="Z862" s="96"/>
    </row>
    <row r="863" ht="15.75" customHeight="1" spans="1:26">
      <c r="A863" s="96"/>
      <c r="B863" s="96"/>
      <c r="C863" s="199"/>
      <c r="D863" s="96"/>
      <c r="E863" s="96"/>
      <c r="F863" s="96"/>
      <c r="G863" s="96"/>
      <c r="H863" s="96"/>
      <c r="I863" s="96"/>
      <c r="J863" s="96"/>
      <c r="K863" s="96"/>
      <c r="L863" s="96"/>
      <c r="M863" s="96"/>
      <c r="N863" s="96"/>
      <c r="O863" s="96"/>
      <c r="P863" s="96"/>
      <c r="Q863" s="96"/>
      <c r="R863" s="96"/>
      <c r="S863" s="96"/>
      <c r="T863" s="96"/>
      <c r="U863" s="96"/>
      <c r="V863" s="96"/>
      <c r="W863" s="96"/>
      <c r="X863" s="96"/>
      <c r="Y863" s="96"/>
      <c r="Z863" s="96"/>
    </row>
    <row r="864" ht="15.75" customHeight="1" spans="1:26">
      <c r="A864" s="96"/>
      <c r="B864" s="96"/>
      <c r="C864" s="199"/>
      <c r="D864" s="96"/>
      <c r="E864" s="96"/>
      <c r="F864" s="96"/>
      <c r="G864" s="96"/>
      <c r="H864" s="96"/>
      <c r="I864" s="96"/>
      <c r="J864" s="96"/>
      <c r="K864" s="96"/>
      <c r="L864" s="96"/>
      <c r="M864" s="96"/>
      <c r="N864" s="96"/>
      <c r="O864" s="96"/>
      <c r="P864" s="96"/>
      <c r="Q864" s="96"/>
      <c r="R864" s="96"/>
      <c r="S864" s="96"/>
      <c r="T864" s="96"/>
      <c r="U864" s="96"/>
      <c r="V864" s="96"/>
      <c r="W864" s="96"/>
      <c r="X864" s="96"/>
      <c r="Y864" s="96"/>
      <c r="Z864" s="96"/>
    </row>
    <row r="865" ht="15.75" customHeight="1" spans="1:26">
      <c r="A865" s="96"/>
      <c r="B865" s="96"/>
      <c r="C865" s="199"/>
      <c r="D865" s="96"/>
      <c r="E865" s="96"/>
      <c r="F865" s="96"/>
      <c r="G865" s="96"/>
      <c r="H865" s="96"/>
      <c r="I865" s="96"/>
      <c r="J865" s="96"/>
      <c r="K865" s="96"/>
      <c r="L865" s="96"/>
      <c r="M865" s="96"/>
      <c r="N865" s="96"/>
      <c r="O865" s="96"/>
      <c r="P865" s="96"/>
      <c r="Q865" s="96"/>
      <c r="R865" s="96"/>
      <c r="S865" s="96"/>
      <c r="T865" s="96"/>
      <c r="U865" s="96"/>
      <c r="V865" s="96"/>
      <c r="W865" s="96"/>
      <c r="X865" s="96"/>
      <c r="Y865" s="96"/>
      <c r="Z865" s="96"/>
    </row>
    <row r="866" ht="15.75" customHeight="1" spans="1:26">
      <c r="A866" s="96"/>
      <c r="B866" s="96"/>
      <c r="C866" s="199"/>
      <c r="D866" s="96"/>
      <c r="E866" s="96"/>
      <c r="F866" s="96"/>
      <c r="G866" s="96"/>
      <c r="H866" s="96"/>
      <c r="I866" s="96"/>
      <c r="J866" s="96"/>
      <c r="K866" s="96"/>
      <c r="L866" s="96"/>
      <c r="M866" s="96"/>
      <c r="N866" s="96"/>
      <c r="O866" s="96"/>
      <c r="P866" s="96"/>
      <c r="Q866" s="96"/>
      <c r="R866" s="96"/>
      <c r="S866" s="96"/>
      <c r="T866" s="96"/>
      <c r="U866" s="96"/>
      <c r="V866" s="96"/>
      <c r="W866" s="96"/>
      <c r="X866" s="96"/>
      <c r="Y866" s="96"/>
      <c r="Z866" s="96"/>
    </row>
    <row r="867" ht="15.75" customHeight="1" spans="1:26">
      <c r="A867" s="96"/>
      <c r="B867" s="96"/>
      <c r="C867" s="199"/>
      <c r="D867" s="96"/>
      <c r="E867" s="96"/>
      <c r="F867" s="96"/>
      <c r="G867" s="96"/>
      <c r="H867" s="96"/>
      <c r="I867" s="96"/>
      <c r="J867" s="96"/>
      <c r="K867" s="96"/>
      <c r="L867" s="96"/>
      <c r="M867" s="96"/>
      <c r="N867" s="96"/>
      <c r="O867" s="96"/>
      <c r="P867" s="96"/>
      <c r="Q867" s="96"/>
      <c r="R867" s="96"/>
      <c r="S867" s="96"/>
      <c r="T867" s="96"/>
      <c r="U867" s="96"/>
      <c r="V867" s="96"/>
      <c r="W867" s="96"/>
      <c r="X867" s="96"/>
      <c r="Y867" s="96"/>
      <c r="Z867" s="96"/>
    </row>
    <row r="868" ht="15.75" customHeight="1" spans="1:26">
      <c r="A868" s="96"/>
      <c r="B868" s="96"/>
      <c r="C868" s="199"/>
      <c r="D868" s="96"/>
      <c r="E868" s="96"/>
      <c r="F868" s="96"/>
      <c r="G868" s="96"/>
      <c r="H868" s="96"/>
      <c r="I868" s="96"/>
      <c r="J868" s="96"/>
      <c r="K868" s="96"/>
      <c r="L868" s="96"/>
      <c r="M868" s="96"/>
      <c r="N868" s="96"/>
      <c r="O868" s="96"/>
      <c r="P868" s="96"/>
      <c r="Q868" s="96"/>
      <c r="R868" s="96"/>
      <c r="S868" s="96"/>
      <c r="T868" s="96"/>
      <c r="U868" s="96"/>
      <c r="V868" s="96"/>
      <c r="W868" s="96"/>
      <c r="X868" s="96"/>
      <c r="Y868" s="96"/>
      <c r="Z868" s="96"/>
    </row>
    <row r="869" ht="15.75" customHeight="1" spans="1:26">
      <c r="A869" s="96"/>
      <c r="B869" s="96"/>
      <c r="C869" s="199"/>
      <c r="D869" s="96"/>
      <c r="E869" s="96"/>
      <c r="F869" s="96"/>
      <c r="G869" s="96"/>
      <c r="H869" s="96"/>
      <c r="I869" s="96"/>
      <c r="J869" s="96"/>
      <c r="K869" s="96"/>
      <c r="L869" s="96"/>
      <c r="M869" s="96"/>
      <c r="N869" s="96"/>
      <c r="O869" s="96"/>
      <c r="P869" s="96"/>
      <c r="Q869" s="96"/>
      <c r="R869" s="96"/>
      <c r="S869" s="96"/>
      <c r="T869" s="96"/>
      <c r="U869" s="96"/>
      <c r="V869" s="96"/>
      <c r="W869" s="96"/>
      <c r="X869" s="96"/>
      <c r="Y869" s="96"/>
      <c r="Z869" s="96"/>
    </row>
    <row r="870" ht="15.75" customHeight="1" spans="1:26">
      <c r="A870" s="96"/>
      <c r="B870" s="96"/>
      <c r="C870" s="199"/>
      <c r="D870" s="96"/>
      <c r="E870" s="96"/>
      <c r="F870" s="96"/>
      <c r="G870" s="96"/>
      <c r="H870" s="96"/>
      <c r="I870" s="96"/>
      <c r="J870" s="96"/>
      <c r="K870" s="96"/>
      <c r="L870" s="96"/>
      <c r="M870" s="96"/>
      <c r="N870" s="96"/>
      <c r="O870" s="96"/>
      <c r="P870" s="96"/>
      <c r="Q870" s="96"/>
      <c r="R870" s="96"/>
      <c r="S870" s="96"/>
      <c r="T870" s="96"/>
      <c r="U870" s="96"/>
      <c r="V870" s="96"/>
      <c r="W870" s="96"/>
      <c r="X870" s="96"/>
      <c r="Y870" s="96"/>
      <c r="Z870" s="96"/>
    </row>
    <row r="871" ht="15.75" customHeight="1" spans="1:26">
      <c r="A871" s="96"/>
      <c r="B871" s="96"/>
      <c r="C871" s="199"/>
      <c r="D871" s="96"/>
      <c r="E871" s="96"/>
      <c r="F871" s="96"/>
      <c r="G871" s="96"/>
      <c r="H871" s="96"/>
      <c r="I871" s="96"/>
      <c r="J871" s="96"/>
      <c r="K871" s="96"/>
      <c r="L871" s="96"/>
      <c r="M871" s="96"/>
      <c r="N871" s="96"/>
      <c r="O871" s="96"/>
      <c r="P871" s="96"/>
      <c r="Q871" s="96"/>
      <c r="R871" s="96"/>
      <c r="S871" s="96"/>
      <c r="T871" s="96"/>
      <c r="U871" s="96"/>
      <c r="V871" s="96"/>
      <c r="W871" s="96"/>
      <c r="X871" s="96"/>
      <c r="Y871" s="96"/>
      <c r="Z871" s="96"/>
    </row>
    <row r="872" ht="15.75" customHeight="1" spans="1:26">
      <c r="A872" s="96"/>
      <c r="B872" s="96"/>
      <c r="C872" s="199"/>
      <c r="D872" s="96"/>
      <c r="E872" s="96"/>
      <c r="F872" s="96"/>
      <c r="G872" s="96"/>
      <c r="H872" s="96"/>
      <c r="I872" s="96"/>
      <c r="J872" s="96"/>
      <c r="K872" s="96"/>
      <c r="L872" s="96"/>
      <c r="M872" s="96"/>
      <c r="N872" s="96"/>
      <c r="O872" s="96"/>
      <c r="P872" s="96"/>
      <c r="Q872" s="96"/>
      <c r="R872" s="96"/>
      <c r="S872" s="96"/>
      <c r="T872" s="96"/>
      <c r="U872" s="96"/>
      <c r="V872" s="96"/>
      <c r="W872" s="96"/>
      <c r="X872" s="96"/>
      <c r="Y872" s="96"/>
      <c r="Z872" s="96"/>
    </row>
    <row r="873" ht="15.75" customHeight="1" spans="1:26">
      <c r="A873" s="96"/>
      <c r="B873" s="96"/>
      <c r="C873" s="199"/>
      <c r="D873" s="96"/>
      <c r="E873" s="96"/>
      <c r="F873" s="96"/>
      <c r="G873" s="96"/>
      <c r="H873" s="96"/>
      <c r="I873" s="96"/>
      <c r="J873" s="96"/>
      <c r="K873" s="96"/>
      <c r="L873" s="96"/>
      <c r="M873" s="96"/>
      <c r="N873" s="96"/>
      <c r="O873" s="96"/>
      <c r="P873" s="96"/>
      <c r="Q873" s="96"/>
      <c r="R873" s="96"/>
      <c r="S873" s="96"/>
      <c r="T873" s="96"/>
      <c r="U873" s="96"/>
      <c r="V873" s="96"/>
      <c r="W873" s="96"/>
      <c r="X873" s="96"/>
      <c r="Y873" s="96"/>
      <c r="Z873" s="96"/>
    </row>
    <row r="874" ht="15.75" customHeight="1" spans="1:26">
      <c r="A874" s="96"/>
      <c r="B874" s="96"/>
      <c r="C874" s="199"/>
      <c r="D874" s="96"/>
      <c r="E874" s="96"/>
      <c r="F874" s="96"/>
      <c r="G874" s="96"/>
      <c r="H874" s="96"/>
      <c r="I874" s="96"/>
      <c r="J874" s="96"/>
      <c r="K874" s="96"/>
      <c r="L874" s="96"/>
      <c r="M874" s="96"/>
      <c r="N874" s="96"/>
      <c r="O874" s="96"/>
      <c r="P874" s="96"/>
      <c r="Q874" s="96"/>
      <c r="R874" s="96"/>
      <c r="S874" s="96"/>
      <c r="T874" s="96"/>
      <c r="U874" s="96"/>
      <c r="V874" s="96"/>
      <c r="W874" s="96"/>
      <c r="X874" s="96"/>
      <c r="Y874" s="96"/>
      <c r="Z874" s="96"/>
    </row>
    <row r="875" ht="15.75" customHeight="1" spans="1:26">
      <c r="A875" s="96"/>
      <c r="B875" s="96"/>
      <c r="C875" s="199"/>
      <c r="D875" s="96"/>
      <c r="E875" s="96"/>
      <c r="F875" s="96"/>
      <c r="G875" s="96"/>
      <c r="H875" s="96"/>
      <c r="I875" s="96"/>
      <c r="J875" s="96"/>
      <c r="K875" s="96"/>
      <c r="L875" s="96"/>
      <c r="M875" s="96"/>
      <c r="N875" s="96"/>
      <c r="O875" s="96"/>
      <c r="P875" s="96"/>
      <c r="Q875" s="96"/>
      <c r="R875" s="96"/>
      <c r="S875" s="96"/>
      <c r="T875" s="96"/>
      <c r="U875" s="96"/>
      <c r="V875" s="96"/>
      <c r="W875" s="96"/>
      <c r="X875" s="96"/>
      <c r="Y875" s="96"/>
      <c r="Z875" s="96"/>
    </row>
    <row r="876" ht="15.75" customHeight="1" spans="1:26">
      <c r="A876" s="96"/>
      <c r="B876" s="96"/>
      <c r="C876" s="199"/>
      <c r="D876" s="96"/>
      <c r="E876" s="96"/>
      <c r="F876" s="96"/>
      <c r="G876" s="96"/>
      <c r="H876" s="96"/>
      <c r="I876" s="96"/>
      <c r="J876" s="96"/>
      <c r="K876" s="96"/>
      <c r="L876" s="96"/>
      <c r="M876" s="96"/>
      <c r="N876" s="96"/>
      <c r="O876" s="96"/>
      <c r="P876" s="96"/>
      <c r="Q876" s="96"/>
      <c r="R876" s="96"/>
      <c r="S876" s="96"/>
      <c r="T876" s="96"/>
      <c r="U876" s="96"/>
      <c r="V876" s="96"/>
      <c r="W876" s="96"/>
      <c r="X876" s="96"/>
      <c r="Y876" s="96"/>
      <c r="Z876" s="96"/>
    </row>
    <row r="877" ht="15.75" customHeight="1" spans="1:26">
      <c r="A877" s="96"/>
      <c r="B877" s="96"/>
      <c r="C877" s="199"/>
      <c r="D877" s="96"/>
      <c r="E877" s="96"/>
      <c r="F877" s="96"/>
      <c r="G877" s="96"/>
      <c r="H877" s="96"/>
      <c r="I877" s="96"/>
      <c r="J877" s="96"/>
      <c r="K877" s="96"/>
      <c r="L877" s="96"/>
      <c r="M877" s="96"/>
      <c r="N877" s="96"/>
      <c r="O877" s="96"/>
      <c r="P877" s="96"/>
      <c r="Q877" s="96"/>
      <c r="R877" s="96"/>
      <c r="S877" s="96"/>
      <c r="T877" s="96"/>
      <c r="U877" s="96"/>
      <c r="V877" s="96"/>
      <c r="W877" s="96"/>
      <c r="X877" s="96"/>
      <c r="Y877" s="96"/>
      <c r="Z877" s="96"/>
    </row>
    <row r="878" ht="15.75" customHeight="1" spans="1:26">
      <c r="A878" s="96"/>
      <c r="B878" s="96"/>
      <c r="C878" s="199"/>
      <c r="D878" s="96"/>
      <c r="E878" s="96"/>
      <c r="F878" s="96"/>
      <c r="G878" s="96"/>
      <c r="H878" s="96"/>
      <c r="I878" s="96"/>
      <c r="J878" s="96"/>
      <c r="K878" s="96"/>
      <c r="L878" s="96"/>
      <c r="M878" s="96"/>
      <c r="N878" s="96"/>
      <c r="O878" s="96"/>
      <c r="P878" s="96"/>
      <c r="Q878" s="96"/>
      <c r="R878" s="96"/>
      <c r="S878" s="96"/>
      <c r="T878" s="96"/>
      <c r="U878" s="96"/>
      <c r="V878" s="96"/>
      <c r="W878" s="96"/>
      <c r="X878" s="96"/>
      <c r="Y878" s="96"/>
      <c r="Z878" s="96"/>
    </row>
    <row r="879" ht="15.75" customHeight="1" spans="1:26">
      <c r="A879" s="96"/>
      <c r="B879" s="96"/>
      <c r="C879" s="199"/>
      <c r="D879" s="96"/>
      <c r="E879" s="96"/>
      <c r="F879" s="96"/>
      <c r="G879" s="96"/>
      <c r="H879" s="96"/>
      <c r="I879" s="96"/>
      <c r="J879" s="96"/>
      <c r="K879" s="96"/>
      <c r="L879" s="96"/>
      <c r="M879" s="96"/>
      <c r="N879" s="96"/>
      <c r="O879" s="96"/>
      <c r="P879" s="96"/>
      <c r="Q879" s="96"/>
      <c r="R879" s="96"/>
      <c r="S879" s="96"/>
      <c r="T879" s="96"/>
      <c r="U879" s="96"/>
      <c r="V879" s="96"/>
      <c r="W879" s="96"/>
      <c r="X879" s="96"/>
      <c r="Y879" s="96"/>
      <c r="Z879" s="96"/>
    </row>
    <row r="880" ht="15.75" customHeight="1" spans="1:26">
      <c r="A880" s="96"/>
      <c r="B880" s="96"/>
      <c r="C880" s="199"/>
      <c r="D880" s="96"/>
      <c r="E880" s="96"/>
      <c r="F880" s="96"/>
      <c r="G880" s="96"/>
      <c r="H880" s="96"/>
      <c r="I880" s="96"/>
      <c r="J880" s="96"/>
      <c r="K880" s="96"/>
      <c r="L880" s="96"/>
      <c r="M880" s="96"/>
      <c r="N880" s="96"/>
      <c r="O880" s="96"/>
      <c r="P880" s="96"/>
      <c r="Q880" s="96"/>
      <c r="R880" s="96"/>
      <c r="S880" s="96"/>
      <c r="T880" s="96"/>
      <c r="U880" s="96"/>
      <c r="V880" s="96"/>
      <c r="W880" s="96"/>
      <c r="X880" s="96"/>
      <c r="Y880" s="96"/>
      <c r="Z880" s="96"/>
    </row>
    <row r="881" ht="15.75" customHeight="1" spans="1:26">
      <c r="A881" s="96"/>
      <c r="B881" s="96"/>
      <c r="C881" s="199"/>
      <c r="D881" s="96"/>
      <c r="E881" s="96"/>
      <c r="F881" s="96"/>
      <c r="G881" s="96"/>
      <c r="H881" s="96"/>
      <c r="I881" s="96"/>
      <c r="J881" s="96"/>
      <c r="K881" s="96"/>
      <c r="L881" s="96"/>
      <c r="M881" s="96"/>
      <c r="N881" s="96"/>
      <c r="O881" s="96"/>
      <c r="P881" s="96"/>
      <c r="Q881" s="96"/>
      <c r="R881" s="96"/>
      <c r="S881" s="96"/>
      <c r="T881" s="96"/>
      <c r="U881" s="96"/>
      <c r="V881" s="96"/>
      <c r="W881" s="96"/>
      <c r="X881" s="96"/>
      <c r="Y881" s="96"/>
      <c r="Z881" s="96"/>
    </row>
    <row r="882" ht="15.75" customHeight="1" spans="1:26">
      <c r="A882" s="96"/>
      <c r="B882" s="96"/>
      <c r="C882" s="199"/>
      <c r="D882" s="96"/>
      <c r="E882" s="96"/>
      <c r="F882" s="96"/>
      <c r="G882" s="96"/>
      <c r="H882" s="96"/>
      <c r="I882" s="96"/>
      <c r="J882" s="96"/>
      <c r="K882" s="96"/>
      <c r="L882" s="96"/>
      <c r="M882" s="96"/>
      <c r="N882" s="96"/>
      <c r="O882" s="96"/>
      <c r="P882" s="96"/>
      <c r="Q882" s="96"/>
      <c r="R882" s="96"/>
      <c r="S882" s="96"/>
      <c r="T882" s="96"/>
      <c r="U882" s="96"/>
      <c r="V882" s="96"/>
      <c r="W882" s="96"/>
      <c r="X882" s="96"/>
      <c r="Y882" s="96"/>
      <c r="Z882" s="96"/>
    </row>
    <row r="883" ht="15.75" customHeight="1" spans="1:26">
      <c r="A883" s="96"/>
      <c r="B883" s="96"/>
      <c r="C883" s="199"/>
      <c r="D883" s="96"/>
      <c r="E883" s="96"/>
      <c r="F883" s="96"/>
      <c r="G883" s="96"/>
      <c r="H883" s="96"/>
      <c r="I883" s="96"/>
      <c r="J883" s="96"/>
      <c r="K883" s="96"/>
      <c r="L883" s="96"/>
      <c r="M883" s="96"/>
      <c r="N883" s="96"/>
      <c r="O883" s="96"/>
      <c r="P883" s="96"/>
      <c r="Q883" s="96"/>
      <c r="R883" s="96"/>
      <c r="S883" s="96"/>
      <c r="T883" s="96"/>
      <c r="U883" s="96"/>
      <c r="V883" s="96"/>
      <c r="W883" s="96"/>
      <c r="X883" s="96"/>
      <c r="Y883" s="96"/>
      <c r="Z883" s="96"/>
    </row>
    <row r="884" ht="15.75" customHeight="1" spans="1:26">
      <c r="A884" s="96"/>
      <c r="B884" s="96"/>
      <c r="C884" s="199"/>
      <c r="D884" s="96"/>
      <c r="E884" s="96"/>
      <c r="F884" s="96"/>
      <c r="G884" s="96"/>
      <c r="H884" s="96"/>
      <c r="I884" s="96"/>
      <c r="J884" s="96"/>
      <c r="K884" s="96"/>
      <c r="L884" s="96"/>
      <c r="M884" s="96"/>
      <c r="N884" s="96"/>
      <c r="O884" s="96"/>
      <c r="P884" s="96"/>
      <c r="Q884" s="96"/>
      <c r="R884" s="96"/>
      <c r="S884" s="96"/>
      <c r="T884" s="96"/>
      <c r="U884" s="96"/>
      <c r="V884" s="96"/>
      <c r="W884" s="96"/>
      <c r="X884" s="96"/>
      <c r="Y884" s="96"/>
      <c r="Z884" s="96"/>
    </row>
    <row r="885" ht="15.75" customHeight="1" spans="1:26">
      <c r="A885" s="96"/>
      <c r="B885" s="96"/>
      <c r="C885" s="199"/>
      <c r="D885" s="96"/>
      <c r="E885" s="96"/>
      <c r="F885" s="96"/>
      <c r="G885" s="96"/>
      <c r="H885" s="96"/>
      <c r="I885" s="96"/>
      <c r="J885" s="96"/>
      <c r="K885" s="96"/>
      <c r="L885" s="96"/>
      <c r="M885" s="96"/>
      <c r="N885" s="96"/>
      <c r="O885" s="96"/>
      <c r="P885" s="96"/>
      <c r="Q885" s="96"/>
      <c r="R885" s="96"/>
      <c r="S885" s="96"/>
      <c r="T885" s="96"/>
      <c r="U885" s="96"/>
      <c r="V885" s="96"/>
      <c r="W885" s="96"/>
      <c r="X885" s="96"/>
      <c r="Y885" s="96"/>
      <c r="Z885" s="96"/>
    </row>
    <row r="886" ht="15.75" customHeight="1" spans="1:26">
      <c r="A886" s="96"/>
      <c r="B886" s="96"/>
      <c r="C886" s="199"/>
      <c r="D886" s="96"/>
      <c r="E886" s="96"/>
      <c r="F886" s="96"/>
      <c r="G886" s="96"/>
      <c r="H886" s="96"/>
      <c r="I886" s="96"/>
      <c r="J886" s="96"/>
      <c r="K886" s="96"/>
      <c r="L886" s="96"/>
      <c r="M886" s="96"/>
      <c r="N886" s="96"/>
      <c r="O886" s="96"/>
      <c r="P886" s="96"/>
      <c r="Q886" s="96"/>
      <c r="R886" s="96"/>
      <c r="S886" s="96"/>
      <c r="T886" s="96"/>
      <c r="U886" s="96"/>
      <c r="V886" s="96"/>
      <c r="W886" s="96"/>
      <c r="X886" s="96"/>
      <c r="Y886" s="96"/>
      <c r="Z886" s="96"/>
    </row>
    <row r="887" ht="15.75" customHeight="1" spans="1:26">
      <c r="A887" s="96"/>
      <c r="B887" s="96"/>
      <c r="C887" s="199"/>
      <c r="D887" s="96"/>
      <c r="E887" s="96"/>
      <c r="F887" s="96"/>
      <c r="G887" s="96"/>
      <c r="H887" s="96"/>
      <c r="I887" s="96"/>
      <c r="J887" s="96"/>
      <c r="K887" s="96"/>
      <c r="L887" s="96"/>
      <c r="M887" s="96"/>
      <c r="N887" s="96"/>
      <c r="O887" s="96"/>
      <c r="P887" s="96"/>
      <c r="Q887" s="96"/>
      <c r="R887" s="96"/>
      <c r="S887" s="96"/>
      <c r="T887" s="96"/>
      <c r="U887" s="96"/>
      <c r="V887" s="96"/>
      <c r="W887" s="96"/>
      <c r="X887" s="96"/>
      <c r="Y887" s="96"/>
      <c r="Z887" s="96"/>
    </row>
    <row r="888" ht="15.75" customHeight="1" spans="1:26">
      <c r="A888" s="96"/>
      <c r="B888" s="96"/>
      <c r="C888" s="199"/>
      <c r="D888" s="96"/>
      <c r="E888" s="96"/>
      <c r="F888" s="96"/>
      <c r="G888" s="96"/>
      <c r="H888" s="96"/>
      <c r="I888" s="96"/>
      <c r="J888" s="96"/>
      <c r="K888" s="96"/>
      <c r="L888" s="96"/>
      <c r="M888" s="96"/>
      <c r="N888" s="96"/>
      <c r="O888" s="96"/>
      <c r="P888" s="96"/>
      <c r="Q888" s="96"/>
      <c r="R888" s="96"/>
      <c r="S888" s="96"/>
      <c r="T888" s="96"/>
      <c r="U888" s="96"/>
      <c r="V888" s="96"/>
      <c r="W888" s="96"/>
      <c r="X888" s="96"/>
      <c r="Y888" s="96"/>
      <c r="Z888" s="96"/>
    </row>
    <row r="889" ht="15.75" customHeight="1" spans="1:26">
      <c r="A889" s="96"/>
      <c r="B889" s="96"/>
      <c r="C889" s="199"/>
      <c r="D889" s="96"/>
      <c r="E889" s="96"/>
      <c r="F889" s="96"/>
      <c r="G889" s="96"/>
      <c r="H889" s="96"/>
      <c r="I889" s="96"/>
      <c r="J889" s="96"/>
      <c r="K889" s="96"/>
      <c r="L889" s="96"/>
      <c r="M889" s="96"/>
      <c r="N889" s="96"/>
      <c r="O889" s="96"/>
      <c r="P889" s="96"/>
      <c r="Q889" s="96"/>
      <c r="R889" s="96"/>
      <c r="S889" s="96"/>
      <c r="T889" s="96"/>
      <c r="U889" s="96"/>
      <c r="V889" s="96"/>
      <c r="W889" s="96"/>
      <c r="X889" s="96"/>
      <c r="Y889" s="96"/>
      <c r="Z889" s="96"/>
    </row>
    <row r="890" ht="15.75" customHeight="1" spans="1:26">
      <c r="A890" s="96"/>
      <c r="B890" s="96"/>
      <c r="C890" s="199"/>
      <c r="D890" s="96"/>
      <c r="E890" s="96"/>
      <c r="F890" s="96"/>
      <c r="G890" s="96"/>
      <c r="H890" s="96"/>
      <c r="I890" s="96"/>
      <c r="J890" s="96"/>
      <c r="K890" s="96"/>
      <c r="L890" s="96"/>
      <c r="M890" s="96"/>
      <c r="N890" s="96"/>
      <c r="O890" s="96"/>
      <c r="P890" s="96"/>
      <c r="Q890" s="96"/>
      <c r="R890" s="96"/>
      <c r="S890" s="96"/>
      <c r="T890" s="96"/>
      <c r="U890" s="96"/>
      <c r="V890" s="96"/>
      <c r="W890" s="96"/>
      <c r="X890" s="96"/>
      <c r="Y890" s="96"/>
      <c r="Z890" s="96"/>
    </row>
    <row r="891" ht="15.75" customHeight="1" spans="1:26">
      <c r="A891" s="96"/>
      <c r="B891" s="96"/>
      <c r="C891" s="199"/>
      <c r="D891" s="96"/>
      <c r="E891" s="96"/>
      <c r="F891" s="96"/>
      <c r="G891" s="96"/>
      <c r="H891" s="96"/>
      <c r="I891" s="96"/>
      <c r="J891" s="96"/>
      <c r="K891" s="96"/>
      <c r="L891" s="96"/>
      <c r="M891" s="96"/>
      <c r="N891" s="96"/>
      <c r="O891" s="96"/>
      <c r="P891" s="96"/>
      <c r="Q891" s="96"/>
      <c r="R891" s="96"/>
      <c r="S891" s="96"/>
      <c r="T891" s="96"/>
      <c r="U891" s="96"/>
      <c r="V891" s="96"/>
      <c r="W891" s="96"/>
      <c r="X891" s="96"/>
      <c r="Y891" s="96"/>
      <c r="Z891" s="96"/>
    </row>
    <row r="892" ht="15.75" customHeight="1" spans="1:26">
      <c r="A892" s="96"/>
      <c r="B892" s="96"/>
      <c r="C892" s="199"/>
      <c r="D892" s="96"/>
      <c r="E892" s="96"/>
      <c r="F892" s="96"/>
      <c r="G892" s="96"/>
      <c r="H892" s="96"/>
      <c r="I892" s="96"/>
      <c r="J892" s="96"/>
      <c r="K892" s="96"/>
      <c r="L892" s="96"/>
      <c r="M892" s="96"/>
      <c r="N892" s="96"/>
      <c r="O892" s="96"/>
      <c r="P892" s="96"/>
      <c r="Q892" s="96"/>
      <c r="R892" s="96"/>
      <c r="S892" s="96"/>
      <c r="T892" s="96"/>
      <c r="U892" s="96"/>
      <c r="V892" s="96"/>
      <c r="W892" s="96"/>
      <c r="X892" s="96"/>
      <c r="Y892" s="96"/>
      <c r="Z892" s="96"/>
    </row>
    <row r="893" ht="15.75" customHeight="1" spans="1:26">
      <c r="A893" s="96"/>
      <c r="B893" s="96"/>
      <c r="C893" s="199"/>
      <c r="D893" s="96"/>
      <c r="E893" s="96"/>
      <c r="F893" s="96"/>
      <c r="G893" s="96"/>
      <c r="H893" s="96"/>
      <c r="I893" s="96"/>
      <c r="J893" s="96"/>
      <c r="K893" s="96"/>
      <c r="L893" s="96"/>
      <c r="M893" s="96"/>
      <c r="N893" s="96"/>
      <c r="O893" s="96"/>
      <c r="P893" s="96"/>
      <c r="Q893" s="96"/>
      <c r="R893" s="96"/>
      <c r="S893" s="96"/>
      <c r="T893" s="96"/>
      <c r="U893" s="96"/>
      <c r="V893" s="96"/>
      <c r="W893" s="96"/>
      <c r="X893" s="96"/>
      <c r="Y893" s="96"/>
      <c r="Z893" s="96"/>
    </row>
    <row r="894" ht="15.75" customHeight="1" spans="1:26">
      <c r="A894" s="96"/>
      <c r="B894" s="96"/>
      <c r="C894" s="199"/>
      <c r="D894" s="96"/>
      <c r="E894" s="96"/>
      <c r="F894" s="96"/>
      <c r="G894" s="96"/>
      <c r="H894" s="96"/>
      <c r="I894" s="96"/>
      <c r="J894" s="96"/>
      <c r="K894" s="96"/>
      <c r="L894" s="96"/>
      <c r="M894" s="96"/>
      <c r="N894" s="96"/>
      <c r="O894" s="96"/>
      <c r="P894" s="96"/>
      <c r="Q894" s="96"/>
      <c r="R894" s="96"/>
      <c r="S894" s="96"/>
      <c r="T894" s="96"/>
      <c r="U894" s="96"/>
      <c r="V894" s="96"/>
      <c r="W894" s="96"/>
      <c r="X894" s="96"/>
      <c r="Y894" s="96"/>
      <c r="Z894" s="96"/>
    </row>
    <row r="895" ht="15.75" customHeight="1" spans="1:26">
      <c r="A895" s="96"/>
      <c r="B895" s="96"/>
      <c r="C895" s="199"/>
      <c r="D895" s="96"/>
      <c r="E895" s="96"/>
      <c r="F895" s="96"/>
      <c r="G895" s="96"/>
      <c r="H895" s="96"/>
      <c r="I895" s="96"/>
      <c r="J895" s="96"/>
      <c r="K895" s="96"/>
      <c r="L895" s="96"/>
      <c r="M895" s="96"/>
      <c r="N895" s="96"/>
      <c r="O895" s="96"/>
      <c r="P895" s="96"/>
      <c r="Q895" s="96"/>
      <c r="R895" s="96"/>
      <c r="S895" s="96"/>
      <c r="T895" s="96"/>
      <c r="U895" s="96"/>
      <c r="V895" s="96"/>
      <c r="W895" s="96"/>
      <c r="X895" s="96"/>
      <c r="Y895" s="96"/>
      <c r="Z895" s="96"/>
    </row>
    <row r="896" ht="15.75" customHeight="1" spans="1:26">
      <c r="A896" s="96"/>
      <c r="B896" s="96"/>
      <c r="C896" s="199"/>
      <c r="D896" s="96"/>
      <c r="E896" s="96"/>
      <c r="F896" s="96"/>
      <c r="G896" s="96"/>
      <c r="H896" s="96"/>
      <c r="I896" s="96"/>
      <c r="J896" s="96"/>
      <c r="K896" s="96"/>
      <c r="L896" s="96"/>
      <c r="M896" s="96"/>
      <c r="N896" s="96"/>
      <c r="O896" s="96"/>
      <c r="P896" s="96"/>
      <c r="Q896" s="96"/>
      <c r="R896" s="96"/>
      <c r="S896" s="96"/>
      <c r="T896" s="96"/>
      <c r="U896" s="96"/>
      <c r="V896" s="96"/>
      <c r="W896" s="96"/>
      <c r="X896" s="96"/>
      <c r="Y896" s="96"/>
      <c r="Z896" s="96"/>
    </row>
    <row r="897" ht="15.75" customHeight="1" spans="1:26">
      <c r="A897" s="96"/>
      <c r="B897" s="96"/>
      <c r="C897" s="199"/>
      <c r="D897" s="96"/>
      <c r="E897" s="96"/>
      <c r="F897" s="96"/>
      <c r="G897" s="96"/>
      <c r="H897" s="96"/>
      <c r="I897" s="96"/>
      <c r="J897" s="96"/>
      <c r="K897" s="96"/>
      <c r="L897" s="96"/>
      <c r="M897" s="96"/>
      <c r="N897" s="96"/>
      <c r="O897" s="96"/>
      <c r="P897" s="96"/>
      <c r="Q897" s="96"/>
      <c r="R897" s="96"/>
      <c r="S897" s="96"/>
      <c r="T897" s="96"/>
      <c r="U897" s="96"/>
      <c r="V897" s="96"/>
      <c r="W897" s="96"/>
      <c r="X897" s="96"/>
      <c r="Y897" s="96"/>
      <c r="Z897" s="96"/>
    </row>
    <row r="898" ht="15.75" customHeight="1" spans="1:26">
      <c r="A898" s="96"/>
      <c r="B898" s="96"/>
      <c r="C898" s="199"/>
      <c r="D898" s="96"/>
      <c r="E898" s="96"/>
      <c r="F898" s="96"/>
      <c r="G898" s="96"/>
      <c r="H898" s="96"/>
      <c r="I898" s="96"/>
      <c r="J898" s="96"/>
      <c r="K898" s="96"/>
      <c r="L898" s="96"/>
      <c r="M898" s="96"/>
      <c r="N898" s="96"/>
      <c r="O898" s="96"/>
      <c r="P898" s="96"/>
      <c r="Q898" s="96"/>
      <c r="R898" s="96"/>
      <c r="S898" s="96"/>
      <c r="T898" s="96"/>
      <c r="U898" s="96"/>
      <c r="V898" s="96"/>
      <c r="W898" s="96"/>
      <c r="X898" s="96"/>
      <c r="Y898" s="96"/>
      <c r="Z898" s="96"/>
    </row>
    <row r="899" ht="15.75" customHeight="1" spans="1:26">
      <c r="A899" s="96"/>
      <c r="B899" s="96"/>
      <c r="C899" s="199"/>
      <c r="D899" s="96"/>
      <c r="E899" s="96"/>
      <c r="F899" s="96"/>
      <c r="G899" s="96"/>
      <c r="H899" s="96"/>
      <c r="I899" s="96"/>
      <c r="J899" s="96"/>
      <c r="K899" s="96"/>
      <c r="L899" s="96"/>
      <c r="M899" s="96"/>
      <c r="N899" s="96"/>
      <c r="O899" s="96"/>
      <c r="P899" s="96"/>
      <c r="Q899" s="96"/>
      <c r="R899" s="96"/>
      <c r="S899" s="96"/>
      <c r="T899" s="96"/>
      <c r="U899" s="96"/>
      <c r="V899" s="96"/>
      <c r="W899" s="96"/>
      <c r="X899" s="96"/>
      <c r="Y899" s="96"/>
      <c r="Z899" s="96"/>
    </row>
    <row r="900" ht="15.75" customHeight="1" spans="1:26">
      <c r="A900" s="96"/>
      <c r="B900" s="96"/>
      <c r="C900" s="199"/>
      <c r="D900" s="96"/>
      <c r="E900" s="96"/>
      <c r="F900" s="96"/>
      <c r="G900" s="96"/>
      <c r="H900" s="96"/>
      <c r="I900" s="96"/>
      <c r="J900" s="96"/>
      <c r="K900" s="96"/>
      <c r="L900" s="96"/>
      <c r="M900" s="96"/>
      <c r="N900" s="96"/>
      <c r="O900" s="96"/>
      <c r="P900" s="96"/>
      <c r="Q900" s="96"/>
      <c r="R900" s="96"/>
      <c r="S900" s="96"/>
      <c r="T900" s="96"/>
      <c r="U900" s="96"/>
      <c r="V900" s="96"/>
      <c r="W900" s="96"/>
      <c r="X900" s="96"/>
      <c r="Y900" s="96"/>
      <c r="Z900" s="96"/>
    </row>
    <row r="901" ht="15.75" customHeight="1" spans="1:26">
      <c r="A901" s="96"/>
      <c r="B901" s="96"/>
      <c r="C901" s="199"/>
      <c r="D901" s="96"/>
      <c r="E901" s="96"/>
      <c r="F901" s="96"/>
      <c r="G901" s="96"/>
      <c r="H901" s="96"/>
      <c r="I901" s="96"/>
      <c r="J901" s="96"/>
      <c r="K901" s="96"/>
      <c r="L901" s="96"/>
      <c r="M901" s="96"/>
      <c r="N901" s="96"/>
      <c r="O901" s="96"/>
      <c r="P901" s="96"/>
      <c r="Q901" s="96"/>
      <c r="R901" s="96"/>
      <c r="S901" s="96"/>
      <c r="T901" s="96"/>
      <c r="U901" s="96"/>
      <c r="V901" s="96"/>
      <c r="W901" s="96"/>
      <c r="X901" s="96"/>
      <c r="Y901" s="96"/>
      <c r="Z901" s="96"/>
    </row>
    <row r="902" ht="15.75" customHeight="1" spans="1:26">
      <c r="A902" s="96"/>
      <c r="B902" s="96"/>
      <c r="C902" s="199"/>
      <c r="D902" s="96"/>
      <c r="E902" s="96"/>
      <c r="F902" s="96"/>
      <c r="G902" s="96"/>
      <c r="H902" s="96"/>
      <c r="I902" s="96"/>
      <c r="J902" s="96"/>
      <c r="K902" s="96"/>
      <c r="L902" s="96"/>
      <c r="M902" s="96"/>
      <c r="N902" s="96"/>
      <c r="O902" s="96"/>
      <c r="P902" s="96"/>
      <c r="Q902" s="96"/>
      <c r="R902" s="96"/>
      <c r="S902" s="96"/>
      <c r="T902" s="96"/>
      <c r="U902" s="96"/>
      <c r="V902" s="96"/>
      <c r="W902" s="96"/>
      <c r="X902" s="96"/>
      <c r="Y902" s="96"/>
      <c r="Z902" s="96"/>
    </row>
    <row r="903" ht="15.75" customHeight="1" spans="1:26">
      <c r="A903" s="96"/>
      <c r="B903" s="96"/>
      <c r="C903" s="199"/>
      <c r="D903" s="96"/>
      <c r="E903" s="96"/>
      <c r="F903" s="96"/>
      <c r="G903" s="96"/>
      <c r="H903" s="96"/>
      <c r="I903" s="96"/>
      <c r="J903" s="96"/>
      <c r="K903" s="96"/>
      <c r="L903" s="96"/>
      <c r="M903" s="96"/>
      <c r="N903" s="96"/>
      <c r="O903" s="96"/>
      <c r="P903" s="96"/>
      <c r="Q903" s="96"/>
      <c r="R903" s="96"/>
      <c r="S903" s="96"/>
      <c r="T903" s="96"/>
      <c r="U903" s="96"/>
      <c r="V903" s="96"/>
      <c r="W903" s="96"/>
      <c r="X903" s="96"/>
      <c r="Y903" s="96"/>
      <c r="Z903" s="96"/>
    </row>
    <row r="904" ht="15.75" customHeight="1" spans="1:26">
      <c r="A904" s="96"/>
      <c r="B904" s="96"/>
      <c r="C904" s="199"/>
      <c r="D904" s="96"/>
      <c r="E904" s="96"/>
      <c r="F904" s="96"/>
      <c r="G904" s="96"/>
      <c r="H904" s="96"/>
      <c r="I904" s="96"/>
      <c r="J904" s="96"/>
      <c r="K904" s="96"/>
      <c r="L904" s="96"/>
      <c r="M904" s="96"/>
      <c r="N904" s="96"/>
      <c r="O904" s="96"/>
      <c r="P904" s="96"/>
      <c r="Q904" s="96"/>
      <c r="R904" s="96"/>
      <c r="S904" s="96"/>
      <c r="T904" s="96"/>
      <c r="U904" s="96"/>
      <c r="V904" s="96"/>
      <c r="W904" s="96"/>
      <c r="X904" s="96"/>
      <c r="Y904" s="96"/>
      <c r="Z904" s="96"/>
    </row>
    <row r="905" ht="15.75" customHeight="1" spans="1:26">
      <c r="A905" s="96"/>
      <c r="B905" s="96"/>
      <c r="C905" s="199"/>
      <c r="D905" s="96"/>
      <c r="E905" s="96"/>
      <c r="F905" s="96"/>
      <c r="G905" s="96"/>
      <c r="H905" s="96"/>
      <c r="I905" s="96"/>
      <c r="J905" s="96"/>
      <c r="K905" s="96"/>
      <c r="L905" s="96"/>
      <c r="M905" s="96"/>
      <c r="N905" s="96"/>
      <c r="O905" s="96"/>
      <c r="P905" s="96"/>
      <c r="Q905" s="96"/>
      <c r="R905" s="96"/>
      <c r="S905" s="96"/>
      <c r="T905" s="96"/>
      <c r="U905" s="96"/>
      <c r="V905" s="96"/>
      <c r="W905" s="96"/>
      <c r="X905" s="96"/>
      <c r="Y905" s="96"/>
      <c r="Z905" s="96"/>
    </row>
    <row r="906" ht="15.75" customHeight="1" spans="1:26">
      <c r="A906" s="96"/>
      <c r="B906" s="96"/>
      <c r="C906" s="199"/>
      <c r="D906" s="96"/>
      <c r="E906" s="96"/>
      <c r="F906" s="96"/>
      <c r="G906" s="96"/>
      <c r="H906" s="96"/>
      <c r="I906" s="96"/>
      <c r="J906" s="96"/>
      <c r="K906" s="96"/>
      <c r="L906" s="96"/>
      <c r="M906" s="96"/>
      <c r="N906" s="96"/>
      <c r="O906" s="96"/>
      <c r="P906" s="96"/>
      <c r="Q906" s="96"/>
      <c r="R906" s="96"/>
      <c r="S906" s="96"/>
      <c r="T906" s="96"/>
      <c r="U906" s="96"/>
      <c r="V906" s="96"/>
      <c r="W906" s="96"/>
      <c r="X906" s="96"/>
      <c r="Y906" s="96"/>
      <c r="Z906" s="96"/>
    </row>
    <row r="907" ht="15.75" customHeight="1" spans="1:26">
      <c r="A907" s="96"/>
      <c r="B907" s="96"/>
      <c r="C907" s="199"/>
      <c r="D907" s="96"/>
      <c r="E907" s="96"/>
      <c r="F907" s="96"/>
      <c r="G907" s="96"/>
      <c r="H907" s="96"/>
      <c r="I907" s="96"/>
      <c r="J907" s="96"/>
      <c r="K907" s="96"/>
      <c r="L907" s="96"/>
      <c r="M907" s="96"/>
      <c r="N907" s="96"/>
      <c r="O907" s="96"/>
      <c r="P907" s="96"/>
      <c r="Q907" s="96"/>
      <c r="R907" s="96"/>
      <c r="S907" s="96"/>
      <c r="T907" s="96"/>
      <c r="U907" s="96"/>
      <c r="V907" s="96"/>
      <c r="W907" s="96"/>
      <c r="X907" s="96"/>
      <c r="Y907" s="96"/>
      <c r="Z907" s="96"/>
    </row>
    <row r="908" ht="15.75" customHeight="1" spans="1:26">
      <c r="A908" s="96"/>
      <c r="B908" s="96"/>
      <c r="C908" s="199"/>
      <c r="D908" s="96"/>
      <c r="E908" s="96"/>
      <c r="F908" s="96"/>
      <c r="G908" s="96"/>
      <c r="H908" s="96"/>
      <c r="I908" s="96"/>
      <c r="J908" s="96"/>
      <c r="K908" s="96"/>
      <c r="L908" s="96"/>
      <c r="M908" s="96"/>
      <c r="N908" s="96"/>
      <c r="O908" s="96"/>
      <c r="P908" s="96"/>
      <c r="Q908" s="96"/>
      <c r="R908" s="96"/>
      <c r="S908" s="96"/>
      <c r="T908" s="96"/>
      <c r="U908" s="96"/>
      <c r="V908" s="96"/>
      <c r="W908" s="96"/>
      <c r="X908" s="96"/>
      <c r="Y908" s="96"/>
      <c r="Z908" s="96"/>
    </row>
    <row r="909" ht="15.75" customHeight="1" spans="1:26">
      <c r="A909" s="96"/>
      <c r="B909" s="96"/>
      <c r="C909" s="199"/>
      <c r="D909" s="96"/>
      <c r="E909" s="96"/>
      <c r="F909" s="96"/>
      <c r="G909" s="96"/>
      <c r="H909" s="96"/>
      <c r="I909" s="96"/>
      <c r="J909" s="96"/>
      <c r="K909" s="96"/>
      <c r="L909" s="96"/>
      <c r="M909" s="96"/>
      <c r="N909" s="96"/>
      <c r="O909" s="96"/>
      <c r="P909" s="96"/>
      <c r="Q909" s="96"/>
      <c r="R909" s="96"/>
      <c r="S909" s="96"/>
      <c r="T909" s="96"/>
      <c r="U909" s="96"/>
      <c r="V909" s="96"/>
      <c r="W909" s="96"/>
      <c r="X909" s="96"/>
      <c r="Y909" s="96"/>
      <c r="Z909" s="96"/>
    </row>
    <row r="910" ht="15.75" customHeight="1" spans="1:26">
      <c r="A910" s="96"/>
      <c r="B910" s="96"/>
      <c r="C910" s="199"/>
      <c r="D910" s="96"/>
      <c r="E910" s="96"/>
      <c r="F910" s="96"/>
      <c r="G910" s="96"/>
      <c r="H910" s="96"/>
      <c r="I910" s="96"/>
      <c r="J910" s="96"/>
      <c r="K910" s="96"/>
      <c r="L910" s="96"/>
      <c r="M910" s="96"/>
      <c r="N910" s="96"/>
      <c r="O910" s="96"/>
      <c r="P910" s="96"/>
      <c r="Q910" s="96"/>
      <c r="R910" s="96"/>
      <c r="S910" s="96"/>
      <c r="T910" s="96"/>
      <c r="U910" s="96"/>
      <c r="V910" s="96"/>
      <c r="W910" s="96"/>
      <c r="X910" s="96"/>
      <c r="Y910" s="96"/>
      <c r="Z910" s="96"/>
    </row>
    <row r="911" ht="15.75" customHeight="1" spans="1:26">
      <c r="A911" s="96"/>
      <c r="B911" s="96"/>
      <c r="C911" s="199"/>
      <c r="D911" s="96"/>
      <c r="E911" s="96"/>
      <c r="F911" s="96"/>
      <c r="G911" s="96"/>
      <c r="H911" s="96"/>
      <c r="I911" s="96"/>
      <c r="J911" s="96"/>
      <c r="K911" s="96"/>
      <c r="L911" s="96"/>
      <c r="M911" s="96"/>
      <c r="N911" s="96"/>
      <c r="O911" s="96"/>
      <c r="P911" s="96"/>
      <c r="Q911" s="96"/>
      <c r="R911" s="96"/>
      <c r="S911" s="96"/>
      <c r="T911" s="96"/>
      <c r="U911" s="96"/>
      <c r="V911" s="96"/>
      <c r="W911" s="96"/>
      <c r="X911" s="96"/>
      <c r="Y911" s="96"/>
      <c r="Z911" s="96"/>
    </row>
    <row r="912" ht="15.75" customHeight="1" spans="1:26">
      <c r="A912" s="96"/>
      <c r="B912" s="96"/>
      <c r="C912" s="199"/>
      <c r="D912" s="96"/>
      <c r="E912" s="96"/>
      <c r="F912" s="96"/>
      <c r="G912" s="96"/>
      <c r="H912" s="96"/>
      <c r="I912" s="96"/>
      <c r="J912" s="96"/>
      <c r="K912" s="96"/>
      <c r="L912" s="96"/>
      <c r="M912" s="96"/>
      <c r="N912" s="96"/>
      <c r="O912" s="96"/>
      <c r="P912" s="96"/>
      <c r="Q912" s="96"/>
      <c r="R912" s="96"/>
      <c r="S912" s="96"/>
      <c r="T912" s="96"/>
      <c r="U912" s="96"/>
      <c r="V912" s="96"/>
      <c r="W912" s="96"/>
      <c r="X912" s="96"/>
      <c r="Y912" s="96"/>
      <c r="Z912" s="96"/>
    </row>
    <row r="913" ht="15.75" customHeight="1" spans="1:26">
      <c r="A913" s="96"/>
      <c r="B913" s="96"/>
      <c r="C913" s="199"/>
      <c r="D913" s="96"/>
      <c r="E913" s="96"/>
      <c r="F913" s="96"/>
      <c r="G913" s="96"/>
      <c r="H913" s="96"/>
      <c r="I913" s="96"/>
      <c r="J913" s="96"/>
      <c r="K913" s="96"/>
      <c r="L913" s="96"/>
      <c r="M913" s="96"/>
      <c r="N913" s="96"/>
      <c r="O913" s="96"/>
      <c r="P913" s="96"/>
      <c r="Q913" s="96"/>
      <c r="R913" s="96"/>
      <c r="S913" s="96"/>
      <c r="T913" s="96"/>
      <c r="U913" s="96"/>
      <c r="V913" s="96"/>
      <c r="W913" s="96"/>
      <c r="X913" s="96"/>
      <c r="Y913" s="96"/>
      <c r="Z913" s="96"/>
    </row>
    <row r="914" ht="15.75" customHeight="1" spans="1:26">
      <c r="A914" s="96"/>
      <c r="B914" s="96"/>
      <c r="C914" s="199"/>
      <c r="D914" s="96"/>
      <c r="E914" s="96"/>
      <c r="F914" s="96"/>
      <c r="G914" s="96"/>
      <c r="H914" s="96"/>
      <c r="I914" s="96"/>
      <c r="J914" s="96"/>
      <c r="K914" s="96"/>
      <c r="L914" s="96"/>
      <c r="M914" s="96"/>
      <c r="N914" s="96"/>
      <c r="O914" s="96"/>
      <c r="P914" s="96"/>
      <c r="Q914" s="96"/>
      <c r="R914" s="96"/>
      <c r="S914" s="96"/>
      <c r="T914" s="96"/>
      <c r="U914" s="96"/>
      <c r="V914" s="96"/>
      <c r="W914" s="96"/>
      <c r="X914" s="96"/>
      <c r="Y914" s="96"/>
      <c r="Z914" s="96"/>
    </row>
    <row r="915" ht="15.75" customHeight="1" spans="1:26">
      <c r="A915" s="96"/>
      <c r="B915" s="96"/>
      <c r="C915" s="199"/>
      <c r="D915" s="96"/>
      <c r="E915" s="96"/>
      <c r="F915" s="96"/>
      <c r="G915" s="96"/>
      <c r="H915" s="96"/>
      <c r="I915" s="96"/>
      <c r="J915" s="96"/>
      <c r="K915" s="96"/>
      <c r="L915" s="96"/>
      <c r="M915" s="96"/>
      <c r="N915" s="96"/>
      <c r="O915" s="96"/>
      <c r="P915" s="96"/>
      <c r="Q915" s="96"/>
      <c r="R915" s="96"/>
      <c r="S915" s="96"/>
      <c r="T915" s="96"/>
      <c r="U915" s="96"/>
      <c r="V915" s="96"/>
      <c r="W915" s="96"/>
      <c r="X915" s="96"/>
      <c r="Y915" s="96"/>
      <c r="Z915" s="96"/>
    </row>
    <row r="916" ht="15.75" customHeight="1" spans="1:26">
      <c r="A916" s="96"/>
      <c r="B916" s="96"/>
      <c r="C916" s="199"/>
      <c r="D916" s="96"/>
      <c r="E916" s="96"/>
      <c r="F916" s="96"/>
      <c r="G916" s="96"/>
      <c r="H916" s="96"/>
      <c r="I916" s="96"/>
      <c r="J916" s="96"/>
      <c r="K916" s="96"/>
      <c r="L916" s="96"/>
      <c r="M916" s="96"/>
      <c r="N916" s="96"/>
      <c r="O916" s="96"/>
      <c r="P916" s="96"/>
      <c r="Q916" s="96"/>
      <c r="R916" s="96"/>
      <c r="S916" s="96"/>
      <c r="T916" s="96"/>
      <c r="U916" s="96"/>
      <c r="V916" s="96"/>
      <c r="W916" s="96"/>
      <c r="X916" s="96"/>
      <c r="Y916" s="96"/>
      <c r="Z916" s="96"/>
    </row>
    <row r="917" ht="15.75" customHeight="1" spans="1:26">
      <c r="A917" s="96"/>
      <c r="B917" s="96"/>
      <c r="C917" s="199"/>
      <c r="D917" s="96"/>
      <c r="E917" s="96"/>
      <c r="F917" s="96"/>
      <c r="G917" s="96"/>
      <c r="H917" s="96"/>
      <c r="I917" s="96"/>
      <c r="J917" s="96"/>
      <c r="K917" s="96"/>
      <c r="L917" s="96"/>
      <c r="M917" s="96"/>
      <c r="N917" s="96"/>
      <c r="O917" s="96"/>
      <c r="P917" s="96"/>
      <c r="Q917" s="96"/>
      <c r="R917" s="96"/>
      <c r="S917" s="96"/>
      <c r="T917" s="96"/>
      <c r="U917" s="96"/>
      <c r="V917" s="96"/>
      <c r="W917" s="96"/>
      <c r="X917" s="96"/>
      <c r="Y917" s="96"/>
      <c r="Z917" s="96"/>
    </row>
    <row r="918" ht="15.75" customHeight="1" spans="1:26">
      <c r="A918" s="96"/>
      <c r="B918" s="96"/>
      <c r="C918" s="199"/>
      <c r="D918" s="96"/>
      <c r="E918" s="96"/>
      <c r="F918" s="96"/>
      <c r="G918" s="96"/>
      <c r="H918" s="96"/>
      <c r="I918" s="96"/>
      <c r="J918" s="96"/>
      <c r="K918" s="96"/>
      <c r="L918" s="96"/>
      <c r="M918" s="96"/>
      <c r="N918" s="96"/>
      <c r="O918" s="96"/>
      <c r="P918" s="96"/>
      <c r="Q918" s="96"/>
      <c r="R918" s="96"/>
      <c r="S918" s="96"/>
      <c r="T918" s="96"/>
      <c r="U918" s="96"/>
      <c r="V918" s="96"/>
      <c r="W918" s="96"/>
      <c r="X918" s="96"/>
      <c r="Y918" s="96"/>
      <c r="Z918" s="96"/>
    </row>
    <row r="919" ht="15.75" customHeight="1" spans="1:26">
      <c r="A919" s="96"/>
      <c r="B919" s="96"/>
      <c r="C919" s="199"/>
      <c r="D919" s="96"/>
      <c r="E919" s="96"/>
      <c r="F919" s="96"/>
      <c r="G919" s="96"/>
      <c r="H919" s="96"/>
      <c r="I919" s="96"/>
      <c r="J919" s="96"/>
      <c r="K919" s="96"/>
      <c r="L919" s="96"/>
      <c r="M919" s="96"/>
      <c r="N919" s="96"/>
      <c r="O919" s="96"/>
      <c r="P919" s="96"/>
      <c r="Q919" s="96"/>
      <c r="R919" s="96"/>
      <c r="S919" s="96"/>
      <c r="T919" s="96"/>
      <c r="U919" s="96"/>
      <c r="V919" s="96"/>
      <c r="W919" s="96"/>
      <c r="X919" s="96"/>
      <c r="Y919" s="96"/>
      <c r="Z919" s="96"/>
    </row>
    <row r="920" ht="15.75" customHeight="1" spans="1:26">
      <c r="A920" s="96"/>
      <c r="B920" s="96"/>
      <c r="C920" s="199"/>
      <c r="D920" s="96"/>
      <c r="E920" s="96"/>
      <c r="F920" s="96"/>
      <c r="G920" s="96"/>
      <c r="H920" s="96"/>
      <c r="I920" s="96"/>
      <c r="J920" s="96"/>
      <c r="K920" s="96"/>
      <c r="L920" s="96"/>
      <c r="M920" s="96"/>
      <c r="N920" s="96"/>
      <c r="O920" s="96"/>
      <c r="P920" s="96"/>
      <c r="Q920" s="96"/>
      <c r="R920" s="96"/>
      <c r="S920" s="96"/>
      <c r="T920" s="96"/>
      <c r="U920" s="96"/>
      <c r="V920" s="96"/>
      <c r="W920" s="96"/>
      <c r="X920" s="96"/>
      <c r="Y920" s="96"/>
      <c r="Z920" s="96"/>
    </row>
    <row r="921" ht="15.75" customHeight="1" spans="1:26">
      <c r="A921" s="96"/>
      <c r="B921" s="96"/>
      <c r="C921" s="199"/>
      <c r="D921" s="96"/>
      <c r="E921" s="96"/>
      <c r="F921" s="96"/>
      <c r="G921" s="96"/>
      <c r="H921" s="96"/>
      <c r="I921" s="96"/>
      <c r="J921" s="96"/>
      <c r="K921" s="96"/>
      <c r="L921" s="96"/>
      <c r="M921" s="96"/>
      <c r="N921" s="96"/>
      <c r="O921" s="96"/>
      <c r="P921" s="96"/>
      <c r="Q921" s="96"/>
      <c r="R921" s="96"/>
      <c r="S921" s="96"/>
      <c r="T921" s="96"/>
      <c r="U921" s="96"/>
      <c r="V921" s="96"/>
      <c r="W921" s="96"/>
      <c r="X921" s="96"/>
      <c r="Y921" s="96"/>
      <c r="Z921" s="96"/>
    </row>
    <row r="922" ht="15.75" customHeight="1" spans="1:26">
      <c r="A922" s="96"/>
      <c r="B922" s="96"/>
      <c r="C922" s="199"/>
      <c r="D922" s="96"/>
      <c r="E922" s="96"/>
      <c r="F922" s="96"/>
      <c r="G922" s="96"/>
      <c r="H922" s="96"/>
      <c r="I922" s="96"/>
      <c r="J922" s="96"/>
      <c r="K922" s="96"/>
      <c r="L922" s="96"/>
      <c r="M922" s="96"/>
      <c r="N922" s="96"/>
      <c r="O922" s="96"/>
      <c r="P922" s="96"/>
      <c r="Q922" s="96"/>
      <c r="R922" s="96"/>
      <c r="S922" s="96"/>
      <c r="T922" s="96"/>
      <c r="U922" s="96"/>
      <c r="V922" s="96"/>
      <c r="W922" s="96"/>
      <c r="X922" s="96"/>
      <c r="Y922" s="96"/>
      <c r="Z922" s="96"/>
    </row>
    <row r="923" ht="15.75" customHeight="1" spans="1:26">
      <c r="A923" s="96"/>
      <c r="B923" s="96"/>
      <c r="C923" s="199"/>
      <c r="D923" s="96"/>
      <c r="E923" s="96"/>
      <c r="F923" s="96"/>
      <c r="G923" s="96"/>
      <c r="H923" s="96"/>
      <c r="I923" s="96"/>
      <c r="J923" s="96"/>
      <c r="K923" s="96"/>
      <c r="L923" s="96"/>
      <c r="M923" s="96"/>
      <c r="N923" s="96"/>
      <c r="O923" s="96"/>
      <c r="P923" s="96"/>
      <c r="Q923" s="96"/>
      <c r="R923" s="96"/>
      <c r="S923" s="96"/>
      <c r="T923" s="96"/>
      <c r="U923" s="96"/>
      <c r="V923" s="96"/>
      <c r="W923" s="96"/>
      <c r="X923" s="96"/>
      <c r="Y923" s="96"/>
      <c r="Z923" s="96"/>
    </row>
    <row r="924" ht="15.75" customHeight="1" spans="1:26">
      <c r="A924" s="96"/>
      <c r="B924" s="96"/>
      <c r="C924" s="199"/>
      <c r="D924" s="96"/>
      <c r="E924" s="96"/>
      <c r="F924" s="96"/>
      <c r="G924" s="96"/>
      <c r="H924" s="96"/>
      <c r="I924" s="96"/>
      <c r="J924" s="96"/>
      <c r="K924" s="96"/>
      <c r="L924" s="96"/>
      <c r="M924" s="96"/>
      <c r="N924" s="96"/>
      <c r="O924" s="96"/>
      <c r="P924" s="96"/>
      <c r="Q924" s="96"/>
      <c r="R924" s="96"/>
      <c r="S924" s="96"/>
      <c r="T924" s="96"/>
      <c r="U924" s="96"/>
      <c r="V924" s="96"/>
      <c r="W924" s="96"/>
      <c r="X924" s="96"/>
      <c r="Y924" s="96"/>
      <c r="Z924" s="96"/>
    </row>
    <row r="925" ht="15.75" customHeight="1" spans="1:26">
      <c r="A925" s="96"/>
      <c r="B925" s="96"/>
      <c r="C925" s="199"/>
      <c r="D925" s="96"/>
      <c r="E925" s="96"/>
      <c r="F925" s="96"/>
      <c r="G925" s="96"/>
      <c r="H925" s="96"/>
      <c r="I925" s="96"/>
      <c r="J925" s="96"/>
      <c r="K925" s="96"/>
      <c r="L925" s="96"/>
      <c r="M925" s="96"/>
      <c r="N925" s="96"/>
      <c r="O925" s="96"/>
      <c r="P925" s="96"/>
      <c r="Q925" s="96"/>
      <c r="R925" s="96"/>
      <c r="S925" s="96"/>
      <c r="T925" s="96"/>
      <c r="U925" s="96"/>
      <c r="V925" s="96"/>
      <c r="W925" s="96"/>
      <c r="X925" s="96"/>
      <c r="Y925" s="96"/>
      <c r="Z925" s="96"/>
    </row>
    <row r="926" ht="15.75" customHeight="1" spans="1:26">
      <c r="A926" s="96"/>
      <c r="B926" s="96"/>
      <c r="C926" s="199"/>
      <c r="D926" s="96"/>
      <c r="E926" s="96"/>
      <c r="F926" s="96"/>
      <c r="G926" s="96"/>
      <c r="H926" s="96"/>
      <c r="I926" s="96"/>
      <c r="J926" s="96"/>
      <c r="K926" s="96"/>
      <c r="L926" s="96"/>
      <c r="M926" s="96"/>
      <c r="N926" s="96"/>
      <c r="O926" s="96"/>
      <c r="P926" s="96"/>
      <c r="Q926" s="96"/>
      <c r="R926" s="96"/>
      <c r="S926" s="96"/>
      <c r="T926" s="96"/>
      <c r="U926" s="96"/>
      <c r="V926" s="96"/>
      <c r="W926" s="96"/>
      <c r="X926" s="96"/>
      <c r="Y926" s="96"/>
      <c r="Z926" s="96"/>
    </row>
    <row r="927" ht="15.75" customHeight="1" spans="1:26">
      <c r="A927" s="96"/>
      <c r="B927" s="96"/>
      <c r="C927" s="199"/>
      <c r="D927" s="96"/>
      <c r="E927" s="96"/>
      <c r="F927" s="96"/>
      <c r="G927" s="96"/>
      <c r="H927" s="96"/>
      <c r="I927" s="96"/>
      <c r="J927" s="96"/>
      <c r="K927" s="96"/>
      <c r="L927" s="96"/>
      <c r="M927" s="96"/>
      <c r="N927" s="96"/>
      <c r="O927" s="96"/>
      <c r="P927" s="96"/>
      <c r="Q927" s="96"/>
      <c r="R927" s="96"/>
      <c r="S927" s="96"/>
      <c r="T927" s="96"/>
      <c r="U927" s="96"/>
      <c r="V927" s="96"/>
      <c r="W927" s="96"/>
      <c r="X927" s="96"/>
      <c r="Y927" s="96"/>
      <c r="Z927" s="96"/>
    </row>
    <row r="928" ht="15.75" customHeight="1" spans="1:26">
      <c r="A928" s="96"/>
      <c r="B928" s="96"/>
      <c r="C928" s="199"/>
      <c r="D928" s="96"/>
      <c r="E928" s="96"/>
      <c r="F928" s="96"/>
      <c r="G928" s="96"/>
      <c r="H928" s="96"/>
      <c r="I928" s="96"/>
      <c r="J928" s="96"/>
      <c r="K928" s="96"/>
      <c r="L928" s="96"/>
      <c r="M928" s="96"/>
      <c r="N928" s="96"/>
      <c r="O928" s="96"/>
      <c r="P928" s="96"/>
      <c r="Q928" s="96"/>
      <c r="R928" s="96"/>
      <c r="S928" s="96"/>
      <c r="T928" s="96"/>
      <c r="U928" s="96"/>
      <c r="V928" s="96"/>
      <c r="W928" s="96"/>
      <c r="X928" s="96"/>
      <c r="Y928" s="96"/>
      <c r="Z928" s="96"/>
    </row>
    <row r="929" ht="15.75" customHeight="1" spans="1:26">
      <c r="A929" s="96"/>
      <c r="B929" s="96"/>
      <c r="C929" s="199"/>
      <c r="D929" s="96"/>
      <c r="E929" s="96"/>
      <c r="F929" s="96"/>
      <c r="G929" s="96"/>
      <c r="H929" s="96"/>
      <c r="I929" s="96"/>
      <c r="J929" s="96"/>
      <c r="K929" s="96"/>
      <c r="L929" s="96"/>
      <c r="M929" s="96"/>
      <c r="N929" s="96"/>
      <c r="O929" s="96"/>
      <c r="P929" s="96"/>
      <c r="Q929" s="96"/>
      <c r="R929" s="96"/>
      <c r="S929" s="96"/>
      <c r="T929" s="96"/>
      <c r="U929" s="96"/>
      <c r="V929" s="96"/>
      <c r="W929" s="96"/>
      <c r="X929" s="96"/>
      <c r="Y929" s="96"/>
      <c r="Z929" s="96"/>
    </row>
    <row r="930" ht="15.75" customHeight="1" spans="1:26">
      <c r="A930" s="96"/>
      <c r="B930" s="96"/>
      <c r="C930" s="199"/>
      <c r="D930" s="96"/>
      <c r="E930" s="96"/>
      <c r="F930" s="96"/>
      <c r="G930" s="96"/>
      <c r="H930" s="96"/>
      <c r="I930" s="96"/>
      <c r="J930" s="96"/>
      <c r="K930" s="96"/>
      <c r="L930" s="96"/>
      <c r="M930" s="96"/>
      <c r="N930" s="96"/>
      <c r="O930" s="96"/>
      <c r="P930" s="96"/>
      <c r="Q930" s="96"/>
      <c r="R930" s="96"/>
      <c r="S930" s="96"/>
      <c r="T930" s="96"/>
      <c r="U930" s="96"/>
      <c r="V930" s="96"/>
      <c r="W930" s="96"/>
      <c r="X930" s="96"/>
      <c r="Y930" s="96"/>
      <c r="Z930" s="96"/>
    </row>
    <row r="931" ht="15.75" customHeight="1" spans="1:26">
      <c r="A931" s="96"/>
      <c r="B931" s="96"/>
      <c r="C931" s="199"/>
      <c r="D931" s="96"/>
      <c r="E931" s="96"/>
      <c r="F931" s="96"/>
      <c r="G931" s="96"/>
      <c r="H931" s="96"/>
      <c r="I931" s="96"/>
      <c r="J931" s="96"/>
      <c r="K931" s="96"/>
      <c r="L931" s="96"/>
      <c r="M931" s="96"/>
      <c r="N931" s="96"/>
      <c r="O931" s="96"/>
      <c r="P931" s="96"/>
      <c r="Q931" s="96"/>
      <c r="R931" s="96"/>
      <c r="S931" s="96"/>
      <c r="T931" s="96"/>
      <c r="U931" s="96"/>
      <c r="V931" s="96"/>
      <c r="W931" s="96"/>
      <c r="X931" s="96"/>
      <c r="Y931" s="96"/>
      <c r="Z931" s="96"/>
    </row>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sheetData>
  <mergeCells count="344">
    <mergeCell ref="A11:I11"/>
    <mergeCell ref="A12:D12"/>
    <mergeCell ref="E12:G12"/>
    <mergeCell ref="H12:I12"/>
    <mergeCell ref="A13:D13"/>
    <mergeCell ref="E13:G13"/>
    <mergeCell ref="H13:I13"/>
    <mergeCell ref="A14:D14"/>
    <mergeCell ref="A15:D15"/>
    <mergeCell ref="F16:I16"/>
    <mergeCell ref="F17:I17"/>
    <mergeCell ref="G22:H22"/>
    <mergeCell ref="G115:H115"/>
    <mergeCell ref="G148:H148"/>
    <mergeCell ref="G149:H149"/>
    <mergeCell ref="G152:H152"/>
    <mergeCell ref="G153:H153"/>
    <mergeCell ref="G156:H156"/>
    <mergeCell ref="G157:H157"/>
    <mergeCell ref="G158:H158"/>
    <mergeCell ref="G279:H279"/>
    <mergeCell ref="G280:H280"/>
    <mergeCell ref="G283:H283"/>
    <mergeCell ref="G285:H285"/>
    <mergeCell ref="G286:H286"/>
    <mergeCell ref="G287:H287"/>
    <mergeCell ref="G289:H289"/>
    <mergeCell ref="G290:H290"/>
    <mergeCell ref="G291:H291"/>
    <mergeCell ref="G293:H293"/>
    <mergeCell ref="G294:H294"/>
    <mergeCell ref="G295:H295"/>
    <mergeCell ref="G296:H296"/>
    <mergeCell ref="G298:H298"/>
    <mergeCell ref="G299:H299"/>
    <mergeCell ref="G300:H300"/>
    <mergeCell ref="G303:H303"/>
    <mergeCell ref="G304:H304"/>
    <mergeCell ref="G305:H305"/>
    <mergeCell ref="G307:H307"/>
    <mergeCell ref="G308:H308"/>
    <mergeCell ref="G309:H309"/>
    <mergeCell ref="G310:H310"/>
    <mergeCell ref="G311:H311"/>
    <mergeCell ref="G313:H313"/>
    <mergeCell ref="G314:H314"/>
    <mergeCell ref="G316:H316"/>
    <mergeCell ref="G318:H318"/>
    <mergeCell ref="G331:H331"/>
    <mergeCell ref="G332:H332"/>
    <mergeCell ref="G334:H334"/>
    <mergeCell ref="G337:H337"/>
    <mergeCell ref="G338:H338"/>
    <mergeCell ref="G339:H339"/>
    <mergeCell ref="G340:H340"/>
    <mergeCell ref="G341:H341"/>
    <mergeCell ref="G342:H342"/>
    <mergeCell ref="G343:H343"/>
    <mergeCell ref="G344:H344"/>
    <mergeCell ref="G345:H345"/>
    <mergeCell ref="G346:H346"/>
    <mergeCell ref="G348:H348"/>
    <mergeCell ref="G349:H349"/>
    <mergeCell ref="G350:H350"/>
    <mergeCell ref="G352:H352"/>
    <mergeCell ref="G353:H353"/>
    <mergeCell ref="G354:H354"/>
    <mergeCell ref="G355:H355"/>
    <mergeCell ref="G356:H356"/>
    <mergeCell ref="G357:H357"/>
    <mergeCell ref="G358:H358"/>
    <mergeCell ref="G359:H359"/>
    <mergeCell ref="G512:H512"/>
    <mergeCell ref="G513:H513"/>
    <mergeCell ref="G514:H514"/>
    <mergeCell ref="G550:H550"/>
    <mergeCell ref="G551:H551"/>
    <mergeCell ref="G552:H552"/>
    <mergeCell ref="G553:H553"/>
    <mergeCell ref="G554:H554"/>
    <mergeCell ref="G555:H555"/>
    <mergeCell ref="G556:H556"/>
    <mergeCell ref="G576:H576"/>
    <mergeCell ref="G585:H585"/>
    <mergeCell ref="G586:H586"/>
    <mergeCell ref="G587:H587"/>
    <mergeCell ref="G588:H588"/>
    <mergeCell ref="G589:H589"/>
    <mergeCell ref="G591:H591"/>
    <mergeCell ref="G592:H592"/>
    <mergeCell ref="G593:H593"/>
    <mergeCell ref="G594:H594"/>
    <mergeCell ref="G595:H595"/>
    <mergeCell ref="G596:H596"/>
    <mergeCell ref="G597:H597"/>
    <mergeCell ref="G598:H598"/>
    <mergeCell ref="G600:H600"/>
    <mergeCell ref="F602:I602"/>
    <mergeCell ref="F603:I603"/>
    <mergeCell ref="F604:I604"/>
    <mergeCell ref="F605:I605"/>
    <mergeCell ref="F606:I606"/>
    <mergeCell ref="F607:I607"/>
    <mergeCell ref="F608:I608"/>
    <mergeCell ref="F609:I609"/>
    <mergeCell ref="F610:I610"/>
    <mergeCell ref="F611:I611"/>
    <mergeCell ref="F615:I615"/>
    <mergeCell ref="F616:I616"/>
    <mergeCell ref="F617:I617"/>
    <mergeCell ref="F618:I618"/>
    <mergeCell ref="F620:I620"/>
    <mergeCell ref="F621:I621"/>
    <mergeCell ref="F622:I622"/>
    <mergeCell ref="F623:I623"/>
    <mergeCell ref="F624:I624"/>
    <mergeCell ref="F625:I625"/>
    <mergeCell ref="F626:I626"/>
    <mergeCell ref="F627:I627"/>
    <mergeCell ref="F629:I629"/>
    <mergeCell ref="F630:I630"/>
    <mergeCell ref="F631:I631"/>
    <mergeCell ref="F632:I632"/>
    <mergeCell ref="F633:I633"/>
    <mergeCell ref="F635:I635"/>
    <mergeCell ref="F636:I636"/>
    <mergeCell ref="F637:I637"/>
    <mergeCell ref="F638:I638"/>
    <mergeCell ref="F639:I639"/>
    <mergeCell ref="F640:I640"/>
    <mergeCell ref="F641:I641"/>
    <mergeCell ref="F642:I642"/>
    <mergeCell ref="F643:I643"/>
    <mergeCell ref="F644:I644"/>
    <mergeCell ref="F645:I645"/>
    <mergeCell ref="F646:I646"/>
    <mergeCell ref="F647:I647"/>
    <mergeCell ref="F648:I648"/>
    <mergeCell ref="F649:I649"/>
    <mergeCell ref="F650:I650"/>
    <mergeCell ref="F651:I651"/>
    <mergeCell ref="F652:I652"/>
    <mergeCell ref="F653:I653"/>
    <mergeCell ref="F654:I654"/>
    <mergeCell ref="F655:I655"/>
    <mergeCell ref="F656:I656"/>
    <mergeCell ref="F657:I657"/>
    <mergeCell ref="F658:I658"/>
    <mergeCell ref="F659:I659"/>
    <mergeCell ref="F660:I660"/>
    <mergeCell ref="F661:I661"/>
    <mergeCell ref="F662:I662"/>
    <mergeCell ref="F663:I663"/>
    <mergeCell ref="F664:I664"/>
    <mergeCell ref="F665:I665"/>
    <mergeCell ref="F666:I666"/>
    <mergeCell ref="F667:I667"/>
    <mergeCell ref="F668:I668"/>
    <mergeCell ref="F669:I669"/>
    <mergeCell ref="F670:I670"/>
    <mergeCell ref="F671:I671"/>
    <mergeCell ref="F672:I672"/>
    <mergeCell ref="F673:I673"/>
    <mergeCell ref="F674:I674"/>
    <mergeCell ref="F676:I676"/>
    <mergeCell ref="F677:I677"/>
    <mergeCell ref="F678:I678"/>
    <mergeCell ref="F679:I679"/>
    <mergeCell ref="F680:I680"/>
    <mergeCell ref="F681:I681"/>
    <mergeCell ref="F682:I682"/>
    <mergeCell ref="F683:I683"/>
    <mergeCell ref="F684:I684"/>
    <mergeCell ref="F685:I685"/>
    <mergeCell ref="F687:I687"/>
    <mergeCell ref="F688:I688"/>
    <mergeCell ref="F689:I689"/>
    <mergeCell ref="F690:I690"/>
    <mergeCell ref="F691:I691"/>
    <mergeCell ref="F692:I692"/>
    <mergeCell ref="F693:I693"/>
    <mergeCell ref="F694:I694"/>
    <mergeCell ref="F695:I695"/>
    <mergeCell ref="F696:I696"/>
    <mergeCell ref="F697:I697"/>
    <mergeCell ref="F698:I698"/>
    <mergeCell ref="F699:I699"/>
    <mergeCell ref="F700:I700"/>
    <mergeCell ref="F701:I701"/>
    <mergeCell ref="F702:I702"/>
    <mergeCell ref="F703:I703"/>
    <mergeCell ref="F704:I704"/>
    <mergeCell ref="F705:I705"/>
    <mergeCell ref="F706:I706"/>
    <mergeCell ref="F708:I708"/>
    <mergeCell ref="F709:I709"/>
    <mergeCell ref="F710:I710"/>
    <mergeCell ref="F711:I711"/>
    <mergeCell ref="F712:I712"/>
    <mergeCell ref="F713:I713"/>
    <mergeCell ref="F714:I714"/>
    <mergeCell ref="F715:I715"/>
    <mergeCell ref="F717:I717"/>
    <mergeCell ref="F719:I719"/>
    <mergeCell ref="F720:I720"/>
    <mergeCell ref="F721:I721"/>
    <mergeCell ref="F722:I722"/>
    <mergeCell ref="F723:I723"/>
    <mergeCell ref="F724:I724"/>
    <mergeCell ref="F725:I725"/>
    <mergeCell ref="F726:I726"/>
    <mergeCell ref="F727:I727"/>
    <mergeCell ref="F728:I728"/>
    <mergeCell ref="F729:I729"/>
    <mergeCell ref="F730:I730"/>
    <mergeCell ref="F731:I731"/>
    <mergeCell ref="F734:I734"/>
    <mergeCell ref="F735:I735"/>
    <mergeCell ref="F736:I736"/>
    <mergeCell ref="F737:I737"/>
    <mergeCell ref="F738:I738"/>
    <mergeCell ref="F740:I740"/>
    <mergeCell ref="F741:I741"/>
    <mergeCell ref="F742:I742"/>
    <mergeCell ref="F743:I743"/>
    <mergeCell ref="F744:I744"/>
    <mergeCell ref="F746:I746"/>
    <mergeCell ref="F747:I747"/>
    <mergeCell ref="F748:I748"/>
    <mergeCell ref="F749:I749"/>
    <mergeCell ref="F750:I750"/>
    <mergeCell ref="F751:I751"/>
    <mergeCell ref="F753:I753"/>
    <mergeCell ref="F754:I754"/>
    <mergeCell ref="F755:I755"/>
    <mergeCell ref="F756:I756"/>
    <mergeCell ref="F758:I758"/>
    <mergeCell ref="F759:I759"/>
    <mergeCell ref="F760:I760"/>
    <mergeCell ref="F761:I761"/>
    <mergeCell ref="F762:I762"/>
    <mergeCell ref="F763:I763"/>
    <mergeCell ref="F764:I764"/>
    <mergeCell ref="F765:I765"/>
    <mergeCell ref="F766:I766"/>
    <mergeCell ref="F767:I767"/>
    <mergeCell ref="F768:I768"/>
    <mergeCell ref="F769:I769"/>
    <mergeCell ref="G771:H771"/>
    <mergeCell ref="A116:A130"/>
    <mergeCell ref="A131:A146"/>
    <mergeCell ref="A372:A394"/>
    <mergeCell ref="A395:A407"/>
    <mergeCell ref="A408:A420"/>
    <mergeCell ref="A421:A427"/>
    <mergeCell ref="A428:A434"/>
    <mergeCell ref="A436:A451"/>
    <mergeCell ref="A452:A467"/>
    <mergeCell ref="A468:A483"/>
    <mergeCell ref="A484:A486"/>
    <mergeCell ref="A487:A489"/>
    <mergeCell ref="A490:A492"/>
    <mergeCell ref="A494:A499"/>
    <mergeCell ref="A501:A506"/>
    <mergeCell ref="A507:A510"/>
    <mergeCell ref="A515:A519"/>
    <mergeCell ref="A521:A534"/>
    <mergeCell ref="A535:A548"/>
    <mergeCell ref="A558:A570"/>
    <mergeCell ref="A572:A575"/>
    <mergeCell ref="A577:A582"/>
    <mergeCell ref="B116:B130"/>
    <mergeCell ref="B131:B146"/>
    <mergeCell ref="B372:B394"/>
    <mergeCell ref="B395:B407"/>
    <mergeCell ref="B408:B420"/>
    <mergeCell ref="B421:B427"/>
    <mergeCell ref="B428:B434"/>
    <mergeCell ref="B436:B451"/>
    <mergeCell ref="B452:B467"/>
    <mergeCell ref="B468:B483"/>
    <mergeCell ref="B484:B486"/>
    <mergeCell ref="B487:B489"/>
    <mergeCell ref="B490:B492"/>
    <mergeCell ref="B494:B499"/>
    <mergeCell ref="B501:B506"/>
    <mergeCell ref="B507:B510"/>
    <mergeCell ref="B515:B519"/>
    <mergeCell ref="B521:B533"/>
    <mergeCell ref="B535:B548"/>
    <mergeCell ref="B558:B570"/>
    <mergeCell ref="B572:B575"/>
    <mergeCell ref="B577:B582"/>
    <mergeCell ref="C116:C130"/>
    <mergeCell ref="C131:C146"/>
    <mergeCell ref="C372:C394"/>
    <mergeCell ref="C395:C407"/>
    <mergeCell ref="C408:C420"/>
    <mergeCell ref="C421:C427"/>
    <mergeCell ref="C428:C434"/>
    <mergeCell ref="C436:C451"/>
    <mergeCell ref="C452:C467"/>
    <mergeCell ref="C468:C483"/>
    <mergeCell ref="C484:C486"/>
    <mergeCell ref="C487:C489"/>
    <mergeCell ref="C490:C492"/>
    <mergeCell ref="C494:C499"/>
    <mergeCell ref="C501:C506"/>
    <mergeCell ref="C507:C510"/>
    <mergeCell ref="C515:C519"/>
    <mergeCell ref="C521:C534"/>
    <mergeCell ref="C535:C548"/>
    <mergeCell ref="C558:C570"/>
    <mergeCell ref="C572:C575"/>
    <mergeCell ref="C577:C582"/>
    <mergeCell ref="D116:D130"/>
    <mergeCell ref="D131:D146"/>
    <mergeCell ref="D372:D394"/>
    <mergeCell ref="D395:D407"/>
    <mergeCell ref="D408:D420"/>
    <mergeCell ref="D421:D427"/>
    <mergeCell ref="D428:D434"/>
    <mergeCell ref="D436:D451"/>
    <mergeCell ref="D452:D467"/>
    <mergeCell ref="D468:D483"/>
    <mergeCell ref="D484:D486"/>
    <mergeCell ref="D487:D489"/>
    <mergeCell ref="D490:D492"/>
    <mergeCell ref="D494:D499"/>
    <mergeCell ref="D501:D506"/>
    <mergeCell ref="D507:D510"/>
    <mergeCell ref="D515:D519"/>
    <mergeCell ref="D521:D534"/>
    <mergeCell ref="D535:D548"/>
    <mergeCell ref="D558:D570"/>
    <mergeCell ref="D572:D575"/>
    <mergeCell ref="D577:D582"/>
    <mergeCell ref="E116:E130"/>
    <mergeCell ref="E131:E146"/>
    <mergeCell ref="E372:E394"/>
    <mergeCell ref="E395:E407"/>
    <mergeCell ref="E408:E420"/>
    <mergeCell ref="E515:E519"/>
    <mergeCell ref="A1:I10"/>
  </mergeCells>
  <pageMargins left="0.7" right="0.7" top="0.75" bottom="0.75" header="0" footer="0"/>
  <pageSetup paperSize="9" scale="27"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Resumo</vt:lpstr>
      <vt:lpstr>Planilha</vt:lpstr>
      <vt:lpstr>FisicoFinanceiro</vt:lpstr>
      <vt:lpstr>CURVA ABC</vt:lpstr>
      <vt:lpstr>Composição</vt:lpstr>
      <vt:lpstr>Cotação</vt:lpstr>
      <vt:lpstr>BDI</vt:lpstr>
      <vt:lpstr>Enc. Sociais</vt:lpstr>
      <vt:lpstr>Mem. Cálculo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NIB</dc:creator>
  <cp:lastModifiedBy>Juliana Borsoi</cp:lastModifiedBy>
  <dcterms:created xsi:type="dcterms:W3CDTF">2025-10-22T20:14:00Z</dcterms:created>
  <cp:lastPrinted>2025-10-28T10:27:00Z</cp:lastPrinted>
  <dcterms:modified xsi:type="dcterms:W3CDTF">2025-11-03T22:09:21Z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F5A64AA20A2E4F67BABC87BD8DD761EA_12</vt:lpwstr>
  </property>
  <property fmtid="{D5CDD505-2E9C-101B-9397-08002B2CF9AE}" pid="3" name="KSOProductBuildVer">
    <vt:lpwstr>1046-12.2.0.23131</vt:lpwstr>
  </property>
</Properties>
</file>