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G:\Meu Drive\Arquivos secretaria e pregão\Pregoeira\PE_90061_2025_MATERIAL HOSPITALAR INJETAVEIS\MInuta correta\"/>
    </mc:Choice>
  </mc:AlternateContent>
  <xr:revisionPtr revIDLastSave="0" documentId="13_ncr:1_{2BFE63FA-CD46-414B-ACD3-62D0D5DDB03F}" xr6:coauthVersionLast="47" xr6:coauthVersionMax="47" xr10:uidLastSave="{00000000-0000-0000-0000-000000000000}"/>
  <bookViews>
    <workbookView xWindow="-120" yWindow="-120" windowWidth="20730" windowHeight="11040" xr2:uid="{00000000-000D-0000-FFFF-FFFF00000000}"/>
  </bookViews>
  <sheets>
    <sheet name="Anexo III" sheetId="1" r:id="rId1"/>
    <sheet name="Intervalos" sheetId="2" r:id="rId2"/>
  </sheets>
  <definedNames>
    <definedName name="_xlnm._FilterDatabase" localSheetId="0" hidden="1">'Anexo III'!#REF!</definedName>
    <definedName name="_xlnm.Print_Area" localSheetId="0">'Anexo III'!$A$1:$M$107</definedName>
  </definedNames>
  <calcPr calcId="181029"/>
</workbook>
</file>

<file path=xl/calcChain.xml><?xml version="1.0" encoding="utf-8"?>
<calcChain xmlns="http://schemas.openxmlformats.org/spreadsheetml/2006/main">
  <c r="G52" i="1" l="1"/>
  <c r="H6" i="1"/>
  <c r="G6" i="1"/>
  <c r="H7" i="1"/>
  <c r="G7" i="1"/>
  <c r="H52" i="1" l="1"/>
  <c r="H55" i="1"/>
  <c r="H54" i="1"/>
  <c r="H53" i="1"/>
  <c r="G55" i="1"/>
  <c r="G54" i="1"/>
  <c r="G53" i="1"/>
  <c r="H59" i="1"/>
  <c r="G59" i="1"/>
  <c r="H66" i="1"/>
  <c r="H65" i="1"/>
  <c r="H64" i="1"/>
  <c r="H63" i="1"/>
  <c r="H62" i="1"/>
  <c r="G66" i="1"/>
  <c r="G65" i="1"/>
  <c r="G64" i="1"/>
  <c r="G63" i="1"/>
  <c r="G62" i="1"/>
  <c r="H101" i="1"/>
  <c r="H100" i="1"/>
  <c r="H99" i="1"/>
  <c r="H98" i="1"/>
  <c r="H97" i="1"/>
  <c r="H96" i="1"/>
  <c r="H95" i="1"/>
  <c r="H94" i="1"/>
  <c r="G101" i="1"/>
  <c r="G100" i="1"/>
  <c r="G99" i="1"/>
  <c r="G98" i="1"/>
  <c r="G97" i="1"/>
  <c r="G96" i="1"/>
  <c r="G95" i="1"/>
  <c r="G94" i="1"/>
  <c r="H102" i="1"/>
  <c r="G102" i="1"/>
  <c r="H42" i="1"/>
  <c r="H41" i="1"/>
  <c r="H40" i="1"/>
  <c r="H39" i="1"/>
  <c r="H38" i="1"/>
  <c r="H37" i="1"/>
  <c r="G42" i="1"/>
  <c r="G41" i="1"/>
  <c r="G40" i="1"/>
  <c r="G39" i="1"/>
  <c r="G38" i="1"/>
  <c r="G37" i="1"/>
  <c r="H43" i="1"/>
  <c r="G43" i="1"/>
  <c r="I105" i="1" l="1"/>
  <c r="I104" i="1"/>
  <c r="I90" i="1"/>
  <c r="I89" i="1"/>
  <c r="I87" i="1"/>
  <c r="I86" i="1"/>
  <c r="I85" i="1"/>
  <c r="I84" i="1"/>
  <c r="I83" i="1"/>
  <c r="I80" i="1"/>
  <c r="I76" i="1"/>
  <c r="I73" i="1"/>
  <c r="I72" i="1"/>
  <c r="I71" i="1"/>
  <c r="I70" i="1"/>
  <c r="I64" i="1"/>
  <c r="I4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7" i="1"/>
  <c r="I48" i="1"/>
  <c r="I49" i="1"/>
  <c r="I50" i="1"/>
  <c r="I51" i="1"/>
  <c r="I52" i="1"/>
  <c r="I53" i="1"/>
  <c r="I54" i="1"/>
  <c r="I55" i="1"/>
  <c r="I56" i="1"/>
  <c r="I57" i="1"/>
  <c r="I58" i="1"/>
  <c r="I59" i="1"/>
  <c r="I60" i="1"/>
  <c r="I61" i="1"/>
  <c r="I62" i="1"/>
  <c r="I63" i="1"/>
  <c r="I65" i="1"/>
  <c r="I66" i="1"/>
  <c r="I67" i="1"/>
  <c r="I68" i="1"/>
  <c r="I69" i="1"/>
  <c r="I74" i="1"/>
  <c r="I75" i="1"/>
  <c r="I77" i="1"/>
  <c r="I81" i="1"/>
  <c r="I82" i="1"/>
  <c r="I88" i="1"/>
  <c r="I91" i="1"/>
  <c r="I92" i="1"/>
  <c r="I93" i="1"/>
  <c r="I94" i="1"/>
  <c r="I95" i="1"/>
  <c r="I96" i="1"/>
  <c r="I97" i="1"/>
  <c r="I98" i="1"/>
  <c r="I99" i="1"/>
  <c r="I100" i="1"/>
  <c r="I101" i="1"/>
  <c r="I102" i="1"/>
  <c r="I103" i="1"/>
  <c r="I6" i="1"/>
  <c r="J37" i="1" l="1"/>
  <c r="J8" i="1"/>
  <c r="J83" i="1"/>
  <c r="J80" i="1"/>
  <c r="J47" i="1"/>
  <c r="J16" i="1"/>
  <c r="J50" i="1"/>
  <c r="J19" i="1"/>
  <c r="J29" i="1"/>
  <c r="J89" i="1"/>
  <c r="J33" i="1"/>
  <c r="J69" i="1"/>
  <c r="J56" i="1"/>
  <c r="J103" i="1"/>
  <c r="J53" i="1"/>
  <c r="J62" i="1"/>
  <c r="J94" i="1"/>
  <c r="I79" i="1"/>
  <c r="I78" i="1"/>
  <c r="M7" i="1"/>
  <c r="M8"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J74" i="1" l="1"/>
  <c r="M6" i="1"/>
  <c r="I106" i="1" l="1"/>
</calcChain>
</file>

<file path=xl/sharedStrings.xml><?xml version="1.0" encoding="utf-8"?>
<sst xmlns="http://schemas.openxmlformats.org/spreadsheetml/2006/main" count="513" uniqueCount="142">
  <si>
    <t>PRÓ-REITORIA DE ADMINISTRAÇÃO</t>
  </si>
  <si>
    <t>UNIDADE DE MEDIDA</t>
  </si>
  <si>
    <t>COORDENAÇÃO DE MATERIAIS</t>
  </si>
  <si>
    <t>DESCRIÇÃO/ ESPECIFICAÇÃO</t>
  </si>
  <si>
    <t>Aberto</t>
  </si>
  <si>
    <t>SUGESTÃO DE CATMAT</t>
  </si>
  <si>
    <t>VALOR TOTAL</t>
  </si>
  <si>
    <t>Diferença Mínima
 de Valores / 
Percentuais de 
Lances</t>
  </si>
  <si>
    <t>Valor Unitário
Estimado (Faixa)</t>
  </si>
  <si>
    <t>0,10%</t>
  </si>
  <si>
    <t>Interpretação</t>
  </si>
  <si>
    <t>R$ 0,01 - R$ 5,00 =&gt; R$ 0,01</t>
  </si>
  <si>
    <t>R$ 5,01 - R$ 10,00 =&gt; R$ 0,02</t>
  </si>
  <si>
    <t>R$ 10,01 - R$ 20,00 =&gt; R$ 0,03</t>
  </si>
  <si>
    <t>R$ 20,01 - R$ 50,00 =&gt; R$ 0,05</t>
  </si>
  <si>
    <t>R$ 50,01 - R$ 100,00 =&gt; R$ 0,10</t>
  </si>
  <si>
    <t>Acima de R$ 100,00 =&gt; 0,10%</t>
  </si>
  <si>
    <t>ITEM LICITAÇÃO</t>
  </si>
  <si>
    <t>VALOR UNITÁRIO</t>
  </si>
  <si>
    <t xml:space="preserve">QUANTIDADE </t>
  </si>
  <si>
    <t>MODO DE DISPUTA</t>
  </si>
  <si>
    <t>INTERVALO LANCES</t>
  </si>
  <si>
    <t>EXCLUSIVO ME/EPP</t>
  </si>
  <si>
    <t>INFORMAÇÕES ADICIONAIS</t>
  </si>
  <si>
    <t>GRUPO</t>
  </si>
  <si>
    <t>ANEXO III - PLANILHA ESTIMATIVA DE DESCRIÇÃO E PREÇOS</t>
  </si>
  <si>
    <t>VALOR TOTAL DO GRUPO</t>
  </si>
  <si>
    <t>caixa c/ 100 und</t>
  </si>
  <si>
    <t>Pacote com 100 unidades</t>
  </si>
  <si>
    <t>AGULHA , HIPODÉRMICA, 13 X 4,5, CORPO EM AÇO INÓX SILICONIZADO, BISEL CURTO TRIFACETADO, CONECTOR EM PLÁSTICO LUER, PROTETOR PLÁSTICO, ESTÉRIL, DESCARTÁVEL, EMBALAGEM INDIVIDUAL. Sistema 26G 1/2</t>
  </si>
  <si>
    <t>AGULHA , HIPODÉRMICA, 20 X 5,5, CORPO EM AÇO INÓX SILICONIZADO, BISEL CURTO TRIFACETADO, CONECTOR EM PLÁSTICO LUER, PROTETOR PLÁSTICO, ESTÉRIL, DESCARTÁVEL, EMBALAGEM INDIVIDUAL. SISTEMA 24G 3/4</t>
  </si>
  <si>
    <t>AGULHA , HIPODÉRMICA, 25 X 6, CORPO EM AÇO INÓX SILICONIZADO, BISEL CURTO TRIFACETADO, CONECTOR EM PLÁSTICO LUER, PROTETOR PLÁSTICO, ESTÉRIL, DESCARTÁVEL, EMBALAGEM INDIVIDUAL. SISTEMA 23G1</t>
  </si>
  <si>
    <t>AGULHA , HIPODÉRMICA, 25 X 7, CORPO EM AÇO INÓX SILICONIZADO, BISEL CURTO TRIFACETADO, CONECTOR EM PLÁSTICO LUER, PROTETOR PLÁSTICO, ESTÉRIL, DESCARTÁVEL, EMBALAGEM INDIVIDUAL. SISTEMA 22G 1</t>
  </si>
  <si>
    <t>AGULHA , HIPODÉRMICA, 25 X 8, CORPO EM AÇO INÓX SILICONIZADO, BISEL CURTO TRIFACETADO, CONECTOR EM PLÁSTICO LUER, PROTETOR PLÁSTICO, ESTÉRIL, DESCARTÁVEL, EMBALAGEM INDIVIDUAL. Sistema 21G1</t>
  </si>
  <si>
    <t>AGULHA , HIPODÉRMICA, 30 X 8, CORPO EM AÇO INÓX SILICONIZADO, BISEL CURTO TRIFACETADO, CONECTOR EM PLÁSTICO LUER, PROTETOR PLÁSTICO, ESTÉRIL, DESCARTÁVEL, EMBALAGEM INDIVIDUAL. SISTEMA 21G 1 1/4</t>
  </si>
  <si>
    <t>AGULHA , HIPODÉRMICA, 40 X 12, CORPO EM AÇO INÓX SILICONIZADO, BISEL CURTO TRIFACETADO, CONECTOR EM PLÁSTICO LUER, PROTETOR PLÁSTICO, ESTÉRIL, DESCARTÁVEL, EMBALAGEM INDIVIDUAL. SISTEMA 18G 1 1/2</t>
  </si>
  <si>
    <t>AGULHA , HIPODÉRMICA, 40 X 8, CORPO EM AÇO INÓX SILICONIZADO, BISEL CURTO TRIFACETADO, CONECTOR EM PLÁSTICO LUER, PROTETOR PLÁSTICO, ESTÉRIL, DESCARTÁVEL, EMBALAGEM INDIVIDUAL. SISTEMA 21G 1 1/2</t>
  </si>
  <si>
    <t>unidade</t>
  </si>
  <si>
    <t xml:space="preserve">Agulha Biópsia Semi-automática para Tecidos Moles 14G x 10cm Tipo Tru-Cut® Agulha (Cânula) para biópsia de tecidos moles com empunhadura em policarbonato, cânula em aço inoxidável, descartável, com limitador de profundidade, graduada e radiopaca. Cânula em formato de guilhotina e de disparo semiautomático. Possui um dispositivo que permite um duplo disparo para um corte preciso do fragmento de tecido, empunhadura ergonômica, mandril interno e uma ranhura que permite um corte preciso da amostra de tecido desejada. A cânula possui um ponto biótico, graduado em centímetros, com um limitador de profundidade. Seu mecanismo de ação consiste em um corte de fragmento regulado por um dispositivo na empunhadura, com seleção para um ou dois centímetros de fragmento, com disparo semiautomático, por impulsão à mola. </t>
  </si>
  <si>
    <t>Agulha Biópsia Semi-automática para Tecidos Moles 16G x 16cm Tipo Tru-Cut® Agulha (Cânula) para biópsia de tecidos moles com empunhadura em policarbonato, cânula em aço inoxidável, descartável, com limitador de profundidade, graduada e radiopaca. Cânula em formato de guilhotina e de disparo semiautomático. Possui um dispositivo que permite um duplo disparo para um corte preciso do fragmento de tecido, empunhadura ergonômica, mandril interno e uma ranhura que permite um corte preciso da amostra de tecido desejada. A cânula possui um ponto biótico, graduado em centímetros, com um limitador de profundidade. Seu mecanismo de ação consiste em um corte de fragmento regulado por um dispositivo na empunhadura, com seleção para um ou dois centímetros de fragmento, com disparo semiautomático, por impulsão à mola.</t>
  </si>
  <si>
    <t>Agulha Biópsia Semi-automática para Tecidos Moles 18G x 16cm Tipo Tru-Cut® Agulha (Cânula) para biópsia de tecidos moles com empunhadura em policarbonato, cânula em aço inoxidável, descartável, com limitador de profundidade, graduada e radiopaca. Cânula em formato de guilhotina e de disparo semiautomático. Possui um dispositivo que permite um duplo disparo para um corte preciso do fragmento de tecido, empunhadura ergonômica, mandril interno e uma ranhura que permite um corte preciso da amostra de tecido desejada. A cânula possui um ponto biótico, graduado em centímetros, com um limitador de profundidade. Seu mecanismo de ação consiste em um corte de fragmento regulado por um dispositivo na empunhadura, com seleção para um ou dois centímetros de fragmento, com disparo semiautomático, por impulsão à mola.</t>
  </si>
  <si>
    <t xml:space="preserve">AGULHA COLETA SANGUE À VÁCUO, AÇO INOXIDÁVEL SILICONIZADO, 21 G X 1", BISEL CURTO TRIFACETADO, CONECTOR LUER LOCK EM PLÁSTICO, PROTETOR PLÁSTICO, ESTÉRIL, DESCARTÁVEL, EMBALAGEM INDIVIDUAL. </t>
  </si>
  <si>
    <t>AGULHA COLETA SANGUE À VÁCUO, AÇO INOXIDÁVEL SILICONIZADO, 22 G X 1", BISEL CURTO TRIFACETADO, CONECTOR LUER LOCK EM PLÁSTICO, PROTETOR PLÁSTICO, ESTÉRIL, DESCARTÁVEL, EMBALAGEM INDIVIDUAL</t>
  </si>
  <si>
    <t>Agulha de aspiração de medula óssea (mielograma), permitindo a punção em esterno ou crista ilíaca. Cânula de 18 g x 30 mm (+/-5 mm) de comprimento, com delimitador de profundidade e empunhadura ergonômica. Conexão luer lock. Esteril, uso único. Embalagem  individual com abertura asséptica</t>
  </si>
  <si>
    <t>Und.</t>
  </si>
  <si>
    <t>AGULHA DE BIÓPSIA, APLICAÇÃO ASPIRATIVA, MATERIAL AÇO INOXIDÁVEL, CENTIMETRADA , DIMENSÃO 18 G X 15 CM, TIPO PONTA PONTA CHIBA, COMPONENTE I C/ MARCADOR PROFUNDIDADE, CARACTERÍSTICA ADICIONAL REVESTIMENTO ECOGÊNICO, TIPO USO DESCARTÁVEL, ESTERILIDADE ESTÉRIL</t>
  </si>
  <si>
    <t>AGULHA DE BIÓPSIA, APLICAÇÃO P/ BIÓPSIA RENAL, MATERIAL AÇO INOXIDÁVEL, CENTIMETRADA, DIMENSÃO 16G X 15CM, TIPO PONTA CORTE P/ BIÓPSIA HISTOLÓGICA, COMPONENTE DISPARO SEMIAUTOMÁTICO, CONECTOR SISTEMA ENCAIXE, TIPO USO DESCARTÁVEL, ESTERILIDADE ESTÉRIL</t>
  </si>
  <si>
    <t>AGULHA DE BIÓPSIA, APLICAÇÃO TECIDOS MOLES, MATERIAL AÇO INOXIDÁVEL, CENTIMETRADA, DIMENSÃO 14 G X 15 CM, TIPO PONTA PONTA PIRAMIDAL ECOGÊNICA, COMPONENTE DISPARO SEMIAUTOMÁTICO, COMPONENTE II AVANÇO DE 10 À 20 MM, CARACTERÍSTICA ADICIONAL C/ INTRODUTOR COAXIAL</t>
  </si>
  <si>
    <t>AGULHA DE BIÓPSIA, P/ MEDULA ÓSSEA, AÇO INOXIDÁVEL, 16 G X 33 MM, CORTANTE, TIPO ROSENTHAL, CONECTOR LUER LOCK, REUSÁVEL, AUTOCLAVÁVEL</t>
  </si>
  <si>
    <t>Agulha Hipodérmica Descartável 26G 1/2 13 x 0,45 mm. Caixa com 100 unidades</t>
  </si>
  <si>
    <t>Caixa com 100 unidades</t>
  </si>
  <si>
    <t>Agulha para acupuntura 0,25mm x 30mm. Cabo espiral; Aço inoxidável; Estéril; Validade: 05 anos. Caixa com 100 unidades</t>
  </si>
  <si>
    <t>caixa</t>
  </si>
  <si>
    <t>Agulha para Biópsia Medula Óssea 11G x 10cm – Tipo Jamshidi. Cânula em aço inoxidável; Extremidade distal cônica, ponta tipo bisel e conexão luer lock para o encaixe de seringas.</t>
  </si>
  <si>
    <t>Agulha para Biópsia Medula Óssea 11G x 15cm – Tipo Jamshidi. Cânula em aço inoxidável; Extremidade distal cônica, ponta tipo bisel e conexão luer lock para o encaixe de seringas.</t>
  </si>
  <si>
    <t>Agulha para Biópsia Medula Óssea 8G x 10cm – Tipo Jamshidi. Cânula em aço inoxidável; Extremidade distal cônica, ponta tipo bisel e conexão luer lock para o encaixe de seringas.</t>
  </si>
  <si>
    <t>CANETA USO MÉDICO, POLÍMERO, MONOPOLAR, COMANDO MANUAL, C/ CABO FIXO, CONECTOR COMPATÍVEL C/ BISTURI ELÉTRICO, ESTERILIZÁVEL. Adapta-se a Pequenos Bisturis Cautério das marcas: Deltronix, Wem, Emai, Medcir, Valey Labbs, etc</t>
  </si>
  <si>
    <t>CATETER P/ TERAPIA RENAL, DIÁLISE PERITONEAL, COM 2 CUFFS LONGA PERMANÊNCIA, TUNELIZADO, TENCKHOFF, SILICONE, CERCA DE 15 FRENCH, CERCA DE 42 CM, DUPLO ANEL DE POLIÉSTER P/ FIXAÇÃO, EXTREMIDADE PROXIMAL MULTIPERFURADA, C/ LINHA RADIOPACA, ESTÉRIL, USO ÚNICO</t>
  </si>
  <si>
    <t>CATETER P/ TERAPIA RENAL, DIÁLISE PERITONEAL, LONGA PERMANÊNCIA, TENCKHOFF, SILICONE, CERCA DE 30 CM, NEONATAL, ÚNICO ANEL DE POLIÉSTER P/ FIXAÇÃO, KIT C/ CLAMP, TAMPA E CONECTOR, LINHA RADIOPACA, ESTÉRIL, USO ÚNICO</t>
  </si>
  <si>
    <t>CATETER P/ TERAPIA RENAL, DIÁLISE PERITONEAL, LONGA PERMANÊNCIA, TENCKHOFF, SILICONE, CERCA DE 40 CM, PEDIÁTRICO, ÚNICO ANEL DE POLIÉSTER P/ FIXAÇÃO, KIT C/ ESTILETE, TUNELIZADOR, INTRODUTOR, CLAMP, CONECTOR, LINHA RADIOPACA, ESTÉRIL, USO ÚNICO</t>
  </si>
  <si>
    <t>Cateter totalmente implantável (ou port-a-cath lactente) NEONATAL (kit). Kit composto por 1 Porta padrão em titânio e Polioximetileno com um septo de silicone, 1 Cateter de silicone ou de poliuretano radiopaco (graduado a cada cm), 2 Anéis de conexão (apenas um para as referências pré-conectado), 1 Agulha tipo Huber reta (23G), 1 Cateter introdutor, 1 Cateter de lavagem lavagem, 1 Introdutor, 1 Fio-guia J (0,018 ou 0,035 x 40 centímetros), 1 Agulha de punção, 1 Dispositivo de tunelamento e 1 Seringa de 10mlCateter totalmente implantável (ou port-a-cath lactente) NEONATAL (kit). Kit composto por 1 Porta padrão em titânio e Polioximetileno com um septo de silicone, 1 Cateter de silicone ou de poliuretano radiopaco (graduado a cada cm), 2 Anéis de conexão (apenas um para as referências pré-conectado), 1 Agulha tipo Huber reta (23G), 1 Cateter introdutor, 1 Cateter de lavagem lavagem, 1 Introdutor, 1 Fio-guia J (0,018 ou 0,035 x 40 centímetros), 1 Agulha de punção, 1 Dispositivo de tunelamento e 1 Seringa de 10ml</t>
  </si>
  <si>
    <t>Cateter totalmente implantável (ou port-a-cath mini) INFANTIL (kit). Kit composto por 1 Porta padrão em titânio e Polioximetileno com um septo de silicone, 1 Cateter de silicone ou de poliuretano radiopaco (graduado a cada cm), 2 Anéis de conexão (apenas um para as referências pré-conectado), 1 Agulha tipo Huber reta (23G), 1 Cateter introdutor, 1 Cateter de lavagem lavagem, 1 Introdutor, 1 Fio-guia J (0,035 x 60 centímetros), 1 Agulha de punção, 1 Dispositivo de tunelamento e 1 Seringa de 10ml</t>
  </si>
  <si>
    <t>Cateter totalmente implantável (ou port-a-cath) ADULTO (kit). Kit composto por 1 Porta padrão em titânio e Polioximetileno com um septo de silicone, 1 Cateter de silicone (8F) ou de poliuretano (7F) radiopaco (graduado a cada cm), 2 Anéis de conexão (apenas um para as referências pré-conectado), 1 Agulha tipo Huber reta (22G), 1 Cateter introdutor, 1 Cateter de lavagem lavagem, 1 Introdutor, 1 Fio-guia J (0,035 x 60 centímetros), 1 Agulha de punção, 1 Dispositivo de tunelamento e 1 Seringa de 10ml</t>
  </si>
  <si>
    <t>Cateter venoso central (CVC) duplo lúmen, poliuretano, radiopaco, siliconizado, flexível, estéril, descartável, atóxico, hipoalergênico,  apirogênico, e que resista às soluções alcoólicas, com aproximadamente 20cm, com guia e agulha 7 Fr de 7cm. Adulto</t>
  </si>
  <si>
    <t>Cateter venoso central (CVC) duplo lúmen, poliuretano, radiopaco, siliconizado, flexível, estéril, descartável, atóxico, hipoalergênico, apirogênico, e que resista às soluções alcoólicas, com aproximadamente 20cm, com guia e agulha 4 Fr. Pediátrico.</t>
  </si>
  <si>
    <t>Dispositivo adaptador PRN conexão luer lock 3/4 curto.Dispositivo Luer De Acesso Fechado Iv. Fornecimento em caixa com 50 unidades.</t>
  </si>
  <si>
    <t>Escalpe para coleta a vácuo, estéril 25 G. Fornecimento em caixa com 100 unidades</t>
  </si>
  <si>
    <t>Escalpe para coleta a vácuo, estéril, 21 G. Fornecimento em caixa com 100 unidades</t>
  </si>
  <si>
    <t>Escalpe para coleta a vácuo, estéril, 23 G. Fornecimento em caixa com 100 unidades</t>
  </si>
  <si>
    <t>Extensor Perfusor 120 cm. Os extensores de linhas venosas que garante o preenchimento rápido, seguro e automático do Equipo, ao mesmo tempo que evita a exposição do profissional de saúde e paciente à solução preparada. Extensor em PVC de via única para administração de soluções parenterais gravitacionais ou em bombas de infusão. Alongam as vias de infusão, ligando o acesso aos demais equipamentos de infusão e favorecendo a mobilização dos pacientes sem riscos de tração das linhas. Estéril e apirogênico. Extensofix 120 cm; Material Tubo: PVC-DEHP Free; Conector Proximal: Luer Lock; Conector Distal: Luer Lock Rotativo. Infusão de líquidos nas práticas de administração de medicamentos</t>
  </si>
  <si>
    <t>Extensor Perfusor 20 cm. Os extensores de linhas venosas que garante o preenchimento rápido, seguro e automático do Equipo, ao mesmo tempo que evita a exposição do profissional de saúde e paciente à solução preparada. Extensor em PVC de via única para administração de soluções parenterais gravitacionais ou em bombas de infusão. Alongam as vias de infusão, ligando o acesso aos demais equipamentos de infusão e favorecendo a mobilização dos pacientes sem riscos de tração das linhas. Estéril e apirogênico. Extensofix 20 cm; Material Tubo: PVC-DEHP Free; Conector Proximal: Luer Lock; Conector Distal: Luer Lock Rotativo. Infusão de líquidos nas práticas de administração de medicamentos.</t>
  </si>
  <si>
    <t>Extensor Perfusor 60 cm. Os extensores de linhas venosas que garante o preenchimento rápido, seguro e automático do Equipo, ao mesmo tempo que evita a exposição do profissional de saúde e paciente à solução preparada. Extensor em PVC de via única para administração de soluções parenterais gravitacionais ou em bombas de infusão. Alongam as vias de infusão, ligando o acesso aos demais equipamentos de infusão e favorecendo a mobilização dos pacientes sem riscos de tração das linhas. Estéril e apirogênico. Extensofix 60 cm; Material Tubo: PVC-DEHP Free; Conector Proximal: Luer Lock; Conector Distal: Luer Lock Rotativo. Infusão de líquidos nas práticas de administração de medicamentos.</t>
  </si>
  <si>
    <t>Lanceta auto-retrátil. Material utilizado na punção digital na realização de exames como glicemia capilar, teste rápido diagnóstico HIV, sífilis, hepatite B e hepatite C, dentre outros. Disparo único. - Molas em aço inox - Ponta trifacetada (reduz a dor) - Calibre 23G - Em conformidade com a NR32 do ministério do trabalho. Fornecimento em caixa com 100 unidades</t>
  </si>
  <si>
    <t xml:space="preserve">Lancetas Accu-Chek® Softclix. Diâmetro da agulha: 0.4 mm. Revestimento de silicone: Sim. Dimensões: 31 x 31 x 71 mm. Peso: 0,012 Kg - Caixa com 200 unidades. </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</si>
  <si>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19G. Fornecimento em pacote com 100 unidades</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</si>
  <si>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21G. Fornecimento em pacote com 100 unidades</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</si>
  <si>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23G. Fornecimento em pacote com 100 unidades</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</si>
  <si>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25G. Fornecimento em pacote com 100 unidades</t>
  </si>
  <si>
    <t>Scalp com cânula em aço inoxidável siliconizada, bisel curto e trifacetado, asa flexível e antiderrapante, tubo extensor de material flexível, atóxico e transparente de até 30 cm de comprimento, conector rígido tipo luer com tampa, possuir protetor de agulha. Estéril e apirogênico, embalado em papel grau cirúrgico, diferenciando o número por cor padronizada de acordo com NBR 9753, calibre Nº 27G. Fornecimento em pacote com 100 unidades</t>
  </si>
  <si>
    <t>Seringa 10 ml com dispositivo de segurança e agulha 25 x 7mm, com dispositivo de segurança, utilizada para o ensino da técnica de administração de medicamentos. Caixa 100 unidades</t>
  </si>
  <si>
    <t>caixa com 100 unidades</t>
  </si>
  <si>
    <t>SERINGA DESCARTÁVEL SEM AGULHA: Bico Cateter - 60ml Atóxicas e apirogênicas; Confeccionadas em polipropileno; Embaladas individualmente; Esterilizadas por óxido de etileno. Bico Cateter - Capacidade 60ml</t>
  </si>
  <si>
    <t>Caixa 10 unidades</t>
  </si>
  <si>
    <t>SERINGA DESCARTÁVEL SEM AGULHA: Seringa hipodérmica, atóxica e apirogênica; Confeccionada em polipropileno; Embalada individualmente; Esterilizada por óxido de etileno. Bico Luer Lock - Capacidade 10ml</t>
  </si>
  <si>
    <t>SERINGA DESCARTÁVEL SEM AGULHA: Seringa hipodérmica, atóxica e apirogênica; Confeccionada em polipropileno; Embalada individualmente; Esterilizada por óxido de etileno. Bico Luer Lock - Capacidade 3ml</t>
  </si>
  <si>
    <t>SERINGA DESCARTÁVEL SEM AGULHA: Seringa hipodérmica, atóxica e apirogênica; Confeccionada em polipropileno; Embalada individualmente; Esterilizada por óxido de etileno. Bico Luer Lock - Capacidade 5ml</t>
  </si>
  <si>
    <t>SERINGA DESCARTÁVEL SEM AGULHA: Seringa hipodérmicas, atóxicas e apirogênicas; Confeccionadas em polipropileno; Embaladas individualmente; Esterilizadas por óxido de etileno. Bico Luer Lock - Capacidade 20ml</t>
  </si>
  <si>
    <t>Caixa com 50 unidades</t>
  </si>
  <si>
    <t>SERINGA DESCARTÁVEL SEM AGULHA: Seringa hipodérmicas, atóxicas e apirogênicas; Confeccionadas em polipropileno; Embaladas individualmente; Esterilizadas por óxido de etileno. Bico Luer Lock - Capacidade 60ml</t>
  </si>
  <si>
    <t>SERINGA DESCARTÁVEL SEM AGULHA: Seringa hipodérmicas, atóxicas e apirogênicas; Confeccionadas em polipropileno; Embaladas individualmente; Esterilizadas por óxido de etileno. Bico Slip - Capacidade 10ml</t>
  </si>
  <si>
    <t>SERINGA DESCARTÁVEL SEM AGULHA: Seringa hipodérmicas, atóxicas e apirogênicas; Confeccionadas em polipropileno; Embaladas individualmente; Esterilizadas por óxido de etileno. Bico Slip - Capacidade 1ml</t>
  </si>
  <si>
    <t>SERINGA DESCARTÁVEL SEM AGULHA: Seringa hipodérmicas, atóxicas e apirogênicas; Confeccionadas em polipropileno; Embaladas individualmente; Esterilizadas por óxido de etileno. Bico Slip - Capacidade 20ml</t>
  </si>
  <si>
    <t>SERINGA DESCARTÁVEL SEM AGULHA: Seringa hipodérmicas, atóxicas e apirogênicas; Confeccionadas em polipropileno; Embaladas individualmente; Esterilizadas por óxido de etileno. Bico Slip - Capacidade 3ml</t>
  </si>
  <si>
    <t>SERINGA DESCARTÁVEL SEM AGULHA: Seringa hipodérmicas, atóxicas e apirogênicas; Confeccionadas em polipropileno; Embaladas individualmente; Esterilizadas por óxido de etileno. Bico Slip - Capacidade 5ml</t>
  </si>
  <si>
    <t>SERINGA DESCARTÁVEL SEM AGULHA: Seringa hipodérmicas, atóxicas e apirogênicas; Confeccionadas em polipropileno; Embaladas individualmente; Esterilizadas por óxido de etileno. Bico Slip - Capacidade 60ml</t>
  </si>
  <si>
    <t>Seringa para insulina 30UI (0,3mL). Agulha fixa de 8mm (5/16") x 0,3mm (30G). Escala de marcação de 1 em 1 unidade, sem volume residual (espaço morto).</t>
  </si>
  <si>
    <t>Embalagem 10 unidades</t>
  </si>
  <si>
    <t>Seringa para insulina 50UI (0,5mL). Agulha fixa de 8mm (5/16") x 0,3mm (30G). Escala de marcação de 1 em 1 unidade, sem volume residual (espaço morto).</t>
  </si>
  <si>
    <t>Seringa Seringa descartável de 1 ml, tipo insulina, de 100 UI, com agulha 12,7 x 0,33 mm embalada com capa protetora, escala graduada por unidade insulínica, volume residual de 0,01 ml. Estéril, atóxica, apirogênica. Será exigido o Selo de Identificação da Conformidade INMETRO/OCP na embalagem (Port. Nº 503 de 29/12/2011 – INMETRO).</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</si>
  <si>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5 cc, Nº 14.</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</si>
  <si>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5 cc, Nº 16.</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</si>
  <si>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5 cc, Nº 18.</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</si>
  <si>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30 cc, Nº 20.</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</si>
  <si>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30 cc, Nº 22.</t>
  </si>
  <si>
    <t>Sonda de borracha (látex natural), tipo Foley, com 2 vias, estéril, siliconizada, válvula luer, possuir formato arredondado da ponta com 2 orifícios laterais, orifícios internos de drenagem grande, arredondado e liso, número do diâmetro e capacidade de enchimento do balão impresso no cateter. Possuir invólucro interno em filme plástico transparente. Balão 30 cc, Nº 24.</t>
  </si>
  <si>
    <t>Sonda nasogástrica longa número 04 composta de tubo de PVC atóxico, transparente, flexível cem forma de cilindro reto e inteiriço, com extremidade proximal arredondada, aberta isenta de rebarbas, com 4 orifícios; Ponta atraumática; Descartável, Estéril, Atóxico, Apirogênico.</t>
  </si>
  <si>
    <t>Sonda nasogástrica longa número 06 composta de tubo de PVC atóxico, transparente, flexível cem forma de cilindro reto e inteiriço, com extremidade proximal arredondada, aberta isenta de rebarbas, com 4 orifícios; Ponta atraumática; Descartável, Estéril, Atóxico, Apirogênico.</t>
  </si>
  <si>
    <t>Sonda nasogástrica longa número 08 composta de tubo de PVC atóxico, transparente, flexível cem forma de cilindro reto e inteiriço, com extremidade proximal arredondada, aberta isenta de rebarbas, com 4 orifícios; Ponta atraumática; Descartável, Estéril, Atóxico, Apirogênico.</t>
  </si>
  <si>
    <t>Sonda nasogástrica longa número 10 composta de tubo de PVC atóxico, transparente, flexível cem forma de cilindro reto e inteiriço, com extremidade proximal arredondada, aberta isenta de rebarbas, com 4 orifícios; Ponta atraumática; Descartável, Estéril, Atóxico, Apirogênico.</t>
  </si>
  <si>
    <t>Sonda uretral flexível de espera PARA GATOS Cor vermelha, entrada em funil, dois olhos, ponta arredondada fechada. Com a temperatura do corpo torna-se mais macia, elástica, flexível. Livre de látex. Medida: 1,2 mm x 41cm. Tamanho: 3.5 Fr/Ch - 1.7mm x 16" (41cm)</t>
  </si>
  <si>
    <t>Trocarte, material : aço inoxidável, tipo cânula: cânula c, superfície lisa, válvula: vedante em silicone, componente 1: torneira p, insuflação, componente 2: s, obturador, dimensões: cerca 12 x 100 mm, tipo uso: reutilizável</t>
  </si>
  <si>
    <t>Trocarte, material : aço inoxidável, tipo cânula: cânula c, superfície lisa, válvula: vedante em silicone, componente 1: torneira p, insuflação, componente 2: s, obturador, dimensões: cerca 5 x 100 mm, tipo uso: reutilizável</t>
  </si>
  <si>
    <t>Trocarte, material : aço inoxidável, tipo cânula: cânula c, superfície lisa, válvula: vedante em silicone, componente 2: s, obturador, dimensões: cerca 11 x 100 mm, tipo uso: reutilizável</t>
  </si>
  <si>
    <t xml:space="preserve"> -</t>
  </si>
  <si>
    <t xml:space="preserve">  -</t>
  </si>
  <si>
    <t>NÃO</t>
  </si>
  <si>
    <t>Agulha para anestesia peridural tipo Tuohy 16G x 3 ½ (90 x 16), cânula em aço inoxidável, dermarcada em centímetros. Canhão transparente luer-lock para conexão segura. Mandril codificado por cores.</t>
  </si>
  <si>
    <t>Agulha para anestesia peridural tipo Tuohy 18G x 3 ½ (90 x 16), cânula em aço inoxidável, dermarcada em centímetros. Canhão transparente luer-lock para conexão segura. Mandril codificado por cores.</t>
  </si>
  <si>
    <t>Agulha para anestesia peridural tipo Tuohy 20G x 3 ½ (90 x 09), cânula em aço inoxidável, dermarcada em centímetros. Canhão transparente luer-lock para conexão segura. Mandril codificado por cores.</t>
  </si>
  <si>
    <t>Agulha de Biopsia e Aspiração da Medula 15g x 50mm Adulto. Agulha para biopsia e aspiração de medula óssea (mielograma) adulto; calibre 15g x 50mm; atraumática,; com bisel tri facetado; delimitador de profundidade; com sistema de trava de agulha e do mandril.</t>
  </si>
  <si>
    <t>Unidade</t>
  </si>
  <si>
    <t>CATETER INTRAVENOSO, VIALON OU POLIURETANO, 16 G, 50 MM, PERIFÉRICO, SILICONIZADO,CÂMARA REFLUXO,TAMPA PROTETORA, DESCARTÁVEL, ESTÉRIL, RADIOPACO, AG. AÇO INOX,BISEL CURTO,TRIFACETADO, (1,7MM X 50MM), TX INFUSÃO 210ML/MIN. Fornecimento em caixa com 100 unidades.</t>
  </si>
  <si>
    <t>CATETER INTRAVENOSO, VIALON OU POLIURETANO, 18 G, 45 MM, PERIFÉRICO, SILICONIZADO,CÂMARA REFLUXO,TAMPA PROTETORA, DESCARTÁVEL, ESTÉRIL, RADIOPACO, AG. AÇO INOX,BISEL CURTO,TRIFACETADO, (1,3MM X 32MM), TX INFUSÃO 100ML/MIN. Fornecimento em caixa com 100 unidades.</t>
  </si>
  <si>
    <t>CATETER INTRAVENOSO, VIALON OU POLIURETANO, 20 G, 32 MM, PERIFÉRICO, SILICONIZADO,CÂMARA REFLUXO,TAMPA PROTETORA, DESCARTÁVEL, ESTÉRIL, RADIOPACO, AG. AÇO INOX,BISEL CURTO,TRIFACETADO, (1,1MM X 32MM), TX INFUSÃO 60ML/MIN. Fornecimento em caixa com 100 unidades.</t>
  </si>
  <si>
    <t>CATETER INTRAVENOSO, VIALON OU POLIURETANO, 22 G, 25 MM, PERIFÉRICO, SILICONIZADO,CÂMARA REFLUXO,TAMPA PROTETORA, DESCARTÁVEL, ESTÉRIL, RADIOPACO, AG. AÇO INOX,BISEL CURTO,TRIFACETADO, (0,9MM X 25MM), TX INFUSÃO 35ML/MIN. Fornecimento em caixa com 100 unidades.</t>
  </si>
  <si>
    <t>CATETER INTRAVENOSO, VIALON OU POLIURETANO, 24 G, 19 MM, PERIFÉRICO, SILICONIZADO,CÂMARA REFLUXO,TAMPA PROTETORA, DESCARTÁVEL, ESTÉRIL, RADIOPACO, AG. AÇO INOX,BISEL CURTO,TRIFACETADO, (0,7MM X 19MM), TX INFUSÃO 22ML/MIN. Fornecimento em caixa com 100 unidades.</t>
  </si>
  <si>
    <t xml:space="preserve">Cateter intravenoso, vialon ou poliuretano, 26 G, 19 mm, periférico, siliconizado, câmara refluxo, tampa protetora, descartável, estéril, radiopaco, ag. Aço inox,bisel curto,trifacetado, (0,6mm x 19mm), tx infusão 15ml/min. Fornecimento em caixa com 100 unidades. </t>
  </si>
  <si>
    <t>Agulha para anestesia peridural tipo Tuohy 22G x 50mm, cânula em aço inoxidável, dermarcada em centímetros. Canhão transparente luer-lock para conexão segura. Mandril codificado por cores.</t>
  </si>
  <si>
    <t>CATETER INTRAVENOSO, VIALON OU POLIURETANO, 14G, 50MM, PERIFÉRICO, SILICONIZADO,CÂMARA REFLUXO,TAMPA PROTETORA, DESCARTÁVEL, ESTÉRIL, RADIOPACO, AG. AÇO INOX,BISEL CURTO,TRIFACETADO. Fornecimento em caixa com 100 unidades.</t>
  </si>
  <si>
    <t>Sondas de aspiração endotraqueal n. 12 - Dispositivo para introdução em órgãos corporais para drenagem de fluidos (secreções ou excreções) ou de administração de soluções diversas (hidratação, contrastes, medicamentos), em caso de sondas respiratórias, administração de oxigênio ou ar comprimido. Espessura da sonda: 4,5mm; - Traqueal para aspiração de secreções da arvore traqueobrônquica;- Estéril; Atóxica; Apirogênico; Descartável (Uso único). Fornecimento em pacote com 20 unidades.</t>
  </si>
  <si>
    <t>Sonda uretral número 04 composta de tubo de PVC atóxico, transparente, flexível com modelo de furação específica e conector com tampa. Descartável, Estéril, Atóxico, Apirogênico. Fornecimento em pacote com 20 unidades.</t>
  </si>
  <si>
    <t>Sonda uretral número 06 composta de tubo de PVC atóxico, transparente, flexível com modelo de furação específica e conector com tampa. Descartável, Estéril, Atóxico, Apirogênico. Fornecimento em pacote com 20 unidades.</t>
  </si>
  <si>
    <t>Sonda uretral número 08 composta de tubo de PVC atóxico, transparente, flexível com modelo de furação específica e conector com tampa. Descartável, Estéril, Atóxico, Apirogênico. Fornecimento em pacote com 20 unidades.</t>
  </si>
  <si>
    <t>Sonda uretral número 10 composta de tubo de PVC atóxico, transparente, flexível com modelo de furação específica e conector com tampa. Descartável, Estéril, Atóxico, Apirogênico. Fornecimento em pacote com 20 unidades.</t>
  </si>
  <si>
    <t>Sonda uretral número 12 composta de tubo de PVC atóxico, transparente, flexível com modelo de furação específica e conector com tampa. Descartável, Estéril, Atóxico, Apirogênico. Fornecimento em pacote com 20 unidades.</t>
  </si>
  <si>
    <t>Sonda uretral número 14 composta de tubo de PVC atóxico, transparente, flexível com modelo de furação específica e conector com tampa. Descartável, Estéril, Atóxico, Apirogênico. Fornecimento em pacote com 20 unidades.</t>
  </si>
  <si>
    <t>Sonda uretral número 16 composta de tubo de PVC atóxico, transparente, flexível com modelo de furação específica e conector com tampa. Descartável, Estéril, Atóxico, Apirogênico. Fornecimento em pacote com 20 unidades.</t>
  </si>
  <si>
    <t>Sonda uretral número 18 composta de tubo de PVC atóxico, transparente, flexível com modelo de furação específica e conector com tampa. Descartável, Estéril, Atóxico, Apirogênico. Fornecimento em pacote com 20 unidades.</t>
  </si>
  <si>
    <t>Filtro de partículas de 5 μm e filtro retentor de bactérias de 0,2 μm para reconstituição segura de medicamentos perigosos, como os antineoplásicos. Livre de PVC, DEHP e látex. Fornecimento em caixa com 25 unidades embaladas individualmente. Modelo de referência: Mini Spike Chemo S.A.</t>
  </si>
  <si>
    <t>Adaptador para frascos de soro, sistema fechado, com dimensional do penetrador conforme NBR 14041, que facilita a utilização das soluções em almotolia e permita fracionamento através de conectores luer e luer lock de seringas e extensores. Com protetores. Fornecimento em pacote com 100 unidades.</t>
  </si>
  <si>
    <t>Adaptador de agulha para coleta de sangue em sistema a vácuo, estéril. Confeccionado em plástico rígido com conector tipo luer lock, adaptável a qualquer marca e calibre de agulhas de coleta múltipla (vácuo). Fornecimento em caixa com 100 unidades.</t>
  </si>
  <si>
    <t>Anvisa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</si>
</sst>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_-[$R$-416]\ * #,##0.00_-;\-[$R$-416]\ * #,##0.00_-;_-[$R$-416]\ * &quot;-&quot;??_-;_-@_-"/>
  </numFmts>
  <fonts count="10"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b/>
      <sz val="11"/>
      <color theme="1"/>
      <name val="Calibri"/>
      <family val="2"/>
      <scheme val="minor"/>
    </font>
    <font>
      <sz val="8"/>
      <name val="Calibri"/>
      <family val="2"/>
      <scheme val="minor"/>
    </font>
  </fonts>
  <fills count="6">
    <fill>
      <patternFill patternType="none"/>
    </fill>
    <fill>
      <patternFill patternType="gray125"/>
    </fill>
    <fill>
      <patternFill patternType="solid">
        <fgColor rgb="FF8DB3E2"/>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44" fontId="3" fillId="0" borderId="0" applyFont="0" applyFill="0" applyBorder="0" applyAlignment="0" applyProtection="0"/>
  </cellStyleXfs>
  <cellXfs count="29">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44" fontId="6" fillId="2" borderId="1" xfId="1" applyFont="1" applyFill="1" applyBorder="1" applyAlignment="1">
      <alignment horizontal="center" vertical="center" wrapText="1"/>
    </xf>
    <xf numFmtId="44" fontId="0" fillId="0" borderId="1" xfId="1" applyFont="1" applyBorder="1" applyAlignment="1">
      <alignment horizontal="center" vertical="center"/>
    </xf>
    <xf numFmtId="44" fontId="3" fillId="0" borderId="1" xfId="1" applyFont="1" applyBorder="1" applyAlignment="1">
      <alignment horizontal="center" vertical="center"/>
    </xf>
    <xf numFmtId="0" fontId="8" fillId="3"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0" fillId="0" borderId="1" xfId="0" applyBorder="1" applyAlignment="1">
      <alignment horizontal="center" vertical="center"/>
    </xf>
    <xf numFmtId="44" fontId="0" fillId="0" borderId="1" xfId="1" applyFont="1" applyBorder="1" applyAlignment="1">
      <alignment horizontal="right" vertical="center"/>
    </xf>
    <xf numFmtId="0" fontId="4" fillId="0" borderId="0" xfId="0" applyFont="1"/>
    <xf numFmtId="0" fontId="9" fillId="5" borderId="1" xfId="0" applyFont="1" applyFill="1" applyBorder="1" applyAlignment="1">
      <alignment horizontal="center" vertical="center" wrapText="1"/>
    </xf>
    <xf numFmtId="0" fontId="9" fillId="5" borderId="1" xfId="0" applyFont="1" applyFill="1" applyBorder="1" applyAlignment="1">
      <alignment vertical="center" wrapText="1"/>
    </xf>
    <xf numFmtId="0" fontId="9" fillId="5" borderId="1" xfId="0" applyFont="1" applyFill="1" applyBorder="1" applyAlignment="1">
      <alignment wrapText="1"/>
    </xf>
    <xf numFmtId="44" fontId="9" fillId="5" borderId="1" xfId="1" applyFont="1" applyFill="1" applyBorder="1" applyAlignment="1">
      <alignment vertical="center" wrapText="1"/>
    </xf>
    <xf numFmtId="164" fontId="9" fillId="5" borderId="1" xfId="0" applyNumberFormat="1" applyFont="1" applyFill="1" applyBorder="1" applyAlignment="1">
      <alignment horizontal="center" vertical="center"/>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44" fontId="9" fillId="5" borderId="2" xfId="1" applyFont="1" applyFill="1" applyBorder="1" applyAlignment="1">
      <alignment horizontal="center" vertical="center" wrapText="1"/>
    </xf>
    <xf numFmtId="44" fontId="9" fillId="5" borderId="3" xfId="1" applyFont="1" applyFill="1" applyBorder="1" applyAlignment="1">
      <alignment horizontal="center" vertical="center" wrapText="1"/>
    </xf>
    <xf numFmtId="44" fontId="9" fillId="5" borderId="4" xfId="1" applyFont="1" applyFill="1" applyBorder="1" applyAlignment="1">
      <alignment horizontal="center" vertical="center" wrapText="1"/>
    </xf>
    <xf numFmtId="0" fontId="2" fillId="0" borderId="0" xfId="0" applyFont="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06"/>
  <sheetViews>
    <sheetView tabSelected="1" zoomScale="115" zoomScaleNormal="115" zoomScaleSheetLayoutView="80" workbookViewId="0">
      <pane xSplit="2" ySplit="5" topLeftCell="C6" activePane="bottomRight" state="frozen"/>
      <selection pane="topRight" activeCell="C1" sqref="C1"/>
      <selection pane="bottomLeft" activeCell="A6" sqref="A6"/>
      <selection pane="bottomRight" activeCell="J103" sqref="J103:J105"/>
    </sheetView>
  </sheetViews>
  <sheetFormatPr defaultColWidth="9.140625" defaultRowHeight="12.75" x14ac:dyDescent="0.2"/>
  <cols>
    <col min="1" max="1" width="5.5703125" style="2" customWidth="1"/>
    <col min="2" max="2" width="8" style="2" bestFit="1" customWidth="1"/>
    <col min="3" max="3" width="56.85546875" style="2" customWidth="1"/>
    <col min="4" max="4" width="14.28515625" style="2" bestFit="1" customWidth="1"/>
    <col min="5" max="5" width="9" style="2" customWidth="1"/>
    <col min="6" max="6" width="10.42578125" style="3" bestFit="1" customWidth="1"/>
    <col min="7" max="7" width="10.42578125" style="4" customWidth="1"/>
    <col min="8" max="8" width="11.140625" style="4" customWidth="1"/>
    <col min="9" max="9" width="14.28515625" style="4" customWidth="1"/>
    <col min="10" max="10" width="11.28515625" style="4" bestFit="1" customWidth="1"/>
    <col min="11" max="11" width="8.140625" style="4" customWidth="1"/>
    <col min="12" max="12" width="7.140625" style="7" bestFit="1" customWidth="1"/>
    <col min="13" max="13" width="8.5703125" style="4" customWidth="1"/>
    <col min="14" max="14" width="16.28515625" style="1" customWidth="1"/>
    <col min="15" max="16" width="9.140625" style="1"/>
    <col min="17" max="17" width="21.85546875" style="1" customWidth="1"/>
    <col min="18" max="18" width="20.28515625" style="1" customWidth="1"/>
    <col min="19" max="16384" width="9.140625" style="1"/>
  </cols>
  <sheetData>
    <row r="1" spans="1:13" ht="12.75" customHeight="1" x14ac:dyDescent="0.2">
      <c r="A1" s="28" t="s">
        <v>0</v>
      </c>
      <c r="B1" s="28"/>
      <c r="C1" s="28"/>
      <c r="D1" s="28"/>
      <c r="E1" s="28"/>
      <c r="F1" s="28"/>
      <c r="G1" s="28"/>
      <c r="H1" s="28"/>
      <c r="I1" s="28"/>
      <c r="J1" s="28"/>
      <c r="K1" s="28"/>
      <c r="L1" s="28"/>
      <c r="M1" s="28"/>
    </row>
    <row r="2" spans="1:13" ht="12.75" customHeight="1" x14ac:dyDescent="0.2">
      <c r="A2" s="28" t="s">
        <v>2</v>
      </c>
      <c r="B2" s="28"/>
      <c r="C2" s="28"/>
      <c r="D2" s="28"/>
      <c r="E2" s="28"/>
      <c r="F2" s="28"/>
      <c r="G2" s="28"/>
      <c r="H2" s="28"/>
      <c r="I2" s="28"/>
      <c r="J2" s="28"/>
      <c r="K2" s="28"/>
      <c r="L2" s="28"/>
      <c r="M2" s="28"/>
    </row>
    <row r="3" spans="1:13" ht="12.75" customHeight="1" x14ac:dyDescent="0.2">
      <c r="A3" s="28" t="s">
        <v>25</v>
      </c>
      <c r="B3" s="28"/>
      <c r="C3" s="28"/>
      <c r="D3" s="28"/>
      <c r="E3" s="28"/>
      <c r="F3" s="28"/>
      <c r="G3" s="28"/>
      <c r="H3" s="28"/>
      <c r="I3" s="28"/>
      <c r="J3" s="28"/>
      <c r="K3" s="28"/>
      <c r="L3" s="28"/>
      <c r="M3" s="28"/>
    </row>
    <row r="5" spans="1:13" ht="33.75" x14ac:dyDescent="0.2">
      <c r="A5" s="5" t="s">
        <v>24</v>
      </c>
      <c r="B5" s="5" t="s">
        <v>17</v>
      </c>
      <c r="C5" s="6" t="s">
        <v>3</v>
      </c>
      <c r="D5" s="6" t="s">
        <v>1</v>
      </c>
      <c r="E5" s="6" t="s">
        <v>5</v>
      </c>
      <c r="F5" s="6" t="s">
        <v>23</v>
      </c>
      <c r="G5" s="6" t="s">
        <v>19</v>
      </c>
      <c r="H5" s="6" t="s">
        <v>18</v>
      </c>
      <c r="I5" s="6" t="s">
        <v>6</v>
      </c>
      <c r="J5" s="6" t="s">
        <v>26</v>
      </c>
      <c r="K5" s="6" t="s">
        <v>22</v>
      </c>
      <c r="L5" s="6" t="s">
        <v>20</v>
      </c>
      <c r="M5" s="6" t="s">
        <v>21</v>
      </c>
    </row>
    <row r="6" spans="1:13" s="16" customFormat="1" ht="45" x14ac:dyDescent="0.2">
      <c r="A6" s="17" t="s">
        <v>113</v>
      </c>
      <c r="B6" s="17">
        <v>1</v>
      </c>
      <c r="C6" s="18" t="s">
        <v>140</v>
      </c>
      <c r="D6" s="18" t="s">
        <v>120</v>
      </c>
      <c r="E6" s="19">
        <v>479641</v>
      </c>
      <c r="F6" s="18" t="s">
        <v>113</v>
      </c>
      <c r="G6" s="18">
        <f>28*100</f>
        <v>2800</v>
      </c>
      <c r="H6" s="20">
        <f>319.8/100</f>
        <v>3.198</v>
      </c>
      <c r="I6" s="20">
        <f>G6*ROUND(H6,2)</f>
        <v>8960</v>
      </c>
      <c r="J6" s="20" t="s">
        <v>113</v>
      </c>
      <c r="K6" s="20" t="s">
        <v>115</v>
      </c>
      <c r="L6" s="8" t="s">
        <v>4</v>
      </c>
      <c r="M6" s="21">
        <f>VLOOKUP(H6, Intervalos!$B$3:$C$8,2,TRUE)</f>
        <v>0.01</v>
      </c>
    </row>
    <row r="7" spans="1:13" s="16" customFormat="1" ht="56.25" x14ac:dyDescent="0.2">
      <c r="A7" s="17" t="s">
        <v>113</v>
      </c>
      <c r="B7" s="17">
        <v>2</v>
      </c>
      <c r="C7" s="18" t="s">
        <v>139</v>
      </c>
      <c r="D7" s="18" t="s">
        <v>120</v>
      </c>
      <c r="E7" s="19">
        <v>481624</v>
      </c>
      <c r="F7" s="18" t="s">
        <v>141</v>
      </c>
      <c r="G7" s="18">
        <f>5*100</f>
        <v>500</v>
      </c>
      <c r="H7" s="20">
        <f>206/100</f>
        <v>2.06</v>
      </c>
      <c r="I7" s="20">
        <f t="shared" ref="I7:I62" si="0">G7*ROUND(H7,2)</f>
        <v>1030</v>
      </c>
      <c r="J7" s="20" t="s">
        <v>113</v>
      </c>
      <c r="K7" s="20" t="s">
        <v>115</v>
      </c>
      <c r="L7" s="8" t="s">
        <v>4</v>
      </c>
      <c r="M7" s="21">
        <f>VLOOKUP(H7, Intervalos!$B$3:$C$8,2,TRUE)</f>
        <v>0.01</v>
      </c>
    </row>
    <row r="8" spans="1:13" s="16" customFormat="1" ht="33.75" x14ac:dyDescent="0.2">
      <c r="A8" s="22">
        <v>1</v>
      </c>
      <c r="B8" s="17">
        <v>3</v>
      </c>
      <c r="C8" s="18" t="s">
        <v>29</v>
      </c>
      <c r="D8" s="18" t="s">
        <v>27</v>
      </c>
      <c r="E8" s="19">
        <v>439812</v>
      </c>
      <c r="F8" s="18" t="s">
        <v>141</v>
      </c>
      <c r="G8" s="18">
        <v>207</v>
      </c>
      <c r="H8" s="20">
        <v>34.9</v>
      </c>
      <c r="I8" s="20">
        <f t="shared" si="0"/>
        <v>7224.2999999999993</v>
      </c>
      <c r="J8" s="25">
        <f>SUM(I8:I15)</f>
        <v>40695.67</v>
      </c>
      <c r="K8" s="25" t="s">
        <v>115</v>
      </c>
      <c r="L8" s="8" t="s">
        <v>4</v>
      </c>
      <c r="M8" s="21">
        <f>VLOOKUP(H8, Intervalos!$B$3:$C$8,2,TRUE)</f>
        <v>0.05</v>
      </c>
    </row>
    <row r="9" spans="1:13" s="16" customFormat="1" ht="33.75" x14ac:dyDescent="0.2">
      <c r="A9" s="23"/>
      <c r="B9" s="17">
        <v>4</v>
      </c>
      <c r="C9" s="18" t="s">
        <v>30</v>
      </c>
      <c r="D9" s="18" t="s">
        <v>27</v>
      </c>
      <c r="E9" s="19">
        <v>439811</v>
      </c>
      <c r="F9" s="18" t="s">
        <v>141</v>
      </c>
      <c r="G9" s="18">
        <v>144</v>
      </c>
      <c r="H9" s="20">
        <v>20</v>
      </c>
      <c r="I9" s="20">
        <f t="shared" si="0"/>
        <v>2880</v>
      </c>
      <c r="J9" s="26"/>
      <c r="K9" s="26"/>
      <c r="L9" s="8" t="s">
        <v>4</v>
      </c>
      <c r="M9" s="21">
        <f>VLOOKUP(H9, Intervalos!$B$3:$C$8,2,TRUE)</f>
        <v>0.05</v>
      </c>
    </row>
    <row r="10" spans="1:13" s="16" customFormat="1" ht="33.75" x14ac:dyDescent="0.2">
      <c r="A10" s="23"/>
      <c r="B10" s="17">
        <v>5</v>
      </c>
      <c r="C10" s="18" t="s">
        <v>31</v>
      </c>
      <c r="D10" s="18" t="s">
        <v>27</v>
      </c>
      <c r="E10" s="19">
        <v>439809</v>
      </c>
      <c r="F10" s="18" t="s">
        <v>141</v>
      </c>
      <c r="G10" s="18">
        <v>88</v>
      </c>
      <c r="H10" s="20">
        <v>28.97</v>
      </c>
      <c r="I10" s="20">
        <f t="shared" si="0"/>
        <v>2549.3599999999997</v>
      </c>
      <c r="J10" s="26"/>
      <c r="K10" s="26"/>
      <c r="L10" s="8" t="s">
        <v>4</v>
      </c>
      <c r="M10" s="21">
        <f>VLOOKUP(H10, Intervalos!$B$3:$C$8,2,TRUE)</f>
        <v>0.05</v>
      </c>
    </row>
    <row r="11" spans="1:13" s="16" customFormat="1" ht="33.75" x14ac:dyDescent="0.2">
      <c r="A11" s="23"/>
      <c r="B11" s="17">
        <v>6</v>
      </c>
      <c r="C11" s="18" t="s">
        <v>32</v>
      </c>
      <c r="D11" s="18" t="s">
        <v>27</v>
      </c>
      <c r="E11" s="19">
        <v>439807</v>
      </c>
      <c r="F11" s="18" t="s">
        <v>141</v>
      </c>
      <c r="G11" s="18">
        <v>429</v>
      </c>
      <c r="H11" s="20">
        <v>22</v>
      </c>
      <c r="I11" s="20">
        <f t="shared" si="0"/>
        <v>9438</v>
      </c>
      <c r="J11" s="26"/>
      <c r="K11" s="26"/>
      <c r="L11" s="8" t="s">
        <v>4</v>
      </c>
      <c r="M11" s="21">
        <f>VLOOKUP(H11, Intervalos!$B$3:$C$8,2,TRUE)</f>
        <v>0.05</v>
      </c>
    </row>
    <row r="12" spans="1:13" s="16" customFormat="1" ht="33.75" x14ac:dyDescent="0.2">
      <c r="A12" s="23"/>
      <c r="B12" s="17">
        <v>7</v>
      </c>
      <c r="C12" s="18" t="s">
        <v>33</v>
      </c>
      <c r="D12" s="18" t="s">
        <v>27</v>
      </c>
      <c r="E12" s="19">
        <v>439804</v>
      </c>
      <c r="F12" s="18" t="s">
        <v>141</v>
      </c>
      <c r="G12" s="18">
        <v>313</v>
      </c>
      <c r="H12" s="20">
        <v>10.83</v>
      </c>
      <c r="I12" s="20">
        <f t="shared" si="0"/>
        <v>3389.79</v>
      </c>
      <c r="J12" s="26"/>
      <c r="K12" s="26"/>
      <c r="L12" s="8" t="s">
        <v>4</v>
      </c>
      <c r="M12" s="21">
        <f>VLOOKUP(H12, Intervalos!$B$3:$C$8,2,TRUE)</f>
        <v>0.03</v>
      </c>
    </row>
    <row r="13" spans="1:13" s="16" customFormat="1" ht="33.75" x14ac:dyDescent="0.2">
      <c r="A13" s="23"/>
      <c r="B13" s="17">
        <v>8</v>
      </c>
      <c r="C13" s="18" t="s">
        <v>34</v>
      </c>
      <c r="D13" s="18" t="s">
        <v>27</v>
      </c>
      <c r="E13" s="19">
        <v>439805</v>
      </c>
      <c r="F13" s="18" t="s">
        <v>141</v>
      </c>
      <c r="G13" s="18">
        <v>113</v>
      </c>
      <c r="H13" s="20">
        <v>20</v>
      </c>
      <c r="I13" s="20">
        <f t="shared" si="0"/>
        <v>2260</v>
      </c>
      <c r="J13" s="26"/>
      <c r="K13" s="26"/>
      <c r="L13" s="8" t="s">
        <v>4</v>
      </c>
      <c r="M13" s="21">
        <f>VLOOKUP(H13, Intervalos!$B$3:$C$8,2,TRUE)</f>
        <v>0.05</v>
      </c>
    </row>
    <row r="14" spans="1:13" s="16" customFormat="1" ht="33.75" x14ac:dyDescent="0.2">
      <c r="A14" s="23"/>
      <c r="B14" s="17">
        <v>9</v>
      </c>
      <c r="C14" s="18" t="s">
        <v>35</v>
      </c>
      <c r="D14" s="18" t="s">
        <v>27</v>
      </c>
      <c r="E14" s="19">
        <v>439799</v>
      </c>
      <c r="F14" s="18" t="s">
        <v>141</v>
      </c>
      <c r="G14" s="18">
        <v>348</v>
      </c>
      <c r="H14" s="20">
        <v>27</v>
      </c>
      <c r="I14" s="20">
        <f t="shared" si="0"/>
        <v>9396</v>
      </c>
      <c r="J14" s="26"/>
      <c r="K14" s="26"/>
      <c r="L14" s="8" t="s">
        <v>4</v>
      </c>
      <c r="M14" s="21">
        <f>VLOOKUP(H14, Intervalos!$B$3:$C$8,2,TRUE)</f>
        <v>0.05</v>
      </c>
    </row>
    <row r="15" spans="1:13" s="16" customFormat="1" ht="33.75" x14ac:dyDescent="0.2">
      <c r="A15" s="24"/>
      <c r="B15" s="17">
        <v>10</v>
      </c>
      <c r="C15" s="18" t="s">
        <v>36</v>
      </c>
      <c r="D15" s="18" t="s">
        <v>27</v>
      </c>
      <c r="E15" s="19">
        <v>439806</v>
      </c>
      <c r="F15" s="18" t="s">
        <v>141</v>
      </c>
      <c r="G15" s="18">
        <v>89</v>
      </c>
      <c r="H15" s="20">
        <v>39.979999999999997</v>
      </c>
      <c r="I15" s="20">
        <f t="shared" si="0"/>
        <v>3558.22</v>
      </c>
      <c r="J15" s="27"/>
      <c r="K15" s="27"/>
      <c r="L15" s="8" t="s">
        <v>4</v>
      </c>
      <c r="M15" s="21">
        <f>VLOOKUP(H15, Intervalos!$B$3:$C$8,2,TRUE)</f>
        <v>0.05</v>
      </c>
    </row>
    <row r="16" spans="1:13" s="16" customFormat="1" ht="135" x14ac:dyDescent="0.2">
      <c r="A16" s="22">
        <v>2</v>
      </c>
      <c r="B16" s="17">
        <v>11</v>
      </c>
      <c r="C16" s="18" t="s">
        <v>38</v>
      </c>
      <c r="D16" s="18" t="s">
        <v>37</v>
      </c>
      <c r="E16" s="19">
        <v>610819</v>
      </c>
      <c r="F16" s="18" t="s">
        <v>141</v>
      </c>
      <c r="G16" s="18">
        <v>63</v>
      </c>
      <c r="H16" s="20">
        <v>213.29</v>
      </c>
      <c r="I16" s="20">
        <f t="shared" si="0"/>
        <v>13437.269999999999</v>
      </c>
      <c r="J16" s="25">
        <f>SUM(I16:I18)</f>
        <v>30417.66</v>
      </c>
      <c r="K16" s="25" t="s">
        <v>115</v>
      </c>
      <c r="L16" s="8" t="s">
        <v>4</v>
      </c>
      <c r="M16" s="21" t="str">
        <f>VLOOKUP(H16, Intervalos!$B$3:$C$8,2,TRUE)</f>
        <v>0,10%</v>
      </c>
    </row>
    <row r="17" spans="1:13" s="16" customFormat="1" ht="135" x14ac:dyDescent="0.2">
      <c r="A17" s="23"/>
      <c r="B17" s="17">
        <v>12</v>
      </c>
      <c r="C17" s="18" t="s">
        <v>39</v>
      </c>
      <c r="D17" s="18" t="s">
        <v>37</v>
      </c>
      <c r="E17" s="19">
        <v>610820</v>
      </c>
      <c r="F17" s="18" t="s">
        <v>141</v>
      </c>
      <c r="G17" s="18">
        <v>63</v>
      </c>
      <c r="H17" s="20">
        <v>139.9</v>
      </c>
      <c r="I17" s="20">
        <f t="shared" si="0"/>
        <v>8813.7000000000007</v>
      </c>
      <c r="J17" s="26"/>
      <c r="K17" s="26"/>
      <c r="L17" s="8" t="s">
        <v>4</v>
      </c>
      <c r="M17" s="21" t="str">
        <f>VLOOKUP(H17, Intervalos!$B$3:$C$8,2,TRUE)</f>
        <v>0,10%</v>
      </c>
    </row>
    <row r="18" spans="1:13" s="16" customFormat="1" ht="135" x14ac:dyDescent="0.2">
      <c r="A18" s="24"/>
      <c r="B18" s="17">
        <v>13</v>
      </c>
      <c r="C18" s="18" t="s">
        <v>40</v>
      </c>
      <c r="D18" s="18" t="s">
        <v>37</v>
      </c>
      <c r="E18" s="19">
        <v>603045</v>
      </c>
      <c r="F18" s="18" t="s">
        <v>141</v>
      </c>
      <c r="G18" s="18">
        <v>63</v>
      </c>
      <c r="H18" s="20">
        <v>129.63</v>
      </c>
      <c r="I18" s="20">
        <f t="shared" si="0"/>
        <v>8166.69</v>
      </c>
      <c r="J18" s="27"/>
      <c r="K18" s="27"/>
      <c r="L18" s="8" t="s">
        <v>4</v>
      </c>
      <c r="M18" s="21" t="str">
        <f>VLOOKUP(H18, Intervalos!$B$3:$C$8,2,TRUE)</f>
        <v>0,10%</v>
      </c>
    </row>
    <row r="19" spans="1:13" s="16" customFormat="1" ht="33.75" x14ac:dyDescent="0.2">
      <c r="A19" s="22">
        <v>3</v>
      </c>
      <c r="B19" s="17">
        <v>14</v>
      </c>
      <c r="C19" s="18" t="s">
        <v>41</v>
      </c>
      <c r="D19" s="18" t="s">
        <v>28</v>
      </c>
      <c r="E19" s="19">
        <v>399980</v>
      </c>
      <c r="F19" s="18" t="s">
        <v>141</v>
      </c>
      <c r="G19" s="18">
        <v>253</v>
      </c>
      <c r="H19" s="20">
        <v>62.09</v>
      </c>
      <c r="I19" s="20">
        <f t="shared" si="0"/>
        <v>15708.77</v>
      </c>
      <c r="J19" s="25">
        <f>SUM(I19:I20)</f>
        <v>22945.11</v>
      </c>
      <c r="K19" s="25" t="s">
        <v>115</v>
      </c>
      <c r="L19" s="8" t="s">
        <v>4</v>
      </c>
      <c r="M19" s="21">
        <f>VLOOKUP(H19, Intervalos!$B$3:$C$8,2,TRUE)</f>
        <v>0.1</v>
      </c>
    </row>
    <row r="20" spans="1:13" s="16" customFormat="1" ht="33.75" x14ac:dyDescent="0.2">
      <c r="A20" s="24"/>
      <c r="B20" s="17">
        <v>15</v>
      </c>
      <c r="C20" s="18" t="s">
        <v>42</v>
      </c>
      <c r="D20" s="18" t="s">
        <v>28</v>
      </c>
      <c r="E20" s="19">
        <v>399982</v>
      </c>
      <c r="F20" s="18" t="s">
        <v>141</v>
      </c>
      <c r="G20" s="18">
        <v>137</v>
      </c>
      <c r="H20" s="20">
        <v>52.82</v>
      </c>
      <c r="I20" s="20">
        <f t="shared" si="0"/>
        <v>7236.34</v>
      </c>
      <c r="J20" s="27"/>
      <c r="K20" s="27"/>
      <c r="L20" s="8" t="s">
        <v>4</v>
      </c>
      <c r="M20" s="21">
        <f>VLOOKUP(H20, Intervalos!$B$3:$C$8,2,TRUE)</f>
        <v>0.1</v>
      </c>
    </row>
    <row r="21" spans="1:13" s="16" customFormat="1" ht="45" x14ac:dyDescent="0.2">
      <c r="A21" s="17" t="s">
        <v>113</v>
      </c>
      <c r="B21" s="17">
        <v>16</v>
      </c>
      <c r="C21" s="18" t="s">
        <v>43</v>
      </c>
      <c r="D21" s="18" t="s">
        <v>44</v>
      </c>
      <c r="E21" s="19">
        <v>605314</v>
      </c>
      <c r="F21" s="18" t="s">
        <v>141</v>
      </c>
      <c r="G21" s="18">
        <v>25</v>
      </c>
      <c r="H21" s="20">
        <v>93.09</v>
      </c>
      <c r="I21" s="20">
        <f t="shared" si="0"/>
        <v>2327.25</v>
      </c>
      <c r="J21" s="20" t="s">
        <v>113</v>
      </c>
      <c r="K21" s="20" t="s">
        <v>115</v>
      </c>
      <c r="L21" s="8" t="s">
        <v>4</v>
      </c>
      <c r="M21" s="21">
        <f>VLOOKUP(H21, Intervalos!$B$3:$C$8,2,TRUE)</f>
        <v>0.1</v>
      </c>
    </row>
    <row r="22" spans="1:13" s="16" customFormat="1" ht="45" x14ac:dyDescent="0.2">
      <c r="A22" s="17" t="s">
        <v>113</v>
      </c>
      <c r="B22" s="17">
        <v>17</v>
      </c>
      <c r="C22" s="18" t="s">
        <v>119</v>
      </c>
      <c r="D22" s="18" t="s">
        <v>44</v>
      </c>
      <c r="E22" s="19">
        <v>611087</v>
      </c>
      <c r="F22" s="18" t="s">
        <v>141</v>
      </c>
      <c r="G22" s="18">
        <v>13</v>
      </c>
      <c r="H22" s="20">
        <v>97.63</v>
      </c>
      <c r="I22" s="20">
        <f t="shared" si="0"/>
        <v>1269.19</v>
      </c>
      <c r="J22" s="20" t="s">
        <v>113</v>
      </c>
      <c r="K22" s="20" t="s">
        <v>115</v>
      </c>
      <c r="L22" s="8" t="s">
        <v>4</v>
      </c>
      <c r="M22" s="21">
        <f>VLOOKUP(H22, Intervalos!$B$3:$C$8,2,TRUE)</f>
        <v>0.1</v>
      </c>
    </row>
    <row r="23" spans="1:13" s="16" customFormat="1" ht="45" x14ac:dyDescent="0.2">
      <c r="A23" s="17" t="s">
        <v>113</v>
      </c>
      <c r="B23" s="17">
        <v>18</v>
      </c>
      <c r="C23" s="18" t="s">
        <v>45</v>
      </c>
      <c r="D23" s="18" t="s">
        <v>37</v>
      </c>
      <c r="E23" s="19">
        <v>603024</v>
      </c>
      <c r="F23" s="18" t="s">
        <v>141</v>
      </c>
      <c r="G23" s="18">
        <v>569</v>
      </c>
      <c r="H23" s="20">
        <v>60.19</v>
      </c>
      <c r="I23" s="20">
        <f t="shared" si="0"/>
        <v>34248.11</v>
      </c>
      <c r="J23" s="20" t="s">
        <v>113</v>
      </c>
      <c r="K23" s="20" t="s">
        <v>115</v>
      </c>
      <c r="L23" s="8" t="s">
        <v>4</v>
      </c>
      <c r="M23" s="21">
        <f>VLOOKUP(H23, Intervalos!$B$3:$C$8,2,TRUE)</f>
        <v>0.1</v>
      </c>
    </row>
    <row r="24" spans="1:13" s="16" customFormat="1" ht="45" x14ac:dyDescent="0.2">
      <c r="A24" s="17" t="s">
        <v>113</v>
      </c>
      <c r="B24" s="17">
        <v>19</v>
      </c>
      <c r="C24" s="18" t="s">
        <v>46</v>
      </c>
      <c r="D24" s="18" t="s">
        <v>37</v>
      </c>
      <c r="E24" s="19">
        <v>603043</v>
      </c>
      <c r="F24" s="18" t="s">
        <v>141</v>
      </c>
      <c r="G24" s="18">
        <v>507</v>
      </c>
      <c r="H24" s="20">
        <v>84.48</v>
      </c>
      <c r="I24" s="20">
        <f t="shared" si="0"/>
        <v>42831.360000000001</v>
      </c>
      <c r="J24" s="20" t="s">
        <v>113</v>
      </c>
      <c r="K24" s="20" t="s">
        <v>115</v>
      </c>
      <c r="L24" s="8" t="s">
        <v>4</v>
      </c>
      <c r="M24" s="21">
        <f>VLOOKUP(H24, Intervalos!$B$3:$C$8,2,TRUE)</f>
        <v>0.1</v>
      </c>
    </row>
    <row r="25" spans="1:13" s="16" customFormat="1" ht="45" x14ac:dyDescent="0.2">
      <c r="A25" s="17" t="s">
        <v>113</v>
      </c>
      <c r="B25" s="17">
        <v>20</v>
      </c>
      <c r="C25" s="18" t="s">
        <v>47</v>
      </c>
      <c r="D25" s="18" t="s">
        <v>37</v>
      </c>
      <c r="E25" s="19">
        <v>603042</v>
      </c>
      <c r="F25" s="18" t="s">
        <v>141</v>
      </c>
      <c r="G25" s="18">
        <v>25</v>
      </c>
      <c r="H25" s="20">
        <v>91.53</v>
      </c>
      <c r="I25" s="20">
        <f t="shared" si="0"/>
        <v>2288.25</v>
      </c>
      <c r="J25" s="20" t="s">
        <v>113</v>
      </c>
      <c r="K25" s="20" t="s">
        <v>115</v>
      </c>
      <c r="L25" s="8" t="s">
        <v>4</v>
      </c>
      <c r="M25" s="21">
        <f>VLOOKUP(H25, Intervalos!$B$3:$C$8,2,TRUE)</f>
        <v>0.1</v>
      </c>
    </row>
    <row r="26" spans="1:13" s="16" customFormat="1" ht="22.5" x14ac:dyDescent="0.2">
      <c r="A26" s="17" t="s">
        <v>113</v>
      </c>
      <c r="B26" s="17">
        <v>21</v>
      </c>
      <c r="C26" s="18" t="s">
        <v>48</v>
      </c>
      <c r="D26" s="18" t="s">
        <v>37</v>
      </c>
      <c r="E26" s="19">
        <v>611082</v>
      </c>
      <c r="F26" s="18" t="s">
        <v>141</v>
      </c>
      <c r="G26" s="18">
        <v>4</v>
      </c>
      <c r="H26" s="20">
        <v>100</v>
      </c>
      <c r="I26" s="20">
        <f t="shared" si="0"/>
        <v>400</v>
      </c>
      <c r="J26" s="20" t="s">
        <v>113</v>
      </c>
      <c r="K26" s="20" t="s">
        <v>115</v>
      </c>
      <c r="L26" s="8" t="s">
        <v>4</v>
      </c>
      <c r="M26" s="21" t="str">
        <f>VLOOKUP(H26, Intervalos!$B$3:$C$8,2,TRUE)</f>
        <v>0,10%</v>
      </c>
    </row>
    <row r="27" spans="1:13" s="16" customFormat="1" ht="22.5" x14ac:dyDescent="0.2">
      <c r="A27" s="17" t="s">
        <v>113</v>
      </c>
      <c r="B27" s="17">
        <v>22</v>
      </c>
      <c r="C27" s="18" t="s">
        <v>49</v>
      </c>
      <c r="D27" s="18" t="s">
        <v>50</v>
      </c>
      <c r="E27" s="19">
        <v>439812</v>
      </c>
      <c r="F27" s="18" t="s">
        <v>141</v>
      </c>
      <c r="G27" s="18">
        <v>63</v>
      </c>
      <c r="H27" s="20">
        <v>22.4</v>
      </c>
      <c r="I27" s="20">
        <f t="shared" si="0"/>
        <v>1411.1999999999998</v>
      </c>
      <c r="J27" s="20" t="s">
        <v>113</v>
      </c>
      <c r="K27" s="20" t="s">
        <v>115</v>
      </c>
      <c r="L27" s="8" t="s">
        <v>4</v>
      </c>
      <c r="M27" s="21">
        <f>VLOOKUP(H27, Intervalos!$B$3:$C$8,2,TRUE)</f>
        <v>0.05</v>
      </c>
    </row>
    <row r="28" spans="1:13" s="16" customFormat="1" ht="22.5" x14ac:dyDescent="0.2">
      <c r="A28" s="17" t="s">
        <v>113</v>
      </c>
      <c r="B28" s="17">
        <v>23</v>
      </c>
      <c r="C28" s="18" t="s">
        <v>51</v>
      </c>
      <c r="D28" s="18" t="s">
        <v>52</v>
      </c>
      <c r="E28" s="19">
        <v>378432</v>
      </c>
      <c r="F28" s="18" t="s">
        <v>141</v>
      </c>
      <c r="G28" s="18">
        <v>8</v>
      </c>
      <c r="H28" s="20">
        <v>36</v>
      </c>
      <c r="I28" s="20">
        <f t="shared" si="0"/>
        <v>288</v>
      </c>
      <c r="J28" s="20" t="s">
        <v>113</v>
      </c>
      <c r="K28" s="20" t="s">
        <v>115</v>
      </c>
      <c r="L28" s="8" t="s">
        <v>4</v>
      </c>
      <c r="M28" s="21">
        <f>VLOOKUP(H28, Intervalos!$B$3:$C$8,2,TRUE)</f>
        <v>0.05</v>
      </c>
    </row>
    <row r="29" spans="1:13" s="16" customFormat="1" ht="33.75" x14ac:dyDescent="0.2">
      <c r="A29" s="22">
        <v>4</v>
      </c>
      <c r="B29" s="17">
        <v>24</v>
      </c>
      <c r="C29" s="18" t="s">
        <v>116</v>
      </c>
      <c r="D29" s="18" t="s">
        <v>37</v>
      </c>
      <c r="E29" s="19">
        <v>626632</v>
      </c>
      <c r="F29" s="18" t="s">
        <v>141</v>
      </c>
      <c r="G29" s="18">
        <v>7</v>
      </c>
      <c r="H29" s="20">
        <v>57.04</v>
      </c>
      <c r="I29" s="20">
        <f t="shared" si="0"/>
        <v>399.28</v>
      </c>
      <c r="J29" s="25">
        <f>SUM(I29:I32)</f>
        <v>3871.6800000000003</v>
      </c>
      <c r="K29" s="25" t="s">
        <v>115</v>
      </c>
      <c r="L29" s="8" t="s">
        <v>4</v>
      </c>
      <c r="M29" s="21">
        <f>VLOOKUP(H29, Intervalos!$B$3:$C$8,2,TRUE)</f>
        <v>0.1</v>
      </c>
    </row>
    <row r="30" spans="1:13" s="16" customFormat="1" ht="33.75" x14ac:dyDescent="0.2">
      <c r="A30" s="23"/>
      <c r="B30" s="17">
        <v>25</v>
      </c>
      <c r="C30" s="18" t="s">
        <v>117</v>
      </c>
      <c r="D30" s="18" t="s">
        <v>37</v>
      </c>
      <c r="E30" s="19">
        <v>626640</v>
      </c>
      <c r="F30" s="18" t="s">
        <v>141</v>
      </c>
      <c r="G30" s="18">
        <v>19</v>
      </c>
      <c r="H30" s="20">
        <v>54.6</v>
      </c>
      <c r="I30" s="20">
        <f t="shared" si="0"/>
        <v>1037.4000000000001</v>
      </c>
      <c r="J30" s="26"/>
      <c r="K30" s="26"/>
      <c r="L30" s="8" t="s">
        <v>4</v>
      </c>
      <c r="M30" s="21">
        <f>VLOOKUP(H30, Intervalos!$B$3:$C$8,2,TRUE)</f>
        <v>0.1</v>
      </c>
    </row>
    <row r="31" spans="1:13" s="16" customFormat="1" ht="33.75" x14ac:dyDescent="0.2">
      <c r="A31" s="23"/>
      <c r="B31" s="17">
        <v>26</v>
      </c>
      <c r="C31" s="18" t="s">
        <v>118</v>
      </c>
      <c r="D31" s="18" t="s">
        <v>37</v>
      </c>
      <c r="E31" s="19">
        <v>626569</v>
      </c>
      <c r="F31" s="18" t="s">
        <v>141</v>
      </c>
      <c r="G31" s="18">
        <v>25</v>
      </c>
      <c r="H31" s="20">
        <v>57.9</v>
      </c>
      <c r="I31" s="20">
        <f t="shared" si="0"/>
        <v>1447.5</v>
      </c>
      <c r="J31" s="26"/>
      <c r="K31" s="26"/>
      <c r="L31" s="8" t="s">
        <v>4</v>
      </c>
      <c r="M31" s="21">
        <f>VLOOKUP(H31, Intervalos!$B$3:$C$8,2,TRUE)</f>
        <v>0.1</v>
      </c>
    </row>
    <row r="32" spans="1:13" s="16" customFormat="1" ht="33.75" x14ac:dyDescent="0.2">
      <c r="A32" s="24"/>
      <c r="B32" s="17">
        <v>27</v>
      </c>
      <c r="C32" s="18" t="s">
        <v>127</v>
      </c>
      <c r="D32" s="18" t="s">
        <v>37</v>
      </c>
      <c r="E32" s="19">
        <v>626624</v>
      </c>
      <c r="F32" s="18" t="s">
        <v>141</v>
      </c>
      <c r="G32" s="18">
        <v>25</v>
      </c>
      <c r="H32" s="20">
        <v>39.5</v>
      </c>
      <c r="I32" s="20">
        <f t="shared" si="0"/>
        <v>987.5</v>
      </c>
      <c r="J32" s="27"/>
      <c r="K32" s="27"/>
      <c r="L32" s="8" t="s">
        <v>4</v>
      </c>
      <c r="M32" s="21">
        <f>VLOOKUP(H32, Intervalos!$B$3:$C$8,2,TRUE)</f>
        <v>0.05</v>
      </c>
    </row>
    <row r="33" spans="1:13" s="16" customFormat="1" ht="33.75" x14ac:dyDescent="0.2">
      <c r="A33" s="22">
        <v>5</v>
      </c>
      <c r="B33" s="17">
        <v>28</v>
      </c>
      <c r="C33" s="18" t="s">
        <v>53</v>
      </c>
      <c r="D33" s="18" t="s">
        <v>44</v>
      </c>
      <c r="E33" s="19">
        <v>611086</v>
      </c>
      <c r="F33" s="18" t="s">
        <v>141</v>
      </c>
      <c r="G33" s="18">
        <v>13</v>
      </c>
      <c r="H33" s="20">
        <v>169.6</v>
      </c>
      <c r="I33" s="20">
        <f t="shared" si="0"/>
        <v>2204.7999999999997</v>
      </c>
      <c r="J33" s="25">
        <f>SUM(I33:I35)</f>
        <v>5772.1399999999994</v>
      </c>
      <c r="K33" s="25" t="s">
        <v>115</v>
      </c>
      <c r="L33" s="8" t="s">
        <v>4</v>
      </c>
      <c r="M33" s="21" t="str">
        <f>VLOOKUP(H33, Intervalos!$B$3:$C$8,2,TRUE)</f>
        <v>0,10%</v>
      </c>
    </row>
    <row r="34" spans="1:13" s="16" customFormat="1" ht="33.75" x14ac:dyDescent="0.2">
      <c r="A34" s="23"/>
      <c r="B34" s="17">
        <v>29</v>
      </c>
      <c r="C34" s="18" t="s">
        <v>54</v>
      </c>
      <c r="D34" s="18" t="s">
        <v>44</v>
      </c>
      <c r="E34" s="19">
        <v>605307</v>
      </c>
      <c r="F34" s="18" t="s">
        <v>141</v>
      </c>
      <c r="G34" s="18">
        <v>7</v>
      </c>
      <c r="H34" s="20">
        <v>174.09</v>
      </c>
      <c r="I34" s="20">
        <f t="shared" si="0"/>
        <v>1218.6300000000001</v>
      </c>
      <c r="J34" s="26"/>
      <c r="K34" s="26"/>
      <c r="L34" s="8" t="s">
        <v>4</v>
      </c>
      <c r="M34" s="21" t="str">
        <f>VLOOKUP(H34, Intervalos!$B$3:$C$8,2,TRUE)</f>
        <v>0,10%</v>
      </c>
    </row>
    <row r="35" spans="1:13" s="16" customFormat="1" ht="33.75" x14ac:dyDescent="0.2">
      <c r="A35" s="24"/>
      <c r="B35" s="17">
        <v>30</v>
      </c>
      <c r="C35" s="18" t="s">
        <v>55</v>
      </c>
      <c r="D35" s="18" t="s">
        <v>44</v>
      </c>
      <c r="E35" s="19">
        <v>605304</v>
      </c>
      <c r="F35" s="18" t="s">
        <v>141</v>
      </c>
      <c r="G35" s="18">
        <v>13</v>
      </c>
      <c r="H35" s="20">
        <v>180.67</v>
      </c>
      <c r="I35" s="20">
        <f t="shared" si="0"/>
        <v>2348.71</v>
      </c>
      <c r="J35" s="27"/>
      <c r="K35" s="27"/>
      <c r="L35" s="8" t="s">
        <v>4</v>
      </c>
      <c r="M35" s="21" t="str">
        <f>VLOOKUP(H35, Intervalos!$B$3:$C$8,2,TRUE)</f>
        <v>0,10%</v>
      </c>
    </row>
    <row r="36" spans="1:13" s="16" customFormat="1" ht="45" x14ac:dyDescent="0.2">
      <c r="A36" s="17" t="s">
        <v>114</v>
      </c>
      <c r="B36" s="17">
        <v>31</v>
      </c>
      <c r="C36" s="18" t="s">
        <v>56</v>
      </c>
      <c r="D36" s="18" t="s">
        <v>37</v>
      </c>
      <c r="E36" s="19">
        <v>435589</v>
      </c>
      <c r="F36" s="18" t="s">
        <v>113</v>
      </c>
      <c r="G36" s="18">
        <v>8</v>
      </c>
      <c r="H36" s="20">
        <v>359.05</v>
      </c>
      <c r="I36" s="20">
        <f t="shared" si="0"/>
        <v>2872.4</v>
      </c>
      <c r="J36" s="20" t="s">
        <v>113</v>
      </c>
      <c r="K36" s="20" t="s">
        <v>115</v>
      </c>
      <c r="L36" s="8" t="s">
        <v>4</v>
      </c>
      <c r="M36" s="21" t="str">
        <f>VLOOKUP(H36, Intervalos!$B$3:$C$8,2,TRUE)</f>
        <v>0,10%</v>
      </c>
    </row>
    <row r="37" spans="1:13" s="16" customFormat="1" ht="45" x14ac:dyDescent="0.2">
      <c r="A37" s="22">
        <v>6</v>
      </c>
      <c r="B37" s="17">
        <v>32</v>
      </c>
      <c r="C37" s="18" t="s">
        <v>128</v>
      </c>
      <c r="D37" s="18" t="s">
        <v>120</v>
      </c>
      <c r="E37" s="19">
        <v>437181</v>
      </c>
      <c r="F37" s="18" t="s">
        <v>141</v>
      </c>
      <c r="G37" s="18">
        <f>17*100</f>
        <v>1700</v>
      </c>
      <c r="H37" s="20">
        <f>530/100</f>
        <v>5.3</v>
      </c>
      <c r="I37" s="20">
        <f t="shared" si="0"/>
        <v>9010</v>
      </c>
      <c r="J37" s="25">
        <f>SUM(I37:I43)</f>
        <v>159873</v>
      </c>
      <c r="K37" s="25" t="s">
        <v>115</v>
      </c>
      <c r="L37" s="8" t="s">
        <v>4</v>
      </c>
      <c r="M37" s="21">
        <f>VLOOKUP(H37, Intervalos!$B$3:$C$8,2,TRUE)</f>
        <v>0.02</v>
      </c>
    </row>
    <row r="38" spans="1:13" s="16" customFormat="1" ht="45" x14ac:dyDescent="0.2">
      <c r="A38" s="23"/>
      <c r="B38" s="17">
        <v>33</v>
      </c>
      <c r="C38" s="18" t="s">
        <v>121</v>
      </c>
      <c r="D38" s="18" t="s">
        <v>120</v>
      </c>
      <c r="E38" s="19">
        <v>437182</v>
      </c>
      <c r="F38" s="18" t="s">
        <v>141</v>
      </c>
      <c r="G38" s="18">
        <f>17*100</f>
        <v>1700</v>
      </c>
      <c r="H38" s="20">
        <f>580/100</f>
        <v>5.8</v>
      </c>
      <c r="I38" s="20">
        <f t="shared" si="0"/>
        <v>9860</v>
      </c>
      <c r="J38" s="26"/>
      <c r="K38" s="26"/>
      <c r="L38" s="8" t="s">
        <v>4</v>
      </c>
      <c r="M38" s="21">
        <f>VLOOKUP(H38, Intervalos!$B$3:$C$8,2,TRUE)</f>
        <v>0.02</v>
      </c>
    </row>
    <row r="39" spans="1:13" s="16" customFormat="1" ht="45" x14ac:dyDescent="0.2">
      <c r="A39" s="23"/>
      <c r="B39" s="17">
        <v>34</v>
      </c>
      <c r="C39" s="18" t="s">
        <v>122</v>
      </c>
      <c r="D39" s="18" t="s">
        <v>120</v>
      </c>
      <c r="E39" s="19">
        <v>437183</v>
      </c>
      <c r="F39" s="18" t="s">
        <v>141</v>
      </c>
      <c r="G39" s="18">
        <f>33*100</f>
        <v>3300</v>
      </c>
      <c r="H39" s="20">
        <f>580/100</f>
        <v>5.8</v>
      </c>
      <c r="I39" s="20">
        <f t="shared" si="0"/>
        <v>19140</v>
      </c>
      <c r="J39" s="26"/>
      <c r="K39" s="26"/>
      <c r="L39" s="8" t="s">
        <v>4</v>
      </c>
      <c r="M39" s="21">
        <f>VLOOKUP(H39, Intervalos!$B$3:$C$8,2,TRUE)</f>
        <v>0.02</v>
      </c>
    </row>
    <row r="40" spans="1:13" s="16" customFormat="1" ht="45" x14ac:dyDescent="0.2">
      <c r="A40" s="23"/>
      <c r="B40" s="17">
        <v>35</v>
      </c>
      <c r="C40" s="18" t="s">
        <v>123</v>
      </c>
      <c r="D40" s="18" t="s">
        <v>120</v>
      </c>
      <c r="E40" s="19">
        <v>437184</v>
      </c>
      <c r="F40" s="18" t="s">
        <v>141</v>
      </c>
      <c r="G40" s="18">
        <f>22*100</f>
        <v>2200</v>
      </c>
      <c r="H40" s="20">
        <f>564/100</f>
        <v>5.64</v>
      </c>
      <c r="I40" s="20">
        <f t="shared" si="0"/>
        <v>12408</v>
      </c>
      <c r="J40" s="26"/>
      <c r="K40" s="26"/>
      <c r="L40" s="8" t="s">
        <v>4</v>
      </c>
      <c r="M40" s="21">
        <f>VLOOKUP(H40, Intervalos!$B$3:$C$8,2,TRUE)</f>
        <v>0.02</v>
      </c>
    </row>
    <row r="41" spans="1:13" s="16" customFormat="1" ht="45" x14ac:dyDescent="0.2">
      <c r="A41" s="23"/>
      <c r="B41" s="17">
        <v>36</v>
      </c>
      <c r="C41" s="18" t="s">
        <v>124</v>
      </c>
      <c r="D41" s="18" t="s">
        <v>120</v>
      </c>
      <c r="E41" s="19">
        <v>437185</v>
      </c>
      <c r="F41" s="18" t="s">
        <v>141</v>
      </c>
      <c r="G41" s="18">
        <f>93*100</f>
        <v>9300</v>
      </c>
      <c r="H41" s="20">
        <f>600/100</f>
        <v>6</v>
      </c>
      <c r="I41" s="20">
        <f t="shared" si="0"/>
        <v>55800</v>
      </c>
      <c r="J41" s="26"/>
      <c r="K41" s="26"/>
      <c r="L41" s="8" t="s">
        <v>4</v>
      </c>
      <c r="M41" s="21">
        <f>VLOOKUP(H41, Intervalos!$B$3:$C$8,2,TRUE)</f>
        <v>0.02</v>
      </c>
    </row>
    <row r="42" spans="1:13" s="16" customFormat="1" ht="45" x14ac:dyDescent="0.2">
      <c r="A42" s="23"/>
      <c r="B42" s="17">
        <v>37</v>
      </c>
      <c r="C42" s="18" t="s">
        <v>125</v>
      </c>
      <c r="D42" s="18" t="s">
        <v>120</v>
      </c>
      <c r="E42" s="19">
        <v>437186</v>
      </c>
      <c r="F42" s="18" t="s">
        <v>141</v>
      </c>
      <c r="G42" s="18">
        <f>88*100</f>
        <v>8800</v>
      </c>
      <c r="H42" s="20">
        <f>600/100</f>
        <v>6</v>
      </c>
      <c r="I42" s="20">
        <f t="shared" si="0"/>
        <v>52800</v>
      </c>
      <c r="J42" s="26"/>
      <c r="K42" s="26"/>
      <c r="L42" s="8" t="s">
        <v>4</v>
      </c>
      <c r="M42" s="21">
        <f>VLOOKUP(H42, Intervalos!$B$3:$C$8,2,TRUE)</f>
        <v>0.02</v>
      </c>
    </row>
    <row r="43" spans="1:13" s="16" customFormat="1" ht="45" x14ac:dyDescent="0.2">
      <c r="A43" s="24"/>
      <c r="B43" s="17">
        <v>38</v>
      </c>
      <c r="C43" s="18" t="s">
        <v>126</v>
      </c>
      <c r="D43" s="18" t="s">
        <v>120</v>
      </c>
      <c r="E43" s="19">
        <v>441236</v>
      </c>
      <c r="F43" s="18" t="s">
        <v>141</v>
      </c>
      <c r="G43" s="18">
        <f>5*100</f>
        <v>500</v>
      </c>
      <c r="H43" s="20">
        <f>170.5/100</f>
        <v>1.7050000000000001</v>
      </c>
      <c r="I43" s="20">
        <f t="shared" si="0"/>
        <v>855</v>
      </c>
      <c r="J43" s="27"/>
      <c r="K43" s="27"/>
      <c r="L43" s="8" t="s">
        <v>4</v>
      </c>
      <c r="M43" s="21">
        <f>VLOOKUP(H43, Intervalos!$B$3:$C$8,2,TRUE)</f>
        <v>0.01</v>
      </c>
    </row>
    <row r="44" spans="1:13" s="16" customFormat="1" ht="45" x14ac:dyDescent="0.2">
      <c r="A44" s="17" t="s">
        <v>113</v>
      </c>
      <c r="B44" s="17">
        <v>39</v>
      </c>
      <c r="C44" s="18" t="s">
        <v>57</v>
      </c>
      <c r="D44" s="18" t="s">
        <v>37</v>
      </c>
      <c r="E44" s="19">
        <v>413222</v>
      </c>
      <c r="F44" s="18" t="s">
        <v>141</v>
      </c>
      <c r="G44" s="18">
        <v>2</v>
      </c>
      <c r="H44" s="20">
        <v>682</v>
      </c>
      <c r="I44" s="20">
        <f t="shared" si="0"/>
        <v>1364</v>
      </c>
      <c r="J44" s="20" t="s">
        <v>113</v>
      </c>
      <c r="K44" s="20" t="s">
        <v>115</v>
      </c>
      <c r="L44" s="8" t="s">
        <v>4</v>
      </c>
      <c r="M44" s="21" t="str">
        <f>VLOOKUP(H44, Intervalos!$B$3:$C$8,2,TRUE)</f>
        <v>0,10%</v>
      </c>
    </row>
    <row r="45" spans="1:13" s="16" customFormat="1" ht="45" x14ac:dyDescent="0.2">
      <c r="A45" s="17" t="s">
        <v>113</v>
      </c>
      <c r="B45" s="17">
        <v>40</v>
      </c>
      <c r="C45" s="18" t="s">
        <v>58</v>
      </c>
      <c r="D45" s="18" t="s">
        <v>37</v>
      </c>
      <c r="E45" s="19">
        <v>423678</v>
      </c>
      <c r="F45" s="18" t="s">
        <v>141</v>
      </c>
      <c r="G45" s="18">
        <v>3</v>
      </c>
      <c r="H45" s="20">
        <v>315</v>
      </c>
      <c r="I45" s="20">
        <f t="shared" si="0"/>
        <v>945</v>
      </c>
      <c r="J45" s="20" t="s">
        <v>113</v>
      </c>
      <c r="K45" s="20" t="s">
        <v>115</v>
      </c>
      <c r="L45" s="8" t="s">
        <v>4</v>
      </c>
      <c r="M45" s="21" t="str">
        <f>VLOOKUP(H45, Intervalos!$B$3:$C$8,2,TRUE)</f>
        <v>0,10%</v>
      </c>
    </row>
    <row r="46" spans="1:13" s="16" customFormat="1" ht="45" x14ac:dyDescent="0.2">
      <c r="A46" s="17" t="s">
        <v>113</v>
      </c>
      <c r="B46" s="17">
        <v>41</v>
      </c>
      <c r="C46" s="18" t="s">
        <v>59</v>
      </c>
      <c r="D46" s="18" t="s">
        <v>37</v>
      </c>
      <c r="E46" s="19">
        <v>421350</v>
      </c>
      <c r="F46" s="18" t="s">
        <v>141</v>
      </c>
      <c r="G46" s="18">
        <v>3</v>
      </c>
      <c r="H46" s="20">
        <v>247.63</v>
      </c>
      <c r="I46" s="20">
        <f t="shared" si="0"/>
        <v>742.89</v>
      </c>
      <c r="J46" s="20" t="s">
        <v>113</v>
      </c>
      <c r="K46" s="20" t="s">
        <v>115</v>
      </c>
      <c r="L46" s="8" t="s">
        <v>4</v>
      </c>
      <c r="M46" s="21" t="str">
        <f>VLOOKUP(H46, Intervalos!$B$3:$C$8,2,TRUE)</f>
        <v>0,10%</v>
      </c>
    </row>
    <row r="47" spans="1:13" s="16" customFormat="1" ht="157.5" x14ac:dyDescent="0.2">
      <c r="A47" s="22">
        <v>7</v>
      </c>
      <c r="B47" s="17">
        <v>42</v>
      </c>
      <c r="C47" s="18" t="s">
        <v>60</v>
      </c>
      <c r="D47" s="18" t="s">
        <v>120</v>
      </c>
      <c r="E47" s="19">
        <v>437391</v>
      </c>
      <c r="F47" s="18" t="s">
        <v>141</v>
      </c>
      <c r="G47" s="18">
        <v>4</v>
      </c>
      <c r="H47" s="20">
        <v>1368.9</v>
      </c>
      <c r="I47" s="20">
        <f t="shared" si="0"/>
        <v>5475.6</v>
      </c>
      <c r="J47" s="25">
        <f>SUM(I47:I49)</f>
        <v>16779.36</v>
      </c>
      <c r="K47" s="25" t="s">
        <v>115</v>
      </c>
      <c r="L47" s="8" t="s">
        <v>4</v>
      </c>
      <c r="M47" s="21" t="str">
        <f>VLOOKUP(H47, Intervalos!$B$3:$C$8,2,TRUE)</f>
        <v>0,10%</v>
      </c>
    </row>
    <row r="48" spans="1:13" s="16" customFormat="1" ht="78.75" x14ac:dyDescent="0.2">
      <c r="A48" s="23"/>
      <c r="B48" s="17">
        <v>43</v>
      </c>
      <c r="C48" s="18" t="s">
        <v>61</v>
      </c>
      <c r="D48" s="18" t="s">
        <v>120</v>
      </c>
      <c r="E48" s="19">
        <v>437392</v>
      </c>
      <c r="F48" s="18" t="s">
        <v>141</v>
      </c>
      <c r="G48" s="18">
        <v>4</v>
      </c>
      <c r="H48" s="20">
        <v>1412.97</v>
      </c>
      <c r="I48" s="20">
        <f t="shared" si="0"/>
        <v>5651.88</v>
      </c>
      <c r="J48" s="26"/>
      <c r="K48" s="26"/>
      <c r="L48" s="8" t="s">
        <v>4</v>
      </c>
      <c r="M48" s="21" t="str">
        <f>VLOOKUP(H48, Intervalos!$B$3:$C$8,2,TRUE)</f>
        <v>0,10%</v>
      </c>
    </row>
    <row r="49" spans="1:13" s="16" customFormat="1" ht="78.75" x14ac:dyDescent="0.2">
      <c r="A49" s="24"/>
      <c r="B49" s="17">
        <v>44</v>
      </c>
      <c r="C49" s="18" t="s">
        <v>62</v>
      </c>
      <c r="D49" s="18" t="s">
        <v>120</v>
      </c>
      <c r="E49" s="19">
        <v>437394</v>
      </c>
      <c r="F49" s="18" t="s">
        <v>141</v>
      </c>
      <c r="G49" s="18">
        <v>4</v>
      </c>
      <c r="H49" s="20">
        <v>1412.97</v>
      </c>
      <c r="I49" s="20">
        <f t="shared" si="0"/>
        <v>5651.88</v>
      </c>
      <c r="J49" s="27"/>
      <c r="K49" s="27"/>
      <c r="L49" s="8" t="s">
        <v>4</v>
      </c>
      <c r="M49" s="21" t="str">
        <f>VLOOKUP(H49, Intervalos!$B$3:$C$8,2,TRUE)</f>
        <v>0,10%</v>
      </c>
    </row>
    <row r="50" spans="1:13" s="16" customFormat="1" ht="45" x14ac:dyDescent="0.2">
      <c r="A50" s="22">
        <v>8</v>
      </c>
      <c r="B50" s="17">
        <v>45</v>
      </c>
      <c r="C50" s="18" t="s">
        <v>63</v>
      </c>
      <c r="D50" s="18" t="s">
        <v>37</v>
      </c>
      <c r="E50" s="19">
        <v>465679</v>
      </c>
      <c r="F50" s="18" t="s">
        <v>141</v>
      </c>
      <c r="G50" s="18">
        <v>3</v>
      </c>
      <c r="H50" s="20">
        <v>105.4</v>
      </c>
      <c r="I50" s="20">
        <f t="shared" si="0"/>
        <v>316.20000000000005</v>
      </c>
      <c r="J50" s="25">
        <f>SUM(I50:I51)</f>
        <v>836.28000000000009</v>
      </c>
      <c r="K50" s="25" t="s">
        <v>115</v>
      </c>
      <c r="L50" s="8" t="s">
        <v>4</v>
      </c>
      <c r="M50" s="21" t="str">
        <f>VLOOKUP(H50, Intervalos!$B$3:$C$8,2,TRUE)</f>
        <v>0,10%</v>
      </c>
    </row>
    <row r="51" spans="1:13" s="16" customFormat="1" ht="45" x14ac:dyDescent="0.2">
      <c r="A51" s="24"/>
      <c r="B51" s="17">
        <v>46</v>
      </c>
      <c r="C51" s="18" t="s">
        <v>64</v>
      </c>
      <c r="D51" s="18" t="s">
        <v>37</v>
      </c>
      <c r="E51" s="19">
        <v>437296</v>
      </c>
      <c r="F51" s="18" t="s">
        <v>141</v>
      </c>
      <c r="G51" s="18">
        <v>3</v>
      </c>
      <c r="H51" s="20">
        <v>173.36</v>
      </c>
      <c r="I51" s="20">
        <f t="shared" si="0"/>
        <v>520.08000000000004</v>
      </c>
      <c r="J51" s="27"/>
      <c r="K51" s="27"/>
      <c r="L51" s="8" t="s">
        <v>4</v>
      </c>
      <c r="M51" s="21" t="str">
        <f>VLOOKUP(H51, Intervalos!$B$3:$C$8,2,TRUE)</f>
        <v>0,10%</v>
      </c>
    </row>
    <row r="52" spans="1:13" s="16" customFormat="1" ht="22.5" x14ac:dyDescent="0.2">
      <c r="A52" s="17" t="s">
        <v>113</v>
      </c>
      <c r="B52" s="17">
        <v>47</v>
      </c>
      <c r="C52" s="18" t="s">
        <v>65</v>
      </c>
      <c r="D52" s="18" t="s">
        <v>120</v>
      </c>
      <c r="E52" s="19">
        <v>479657</v>
      </c>
      <c r="F52" s="18" t="s">
        <v>141</v>
      </c>
      <c r="G52" s="18">
        <f>8*50</f>
        <v>400</v>
      </c>
      <c r="H52" s="20">
        <f>380.68/50</f>
        <v>7.6135999999999999</v>
      </c>
      <c r="I52" s="20">
        <f t="shared" si="0"/>
        <v>3044</v>
      </c>
      <c r="J52" s="20"/>
      <c r="K52" s="20" t="s">
        <v>115</v>
      </c>
      <c r="L52" s="8" t="s">
        <v>4</v>
      </c>
      <c r="M52" s="21">
        <f>VLOOKUP(H52, Intervalos!$B$3:$C$8,2,TRUE)</f>
        <v>0.02</v>
      </c>
    </row>
    <row r="53" spans="1:13" s="16" customFormat="1" ht="22.5" x14ac:dyDescent="0.2">
      <c r="A53" s="22">
        <v>9</v>
      </c>
      <c r="B53" s="17">
        <v>48</v>
      </c>
      <c r="C53" s="18" t="s">
        <v>66</v>
      </c>
      <c r="D53" s="18" t="s">
        <v>120</v>
      </c>
      <c r="E53" s="19">
        <v>437169</v>
      </c>
      <c r="F53" s="18" t="s">
        <v>141</v>
      </c>
      <c r="G53" s="18">
        <f>9*100</f>
        <v>900</v>
      </c>
      <c r="H53" s="20">
        <f>100.8/100</f>
        <v>1.008</v>
      </c>
      <c r="I53" s="20">
        <f t="shared" si="0"/>
        <v>909</v>
      </c>
      <c r="J53" s="25">
        <f>SUM(I53:I55)</f>
        <v>3437</v>
      </c>
      <c r="K53" s="25" t="s">
        <v>115</v>
      </c>
      <c r="L53" s="8" t="s">
        <v>4</v>
      </c>
      <c r="M53" s="21">
        <f>VLOOKUP(H53, Intervalos!$B$3:$C$8,2,TRUE)</f>
        <v>0.01</v>
      </c>
    </row>
    <row r="54" spans="1:13" s="16" customFormat="1" ht="22.5" x14ac:dyDescent="0.2">
      <c r="A54" s="23"/>
      <c r="B54" s="17">
        <v>49</v>
      </c>
      <c r="C54" s="18" t="s">
        <v>67</v>
      </c>
      <c r="D54" s="18" t="s">
        <v>120</v>
      </c>
      <c r="E54" s="19">
        <v>437170</v>
      </c>
      <c r="F54" s="18" t="s">
        <v>141</v>
      </c>
      <c r="G54" s="18">
        <f>7*100</f>
        <v>700</v>
      </c>
      <c r="H54" s="20">
        <f>157.8/100</f>
        <v>1.5780000000000001</v>
      </c>
      <c r="I54" s="20">
        <f t="shared" si="0"/>
        <v>1106</v>
      </c>
      <c r="J54" s="26"/>
      <c r="K54" s="26"/>
      <c r="L54" s="8" t="s">
        <v>4</v>
      </c>
      <c r="M54" s="21">
        <f>VLOOKUP(H54, Intervalos!$B$3:$C$8,2,TRUE)</f>
        <v>0.01</v>
      </c>
    </row>
    <row r="55" spans="1:13" s="16" customFormat="1" ht="22.5" x14ac:dyDescent="0.2">
      <c r="A55" s="24"/>
      <c r="B55" s="17">
        <v>50</v>
      </c>
      <c r="C55" s="18" t="s">
        <v>68</v>
      </c>
      <c r="D55" s="18" t="s">
        <v>120</v>
      </c>
      <c r="E55" s="19">
        <v>437171</v>
      </c>
      <c r="F55" s="18" t="s">
        <v>141</v>
      </c>
      <c r="G55" s="18">
        <f>9*100</f>
        <v>900</v>
      </c>
      <c r="H55" s="20">
        <f>157.8/100</f>
        <v>1.5780000000000001</v>
      </c>
      <c r="I55" s="20">
        <f t="shared" si="0"/>
        <v>1422</v>
      </c>
      <c r="J55" s="27"/>
      <c r="K55" s="27"/>
      <c r="L55" s="8" t="s">
        <v>4</v>
      </c>
      <c r="M55" s="21">
        <f>VLOOKUP(H55, Intervalos!$B$3:$C$8,2,TRUE)</f>
        <v>0.01</v>
      </c>
    </row>
    <row r="56" spans="1:13" s="16" customFormat="1" ht="112.5" x14ac:dyDescent="0.2">
      <c r="A56" s="22">
        <v>10</v>
      </c>
      <c r="B56" s="17">
        <v>51</v>
      </c>
      <c r="C56" s="18" t="s">
        <v>69</v>
      </c>
      <c r="D56" s="18" t="s">
        <v>37</v>
      </c>
      <c r="E56" s="19">
        <v>459704</v>
      </c>
      <c r="F56" s="18" t="s">
        <v>141</v>
      </c>
      <c r="G56" s="18">
        <v>125</v>
      </c>
      <c r="H56" s="20">
        <v>8.5</v>
      </c>
      <c r="I56" s="20">
        <f t="shared" si="0"/>
        <v>1062.5</v>
      </c>
      <c r="J56" s="25">
        <f>SUM(I56:I58)</f>
        <v>2598.75</v>
      </c>
      <c r="K56" s="25" t="s">
        <v>115</v>
      </c>
      <c r="L56" s="8" t="s">
        <v>4</v>
      </c>
      <c r="M56" s="21">
        <f>VLOOKUP(H56, Intervalos!$B$3:$C$8,2,TRUE)</f>
        <v>0.02</v>
      </c>
    </row>
    <row r="57" spans="1:13" s="16" customFormat="1" ht="112.5" x14ac:dyDescent="0.2">
      <c r="A57" s="23"/>
      <c r="B57" s="17">
        <v>52</v>
      </c>
      <c r="C57" s="18" t="s">
        <v>70</v>
      </c>
      <c r="D57" s="18" t="s">
        <v>37</v>
      </c>
      <c r="E57" s="19">
        <v>457515</v>
      </c>
      <c r="F57" s="18" t="s">
        <v>141</v>
      </c>
      <c r="G57" s="18">
        <v>125</v>
      </c>
      <c r="H57" s="20">
        <v>5.59</v>
      </c>
      <c r="I57" s="20">
        <f t="shared" si="0"/>
        <v>698.75</v>
      </c>
      <c r="J57" s="26"/>
      <c r="K57" s="26"/>
      <c r="L57" s="8" t="s">
        <v>4</v>
      </c>
      <c r="M57" s="21">
        <f>VLOOKUP(H57, Intervalos!$B$3:$C$8,2,TRUE)</f>
        <v>0.02</v>
      </c>
    </row>
    <row r="58" spans="1:13" s="16" customFormat="1" ht="112.5" x14ac:dyDescent="0.2">
      <c r="A58" s="24"/>
      <c r="B58" s="17">
        <v>53</v>
      </c>
      <c r="C58" s="18" t="s">
        <v>71</v>
      </c>
      <c r="D58" s="18" t="s">
        <v>37</v>
      </c>
      <c r="E58" s="19">
        <v>459707</v>
      </c>
      <c r="F58" s="18" t="s">
        <v>141</v>
      </c>
      <c r="G58" s="18">
        <v>125</v>
      </c>
      <c r="H58" s="20">
        <v>6.7</v>
      </c>
      <c r="I58" s="20">
        <f t="shared" si="0"/>
        <v>837.5</v>
      </c>
      <c r="J58" s="27"/>
      <c r="K58" s="27"/>
      <c r="L58" s="8" t="s">
        <v>4</v>
      </c>
      <c r="M58" s="21">
        <f>VLOOKUP(H58, Intervalos!$B$3:$C$8,2,TRUE)</f>
        <v>0.02</v>
      </c>
    </row>
    <row r="59" spans="1:13" s="16" customFormat="1" ht="45" x14ac:dyDescent="0.2">
      <c r="A59" s="17" t="s">
        <v>113</v>
      </c>
      <c r="B59" s="17">
        <v>54</v>
      </c>
      <c r="C59" s="18" t="s">
        <v>138</v>
      </c>
      <c r="D59" s="18" t="s">
        <v>120</v>
      </c>
      <c r="E59" s="19">
        <v>416714</v>
      </c>
      <c r="F59" s="18" t="s">
        <v>141</v>
      </c>
      <c r="G59" s="18">
        <f>5*25</f>
        <v>125</v>
      </c>
      <c r="H59" s="20">
        <f>50.99/25</f>
        <v>2.0396000000000001</v>
      </c>
      <c r="I59" s="20">
        <f t="shared" si="0"/>
        <v>255</v>
      </c>
      <c r="J59" s="20" t="s">
        <v>113</v>
      </c>
      <c r="K59" s="20" t="s">
        <v>115</v>
      </c>
      <c r="L59" s="8" t="s">
        <v>4</v>
      </c>
      <c r="M59" s="21">
        <f>VLOOKUP(H59, Intervalos!$B$3:$C$8,2,TRUE)</f>
        <v>0.01</v>
      </c>
    </row>
    <row r="60" spans="1:13" s="16" customFormat="1" ht="56.25" x14ac:dyDescent="0.2">
      <c r="A60" s="17" t="s">
        <v>113</v>
      </c>
      <c r="B60" s="17">
        <v>55</v>
      </c>
      <c r="C60" s="18" t="s">
        <v>72</v>
      </c>
      <c r="D60" s="18" t="s">
        <v>27</v>
      </c>
      <c r="E60" s="19">
        <v>338605</v>
      </c>
      <c r="F60" s="18" t="s">
        <v>141</v>
      </c>
      <c r="G60" s="18">
        <v>27</v>
      </c>
      <c r="H60" s="20">
        <v>42.39</v>
      </c>
      <c r="I60" s="20">
        <f t="shared" si="0"/>
        <v>1144.53</v>
      </c>
      <c r="J60" s="20" t="s">
        <v>113</v>
      </c>
      <c r="K60" s="20" t="s">
        <v>115</v>
      </c>
      <c r="L60" s="8" t="s">
        <v>4</v>
      </c>
      <c r="M60" s="21">
        <f>VLOOKUP(H60, Intervalos!$B$3:$C$8,2,TRUE)</f>
        <v>0.05</v>
      </c>
    </row>
    <row r="61" spans="1:13" s="16" customFormat="1" ht="33.75" x14ac:dyDescent="0.2">
      <c r="A61" s="17" t="s">
        <v>113</v>
      </c>
      <c r="B61" s="17">
        <v>56</v>
      </c>
      <c r="C61" s="18" t="s">
        <v>73</v>
      </c>
      <c r="D61" s="18" t="s">
        <v>52</v>
      </c>
      <c r="E61" s="19">
        <v>375573</v>
      </c>
      <c r="F61" s="18" t="s">
        <v>141</v>
      </c>
      <c r="G61" s="18">
        <v>3</v>
      </c>
      <c r="H61" s="20">
        <v>121.77</v>
      </c>
      <c r="I61" s="20">
        <f t="shared" si="0"/>
        <v>365.31</v>
      </c>
      <c r="J61" s="20" t="s">
        <v>113</v>
      </c>
      <c r="K61" s="20" t="s">
        <v>115</v>
      </c>
      <c r="L61" s="8" t="s">
        <v>4</v>
      </c>
      <c r="M61" s="21" t="str">
        <f>VLOOKUP(H61, Intervalos!$B$3:$C$8,2,TRUE)</f>
        <v>0,10%</v>
      </c>
    </row>
    <row r="62" spans="1:13" s="16" customFormat="1" ht="67.5" x14ac:dyDescent="0.2">
      <c r="A62" s="22">
        <v>11</v>
      </c>
      <c r="B62" s="17">
        <v>57</v>
      </c>
      <c r="C62" s="18" t="s">
        <v>74</v>
      </c>
      <c r="D62" s="18" t="s">
        <v>120</v>
      </c>
      <c r="E62" s="19">
        <v>437164</v>
      </c>
      <c r="F62" s="18" t="s">
        <v>141</v>
      </c>
      <c r="G62" s="18">
        <f>57*100</f>
        <v>5700</v>
      </c>
      <c r="H62" s="20">
        <f>61.9/100</f>
        <v>0.61899999999999999</v>
      </c>
      <c r="I62" s="20">
        <f t="shared" si="0"/>
        <v>3534</v>
      </c>
      <c r="J62" s="25">
        <f>SUM(I62:I66)</f>
        <v>28570</v>
      </c>
      <c r="K62" s="25" t="s">
        <v>115</v>
      </c>
      <c r="L62" s="8" t="s">
        <v>4</v>
      </c>
      <c r="M62" s="21">
        <f>VLOOKUP(H62, Intervalos!$B$3:$C$8,2,TRUE)</f>
        <v>0.01</v>
      </c>
    </row>
    <row r="63" spans="1:13" s="16" customFormat="1" ht="67.5" x14ac:dyDescent="0.2">
      <c r="A63" s="23"/>
      <c r="B63" s="17">
        <v>58</v>
      </c>
      <c r="C63" s="18" t="s">
        <v>75</v>
      </c>
      <c r="D63" s="18" t="s">
        <v>120</v>
      </c>
      <c r="E63" s="19">
        <v>437166</v>
      </c>
      <c r="F63" s="18" t="s">
        <v>141</v>
      </c>
      <c r="G63" s="18">
        <f>24*100</f>
        <v>2400</v>
      </c>
      <c r="H63" s="20">
        <f>109.9/100</f>
        <v>1.099</v>
      </c>
      <c r="I63" s="20">
        <f t="shared" ref="I63:I105" si="1">G63*ROUND(H63,2)</f>
        <v>2640</v>
      </c>
      <c r="J63" s="26"/>
      <c r="K63" s="26"/>
      <c r="L63" s="8" t="s">
        <v>4</v>
      </c>
      <c r="M63" s="21">
        <f>VLOOKUP(H63, Intervalos!$B$3:$C$8,2,TRUE)</f>
        <v>0.01</v>
      </c>
    </row>
    <row r="64" spans="1:13" s="16" customFormat="1" ht="67.5" x14ac:dyDescent="0.2">
      <c r="A64" s="23"/>
      <c r="B64" s="17">
        <v>59</v>
      </c>
      <c r="C64" s="18" t="s">
        <v>76</v>
      </c>
      <c r="D64" s="18" t="s">
        <v>120</v>
      </c>
      <c r="E64" s="19">
        <v>437167</v>
      </c>
      <c r="F64" s="18" t="s">
        <v>141</v>
      </c>
      <c r="G64" s="18">
        <f>134*100</f>
        <v>13400</v>
      </c>
      <c r="H64" s="20">
        <f>88.56/100</f>
        <v>0.88560000000000005</v>
      </c>
      <c r="I64" s="20">
        <f t="shared" si="1"/>
        <v>11926</v>
      </c>
      <c r="J64" s="26"/>
      <c r="K64" s="26"/>
      <c r="L64" s="8" t="s">
        <v>4</v>
      </c>
      <c r="M64" s="21">
        <f>VLOOKUP(H64, Intervalos!$B$3:$C$8,2,TRUE)</f>
        <v>0.01</v>
      </c>
    </row>
    <row r="65" spans="1:13" s="16" customFormat="1" ht="67.5" x14ac:dyDescent="0.2">
      <c r="A65" s="23"/>
      <c r="B65" s="17">
        <v>60</v>
      </c>
      <c r="C65" s="18" t="s">
        <v>77</v>
      </c>
      <c r="D65" s="18" t="s">
        <v>120</v>
      </c>
      <c r="E65" s="19">
        <v>437169</v>
      </c>
      <c r="F65" s="18" t="s">
        <v>141</v>
      </c>
      <c r="G65" s="18">
        <f>85*100</f>
        <v>8500</v>
      </c>
      <c r="H65" s="20">
        <f>84.03/100</f>
        <v>0.84030000000000005</v>
      </c>
      <c r="I65" s="20">
        <f t="shared" si="1"/>
        <v>7140</v>
      </c>
      <c r="J65" s="26"/>
      <c r="K65" s="26"/>
      <c r="L65" s="8" t="s">
        <v>4</v>
      </c>
      <c r="M65" s="21">
        <f>VLOOKUP(H65, Intervalos!$B$3:$C$8,2,TRUE)</f>
        <v>0.01</v>
      </c>
    </row>
    <row r="66" spans="1:13" s="16" customFormat="1" ht="67.5" x14ac:dyDescent="0.2">
      <c r="A66" s="24"/>
      <c r="B66" s="17">
        <v>61</v>
      </c>
      <c r="C66" s="18" t="s">
        <v>78</v>
      </c>
      <c r="D66" s="18" t="s">
        <v>120</v>
      </c>
      <c r="E66" s="19">
        <v>437187</v>
      </c>
      <c r="F66" s="18" t="s">
        <v>141</v>
      </c>
      <c r="G66" s="18">
        <f>37*100</f>
        <v>3700</v>
      </c>
      <c r="H66" s="20">
        <f>90/100</f>
        <v>0.9</v>
      </c>
      <c r="I66" s="20">
        <f t="shared" si="1"/>
        <v>3330</v>
      </c>
      <c r="J66" s="27"/>
      <c r="K66" s="27"/>
      <c r="L66" s="8" t="s">
        <v>4</v>
      </c>
      <c r="M66" s="21">
        <f>VLOOKUP(H66, Intervalos!$B$3:$C$8,2,TRUE)</f>
        <v>0.01</v>
      </c>
    </row>
    <row r="67" spans="1:13" s="16" customFormat="1" ht="33.75" x14ac:dyDescent="0.2">
      <c r="A67" s="17" t="s">
        <v>113</v>
      </c>
      <c r="B67" s="17">
        <v>62</v>
      </c>
      <c r="C67" s="18" t="s">
        <v>79</v>
      </c>
      <c r="D67" s="18" t="s">
        <v>80</v>
      </c>
      <c r="E67" s="19">
        <v>439708</v>
      </c>
      <c r="F67" s="18" t="s">
        <v>141</v>
      </c>
      <c r="G67" s="18">
        <v>2</v>
      </c>
      <c r="H67" s="20">
        <v>115</v>
      </c>
      <c r="I67" s="20">
        <f t="shared" si="1"/>
        <v>230</v>
      </c>
      <c r="J67" s="20" t="s">
        <v>113</v>
      </c>
      <c r="K67" s="20" t="s">
        <v>115</v>
      </c>
      <c r="L67" s="8" t="s">
        <v>4</v>
      </c>
      <c r="M67" s="21" t="str">
        <f>VLOOKUP(H67, Intervalos!$B$3:$C$8,2,TRUE)</f>
        <v>0,10%</v>
      </c>
    </row>
    <row r="68" spans="1:13" s="16" customFormat="1" ht="33.75" x14ac:dyDescent="0.2">
      <c r="A68" s="17" t="s">
        <v>113</v>
      </c>
      <c r="B68" s="17">
        <v>63</v>
      </c>
      <c r="C68" s="18" t="s">
        <v>81</v>
      </c>
      <c r="D68" s="18" t="s">
        <v>82</v>
      </c>
      <c r="E68" s="19">
        <v>439636</v>
      </c>
      <c r="F68" s="18" t="s">
        <v>141</v>
      </c>
      <c r="G68" s="18">
        <v>63</v>
      </c>
      <c r="H68" s="20">
        <v>24</v>
      </c>
      <c r="I68" s="20">
        <f t="shared" si="1"/>
        <v>1512</v>
      </c>
      <c r="J68" s="20" t="s">
        <v>113</v>
      </c>
      <c r="K68" s="20" t="s">
        <v>115</v>
      </c>
      <c r="L68" s="8" t="s">
        <v>4</v>
      </c>
      <c r="M68" s="21">
        <f>VLOOKUP(H68, Intervalos!$B$3:$C$8,2,TRUE)</f>
        <v>0.05</v>
      </c>
    </row>
    <row r="69" spans="1:13" s="16" customFormat="1" ht="33.75" x14ac:dyDescent="0.2">
      <c r="A69" s="22">
        <v>12</v>
      </c>
      <c r="B69" s="17">
        <v>64</v>
      </c>
      <c r="C69" s="18" t="s">
        <v>83</v>
      </c>
      <c r="D69" s="18" t="s">
        <v>50</v>
      </c>
      <c r="E69" s="19">
        <v>439626</v>
      </c>
      <c r="F69" s="18" t="s">
        <v>141</v>
      </c>
      <c r="G69" s="18">
        <v>238</v>
      </c>
      <c r="H69" s="20">
        <v>83</v>
      </c>
      <c r="I69" s="20">
        <f t="shared" si="1"/>
        <v>19754</v>
      </c>
      <c r="J69" s="25">
        <f>SUM(I69:I73)</f>
        <v>50422.770000000004</v>
      </c>
      <c r="K69" s="25" t="s">
        <v>115</v>
      </c>
      <c r="L69" s="8" t="s">
        <v>4</v>
      </c>
      <c r="M69" s="21">
        <f>VLOOKUP(H69, Intervalos!$B$3:$C$8,2,TRUE)</f>
        <v>0.1</v>
      </c>
    </row>
    <row r="70" spans="1:13" s="16" customFormat="1" ht="33.75" x14ac:dyDescent="0.2">
      <c r="A70" s="23"/>
      <c r="B70" s="17">
        <v>65</v>
      </c>
      <c r="C70" s="18" t="s">
        <v>84</v>
      </c>
      <c r="D70" s="18" t="s">
        <v>50</v>
      </c>
      <c r="E70" s="19">
        <v>439625</v>
      </c>
      <c r="F70" s="18" t="s">
        <v>141</v>
      </c>
      <c r="G70" s="18">
        <v>237</v>
      </c>
      <c r="H70" s="20">
        <v>28.9</v>
      </c>
      <c r="I70" s="20">
        <f t="shared" si="1"/>
        <v>6849.2999999999993</v>
      </c>
      <c r="J70" s="26"/>
      <c r="K70" s="26"/>
      <c r="L70" s="8" t="s">
        <v>4</v>
      </c>
      <c r="M70" s="21">
        <f>VLOOKUP(H70, Intervalos!$B$3:$C$8,2,TRUE)</f>
        <v>0.05</v>
      </c>
    </row>
    <row r="71" spans="1:13" s="16" customFormat="1" ht="33.75" x14ac:dyDescent="0.2">
      <c r="A71" s="23"/>
      <c r="B71" s="17">
        <v>66</v>
      </c>
      <c r="C71" s="18" t="s">
        <v>85</v>
      </c>
      <c r="D71" s="18" t="s">
        <v>50</v>
      </c>
      <c r="E71" s="19">
        <v>439624</v>
      </c>
      <c r="F71" s="18" t="s">
        <v>141</v>
      </c>
      <c r="G71" s="18">
        <v>242</v>
      </c>
      <c r="H71" s="20">
        <v>45.67</v>
      </c>
      <c r="I71" s="20">
        <f t="shared" si="1"/>
        <v>11052.140000000001</v>
      </c>
      <c r="J71" s="26"/>
      <c r="K71" s="26"/>
      <c r="L71" s="8" t="s">
        <v>4</v>
      </c>
      <c r="M71" s="21">
        <f>VLOOKUP(H71, Intervalos!$B$3:$C$8,2,TRUE)</f>
        <v>0.05</v>
      </c>
    </row>
    <row r="72" spans="1:13" s="16" customFormat="1" ht="33.75" x14ac:dyDescent="0.2">
      <c r="A72" s="23"/>
      <c r="B72" s="17">
        <v>67</v>
      </c>
      <c r="C72" s="18" t="s">
        <v>86</v>
      </c>
      <c r="D72" s="18" t="s">
        <v>87</v>
      </c>
      <c r="E72" s="19">
        <v>439627</v>
      </c>
      <c r="F72" s="18" t="s">
        <v>141</v>
      </c>
      <c r="G72" s="18">
        <v>213</v>
      </c>
      <c r="H72" s="20">
        <v>56.5</v>
      </c>
      <c r="I72" s="20">
        <f t="shared" si="1"/>
        <v>12034.5</v>
      </c>
      <c r="J72" s="26"/>
      <c r="K72" s="26"/>
      <c r="L72" s="8" t="s">
        <v>4</v>
      </c>
      <c r="M72" s="21">
        <f>VLOOKUP(H72, Intervalos!$B$3:$C$8,2,TRUE)</f>
        <v>0.1</v>
      </c>
    </row>
    <row r="73" spans="1:13" s="16" customFormat="1" ht="33.75" x14ac:dyDescent="0.2">
      <c r="A73" s="24"/>
      <c r="B73" s="17">
        <v>68</v>
      </c>
      <c r="C73" s="18" t="s">
        <v>88</v>
      </c>
      <c r="D73" s="18" t="s">
        <v>37</v>
      </c>
      <c r="E73" s="19">
        <v>439629</v>
      </c>
      <c r="F73" s="18" t="s">
        <v>141</v>
      </c>
      <c r="G73" s="18">
        <v>203</v>
      </c>
      <c r="H73" s="20">
        <v>3.61</v>
      </c>
      <c r="I73" s="20">
        <f t="shared" si="1"/>
        <v>732.82999999999993</v>
      </c>
      <c r="J73" s="27"/>
      <c r="K73" s="27"/>
      <c r="L73" s="8" t="s">
        <v>4</v>
      </c>
      <c r="M73" s="21">
        <f>VLOOKUP(H73, Intervalos!$B$3:$C$8,2,TRUE)</f>
        <v>0.01</v>
      </c>
    </row>
    <row r="74" spans="1:13" s="16" customFormat="1" ht="33.75" x14ac:dyDescent="0.2">
      <c r="A74" s="22">
        <v>13</v>
      </c>
      <c r="B74" s="17">
        <v>69</v>
      </c>
      <c r="C74" s="18" t="s">
        <v>89</v>
      </c>
      <c r="D74" s="18" t="s">
        <v>50</v>
      </c>
      <c r="E74" s="19">
        <v>439626</v>
      </c>
      <c r="F74" s="18" t="s">
        <v>141</v>
      </c>
      <c r="G74" s="18">
        <v>200</v>
      </c>
      <c r="H74" s="20">
        <v>56.72</v>
      </c>
      <c r="I74" s="20">
        <f t="shared" si="1"/>
        <v>11344</v>
      </c>
      <c r="J74" s="25">
        <f>SUM(I74:I79)</f>
        <v>67875.3</v>
      </c>
      <c r="K74" s="25" t="s">
        <v>115</v>
      </c>
      <c r="L74" s="8" t="s">
        <v>4</v>
      </c>
      <c r="M74" s="21">
        <f>VLOOKUP(H74, Intervalos!$B$3:$C$8,2,TRUE)</f>
        <v>0.1</v>
      </c>
    </row>
    <row r="75" spans="1:13" s="16" customFormat="1" ht="33.75" x14ac:dyDescent="0.2">
      <c r="A75" s="23"/>
      <c r="B75" s="17">
        <v>70</v>
      </c>
      <c r="C75" s="18" t="s">
        <v>90</v>
      </c>
      <c r="D75" s="18" t="s">
        <v>50</v>
      </c>
      <c r="E75" s="19">
        <v>439622</v>
      </c>
      <c r="F75" s="18" t="s">
        <v>141</v>
      </c>
      <c r="G75" s="18">
        <v>463</v>
      </c>
      <c r="H75" s="20">
        <v>51</v>
      </c>
      <c r="I75" s="20">
        <f t="shared" si="1"/>
        <v>23613</v>
      </c>
      <c r="J75" s="26"/>
      <c r="K75" s="26"/>
      <c r="L75" s="8" t="s">
        <v>4</v>
      </c>
      <c r="M75" s="21">
        <f>VLOOKUP(H75, Intervalos!$B$3:$C$8,2,TRUE)</f>
        <v>0.1</v>
      </c>
    </row>
    <row r="76" spans="1:13" s="16" customFormat="1" ht="33.75" x14ac:dyDescent="0.2">
      <c r="A76" s="23"/>
      <c r="B76" s="17">
        <v>71</v>
      </c>
      <c r="C76" s="18" t="s">
        <v>91</v>
      </c>
      <c r="D76" s="18" t="s">
        <v>87</v>
      </c>
      <c r="E76" s="19">
        <v>439627</v>
      </c>
      <c r="F76" s="18" t="s">
        <v>141</v>
      </c>
      <c r="G76" s="18">
        <v>207</v>
      </c>
      <c r="H76" s="20">
        <v>48.9</v>
      </c>
      <c r="I76" s="20">
        <f t="shared" si="1"/>
        <v>10122.299999999999</v>
      </c>
      <c r="J76" s="26"/>
      <c r="K76" s="26"/>
      <c r="L76" s="8" t="s">
        <v>4</v>
      </c>
      <c r="M76" s="21">
        <f>VLOOKUP(H76, Intervalos!$B$3:$C$8,2,TRUE)</f>
        <v>0.05</v>
      </c>
    </row>
    <row r="77" spans="1:13" s="16" customFormat="1" ht="33.75" x14ac:dyDescent="0.2">
      <c r="A77" s="23"/>
      <c r="B77" s="17">
        <v>72</v>
      </c>
      <c r="C77" s="18" t="s">
        <v>92</v>
      </c>
      <c r="D77" s="18" t="s">
        <v>50</v>
      </c>
      <c r="E77" s="19">
        <v>439625</v>
      </c>
      <c r="F77" s="18" t="s">
        <v>141</v>
      </c>
      <c r="G77" s="18">
        <v>270</v>
      </c>
      <c r="H77" s="20">
        <v>39.9</v>
      </c>
      <c r="I77" s="20">
        <f t="shared" si="1"/>
        <v>10773</v>
      </c>
      <c r="J77" s="26"/>
      <c r="K77" s="26"/>
      <c r="L77" s="8" t="s">
        <v>4</v>
      </c>
      <c r="M77" s="21">
        <f>VLOOKUP(H77, Intervalos!$B$3:$C$8,2,TRUE)</f>
        <v>0.05</v>
      </c>
    </row>
    <row r="78" spans="1:13" s="16" customFormat="1" ht="33.75" x14ac:dyDescent="0.2">
      <c r="A78" s="23"/>
      <c r="B78" s="17">
        <v>73</v>
      </c>
      <c r="C78" s="18" t="s">
        <v>93</v>
      </c>
      <c r="D78" s="18" t="s">
        <v>50</v>
      </c>
      <c r="E78" s="19">
        <v>439624</v>
      </c>
      <c r="F78" s="18" t="s">
        <v>141</v>
      </c>
      <c r="G78" s="18">
        <v>270</v>
      </c>
      <c r="H78" s="20">
        <v>39.9</v>
      </c>
      <c r="I78" s="20">
        <f t="shared" si="1"/>
        <v>10773</v>
      </c>
      <c r="J78" s="26"/>
      <c r="K78" s="26"/>
      <c r="L78" s="8" t="s">
        <v>4</v>
      </c>
      <c r="M78" s="21">
        <f>VLOOKUP(H78, Intervalos!$B$3:$C$8,2,TRUE)</f>
        <v>0.05</v>
      </c>
    </row>
    <row r="79" spans="1:13" s="16" customFormat="1" ht="33.75" x14ac:dyDescent="0.2">
      <c r="A79" s="24"/>
      <c r="B79" s="17">
        <v>74</v>
      </c>
      <c r="C79" s="18" t="s">
        <v>94</v>
      </c>
      <c r="D79" s="18" t="s">
        <v>37</v>
      </c>
      <c r="E79" s="19">
        <v>439629</v>
      </c>
      <c r="F79" s="18" t="s">
        <v>141</v>
      </c>
      <c r="G79" s="18">
        <v>500</v>
      </c>
      <c r="H79" s="20">
        <v>2.5</v>
      </c>
      <c r="I79" s="20">
        <f t="shared" si="1"/>
        <v>1250</v>
      </c>
      <c r="J79" s="27"/>
      <c r="K79" s="27"/>
      <c r="L79" s="8" t="s">
        <v>4</v>
      </c>
      <c r="M79" s="21">
        <f>VLOOKUP(H79, Intervalos!$B$3:$C$8,2,TRUE)</f>
        <v>0.01</v>
      </c>
    </row>
    <row r="80" spans="1:13" s="16" customFormat="1" ht="22.5" x14ac:dyDescent="0.2">
      <c r="A80" s="22">
        <v>14</v>
      </c>
      <c r="B80" s="17">
        <v>75</v>
      </c>
      <c r="C80" s="18" t="s">
        <v>95</v>
      </c>
      <c r="D80" s="18" t="s">
        <v>96</v>
      </c>
      <c r="E80" s="19">
        <v>442279</v>
      </c>
      <c r="F80" s="18" t="s">
        <v>141</v>
      </c>
      <c r="G80" s="18">
        <v>19</v>
      </c>
      <c r="H80" s="20">
        <v>41.16</v>
      </c>
      <c r="I80" s="20">
        <f t="shared" si="1"/>
        <v>782.04</v>
      </c>
      <c r="J80" s="25">
        <f>SUM(I80:I81)</f>
        <v>1616.1399999999999</v>
      </c>
      <c r="K80" s="25" t="s">
        <v>115</v>
      </c>
      <c r="L80" s="8" t="s">
        <v>4</v>
      </c>
      <c r="M80" s="21">
        <f>VLOOKUP(H80, Intervalos!$B$3:$C$8,2,TRUE)</f>
        <v>0.05</v>
      </c>
    </row>
    <row r="81" spans="1:13" s="16" customFormat="1" ht="22.5" x14ac:dyDescent="0.2">
      <c r="A81" s="24"/>
      <c r="B81" s="17">
        <v>76</v>
      </c>
      <c r="C81" s="18" t="s">
        <v>97</v>
      </c>
      <c r="D81" s="18" t="s">
        <v>96</v>
      </c>
      <c r="E81" s="19">
        <v>442278</v>
      </c>
      <c r="F81" s="18" t="s">
        <v>141</v>
      </c>
      <c r="G81" s="18">
        <v>19</v>
      </c>
      <c r="H81" s="20">
        <v>43.9</v>
      </c>
      <c r="I81" s="20">
        <f t="shared" si="1"/>
        <v>834.1</v>
      </c>
      <c r="J81" s="27"/>
      <c r="K81" s="27"/>
      <c r="L81" s="8" t="s">
        <v>4</v>
      </c>
      <c r="M81" s="21">
        <f>VLOOKUP(H81, Intervalos!$B$3:$C$8,2,TRUE)</f>
        <v>0.05</v>
      </c>
    </row>
    <row r="82" spans="1:13" s="16" customFormat="1" ht="56.25" x14ac:dyDescent="0.2">
      <c r="A82" s="17" t="s">
        <v>113</v>
      </c>
      <c r="B82" s="17">
        <v>77</v>
      </c>
      <c r="C82" s="18" t="s">
        <v>98</v>
      </c>
      <c r="D82" s="18" t="s">
        <v>50</v>
      </c>
      <c r="E82" s="19">
        <v>455658</v>
      </c>
      <c r="F82" s="18" t="s">
        <v>141</v>
      </c>
      <c r="G82" s="18">
        <v>83</v>
      </c>
      <c r="H82" s="20">
        <v>46.9</v>
      </c>
      <c r="I82" s="20">
        <f t="shared" si="1"/>
        <v>3892.7</v>
      </c>
      <c r="J82" s="20" t="s">
        <v>113</v>
      </c>
      <c r="K82" s="20" t="s">
        <v>115</v>
      </c>
      <c r="L82" s="8" t="s">
        <v>4</v>
      </c>
      <c r="M82" s="21">
        <f>VLOOKUP(H82, Intervalos!$B$3:$C$8,2,TRUE)</f>
        <v>0.05</v>
      </c>
    </row>
    <row r="83" spans="1:13" s="16" customFormat="1" ht="56.25" x14ac:dyDescent="0.2">
      <c r="A83" s="22">
        <v>15</v>
      </c>
      <c r="B83" s="17">
        <v>78</v>
      </c>
      <c r="C83" s="18" t="s">
        <v>99</v>
      </c>
      <c r="D83" s="18" t="s">
        <v>37</v>
      </c>
      <c r="E83" s="19">
        <v>435995</v>
      </c>
      <c r="F83" s="18" t="s">
        <v>141</v>
      </c>
      <c r="G83" s="18">
        <v>49</v>
      </c>
      <c r="H83" s="20">
        <v>5.9</v>
      </c>
      <c r="I83" s="20">
        <f t="shared" si="1"/>
        <v>289.10000000000002</v>
      </c>
      <c r="J83" s="25">
        <f>SUM(I83:I88)</f>
        <v>3472.3900000000003</v>
      </c>
      <c r="K83" s="25" t="s">
        <v>115</v>
      </c>
      <c r="L83" s="8" t="s">
        <v>4</v>
      </c>
      <c r="M83" s="21">
        <f>VLOOKUP(H83, Intervalos!$B$3:$C$8,2,TRUE)</f>
        <v>0.02</v>
      </c>
    </row>
    <row r="84" spans="1:13" s="16" customFormat="1" ht="56.25" x14ac:dyDescent="0.2">
      <c r="A84" s="23"/>
      <c r="B84" s="17">
        <v>79</v>
      </c>
      <c r="C84" s="18" t="s">
        <v>100</v>
      </c>
      <c r="D84" s="18" t="s">
        <v>37</v>
      </c>
      <c r="E84" s="19">
        <v>435999</v>
      </c>
      <c r="F84" s="18" t="s">
        <v>141</v>
      </c>
      <c r="G84" s="18">
        <v>75</v>
      </c>
      <c r="H84" s="20">
        <v>5.49</v>
      </c>
      <c r="I84" s="20">
        <f t="shared" si="1"/>
        <v>411.75</v>
      </c>
      <c r="J84" s="26"/>
      <c r="K84" s="26"/>
      <c r="L84" s="8" t="s">
        <v>4</v>
      </c>
      <c r="M84" s="21">
        <f>VLOOKUP(H84, Intervalos!$B$3:$C$8,2,TRUE)</f>
        <v>0.02</v>
      </c>
    </row>
    <row r="85" spans="1:13" s="16" customFormat="1" ht="56.25" x14ac:dyDescent="0.2">
      <c r="A85" s="23"/>
      <c r="B85" s="17">
        <v>80</v>
      </c>
      <c r="C85" s="18" t="s">
        <v>101</v>
      </c>
      <c r="D85" s="18" t="s">
        <v>37</v>
      </c>
      <c r="E85" s="19">
        <v>435997</v>
      </c>
      <c r="F85" s="18" t="s">
        <v>141</v>
      </c>
      <c r="G85" s="18">
        <v>200</v>
      </c>
      <c r="H85" s="20">
        <v>5.45</v>
      </c>
      <c r="I85" s="20">
        <f t="shared" si="1"/>
        <v>1090</v>
      </c>
      <c r="J85" s="26"/>
      <c r="K85" s="26"/>
      <c r="L85" s="8" t="s">
        <v>4</v>
      </c>
      <c r="M85" s="21">
        <f>VLOOKUP(H85, Intervalos!$B$3:$C$8,2,TRUE)</f>
        <v>0.02</v>
      </c>
    </row>
    <row r="86" spans="1:13" s="16" customFormat="1" ht="56.25" x14ac:dyDescent="0.2">
      <c r="A86" s="23"/>
      <c r="B86" s="17">
        <v>81</v>
      </c>
      <c r="C86" s="18" t="s">
        <v>102</v>
      </c>
      <c r="D86" s="18" t="s">
        <v>37</v>
      </c>
      <c r="E86" s="19">
        <v>436010</v>
      </c>
      <c r="F86" s="18" t="s">
        <v>141</v>
      </c>
      <c r="G86" s="18">
        <v>137</v>
      </c>
      <c r="H86" s="20">
        <v>6.9</v>
      </c>
      <c r="I86" s="20">
        <f t="shared" si="1"/>
        <v>945.30000000000007</v>
      </c>
      <c r="J86" s="26"/>
      <c r="K86" s="26"/>
      <c r="L86" s="8" t="s">
        <v>4</v>
      </c>
      <c r="M86" s="21">
        <f>VLOOKUP(H86, Intervalos!$B$3:$C$8,2,TRUE)</f>
        <v>0.02</v>
      </c>
    </row>
    <row r="87" spans="1:13" s="16" customFormat="1" ht="56.25" x14ac:dyDescent="0.2">
      <c r="A87" s="23"/>
      <c r="B87" s="17">
        <v>82</v>
      </c>
      <c r="C87" s="18" t="s">
        <v>103</v>
      </c>
      <c r="D87" s="18" t="s">
        <v>37</v>
      </c>
      <c r="E87" s="19">
        <v>436004</v>
      </c>
      <c r="F87" s="18" t="s">
        <v>141</v>
      </c>
      <c r="G87" s="18">
        <v>88</v>
      </c>
      <c r="H87" s="20">
        <v>6</v>
      </c>
      <c r="I87" s="20">
        <f t="shared" si="1"/>
        <v>528</v>
      </c>
      <c r="J87" s="26"/>
      <c r="K87" s="26"/>
      <c r="L87" s="8" t="s">
        <v>4</v>
      </c>
      <c r="M87" s="21">
        <f>VLOOKUP(H87, Intervalos!$B$3:$C$8,2,TRUE)</f>
        <v>0.02</v>
      </c>
    </row>
    <row r="88" spans="1:13" s="16" customFormat="1" ht="56.25" x14ac:dyDescent="0.2">
      <c r="A88" s="24"/>
      <c r="B88" s="17">
        <v>83</v>
      </c>
      <c r="C88" s="18" t="s">
        <v>104</v>
      </c>
      <c r="D88" s="18" t="s">
        <v>37</v>
      </c>
      <c r="E88" s="19">
        <v>436006</v>
      </c>
      <c r="F88" s="18" t="s">
        <v>141</v>
      </c>
      <c r="G88" s="18">
        <v>38</v>
      </c>
      <c r="H88" s="20">
        <v>5.48</v>
      </c>
      <c r="I88" s="20">
        <f t="shared" si="1"/>
        <v>208.24</v>
      </c>
      <c r="J88" s="27"/>
      <c r="K88" s="27"/>
      <c r="L88" s="8" t="s">
        <v>4</v>
      </c>
      <c r="M88" s="21">
        <f>VLOOKUP(H88, Intervalos!$B$3:$C$8,2,TRUE)</f>
        <v>0.02</v>
      </c>
    </row>
    <row r="89" spans="1:13" s="16" customFormat="1" ht="45" x14ac:dyDescent="0.2">
      <c r="A89" s="22">
        <v>16</v>
      </c>
      <c r="B89" s="17">
        <v>84</v>
      </c>
      <c r="C89" s="18" t="s">
        <v>105</v>
      </c>
      <c r="D89" s="18" t="s">
        <v>37</v>
      </c>
      <c r="E89" s="19">
        <v>438401</v>
      </c>
      <c r="F89" s="18" t="s">
        <v>141</v>
      </c>
      <c r="G89" s="18">
        <v>188</v>
      </c>
      <c r="H89" s="20">
        <v>2.12</v>
      </c>
      <c r="I89" s="20">
        <f t="shared" si="1"/>
        <v>398.56</v>
      </c>
      <c r="J89" s="25">
        <f>SUM(I89:I92)</f>
        <v>1384.68</v>
      </c>
      <c r="K89" s="25" t="s">
        <v>115</v>
      </c>
      <c r="L89" s="8" t="s">
        <v>4</v>
      </c>
      <c r="M89" s="21">
        <f>VLOOKUP(H89, Intervalos!$B$3:$C$8,2,TRUE)</f>
        <v>0.01</v>
      </c>
    </row>
    <row r="90" spans="1:13" s="16" customFormat="1" ht="45" x14ac:dyDescent="0.2">
      <c r="A90" s="23"/>
      <c r="B90" s="17">
        <v>85</v>
      </c>
      <c r="C90" s="18" t="s">
        <v>106</v>
      </c>
      <c r="D90" s="18" t="s">
        <v>37</v>
      </c>
      <c r="E90" s="19">
        <v>437216</v>
      </c>
      <c r="F90" s="18" t="s">
        <v>141</v>
      </c>
      <c r="G90" s="18">
        <v>188</v>
      </c>
      <c r="H90" s="20">
        <v>1.84</v>
      </c>
      <c r="I90" s="20">
        <f t="shared" si="1"/>
        <v>345.92</v>
      </c>
      <c r="J90" s="26"/>
      <c r="K90" s="26"/>
      <c r="L90" s="8" t="s">
        <v>4</v>
      </c>
      <c r="M90" s="21">
        <f>VLOOKUP(H90, Intervalos!$B$3:$C$8,2,TRUE)</f>
        <v>0.01</v>
      </c>
    </row>
    <row r="91" spans="1:13" s="16" customFormat="1" ht="45" x14ac:dyDescent="0.2">
      <c r="A91" s="23"/>
      <c r="B91" s="17">
        <v>86</v>
      </c>
      <c r="C91" s="18" t="s">
        <v>107</v>
      </c>
      <c r="D91" s="18" t="s">
        <v>37</v>
      </c>
      <c r="E91" s="19">
        <v>437217</v>
      </c>
      <c r="F91" s="18" t="s">
        <v>141</v>
      </c>
      <c r="G91" s="18">
        <v>188</v>
      </c>
      <c r="H91" s="20">
        <v>1.65</v>
      </c>
      <c r="I91" s="20">
        <f t="shared" si="1"/>
        <v>310.2</v>
      </c>
      <c r="J91" s="26"/>
      <c r="K91" s="26"/>
      <c r="L91" s="8" t="s">
        <v>4</v>
      </c>
      <c r="M91" s="21">
        <f>VLOOKUP(H91, Intervalos!$B$3:$C$8,2,TRUE)</f>
        <v>0.01</v>
      </c>
    </row>
    <row r="92" spans="1:13" s="16" customFormat="1" ht="45" x14ac:dyDescent="0.2">
      <c r="A92" s="24"/>
      <c r="B92" s="17">
        <v>87</v>
      </c>
      <c r="C92" s="18" t="s">
        <v>108</v>
      </c>
      <c r="D92" s="18" t="s">
        <v>37</v>
      </c>
      <c r="E92" s="19">
        <v>435906</v>
      </c>
      <c r="F92" s="18" t="s">
        <v>141</v>
      </c>
      <c r="G92" s="18">
        <v>132</v>
      </c>
      <c r="H92" s="20">
        <v>2.5</v>
      </c>
      <c r="I92" s="20">
        <f t="shared" si="1"/>
        <v>330</v>
      </c>
      <c r="J92" s="27"/>
      <c r="K92" s="27"/>
      <c r="L92" s="8" t="s">
        <v>4</v>
      </c>
      <c r="M92" s="21">
        <f>VLOOKUP(H92, Intervalos!$B$3:$C$8,2,TRUE)</f>
        <v>0.01</v>
      </c>
    </row>
    <row r="93" spans="1:13" s="16" customFormat="1" ht="45" x14ac:dyDescent="0.2">
      <c r="A93" s="17" t="s">
        <v>113</v>
      </c>
      <c r="B93" s="17">
        <v>88</v>
      </c>
      <c r="C93" s="18" t="s">
        <v>109</v>
      </c>
      <c r="D93" s="18" t="s">
        <v>44</v>
      </c>
      <c r="E93" s="19">
        <v>439069</v>
      </c>
      <c r="F93" s="18" t="s">
        <v>113</v>
      </c>
      <c r="G93" s="18">
        <v>63</v>
      </c>
      <c r="H93" s="20">
        <v>24.5</v>
      </c>
      <c r="I93" s="20">
        <f t="shared" si="1"/>
        <v>1543.5</v>
      </c>
      <c r="J93" s="20" t="s">
        <v>113</v>
      </c>
      <c r="K93" s="20" t="s">
        <v>115</v>
      </c>
      <c r="L93" s="8" t="s">
        <v>4</v>
      </c>
      <c r="M93" s="21">
        <f>VLOOKUP(H93, Intervalos!$B$3:$C$8,2,TRUE)</f>
        <v>0.05</v>
      </c>
    </row>
    <row r="94" spans="1:13" s="16" customFormat="1" ht="33.75" x14ac:dyDescent="0.2">
      <c r="A94" s="22">
        <v>17</v>
      </c>
      <c r="B94" s="17">
        <v>89</v>
      </c>
      <c r="C94" s="18" t="s">
        <v>130</v>
      </c>
      <c r="D94" s="18" t="s">
        <v>120</v>
      </c>
      <c r="E94" s="19">
        <v>618920</v>
      </c>
      <c r="F94" s="18" t="s">
        <v>141</v>
      </c>
      <c r="G94" s="18">
        <f>44*20</f>
        <v>880</v>
      </c>
      <c r="H94" s="20">
        <f>39.2/20</f>
        <v>1.9600000000000002</v>
      </c>
      <c r="I94" s="20">
        <f t="shared" si="1"/>
        <v>1724.8</v>
      </c>
      <c r="J94" s="25">
        <f>SUM(I94:I101)</f>
        <v>7838.2</v>
      </c>
      <c r="K94" s="25" t="s">
        <v>115</v>
      </c>
      <c r="L94" s="8" t="s">
        <v>4</v>
      </c>
      <c r="M94" s="21">
        <f>VLOOKUP(H94, Intervalos!$B$3:$C$8,2,TRUE)</f>
        <v>0.01</v>
      </c>
    </row>
    <row r="95" spans="1:13" s="16" customFormat="1" ht="33.75" x14ac:dyDescent="0.2">
      <c r="A95" s="23"/>
      <c r="B95" s="17">
        <v>90</v>
      </c>
      <c r="C95" s="18" t="s">
        <v>131</v>
      </c>
      <c r="D95" s="18" t="s">
        <v>120</v>
      </c>
      <c r="E95" s="19">
        <v>618921</v>
      </c>
      <c r="F95" s="18" t="s">
        <v>141</v>
      </c>
      <c r="G95" s="18">
        <f>44*20</f>
        <v>880</v>
      </c>
      <c r="H95" s="20">
        <f>39.2/20</f>
        <v>1.9600000000000002</v>
      </c>
      <c r="I95" s="20">
        <f t="shared" si="1"/>
        <v>1724.8</v>
      </c>
      <c r="J95" s="26"/>
      <c r="K95" s="26"/>
      <c r="L95" s="8" t="s">
        <v>4</v>
      </c>
      <c r="M95" s="21">
        <f>VLOOKUP(H95, Intervalos!$B$3:$C$8,2,TRUE)</f>
        <v>0.01</v>
      </c>
    </row>
    <row r="96" spans="1:13" s="16" customFormat="1" ht="33.75" x14ac:dyDescent="0.2">
      <c r="A96" s="23"/>
      <c r="B96" s="17">
        <v>91</v>
      </c>
      <c r="C96" s="18" t="s">
        <v>132</v>
      </c>
      <c r="D96" s="18" t="s">
        <v>120</v>
      </c>
      <c r="E96" s="19">
        <v>438409</v>
      </c>
      <c r="F96" s="18" t="s">
        <v>141</v>
      </c>
      <c r="G96" s="18">
        <f>44*20</f>
        <v>880</v>
      </c>
      <c r="H96" s="20">
        <f>40.4/20</f>
        <v>2.02</v>
      </c>
      <c r="I96" s="20">
        <f t="shared" si="1"/>
        <v>1777.6</v>
      </c>
      <c r="J96" s="26"/>
      <c r="K96" s="26"/>
      <c r="L96" s="8" t="s">
        <v>4</v>
      </c>
      <c r="M96" s="21">
        <f>VLOOKUP(H96, Intervalos!$B$3:$C$8,2,TRUE)</f>
        <v>0.01</v>
      </c>
    </row>
    <row r="97" spans="1:13" s="16" customFormat="1" ht="33.75" x14ac:dyDescent="0.2">
      <c r="A97" s="23"/>
      <c r="B97" s="17">
        <v>92</v>
      </c>
      <c r="C97" s="18" t="s">
        <v>133</v>
      </c>
      <c r="D97" s="18" t="s">
        <v>120</v>
      </c>
      <c r="E97" s="19">
        <v>436042</v>
      </c>
      <c r="F97" s="18" t="s">
        <v>141</v>
      </c>
      <c r="G97" s="18">
        <f>27*20</f>
        <v>540</v>
      </c>
      <c r="H97" s="20">
        <f>38/20</f>
        <v>1.9</v>
      </c>
      <c r="I97" s="20">
        <f t="shared" si="1"/>
        <v>1026</v>
      </c>
      <c r="J97" s="26"/>
      <c r="K97" s="26"/>
      <c r="L97" s="8" t="s">
        <v>4</v>
      </c>
      <c r="M97" s="21">
        <f>VLOOKUP(H97, Intervalos!$B$3:$C$8,2,TRUE)</f>
        <v>0.01</v>
      </c>
    </row>
    <row r="98" spans="1:13" s="16" customFormat="1" ht="33.75" x14ac:dyDescent="0.2">
      <c r="A98" s="23"/>
      <c r="B98" s="17">
        <v>93</v>
      </c>
      <c r="C98" s="18" t="s">
        <v>134</v>
      </c>
      <c r="D98" s="18" t="s">
        <v>120</v>
      </c>
      <c r="E98" s="19">
        <v>435986</v>
      </c>
      <c r="F98" s="18" t="s">
        <v>141</v>
      </c>
      <c r="G98" s="18">
        <f>14*20</f>
        <v>280</v>
      </c>
      <c r="H98" s="20">
        <f>38/20</f>
        <v>1.9</v>
      </c>
      <c r="I98" s="20">
        <f t="shared" si="1"/>
        <v>532</v>
      </c>
      <c r="J98" s="26"/>
      <c r="K98" s="26"/>
      <c r="L98" s="8" t="s">
        <v>4</v>
      </c>
      <c r="M98" s="21">
        <f>VLOOKUP(H98, Intervalos!$B$3:$C$8,2,TRUE)</f>
        <v>0.01</v>
      </c>
    </row>
    <row r="99" spans="1:13" s="16" customFormat="1" ht="33.75" x14ac:dyDescent="0.2">
      <c r="A99" s="23"/>
      <c r="B99" s="17">
        <v>94</v>
      </c>
      <c r="C99" s="18" t="s">
        <v>135</v>
      </c>
      <c r="D99" s="18" t="s">
        <v>120</v>
      </c>
      <c r="E99" s="19">
        <v>435982</v>
      </c>
      <c r="F99" s="18" t="s">
        <v>141</v>
      </c>
      <c r="G99" s="18">
        <f>9*20</f>
        <v>180</v>
      </c>
      <c r="H99" s="20">
        <f>42/20</f>
        <v>2.1</v>
      </c>
      <c r="I99" s="20">
        <f t="shared" si="1"/>
        <v>378</v>
      </c>
      <c r="J99" s="26"/>
      <c r="K99" s="26"/>
      <c r="L99" s="8" t="s">
        <v>4</v>
      </c>
      <c r="M99" s="21">
        <f>VLOOKUP(H99, Intervalos!$B$3:$C$8,2,TRUE)</f>
        <v>0.01</v>
      </c>
    </row>
    <row r="100" spans="1:13" s="16" customFormat="1" ht="33.75" x14ac:dyDescent="0.2">
      <c r="A100" s="23"/>
      <c r="B100" s="17">
        <v>95</v>
      </c>
      <c r="C100" s="18" t="s">
        <v>136</v>
      </c>
      <c r="D100" s="18" t="s">
        <v>120</v>
      </c>
      <c r="E100" s="19">
        <v>435985</v>
      </c>
      <c r="F100" s="18" t="s">
        <v>141</v>
      </c>
      <c r="G100" s="18">
        <f>9*20</f>
        <v>180</v>
      </c>
      <c r="H100" s="20">
        <f>49.4/20</f>
        <v>2.4699999999999998</v>
      </c>
      <c r="I100" s="20">
        <f t="shared" si="1"/>
        <v>444.6</v>
      </c>
      <c r="J100" s="26"/>
      <c r="K100" s="26"/>
      <c r="L100" s="8" t="s">
        <v>4</v>
      </c>
      <c r="M100" s="21">
        <f>VLOOKUP(H100, Intervalos!$B$3:$C$8,2,TRUE)</f>
        <v>0.01</v>
      </c>
    </row>
    <row r="101" spans="1:13" s="16" customFormat="1" ht="33.75" x14ac:dyDescent="0.2">
      <c r="A101" s="24"/>
      <c r="B101" s="17">
        <v>96</v>
      </c>
      <c r="C101" s="18" t="s">
        <v>137</v>
      </c>
      <c r="D101" s="18" t="s">
        <v>120</v>
      </c>
      <c r="E101" s="19">
        <v>435983</v>
      </c>
      <c r="F101" s="18" t="s">
        <v>141</v>
      </c>
      <c r="G101" s="18">
        <f>9*20</f>
        <v>180</v>
      </c>
      <c r="H101" s="20">
        <f>25.53/20</f>
        <v>1.2765</v>
      </c>
      <c r="I101" s="20">
        <f t="shared" si="1"/>
        <v>230.4</v>
      </c>
      <c r="J101" s="27"/>
      <c r="K101" s="27"/>
      <c r="L101" s="8" t="s">
        <v>4</v>
      </c>
      <c r="M101" s="21">
        <f>VLOOKUP(H101, Intervalos!$B$3:$C$8,2,TRUE)</f>
        <v>0.01</v>
      </c>
    </row>
    <row r="102" spans="1:13" s="16" customFormat="1" ht="78.75" x14ac:dyDescent="0.2">
      <c r="A102" s="17" t="s">
        <v>113</v>
      </c>
      <c r="B102" s="17">
        <v>97</v>
      </c>
      <c r="C102" s="18" t="s">
        <v>129</v>
      </c>
      <c r="D102" s="18" t="s">
        <v>120</v>
      </c>
      <c r="E102" s="19">
        <v>454405</v>
      </c>
      <c r="F102" s="18" t="s">
        <v>141</v>
      </c>
      <c r="G102" s="18">
        <f>7*20</f>
        <v>140</v>
      </c>
      <c r="H102" s="20">
        <f>44/20</f>
        <v>2.2000000000000002</v>
      </c>
      <c r="I102" s="20">
        <f t="shared" si="1"/>
        <v>308</v>
      </c>
      <c r="J102" s="20" t="s">
        <v>113</v>
      </c>
      <c r="K102" s="20" t="s">
        <v>115</v>
      </c>
      <c r="L102" s="8" t="s">
        <v>4</v>
      </c>
      <c r="M102" s="21">
        <f>VLOOKUP(H102, Intervalos!$B$3:$C$8,2,TRUE)</f>
        <v>0.01</v>
      </c>
    </row>
    <row r="103" spans="1:13" s="16" customFormat="1" ht="33.75" x14ac:dyDescent="0.2">
      <c r="A103" s="22">
        <v>18</v>
      </c>
      <c r="B103" s="17">
        <v>98</v>
      </c>
      <c r="C103" s="18" t="s">
        <v>110</v>
      </c>
      <c r="D103" s="18" t="s">
        <v>37</v>
      </c>
      <c r="E103" s="19">
        <v>446430</v>
      </c>
      <c r="F103" s="18" t="s">
        <v>141</v>
      </c>
      <c r="G103" s="18">
        <v>13</v>
      </c>
      <c r="H103" s="20">
        <v>2285.96</v>
      </c>
      <c r="I103" s="20">
        <f t="shared" si="1"/>
        <v>29717.48</v>
      </c>
      <c r="J103" s="25">
        <f>SUM(I103:I105)</f>
        <v>93086.239999999991</v>
      </c>
      <c r="K103" s="25" t="s">
        <v>115</v>
      </c>
      <c r="L103" s="8" t="s">
        <v>4</v>
      </c>
      <c r="M103" s="21" t="str">
        <f>VLOOKUP(H103, Intervalos!$B$3:$C$8,2,TRUE)</f>
        <v>0,10%</v>
      </c>
    </row>
    <row r="104" spans="1:13" s="16" customFormat="1" ht="33.75" x14ac:dyDescent="0.2">
      <c r="A104" s="23"/>
      <c r="B104" s="17">
        <v>99</v>
      </c>
      <c r="C104" s="18" t="s">
        <v>111</v>
      </c>
      <c r="D104" s="18" t="s">
        <v>37</v>
      </c>
      <c r="E104" s="19">
        <v>446426</v>
      </c>
      <c r="F104" s="18" t="s">
        <v>141</v>
      </c>
      <c r="G104" s="18">
        <v>13</v>
      </c>
      <c r="H104" s="20">
        <v>2294.3200000000002</v>
      </c>
      <c r="I104" s="20">
        <f t="shared" si="1"/>
        <v>29826.160000000003</v>
      </c>
      <c r="J104" s="26"/>
      <c r="K104" s="26"/>
      <c r="L104" s="8" t="s">
        <v>4</v>
      </c>
      <c r="M104" s="21" t="str">
        <f>VLOOKUP(H104, Intervalos!$B$3:$C$8,2,TRUE)</f>
        <v>0,10%</v>
      </c>
    </row>
    <row r="105" spans="1:13" s="16" customFormat="1" ht="33.75" x14ac:dyDescent="0.2">
      <c r="A105" s="24"/>
      <c r="B105" s="17">
        <v>100</v>
      </c>
      <c r="C105" s="18" t="s">
        <v>112</v>
      </c>
      <c r="D105" s="18" t="s">
        <v>37</v>
      </c>
      <c r="E105" s="19">
        <v>446440</v>
      </c>
      <c r="F105" s="18" t="s">
        <v>141</v>
      </c>
      <c r="G105" s="18">
        <v>13</v>
      </c>
      <c r="H105" s="20">
        <v>2580.1999999999998</v>
      </c>
      <c r="I105" s="20">
        <f t="shared" si="1"/>
        <v>33542.6</v>
      </c>
      <c r="J105" s="27"/>
      <c r="K105" s="27"/>
      <c r="L105" s="8" t="s">
        <v>4</v>
      </c>
      <c r="M105" s="21" t="str">
        <f>VLOOKUP(H105, Intervalos!$B$3:$C$8,2,TRUE)</f>
        <v>0,10%</v>
      </c>
    </row>
    <row r="106" spans="1:13" ht="22.5" x14ac:dyDescent="0.2">
      <c r="H106" s="6" t="s">
        <v>6</v>
      </c>
      <c r="I106" s="9">
        <f>SUM(I6:I105)</f>
        <v>654765.06000000006</v>
      </c>
    </row>
  </sheetData>
  <mergeCells count="57">
    <mergeCell ref="A1:M1"/>
    <mergeCell ref="A2:M2"/>
    <mergeCell ref="A3:M3"/>
    <mergeCell ref="A29:A32"/>
    <mergeCell ref="J29:J32"/>
    <mergeCell ref="K29:K32"/>
    <mergeCell ref="A16:A18"/>
    <mergeCell ref="J16:J18"/>
    <mergeCell ref="K16:K18"/>
    <mergeCell ref="A19:A20"/>
    <mergeCell ref="J19:J20"/>
    <mergeCell ref="K19:K20"/>
    <mergeCell ref="A8:A15"/>
    <mergeCell ref="J8:J15"/>
    <mergeCell ref="K8:K15"/>
    <mergeCell ref="A33:A35"/>
    <mergeCell ref="J33:J35"/>
    <mergeCell ref="K33:K35"/>
    <mergeCell ref="A47:A49"/>
    <mergeCell ref="J47:J49"/>
    <mergeCell ref="K47:K49"/>
    <mergeCell ref="A37:A43"/>
    <mergeCell ref="J37:J43"/>
    <mergeCell ref="K37:K43"/>
    <mergeCell ref="A50:A51"/>
    <mergeCell ref="J50:J51"/>
    <mergeCell ref="K50:K51"/>
    <mergeCell ref="A53:A55"/>
    <mergeCell ref="J53:J55"/>
    <mergeCell ref="K53:K55"/>
    <mergeCell ref="A56:A58"/>
    <mergeCell ref="J56:J58"/>
    <mergeCell ref="K56:K58"/>
    <mergeCell ref="A62:A66"/>
    <mergeCell ref="J62:J66"/>
    <mergeCell ref="K62:K66"/>
    <mergeCell ref="A69:A73"/>
    <mergeCell ref="J69:J73"/>
    <mergeCell ref="K69:K73"/>
    <mergeCell ref="A74:A79"/>
    <mergeCell ref="J74:J79"/>
    <mergeCell ref="K74:K79"/>
    <mergeCell ref="A80:A81"/>
    <mergeCell ref="J80:J81"/>
    <mergeCell ref="K80:K81"/>
    <mergeCell ref="A83:A88"/>
    <mergeCell ref="J83:J88"/>
    <mergeCell ref="K83:K88"/>
    <mergeCell ref="A103:A105"/>
    <mergeCell ref="J103:J105"/>
    <mergeCell ref="K103:K105"/>
    <mergeCell ref="A89:A92"/>
    <mergeCell ref="J89:J92"/>
    <mergeCell ref="K89:K92"/>
    <mergeCell ref="A94:A101"/>
    <mergeCell ref="J94:J101"/>
    <mergeCell ref="K94:K101"/>
  </mergeCells>
  <pageMargins left="0.23622047244094491" right="0.23622047244094491" top="0.74803149606299213" bottom="0.74803149606299213" header="0.31496062992125984" footer="0.31496062992125984"/>
  <pageSetup paperSize="9" scale="84" fitToHeight="0" orientation="landscape" r:id="rId1"/>
  <headerFooter>
    <oddHeader>&amp;L&amp;G&amp;CPREGÃO ELETRÔNICO XX/2025 
&amp;R&amp;G</oddHeader>
    <oddFooter>&amp;L&amp;"-,Itálico"&amp;9ANEXO III -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A44FF-836B-4AD3-983B-AAB120C3AFFF}">
  <dimension ref="A1:F9"/>
  <sheetViews>
    <sheetView workbookViewId="0">
      <selection activeCell="C3" sqref="C3"/>
    </sheetView>
  </sheetViews>
  <sheetFormatPr defaultColWidth="0" defaultRowHeight="15" zeroHeight="1" x14ac:dyDescent="0.25"/>
  <cols>
    <col min="1" max="1" width="2.42578125" customWidth="1"/>
    <col min="2" max="2" width="12.85546875" customWidth="1"/>
    <col min="3" max="3" width="17.7109375" customWidth="1"/>
    <col min="4" max="4" width="3.140625" customWidth="1"/>
    <col min="5" max="5" width="27" customWidth="1"/>
    <col min="6" max="6" width="4" customWidth="1"/>
    <col min="7" max="16384" width="9.140625" hidden="1"/>
  </cols>
  <sheetData>
    <row r="1" spans="2:5" ht="10.5" customHeight="1" x14ac:dyDescent="0.25"/>
    <row r="2" spans="2:5" ht="63" customHeight="1" x14ac:dyDescent="0.25">
      <c r="B2" s="12" t="s">
        <v>8</v>
      </c>
      <c r="C2" s="12" t="s">
        <v>7</v>
      </c>
      <c r="E2" s="13" t="s">
        <v>10</v>
      </c>
    </row>
    <row r="3" spans="2:5" x14ac:dyDescent="0.25">
      <c r="B3" s="11">
        <v>0.01</v>
      </c>
      <c r="C3" s="10">
        <v>0.01</v>
      </c>
      <c r="E3" s="14" t="s">
        <v>11</v>
      </c>
    </row>
    <row r="4" spans="2:5" x14ac:dyDescent="0.25">
      <c r="B4" s="10">
        <v>5</v>
      </c>
      <c r="C4" s="10">
        <v>0.02</v>
      </c>
      <c r="E4" s="14" t="s">
        <v>12</v>
      </c>
    </row>
    <row r="5" spans="2:5" x14ac:dyDescent="0.25">
      <c r="B5" s="10">
        <v>10</v>
      </c>
      <c r="C5" s="10">
        <v>0.03</v>
      </c>
      <c r="E5" s="14" t="s">
        <v>13</v>
      </c>
    </row>
    <row r="6" spans="2:5" x14ac:dyDescent="0.25">
      <c r="B6" s="10">
        <v>20</v>
      </c>
      <c r="C6" s="10">
        <v>0.05</v>
      </c>
      <c r="E6" s="14" t="s">
        <v>14</v>
      </c>
    </row>
    <row r="7" spans="2:5" x14ac:dyDescent="0.25">
      <c r="B7" s="10">
        <v>50</v>
      </c>
      <c r="C7" s="10">
        <v>0.1</v>
      </c>
      <c r="E7" s="14" t="s">
        <v>15</v>
      </c>
    </row>
    <row r="8" spans="2:5" x14ac:dyDescent="0.25">
      <c r="B8" s="10">
        <v>100</v>
      </c>
      <c r="C8" s="15" t="s">
        <v>9</v>
      </c>
      <c r="E8" s="14" t="s">
        <v>16</v>
      </c>
    </row>
    <row r="9" spans="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Anexo III</vt:lpstr>
      <vt:lpstr>Intervalos</vt:lpstr>
      <vt:lpstr>'Anexo III'!Area_de_impressao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cp:lastPrinted>2023-05-30T20:53:19Z</cp:lastPrinted>
  <dcterms:created xsi:type="dcterms:W3CDTF">2019-07-30T23:05:19Z</dcterms:created>
  <dcterms:modified xsi:type="dcterms:W3CDTF">2025-10-16T12:59:12Z</dcterms:modified>
</cp:coreProperties>
</file>