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abiomedeirossouza/Desktop/90.063:2025 - MATERIAL HOSPITALAR - USO CIRÚRGICO/EDITAL/"/>
    </mc:Choice>
  </mc:AlternateContent>
  <xr:revisionPtr revIDLastSave="0" documentId="13_ncr:1_{1423F313-1AC3-B543-B60B-D7FACF7AB0B5}" xr6:coauthVersionLast="47" xr6:coauthVersionMax="47" xr10:uidLastSave="{00000000-0000-0000-0000-000000000000}"/>
  <bookViews>
    <workbookView xWindow="0" yWindow="0" windowWidth="38400" windowHeight="21600" xr2:uid="{00000000-000D-0000-FFFF-FFFF00000000}"/>
  </bookViews>
  <sheets>
    <sheet name="Anexo III" sheetId="3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III'!$A$1:$M$182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0" i="3" l="1"/>
  <c r="I180" i="3"/>
  <c r="M179" i="3"/>
  <c r="I179" i="3"/>
  <c r="M178" i="3"/>
  <c r="I178" i="3"/>
  <c r="M177" i="3"/>
  <c r="I177" i="3"/>
  <c r="M176" i="3"/>
  <c r="I176" i="3"/>
  <c r="M175" i="3"/>
  <c r="I175" i="3"/>
  <c r="M174" i="3"/>
  <c r="I174" i="3"/>
  <c r="M173" i="3"/>
  <c r="I173" i="3"/>
  <c r="M172" i="3"/>
  <c r="I172" i="3"/>
  <c r="M171" i="3"/>
  <c r="I171" i="3"/>
  <c r="M170" i="3"/>
  <c r="I170" i="3"/>
  <c r="M169" i="3"/>
  <c r="I169" i="3"/>
  <c r="M168" i="3"/>
  <c r="I168" i="3"/>
  <c r="M167" i="3"/>
  <c r="I167" i="3"/>
  <c r="M166" i="3"/>
  <c r="I166" i="3"/>
  <c r="M165" i="3"/>
  <c r="I165" i="3"/>
  <c r="M164" i="3"/>
  <c r="I164" i="3"/>
  <c r="M163" i="3"/>
  <c r="I163" i="3"/>
  <c r="M162" i="3"/>
  <c r="I162" i="3"/>
  <c r="M161" i="3"/>
  <c r="I161" i="3"/>
  <c r="M160" i="3"/>
  <c r="I160" i="3"/>
  <c r="M159" i="3"/>
  <c r="I159" i="3"/>
  <c r="M158" i="3"/>
  <c r="I158" i="3"/>
  <c r="M157" i="3"/>
  <c r="I157" i="3"/>
  <c r="M156" i="3"/>
  <c r="I156" i="3"/>
  <c r="M155" i="3"/>
  <c r="I155" i="3"/>
  <c r="M154" i="3"/>
  <c r="I154" i="3"/>
  <c r="M153" i="3"/>
  <c r="I153" i="3"/>
  <c r="M152" i="3"/>
  <c r="I152" i="3"/>
  <c r="M151" i="3"/>
  <c r="I151" i="3"/>
  <c r="M150" i="3"/>
  <c r="I150" i="3"/>
  <c r="M149" i="3"/>
  <c r="I149" i="3"/>
  <c r="M148" i="3"/>
  <c r="I148" i="3"/>
  <c r="M147" i="3"/>
  <c r="I147" i="3"/>
  <c r="M146" i="3"/>
  <c r="I146" i="3"/>
  <c r="M145" i="3"/>
  <c r="I145" i="3"/>
  <c r="M144" i="3"/>
  <c r="I144" i="3"/>
  <c r="M143" i="3"/>
  <c r="I143" i="3"/>
  <c r="M142" i="3"/>
  <c r="I142" i="3"/>
  <c r="M141" i="3"/>
  <c r="I141" i="3"/>
  <c r="M140" i="3"/>
  <c r="I140" i="3"/>
  <c r="M139" i="3"/>
  <c r="I139" i="3"/>
  <c r="M138" i="3"/>
  <c r="I138" i="3"/>
  <c r="M137" i="3"/>
  <c r="I137" i="3"/>
  <c r="M136" i="3"/>
  <c r="I136" i="3"/>
  <c r="M135" i="3"/>
  <c r="I135" i="3"/>
  <c r="M134" i="3"/>
  <c r="I134" i="3"/>
  <c r="M133" i="3"/>
  <c r="I133" i="3"/>
  <c r="M132" i="3"/>
  <c r="I132" i="3"/>
  <c r="M131" i="3"/>
  <c r="I131" i="3"/>
  <c r="M130" i="3"/>
  <c r="I130" i="3"/>
  <c r="M129" i="3"/>
  <c r="I129" i="3"/>
  <c r="M128" i="3"/>
  <c r="I128" i="3"/>
  <c r="J128" i="3" s="1"/>
  <c r="M127" i="3"/>
  <c r="I127" i="3"/>
  <c r="M126" i="3"/>
  <c r="I126" i="3"/>
  <c r="M125" i="3"/>
  <c r="I125" i="3"/>
  <c r="J125" i="3" s="1"/>
  <c r="M124" i="3"/>
  <c r="I124" i="3"/>
  <c r="M123" i="3"/>
  <c r="I123" i="3"/>
  <c r="M122" i="3"/>
  <c r="I122" i="3"/>
  <c r="M121" i="3"/>
  <c r="I121" i="3"/>
  <c r="M120" i="3"/>
  <c r="I120" i="3"/>
  <c r="M119" i="3"/>
  <c r="I119" i="3"/>
  <c r="M118" i="3"/>
  <c r="I118" i="3"/>
  <c r="M117" i="3"/>
  <c r="I117" i="3"/>
  <c r="M116" i="3"/>
  <c r="I116" i="3"/>
  <c r="M115" i="3"/>
  <c r="I115" i="3"/>
  <c r="H114" i="3"/>
  <c r="M114" i="3" s="1"/>
  <c r="G114" i="3"/>
  <c r="H113" i="3"/>
  <c r="M113" i="3" s="1"/>
  <c r="G113" i="3"/>
  <c r="M112" i="3"/>
  <c r="I112" i="3"/>
  <c r="M111" i="3"/>
  <c r="I111" i="3"/>
  <c r="M110" i="3"/>
  <c r="I110" i="3"/>
  <c r="M109" i="3"/>
  <c r="I109" i="3"/>
  <c r="M108" i="3"/>
  <c r="I108" i="3"/>
  <c r="M107" i="3"/>
  <c r="I107" i="3"/>
  <c r="M106" i="3"/>
  <c r="I106" i="3"/>
  <c r="M105" i="3"/>
  <c r="I105" i="3"/>
  <c r="M104" i="3"/>
  <c r="I104" i="3"/>
  <c r="M103" i="3"/>
  <c r="I103" i="3"/>
  <c r="M102" i="3"/>
  <c r="I102" i="3"/>
  <c r="M101" i="3"/>
  <c r="I101" i="3"/>
  <c r="M100" i="3"/>
  <c r="I100" i="3"/>
  <c r="M99" i="3"/>
  <c r="I99" i="3"/>
  <c r="M98" i="3"/>
  <c r="I98" i="3"/>
  <c r="M97" i="3"/>
  <c r="I97" i="3"/>
  <c r="M96" i="3"/>
  <c r="I96" i="3"/>
  <c r="M95" i="3"/>
  <c r="I95" i="3"/>
  <c r="M94" i="3"/>
  <c r="I94" i="3"/>
  <c r="M93" i="3"/>
  <c r="I93" i="3"/>
  <c r="M92" i="3"/>
  <c r="I92" i="3"/>
  <c r="M91" i="3"/>
  <c r="I91" i="3"/>
  <c r="M90" i="3"/>
  <c r="I90" i="3"/>
  <c r="M89" i="3"/>
  <c r="I89" i="3"/>
  <c r="M88" i="3"/>
  <c r="I88" i="3"/>
  <c r="M87" i="3"/>
  <c r="I87" i="3"/>
  <c r="H86" i="3"/>
  <c r="M86" i="3" s="1"/>
  <c r="G86" i="3"/>
  <c r="H85" i="3"/>
  <c r="M85" i="3" s="1"/>
  <c r="G85" i="3"/>
  <c r="H84" i="3"/>
  <c r="M84" i="3" s="1"/>
  <c r="G84" i="3"/>
  <c r="H83" i="3"/>
  <c r="M83" i="3" s="1"/>
  <c r="G83" i="3"/>
  <c r="H82" i="3"/>
  <c r="M82" i="3" s="1"/>
  <c r="G82" i="3"/>
  <c r="H81" i="3"/>
  <c r="M81" i="3" s="1"/>
  <c r="G81" i="3"/>
  <c r="H80" i="3"/>
  <c r="M80" i="3" s="1"/>
  <c r="G80" i="3"/>
  <c r="H79" i="3"/>
  <c r="M79" i="3" s="1"/>
  <c r="G79" i="3"/>
  <c r="H78" i="3"/>
  <c r="M78" i="3" s="1"/>
  <c r="G78" i="3"/>
  <c r="H77" i="3"/>
  <c r="M77" i="3" s="1"/>
  <c r="G77" i="3"/>
  <c r="H76" i="3"/>
  <c r="M76" i="3" s="1"/>
  <c r="G76" i="3"/>
  <c r="H75" i="3"/>
  <c r="M75" i="3" s="1"/>
  <c r="G75" i="3"/>
  <c r="H74" i="3"/>
  <c r="M74" i="3" s="1"/>
  <c r="G74" i="3"/>
  <c r="H73" i="3"/>
  <c r="G73" i="3"/>
  <c r="H72" i="3"/>
  <c r="M72" i="3" s="1"/>
  <c r="G72" i="3"/>
  <c r="H71" i="3"/>
  <c r="M71" i="3" s="1"/>
  <c r="G71" i="3"/>
  <c r="H70" i="3"/>
  <c r="M70" i="3" s="1"/>
  <c r="G70" i="3"/>
  <c r="H69" i="3"/>
  <c r="M69" i="3" s="1"/>
  <c r="G69" i="3"/>
  <c r="H68" i="3"/>
  <c r="M68" i="3" s="1"/>
  <c r="G68" i="3"/>
  <c r="H67" i="3"/>
  <c r="M67" i="3" s="1"/>
  <c r="G67" i="3"/>
  <c r="H66" i="3"/>
  <c r="M66" i="3" s="1"/>
  <c r="G66" i="3"/>
  <c r="H65" i="3"/>
  <c r="M65" i="3" s="1"/>
  <c r="G65" i="3"/>
  <c r="H64" i="3"/>
  <c r="G64" i="3"/>
  <c r="H63" i="3"/>
  <c r="M63" i="3" s="1"/>
  <c r="G63" i="3"/>
  <c r="H62" i="3"/>
  <c r="M62" i="3" s="1"/>
  <c r="G62" i="3"/>
  <c r="H61" i="3"/>
  <c r="M61" i="3" s="1"/>
  <c r="G61" i="3"/>
  <c r="H60" i="3"/>
  <c r="M60" i="3" s="1"/>
  <c r="G60" i="3"/>
  <c r="H59" i="3"/>
  <c r="M59" i="3" s="1"/>
  <c r="G59" i="3"/>
  <c r="H58" i="3"/>
  <c r="M58" i="3" s="1"/>
  <c r="G58" i="3"/>
  <c r="H57" i="3"/>
  <c r="M57" i="3" s="1"/>
  <c r="G57" i="3"/>
  <c r="M56" i="3"/>
  <c r="I56" i="3"/>
  <c r="M55" i="3"/>
  <c r="I55" i="3"/>
  <c r="M54" i="3"/>
  <c r="I54" i="3"/>
  <c r="M53" i="3"/>
  <c r="I53" i="3"/>
  <c r="M52" i="3"/>
  <c r="I52" i="3"/>
  <c r="M51" i="3"/>
  <c r="I51" i="3"/>
  <c r="H50" i="3"/>
  <c r="M50" i="3" s="1"/>
  <c r="G50" i="3"/>
  <c r="M49" i="3"/>
  <c r="I49" i="3"/>
  <c r="M48" i="3"/>
  <c r="I48" i="3"/>
  <c r="M47" i="3"/>
  <c r="I47" i="3"/>
  <c r="M46" i="3"/>
  <c r="I46" i="3"/>
  <c r="M45" i="3"/>
  <c r="I45" i="3"/>
  <c r="M44" i="3"/>
  <c r="I44" i="3"/>
  <c r="J44" i="3" s="1"/>
  <c r="M43" i="3"/>
  <c r="I43" i="3"/>
  <c r="M42" i="3"/>
  <c r="I42" i="3"/>
  <c r="M41" i="3"/>
  <c r="I41" i="3"/>
  <c r="M40" i="3"/>
  <c r="I40" i="3"/>
  <c r="M39" i="3"/>
  <c r="I39" i="3"/>
  <c r="M38" i="3"/>
  <c r="I38" i="3"/>
  <c r="M37" i="3"/>
  <c r="I37" i="3"/>
  <c r="M36" i="3"/>
  <c r="I36" i="3"/>
  <c r="M35" i="3"/>
  <c r="I35" i="3"/>
  <c r="M34" i="3"/>
  <c r="I34" i="3"/>
  <c r="M33" i="3"/>
  <c r="I33" i="3"/>
  <c r="M32" i="3"/>
  <c r="I32" i="3"/>
  <c r="M31" i="3"/>
  <c r="I31" i="3"/>
  <c r="M30" i="3"/>
  <c r="I30" i="3"/>
  <c r="M29" i="3"/>
  <c r="I29" i="3"/>
  <c r="M28" i="3"/>
  <c r="I28" i="3"/>
  <c r="M27" i="3"/>
  <c r="I27" i="3"/>
  <c r="M26" i="3"/>
  <c r="I26" i="3"/>
  <c r="M25" i="3"/>
  <c r="I25" i="3"/>
  <c r="M24" i="3"/>
  <c r="I24" i="3"/>
  <c r="M23" i="3"/>
  <c r="I23" i="3"/>
  <c r="M22" i="3"/>
  <c r="I22" i="3"/>
  <c r="H21" i="3"/>
  <c r="M21" i="3" s="1"/>
  <c r="G21" i="3"/>
  <c r="H20" i="3"/>
  <c r="M20" i="3" s="1"/>
  <c r="G20" i="3"/>
  <c r="H19" i="3"/>
  <c r="M19" i="3" s="1"/>
  <c r="G19" i="3"/>
  <c r="M18" i="3"/>
  <c r="I18" i="3"/>
  <c r="M17" i="3"/>
  <c r="I17" i="3"/>
  <c r="M16" i="3"/>
  <c r="I16" i="3"/>
  <c r="M15" i="3"/>
  <c r="I15" i="3"/>
  <c r="M14" i="3"/>
  <c r="I14" i="3"/>
  <c r="M13" i="3"/>
  <c r="I13" i="3"/>
  <c r="M12" i="3"/>
  <c r="I12" i="3"/>
  <c r="H11" i="3"/>
  <c r="M11" i="3" s="1"/>
  <c r="G11" i="3"/>
  <c r="H10" i="3"/>
  <c r="M10" i="3" s="1"/>
  <c r="G10" i="3"/>
  <c r="H9" i="3"/>
  <c r="M9" i="3" s="1"/>
  <c r="G9" i="3"/>
  <c r="M8" i="3"/>
  <c r="I8" i="3"/>
  <c r="M7" i="3"/>
  <c r="I7" i="3"/>
  <c r="M6" i="3"/>
  <c r="I6" i="3"/>
  <c r="J87" i="3" l="1"/>
  <c r="J91" i="3"/>
  <c r="J115" i="3"/>
  <c r="J34" i="3"/>
  <c r="J130" i="3"/>
  <c r="J148" i="3"/>
  <c r="J160" i="3"/>
  <c r="J142" i="3"/>
  <c r="J51" i="3"/>
  <c r="J96" i="3"/>
  <c r="J102" i="3"/>
  <c r="J108" i="3"/>
  <c r="J15" i="3"/>
  <c r="J136" i="3"/>
  <c r="J132" i="3"/>
  <c r="J163" i="3"/>
  <c r="J31" i="3"/>
  <c r="I83" i="3"/>
  <c r="I113" i="3"/>
  <c r="J23" i="3"/>
  <c r="J6" i="3"/>
  <c r="J12" i="3"/>
  <c r="I60" i="3"/>
  <c r="I114" i="3"/>
  <c r="I11" i="3"/>
  <c r="I79" i="3"/>
  <c r="I85" i="3"/>
  <c r="I68" i="3"/>
  <c r="I74" i="3"/>
  <c r="I80" i="3"/>
  <c r="I86" i="3"/>
  <c r="I57" i="3"/>
  <c r="I63" i="3"/>
  <c r="I69" i="3"/>
  <c r="I19" i="3"/>
  <c r="I59" i="3"/>
  <c r="I65" i="3"/>
  <c r="I71" i="3"/>
  <c r="I20" i="3"/>
  <c r="I66" i="3"/>
  <c r="I76" i="3"/>
  <c r="I9" i="3"/>
  <c r="I21" i="3"/>
  <c r="I50" i="3"/>
  <c r="I62" i="3"/>
  <c r="I72" i="3"/>
  <c r="I77" i="3"/>
  <c r="I82" i="3"/>
  <c r="I64" i="3"/>
  <c r="I73" i="3"/>
  <c r="I10" i="3"/>
  <c r="I181" i="3" s="1"/>
  <c r="I58" i="3"/>
  <c r="I61" i="3"/>
  <c r="I67" i="3"/>
  <c r="I70" i="3"/>
  <c r="J70" i="3" s="1"/>
  <c r="I75" i="3"/>
  <c r="I78" i="3"/>
  <c r="I81" i="3"/>
  <c r="I84" i="3"/>
  <c r="M73" i="3"/>
  <c r="M64" i="3"/>
  <c r="J61" i="3" l="1"/>
  <c r="J84" i="3"/>
  <c r="J77" i="3"/>
  <c r="J74" i="3"/>
  <c r="J57" i="3"/>
  <c r="J9" i="3"/>
  <c r="J19" i="3"/>
</calcChain>
</file>

<file path=xl/sharedStrings.xml><?xml version="1.0" encoding="utf-8"?>
<sst xmlns="http://schemas.openxmlformats.org/spreadsheetml/2006/main" count="868" uniqueCount="213">
  <si>
    <t>PRÓ-REITORIA DE ADMINISTRAÇÃO</t>
  </si>
  <si>
    <t>UNIDADE DE MEDIDA</t>
  </si>
  <si>
    <t>COORDENAÇÃO DE MATERIAIS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</si>
  <si>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</si>
  <si>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</si>
  <si>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</si>
  <si>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</si>
  <si>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</si>
  <si>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</si>
  <si>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</si>
  <si>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</si>
  <si>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</si>
  <si>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</si>
  <si>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</si>
  <si>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</si>
  <si>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</si>
  <si>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</si>
  <si>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</si>
  <si>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VALOR UNITÁRIO</t>
  </si>
  <si>
    <t xml:space="preserve">QUANTIDADE </t>
  </si>
  <si>
    <t>MODO DE DISPUTA</t>
  </si>
  <si>
    <t>INTERVALO LANCES</t>
  </si>
  <si>
    <t>EXCLUSIVO ME/EPP</t>
  </si>
  <si>
    <t>INFORMAÇÕES ADICIONAIS</t>
  </si>
  <si>
    <t>GRUPO</t>
  </si>
  <si>
    <t>ANEXO III - PLANILHA ESTIMATIVA DE DESCRIÇÃO E PREÇOS</t>
  </si>
  <si>
    <t>VALOR TOTAL DO GRUPO</t>
  </si>
  <si>
    <t>Afastador Blefarostato para oftalmologia. Confeccionado em Aço Inoxidável Cirúrgico. Especificações Técnicas: Tamanho: 3cm. Embalados individualmente, com os dados de identificação, procedência e rastreabilidade. Garantia de 10 anos contra defeitos de fabricação.</t>
  </si>
  <si>
    <t>Afastador Blefarostato para oftalmologia. Confeccionado em Aço Inoxidável Cirúrgico. Especificações Técnicas: Tamanho: 4cm. Embalados individualmente, com os dados de identificação, procedência e rastreabilidade. Garantia de 10 anos contra defeitos de fabricação.</t>
  </si>
  <si>
    <t>Afastador Finochietto 18 x 22, 8 cm Baby . Material confeccionado em Aço Inox. Material Autoclavável.</t>
  </si>
  <si>
    <t>Balão dilatador esofágico / pilórico / colônico / biliar orientado por fio tamanho 5,5 de comprimento do balão e 10-11-12mm de diâmetro externo do balão insuflado</t>
  </si>
  <si>
    <t>Balão dilatador esofágico / pilórico / colônico / biliar orientado por fio tamanho 5,5 de comprimento do balão e 6-7-8mm de diâmetro externo do balão insuflado</t>
  </si>
  <si>
    <t>Balão dilatador esofágico / pilórico / colônico / biliar orientado por fio tamanho 5,5 de comprimento do balão e 8-9-10mm de diâmetro externo do balão insuflado</t>
  </si>
  <si>
    <t>Bisturi Circular Punch para Biópsia Cutânea 3 Mm, lâmina cilíndrica em aço, afiada. Cabo em plástico com apoio anatômico. Estéril, uso único. Embalagem individual com abertura e transferência asséptica, identificação do produto, validade e lote.</t>
  </si>
  <si>
    <t>Bisturi Circular Punch para Biópsia Cutânea 8 Mm, lâmina cilíndrica em aço, afiada. Cabo em plástico com apoio anatômico. Estéril, uso único. Embalagem individual com abertura e transferência asséptica, identificação do produto, validade e lote.</t>
  </si>
  <si>
    <t>Bisturi Circular: punch, descartável, número 6</t>
  </si>
  <si>
    <t>Bolsa de Diálise Peritoneal Do Sistema De CAPD/DPA -  Bolsas de diálise peritoneal plásticas, flexíveis, clara, sistema fechado de bolsas duplas, com solução estéril apirogênica, acompanhada de uma bolsa vazia de drenagem, ambas integradas por um sistema em y que poderá dispor de clamp plástico ou conector com fechamento automático ao término da sessão. Volume aproximado: 5L.</t>
  </si>
  <si>
    <t>Cabo de bisturi, aço inoxidável, n° 3</t>
  </si>
  <si>
    <t xml:space="preserve">Campo Cirúrgico Estéril 100cmx100cm, tecido não tecido, 60g, sem fenestra, cor azul                                                                       </t>
  </si>
  <si>
    <t xml:space="preserve">Campo Cirúrgico Estéril 60cmx60cm, tecido não tecido, 60g, sem fenestra, cor azul                                </t>
  </si>
  <si>
    <t xml:space="preserve">Campo Cirúrgico Estéril 80cmx80cm, tecido não tecido, 60g, sem fenestra, cor azul                                                        </t>
  </si>
  <si>
    <t>Campo Cirúrgico: medindo 70x70 cm, confeccionado em brim azul 100% algodão</t>
  </si>
  <si>
    <t>CAMPO OPERATÓRIO, PRÉ-LAVADO ESTÉRIL, 45 CM, 45 CM, COSTURA DUPLA 15 FIOS/CM², 100% ALGODÃO, BRANCA SEM ALVEJANTE E AMIDO, 4 CAMADAS, FIO RADIOPACO, CADARÇO DUPLO EM ALÇA, 40 G/M2</t>
  </si>
  <si>
    <t>CAMPO OPERATÓRIO, TECIDO 100% ALGODÃO,C/ FIO RADIOPACO, 45 CM, 50 CM, 15 FIOS/CM2, ACABAMENTO C/ PONTO OVERLOCK, BRANCA, 4 CAMADAS,CANTOS ARREDONDADOS, CADARÇO DUPLO MÍNIMO 18CM</t>
  </si>
  <si>
    <t>Caneta para Eletrocardiograma 0.5mm Possui ponta 0.5 ultrafina, com tinta especial líquida que garante cor viva e intensa. Não apresenta falhas devido sua tecnologia, um sistema que permite a liberação do fluxo de tinta com traços ultrafinos, mantendo-o constante até a última gota. Esse sistema permite que a tinta flua constantemente para a ponta, evitando assim qualquer possibilidade de excesso e desperdício. Essa esferográfica é um produto com performance ideal para trabalhos profissionais, técnicos e artísticos onde exista a necessidade de fluxo constante de tinta com alta precisão, sem falhas, manchas e vazamentos. Indicada para uso no ECG pois sua ponta ultra fina que permite melhor precisão e qualidade no traçado do exame. Especificações Ponta em aço 0,5mm; Tnta líquida à base de água; Com tampa plástica e clips em metal; Clip em aço inoxidável; Diâmetro médio do corpo: 9,90mm +/- 0,10mm; Diâmetro médio da tampa: 13,75mm +/- 0,10mm; Comprimento sem tampa: 150.00mm +/- 0,10mm; Produto não recarregável.</t>
  </si>
  <si>
    <t>Cânula nasal dupla Adulto - silicone</t>
  </si>
  <si>
    <t>Cânula nasal dupla Pediátrico - silicone</t>
  </si>
  <si>
    <t>Capa de proteção para câmera de endoscopia / vídeocirurgia - 15cmX250cm  -  fabricadas com material plástico virgem atóxico - polietileno de baixa densidade (pebd), sem solda, isento de látex, com aditivo antiestático mantendo a condição de barreira microbiana. Embalagem individual com 1 unidade estéril</t>
  </si>
  <si>
    <t>Cateter Ureteral Duplo Jota Pigtail tamanho 2.0Fr x 10 cm - Rabo de porco hidrofílico para drenagem renal. Produzido em poliuretano. Radiopaco. Ponta aberta. Deverá acompanhar Fio Guia Hidrofílico Duplo J com Corda   (monofilamento ou trançado) para facilitar reposicionamento e remoção, o duplo J deverá ter marcas de graduação para posicionador.ar reposicionamento e remoção, o duplo J deverá ter marcas de graduação para posicionador.</t>
  </si>
  <si>
    <t>Cateter Ureteral Duplo Jota Pigtail tamanho 3.0Fr x 10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</si>
  <si>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12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</si>
  <si>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14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</si>
  <si>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16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</si>
  <si>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 xml:space="preserve">Cateter Ureteral Duplo Jota Pigtail tamanho 3.0Fr x 8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 </t>
  </si>
  <si>
    <t>Cateter Ureteral Duplo Jota Pigtail tamanho 4.0Fr x 12 cm - Rabo de porco hidrofílico para drenagem renal. Produzido em poliuretano. Radiopaco. Ponta aberta. Deverá acompanhar Fio Guia Hidrofílico Duplo J com Corda   (monofilamento ou trançado) para facilitar reposicionamento e remoção, o duplo J deverá ter marcas de graduação para posicionador.ar reposicionamento e remoção, o duplo J deverá ter marcas de graduação para posicionador.</t>
  </si>
  <si>
    <t>Cateter Ureteral Duplo Jota Pigtail tamanho 4.0Fr x 14 cm - Rabo de porco hidrofílico para drenagem renal. Produzido em poliuretano. Radiopaco. Ponta aberta. Deverá acompanhar Fio Guia Hidrofílico Duplo J com Corda   (monofilamento ou trançado) para facilitar reposicionamento e remoção, o duplo J deverá ter marcas de graduação para posicionador.ar reposicionamento e remoção, o duplo J deverá ter marcas de graduação para posicionador.</t>
  </si>
  <si>
    <t>Cateter Ureteral Duplo Jota Pigtail tamanho 4.0Fr x 16 cm - Rabo de porco hidrofílico para drenagem renal. Produzido em poliuretano. Radiopaco. Ponta aberta. Deverá acompanhar Fio Guia Hidrofílico Duplo J com Corda   (monofilamento ou trançado) para facilitar reposicionamento e remoção, o duplo J deverá ter marcas de graduação para posicionador.ar reposicionamento e remoção, o duplo J deverá ter marcas de graduação para posicionador.</t>
  </si>
  <si>
    <t>Cateter Ureteral Duplo Jota Pigtail tamanho 4.0Fr x 18 cm - Rabo de porco hidrofílico para drenagem renal. Produzido em poliuretano. Radiopaco. Ponta aberta. Deverá acompanhar Fio Guia Hidrofílico Duplo J com Corda  (monofilamento ou trançado) para facilitar reposicionamento e remoção, o duplo J deverá ter marcas de graduação para posicionador.</t>
  </si>
  <si>
    <t>Cola Cirúrgica - Adesivo cutâneo tópico para a proteção de incisões cirúrgicas e pequenos traumas. -Mistura única de 60% de 2-octil-cianoacrilato e 40% de N-butil cianoacrilato. - Possui ativação a partir do contato da pele após a aplicação, e uma vez aplicada, polimeriza rapidamente, criando uma barreira microbiana forte e flexível. Embalagem: 1 unidade. Tamanho: 0,7g.</t>
  </si>
  <si>
    <t>Cuba redonda tipo Inox 13 cm, com capacidade 500mL. Indicada para esterilização em estufas e autoclaves.</t>
  </si>
  <si>
    <t>Cuba Rim confeccionada em Inox, tamanho 26 cm x 12 cm, capacidade de 750 mL. Não estéril. Acabamento escovado.</t>
  </si>
  <si>
    <t>Drenos de silicone com trocater Jackson-Pratt tamanho 10Fr</t>
  </si>
  <si>
    <t>Drenos de silicone com trocater Jackson-Pratt tamanho 15Fr</t>
  </si>
  <si>
    <t>Drenos de silicone com trocater Jackson-Pratt tamanho 19Fr</t>
  </si>
  <si>
    <t>Drenos de silicone sem trocater Jackson-Pratt tamanho 10Fr</t>
  </si>
  <si>
    <t>Drenos de silicone sem trocater Jackson-Pratt tamanho 15Fr</t>
  </si>
  <si>
    <t>Drenos de silicone sem trocater Jackson-Pratt tamanho 19Fr</t>
  </si>
  <si>
    <t>Grampeador linear descartável 100mm, 3 linhas de grampos. Embalagem individual com 1 unidade estéril</t>
  </si>
  <si>
    <t>LÂMINA PARA BISTURI. Embaladas individualmente, esterilizadas por raio gama, nº 11. Confeccionadas em aço carbono</t>
  </si>
  <si>
    <t>LÂMINA PARA BISTURI. Embaladas individualmente, esterilizadas por raio gama, nº 12. Confeccionadas em aço carbono</t>
  </si>
  <si>
    <t>LÂMINA PARA BISTURI: Embaladas individualmente, esterilizadas por raio gama, nº 15. Confeccionadas em aço carbono</t>
  </si>
  <si>
    <t>Lâmina para bisturi: embaladas individualmente, esterilizadas por raio gama, nº 23. Confeccionadas em aço carbono</t>
  </si>
  <si>
    <t>Lâmina para bisturi: Embaladas individualmente, esterilizadas por raio gama, nº 24. Confeccionadas em aço carbono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</si>
  <si>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6.0.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</si>
  <si>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6.5.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</si>
  <si>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7.0.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</si>
  <si>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7.5.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</si>
  <si>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8.0.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</si>
  <si>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8.5.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</si>
  <si>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7.0.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</si>
  <si>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7.5.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</si>
  <si>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8.0.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</si>
  <si>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6.0. Deverá apresentar CA compatível com uso hospitalar, garantindo proteção para agentes biológicos.</t>
  </si>
  <si>
    <t>Luva cirúrgica estéril, descartável, totalmente isenta de látex, anatômica, antiderrapante, textura homogênea, alta sensibilidade ao tato e boa elasticidade. Acondicionada em invólucro interno com dobras para abertura asséptica, dobradas conforme padrão hospitalar, identificando com fácil visualização a mão esquerda/direita e a posição do polegar. Embalada em papel grau cirúrgico e/ou filme termoplástico Nº 6.5. Deverá apresentar CA compatível com uso hospitalar, garantindo proteção para agentes biológicos.</t>
  </si>
  <si>
    <t>PAPEL GRAU CIRÚRGICO 600MM X 100 METROS, APRESENTAÇÃO EM ROLO.</t>
  </si>
  <si>
    <t>PAPEL GRAU CIRÚRGICO envelope autosselante para autoclave 15 cm X 30 cm. Quantidade: Pacote com 100 Unidades.</t>
  </si>
  <si>
    <t>PAPEL GRAU CIRÚRGICO envelope autosselante para autoclave 30 cm X 30 cm. Quantidade: Pacote com 100 Unidades</t>
  </si>
  <si>
    <t>Papel grau cirúrgico para esterilização em Embalagem Tubular (rolo) tamanho 30 cmX100m. Especificação técnica: Embalagem tubular para processos de esterilização por vapor saturado sob pressão. Papel Grau Cirúrgico (gramatura mínima 60 G/m2) em conformidade com os requisitos da Norma ABNT NBR 14990-2. Filme plástico composto por duas camadas Polietileno/Polipropileno (gramatura mínima 54 G/m2) unidas com adesivo atóxico. Permeável ao vapor e ao ar, impermeável a micro-organismos resistentes ao calor, livre de nutrientes microbianos e resíduos tóxicos. Alta transparência do filme para visualização do material embalado. Contém indicador químico de processo específico para vapor, que indica por meio da mudança de cor que o material foi submetido ao processo de esterilização. Indicador de sentido de abertura na embalagem. Selagem multilínea tripla que proporciona maior segurança ao material esterilizado, com largura de selagem mínima de 6 mm, conforme requisitos da Norma ABNT NBR 14990-9. Dimensões (LxC): 30 cm x 100 m. Peso bruto: 3,8 Kg. Validade: Mínimo de 2 anos (a partir da data de fabricação).</t>
  </si>
  <si>
    <t>PAPEL GRAU CIRÚRGICO Rolo 15cmX 100m; Papel Grau cirúrgico isento de furos, sem corantes, repelente a líquidos, resistente a rasgos e inodoro;</t>
  </si>
  <si>
    <t>Papel grau cirúrgico, envelope autosselante para autoclave 300mm X 400 mm.  Pacote com 100 Unidades.</t>
  </si>
  <si>
    <t>Papel para Eletrocardiógrafo com Sensor - Bloco 100 Folhas Papel termossensível para registro de exames de ECG compatível com eletrocardiógrafos Dixtal EP03 Impressão térmica com ótima fixação para registro por caneta hidrográfica. ESPECIFICAÇÕES TÉCNICAS: Papel termossensível Cardiopágina Formato A4 - formulário contínuo Bloco com 100 Folhas Tamanho: 216mmx280mm Quantidade: 01un bloco com 100 folhas.</t>
  </si>
  <si>
    <t>Pinça 0.12 mm reta com dente e plataforma. Instrumento cirúrgico articulado não cortante. Produzido em aço inoxidável com extra tratamento contra oxidação. Instrumental padrão, qualidade e acabamento impecável.</t>
  </si>
  <si>
    <t>PINÇA BABCOCK 20 CM, Confeccionado em Aço Inoxidável, autoclavável</t>
  </si>
  <si>
    <t>Pinça Bulldog 4cm. Pinças vasculares atraumáticas para hemostasia temporária de vasos pequenos e delicados. Suas mandibulas são finamente serrilhadas e arredondadas. Ponta Reta</t>
  </si>
  <si>
    <t>Pinça Cheron 25 Cm. Aço Inoxidável. Reta. Produto Confeccionado em Aço Inoxidável Cirúrgico; Embalagem Individual; Registro: Anvisa; Tamanho: 25 cm; Ficha técnica - Data de Validade: Indeterminada; Não estéril.</t>
  </si>
  <si>
    <t>Pinça cirúrgica,  Adson, dente de rato, 12 cm</t>
  </si>
  <si>
    <t>Pinça cirúrgica,  Adson, serrilhada, 12 cm</t>
  </si>
  <si>
    <t>Pinça Doyen 25 cm atraumática Curva. Confeccionado em Aço Inox. Material Autoclavável.</t>
  </si>
  <si>
    <t>Pinça Doyen 25 cm atraumática Reta. Confeccionado em Aço Inox. Material Autoclavável.</t>
  </si>
  <si>
    <t>Pinça Hemostática Mixter 18cm. Confeccionado em Aço Inoxidável Cirúrgico, Material Autoclavável.</t>
  </si>
  <si>
    <t>Pinça Hemostática Mixter Baby 16cm. Confeccionado em Aço Inoxidável Cirúrgico, Material Autoclavável.</t>
  </si>
  <si>
    <t>PINÇA NELSON P/ PULMÕES E INTESTINOS 18CM. Confeccionado em Aço Inoxidável Cirúrgico, Material Autoclavável.</t>
  </si>
  <si>
    <t>Pinça Satinsky serrilha cruzada 15 cm para cardiovascular. Confeccionado em Aço Inoxidável Cirúrgico, Material Autoclavável.</t>
  </si>
  <si>
    <t>Pinça Satinsky serrilha cruzada 18 cm para cardiovascular. Confeccionado em Aço Inoxidável Cirúrgico, Material Autoclavável.</t>
  </si>
  <si>
    <t>Pinça Tipo Relojoeiro 12cm - RIC065-12 Fabricada em chapa de Aço Inoxidável 304</t>
  </si>
  <si>
    <t>PINÇA UTRATA Reta Produzido em aço inoxidável com extra tratamento contra oxidação. Instrumental padrão qualidade e acabamento impecável. Delicada e eficiente para procedimentos médicos. DIMENSÕES 6 × 8 × 4 cm</t>
  </si>
  <si>
    <t>Sapatilha cirúrgica, TNT, formato que permita cobertura completa do calçado até o tornozelo, com elástico em toda sua volta, medindo aproximadamente 15 cm de altura X 18 cm de largura. Descartável, não estéril. Gramatura 30. Tamanho único.</t>
  </si>
  <si>
    <t>Stent Traqueal / Brônquico auto-expansível de Nitinol (com ou sem revestimento de silicone) com 30mm de comprimento e 10 mm de diâmetro. Acompanha conjunto aplicador</t>
  </si>
  <si>
    <t>Stent Traqueal / Brônquico auto-expansível de Nitinol (com ou sem revestimento de silicone) com 40mm de comprimento e 12 mm de diâmetro. Acompanha conjunto aplicador</t>
  </si>
  <si>
    <t>Stent Traqueal / Brônquico auto-expansível de Nitinol (com ou sem revestimento de silicone) com 60mm de comprimento e 18 mm de diâmetro. Acompanha conjunto aplicador</t>
  </si>
  <si>
    <t>Stent Traqueal / Brônquico auto-expansível de Nitinol (com ou sem revestimento de silicone) com 70mm de comprimento e 20 mm de diâmetro. Acompanha conjunto aplicador</t>
  </si>
  <si>
    <t>Tesoura Castroviejo Serrilhada Microcirurgia 13cm Curva Instrumento cirúrgico articulado cortante, produzido em aço inoxidável com extra tratamento contra oxidação. Instrumental padrão de qualidade e acabamento impecável.</t>
  </si>
  <si>
    <t>Tesoura Cirúrgica Fina/fina Reta Em Aço Inoxidável: Fabricado de acordo com Padrões Internacionais de Qualidade, Normas da ABNT, CE. 15 cm</t>
  </si>
  <si>
    <t>Tesoura Spencer 12 cm Angulada (curva) . Confeccionado em Aço Inox. Material Autoclavável.</t>
  </si>
  <si>
    <t>Tesoura Spencer 12 cm Reta. Confeccionado em Aço Inox. Material Autoclavável.</t>
  </si>
  <si>
    <t>Tesoura Spencer 9cm Reta. Confeccionado em Aço Inox. Material Autoclavável.</t>
  </si>
  <si>
    <t>Tesoura, aço inoxidável, 11 cm, curva, autoclavável, Buck</t>
  </si>
  <si>
    <t>Tesoura, aço inoxidável, 15 cm, curva, Metzembaum</t>
  </si>
  <si>
    <t>TESOURA, MATERIAL AÇO INOXIDÁVEL, COMPRIMENTO 15 CM, TIPO PONTA RETA ROMBA- ROMBA, TIPO STANDARD</t>
  </si>
  <si>
    <t>Trocater Descartável diâmetro 10mm, - com ponta piramidal retrátil, adulto, para uso em videocirurgia.</t>
  </si>
  <si>
    <t>Trocater Descartável diâmetro 4mm, - com ponta piramidal retrátil, adulto, para uso em videocirurgia.</t>
  </si>
  <si>
    <t>Trocater Descartável diâmetro 5mm, - com ponta piramidal retrátil, adulto, para uso em videocirurgia.</t>
  </si>
  <si>
    <t>Tubo Endotraqueal C/ Cuff Calibre 10,0 -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</si>
  <si>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2,0 -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</si>
  <si>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2,5 -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</si>
  <si>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3,0 -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</si>
  <si>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3,5 -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</si>
  <si>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4,0 -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</si>
  <si>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4,5 -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</si>
  <si>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5,0 -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</si>
  <si>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5,5 -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</si>
  <si>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6,0 -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</si>
  <si>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6,5 -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</si>
  <si>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7,0 -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</si>
  <si>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7,5 -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</si>
  <si>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8,0 -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</si>
  <si>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8,5 -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</si>
  <si>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9,0 -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</si>
  <si>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9,5 - Tubo Endotraqueal, material PVC, curvatura anatômica, tipo ponta c/ ponta distal atraumática, componente 1 balão alto volume e baixa pressão, componente 2 radiopaco, graduado, tipo conector padrão 15 mm, estéril, uso único.</t>
  </si>
  <si>
    <t>Válvula Unidirecional para Drenagem de Pneumotórax (similar a Heimlich). Acompanhada do kit de drenagem (Válvula unidirecional, Torneira 3 vias, Dreno silicone 14Fr, 3 Bolsas coletoras em PVC flexível)</t>
  </si>
  <si>
    <t>NÃO</t>
  </si>
  <si>
    <t>Avental cirúrgico Estéril, descartável, tecido não tecido 100% polipropileno, 60g, cor azul, tiras ou velcro para fechamento no pescoço e na cintura, manga longa, tamanho G  – Fornecimento em pacotes com 10 Unidades</t>
  </si>
  <si>
    <t>Avental cirúrgico Estéril, descartável, tecido não tecido 100% polipropileno, 60g, cor azul, tiras ou velcro para fechamento no pescoço e na cintura, manga longa, tamanho M - – Fornecimento em pacotes com 10 Unidades</t>
  </si>
  <si>
    <t>Avental cirúrgico Estéril, descartável, tecido não tecido 100% polipropileno, 60g, cor azul, tiras ou velcro para fechamento no pescoço e na cintura, manga longa, tamanho P – Fornecimento em pacotes com 10 Unidades</t>
  </si>
  <si>
    <t>Caneta dermatográfica (para marcação de pele pré-cirúrgica); Caneta para marcação de pele pré-cirúrgica estéril. Ponta média; não evapora; impermeável a água; secagem rápida; resistente a povidine, álcool, sangue; cor roxa</t>
  </si>
  <si>
    <t>Retrator de incisão para incisões de 80 a 130mm. Estéril. Embalagem individual. Marca de referência: Alexis</t>
  </si>
  <si>
    <t>Retrator de incisão para incisões de 50 a 100mm. Estéril. Embalagem individual. Marca de referência: Alexis</t>
  </si>
  <si>
    <t>Retrator de incisão para incisões de 30 a 60mm. Estéril. Embalagem individual. Marca de referência: Alexis</t>
  </si>
  <si>
    <t>Retrator de incisão para incisões de 20 a 40mm. Estéril. Embalagem individual. Marca de referência: Alexis</t>
  </si>
  <si>
    <t>Retrator de incisão para incisões de 100 a 150mm. Estéril. Embalagem individual. Marca de referência: Alexis</t>
  </si>
  <si>
    <t>Punch Keyes Nº 4.0. Marca de referência: ABC</t>
  </si>
  <si>
    <t>Pinça Bulldog 5cm. Pinças vasculares atraumáticas para hemostasia temporária de vasos pequenos e delicados. Suas mandibulas são finamente serrilhadas e arredondadas. Ponta Reta</t>
  </si>
  <si>
    <t>Navalha Para Microtomia 77x14mm: Utensílio de corte de aço inox especial com borda revestida com uma combinação de cerâmica e (PTFE) utilizada para corte de tecidos ou outras amostras inclusas  em parafina de dimensões comprimento 77 mm; altura 14 mm. Possuem lacre de segurança. Lâminas de perfil alto. Fornecimento em caixa com 50 unidades.</t>
  </si>
  <si>
    <t>Unidade</t>
  </si>
  <si>
    <t>Máscara cirúrgica, descartável, dupla camada, modelo retangular, com no mínimo 20 x 10 cm e 3 pregas longitudinais, com dispositivo para ajuste nasal fixado no corpo da máscara, e 4 tiras laterais de comprimento adequado para fixação. Atóxica, hipoalérgica e inodora. Gramatura 30. Fornecimento em caixa com 50 unidades.</t>
  </si>
  <si>
    <t>Fio de sutura Poliglecaprone 25, USP 0, 70cm, curvatura da agulha 3/8, agulha de 3,1cm. Fornecimento em caixa com 24 unidades.</t>
  </si>
  <si>
    <t>Fio de sutura Poliglecaprone 25, USP 2-0, 70cm, curvatura da agulha 1/2, agulha de 3,0cm. Fornecimento em caixa com 24 unidades.</t>
  </si>
  <si>
    <t>Fio de sutura Poliglecaprone 25, USP 2-0, 70cm, curvatura da agulha 3/8, agulha de 3,1cm. Fornecimento em caixa com 24 unidades.</t>
  </si>
  <si>
    <t>Fio de sutura Poliglecaprone 25, USP 3-0, 70cm, curvatura da agulha 1/2, agulha de 2,5cm. Fornecimento em caixa com 24 unidades.</t>
  </si>
  <si>
    <t>Fio de sutura Poliglecaprone 25, USP 3-0, 70cm, curvatura da agulha 3/8, agulha de 3,1cm. Fornecimento em caixa com 24 unidades.</t>
  </si>
  <si>
    <t>Fio de sutura Poliglecaprone 25, USP 4-0, 70cm, curvatura da agulha 1/2, agulha de 2,5cm. Fornecimento em caixa com 24 unidades.</t>
  </si>
  <si>
    <t>Fio de sutura Poliglecaprone 25, USP 4-0, 70cm, curvatura da agulha 3/8, agulha de 3,1cm. Fornecimento em caixa com 24 unidades.</t>
  </si>
  <si>
    <t>Fio de sutura Poliglecaprone 25, USP 5-0, 45cm, curvatura da agulha 3/8, agulha de 1,9cm. Fornecimento em caixa com 24 unidades.</t>
  </si>
  <si>
    <t>Fio de sutura Poliglecaprone 25, USP 6-0, 45cm, curvatura da agulha 1/2; agulha de 3,0cm. Fornecimento em caixa com 24 unidades.</t>
  </si>
  <si>
    <t>FIO DE SUTURA, NYLON MONOFILAMENTO, 2-0, 45 CM, COM AGULHA, 3/8 CÍRCULO CORTANTE, 3,0 CM, ESTÉRIL. Fornecimento em caixa com 24 unidades.</t>
  </si>
  <si>
    <t>FIO DE SUTURA, NYLON MONOFILAMENTO, 3-0, 45 CM, COM AGULHA, 3/8 CÍRCULO CORTANTE, 3 CM, ESTÉRIL. Fornecimento em caixa com 24 unidades.</t>
  </si>
  <si>
    <t>FIO DE SUTURA, NYLON MONOFILAMENTO, 4-0, 45 CM, COM AGULHA, 3/8 CÍRCULO CORTANTE, 3 CM, ESTÉRIL. Fornecimento em caixa com 24 unidades.</t>
  </si>
  <si>
    <t>FIO DE SUTURA, NYLON MONOFILAMENTO, 5-0, 45 CM, COM AGULHA, 3/8 CÍRCULO CORTANTE, 2,5 CM, ESTÉRIL. Fornecimento em caixa com 24 unidades.</t>
  </si>
  <si>
    <t>FIO DE SUTURA, POLIDIOXANONA MONOFILAMENTO, 0, VIOLETA, 70 CM, COM AGULHA, 1/2 CÍRCULO CILÍNDRICA, 4,0 CM, ESTÉRIL. Fornecimento em caixa com 24 unidades.</t>
  </si>
  <si>
    <t>FIO DE SUTURA, POLIDIOXANONA MONOFILAMENTO, 2-0, VIOLETA, 70 CM, COM AGULHA, 1/2 CÍRCULO CILÍNDRICA, 2,5 CM, ESTÉRIL. Fornecimento em caixa com 24 unidades.</t>
  </si>
  <si>
    <t>FIO DE SUTURA, POLIDIOXANONA MONOFILAMENTO, 3-0, VIOLETA, 70 CM, COM AGULHA, 1/2 CÍRCULO CILÍNDRICA, 4,0 CM, ESTÉRIL. Fornecimento em caixa com 24 unidades.</t>
  </si>
  <si>
    <t>FIO DE SUTURA, POLIGLACTINA, 0, VIOLETA, 70 CM, COM AGULHA, 3/8 CÍRCULO CILÍNDRICA, 3,0 CM, ESTÉRIL. Fornecimento em caixa com 24 unidades.</t>
  </si>
  <si>
    <t>FIO DE SUTURA, POLIGLACTINA, 1-0, VIOLETA, 70 CM, COM AGULHA, 3/8 CÍRCULO CILÍNDRICA, 3,0 CM, ESTÉRIL. Fornecimento em caixa com 24 unidades.</t>
  </si>
  <si>
    <t>FIO DE SUTURA, POLIGLACTINA, 2-0, VIOLETA, 70 CM, COM AGULHA, 3/8 CÍRCULO CILÍNDRICA, 3,0 CM, ESTÉRIL. Fornecimento em caixa com 24 unidades.</t>
  </si>
  <si>
    <t>FIO DE SUTURA, POLIGLACTINA, 3-0, VIOLETA, 70 CM, COM AGULHA, 3/8 CÍRCULO CILÍNDRICA, 3,0 CM, ESTÉRIL. Fornecimento em caixa com 24 unidades.</t>
  </si>
  <si>
    <t>FIO DE SUTURA, POLIGLACTINA, 4-0, VIOLETA, 70 CM, COM AGULHA, 3/8 CÍRCULO CILÍNDRICA, 2,0 CM, ESTÉRIL. Fornecimento em caixa com 24 unidades.</t>
  </si>
  <si>
    <t>FIO DE SUTURA, POLIGLACTINA, 5-0, VIOLETA, 70 CM, COM AGULHA, 3/8 CÍRCULO CILÍNDRICA, 2,0 CM, ESTÉRIL. Fornecimento em caixa com 24 unidades.</t>
  </si>
  <si>
    <t>FIO DE SUTURA, POLIGLACTINA, 6-0, VIOLETA, 70 CM, COM AGULHA, 3/8 CÍRCULO CILÍNDRICA, 2,0 CM, ESTÉRIL. Fornecimento em caixa com 24 unidades.</t>
  </si>
  <si>
    <t>FIO DE SUTURA, POLIPROPILENO MONOFILAMENTO, 2-0, 70 CM, 1/2 CÍRCULO CILÍNDRICA, 3,5 CM. Fornecimento em caixa com 24 unidades.</t>
  </si>
  <si>
    <t>FIO DE SUTURA, POLIPROPILENO MONOFILAMENTO, 3-0, 75 CM, COM AGULHA, 3/8 CÍRCULO CORTANTE, 1,50 CM, ESTÉRIL. Fornecimento em caixa com 24 unidades.</t>
  </si>
  <si>
    <t>FIO DE SUTURA, POLIPROPILENO, 0, 70 CM, COM AGULHA, 3/8 CÍRCULO CILÍNDRICA, 3,5 CM, ESTÉRIL. Fornecimento em caixa com 24 unidades.</t>
  </si>
  <si>
    <t>Fio de sutura Aço, USP 0, 60cm, curvatura da agulha 1/2, ponta cort, agulha 2,5cm. Fornecimento em envelope com 3 unidades.</t>
  </si>
  <si>
    <t>Fio de sutura Aço, USP 1, 4 x 45cm, curvatura da agulha 1/2, ponta cort, agulha 4 x 3,5cm. Fornecimento em envelope com 4 unidades.</t>
  </si>
  <si>
    <t>Fio de sutura Aço, USP 4, 4 x 45cm, curvatura da agulha 1/2, ponta cort, agulha 4 x 4,8cm. Fornecimento em envelope com 4 unidades.</t>
  </si>
  <si>
    <t>Fio de sutura Aço, USP 5, 4 x 45cm, curvatura da agulha 1/2, ponta cort, agulha 4 x 4,8cm. Fornecimento em envelope com 4 unidades.</t>
  </si>
  <si>
    <t>FIO DE SUTURA, NYLON MONOFILAMENTO, 0, PRETO, 45 CM, COM AGULHA, 3/8 CÍRCULO CORTANTE, AGULHA 3,0 OU 4,0 CM, ESTÉRIL. Fornecimento em caixa com 24 unidades.</t>
  </si>
  <si>
    <t>Bolsa de laparoscopia descartável com tubo, tamanho 100x180mm, 500ml. Produzido em polímero termoplástico não tóxico e de grau médico. Fornecimento em caixa com 6 unidades.</t>
  </si>
  <si>
    <t>Bolsa de laparoscopia descartável com tubo, tamanho 60x130mm, 130ml. Produzido em polímero termoplástico não tóxico e de grau médico. Fornecimento em caixa com 6 unidades.</t>
  </si>
  <si>
    <t>Bolsa de laparoscopia descartável com tubo, tamanho 60x160mm, 230ml. Produzido em polímero termoplástico não tóxico e de grau médico. Fornecimento em caixa com 6 unidades.</t>
  </si>
  <si>
    <t>Clipe de titânio para ligadura em cirurgia aberta e endoscópica; tamanho PEQUENO. Embalagem individual com 6 clipes estéreis</t>
  </si>
  <si>
    <t>Clipe de titânio para ligadura em cirurgia aberta e endoscópica; tamanho MÉDIO. Embalagem individual com 6 clipes estéreis</t>
  </si>
  <si>
    <t>Clipe de titânio para ligadura em cirurgia aberta e endoscópica; tamanho GRANDE. Embalagem individual com 6 clipes estéreis</t>
  </si>
  <si>
    <t>Porta Agulha Mayo Hegar 12cm Instrumento Cirúrgico articulado não cortante. Produzido em Aço Inoxidável. Utilizado para fixação da agulha durante a sutura. Sem vídea e ponta reta.</t>
  </si>
  <si>
    <t>Embalagem 50 unidade</t>
  </si>
  <si>
    <t>Caixa 6 Unidade</t>
  </si>
  <si>
    <t>Caixa 100 Unidade</t>
  </si>
  <si>
    <t>Par</t>
  </si>
  <si>
    <t>Rolo 100 metro</t>
  </si>
  <si>
    <t xml:space="preserve">PAPEL GRAU CIRÚRGICO envelope autosselante para autoclave 09 X 26cm. </t>
  </si>
  <si>
    <t>Centena</t>
  </si>
  <si>
    <t>Embalagem 100 unidade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</si>
  <si>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Nº 6.5.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</si>
  <si>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Nº 7.0.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</si>
  <si>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Nº 7.5.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</si>
  <si>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Nº 8.0.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</si>
  <si>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Nº 8.5.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</si>
  <si>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Nº 6.0. Deverá apresentar CA compatível com uso hospitalar, garantindo proteção para agentes biológicos.</t>
  </si>
  <si>
    <t xml:space="preserve"> -</t>
  </si>
  <si>
    <t>Anvisa</t>
  </si>
  <si>
    <t>Pinça micro angulada 14Cm. Instrumento para uso cirúrgico, em aço inoxidável, tamanho 14 cm. R303-14A - Richter</t>
  </si>
  <si>
    <t>Grampeador endoscópico descartável 30mm - Embalagem individual com 1 unidade estéril</t>
  </si>
  <si>
    <t>Grampeador endoscópico descartável 45mm - Embalagem individual com 1 unidade estéril</t>
  </si>
  <si>
    <t>Grampeador endoscópico descartável 60mm - Embalagem individual com 1 unidade estéril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</si>
</sst>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44" fontId="9" fillId="5" borderId="2" xfId="1" applyFont="1" applyFill="1" applyBorder="1" applyAlignment="1">
      <alignment horizontal="center" vertical="center" wrapText="1"/>
    </xf>
    <xf numFmtId="44" fontId="9" fillId="5" borderId="4" xfId="1" applyFont="1" applyFill="1" applyBorder="1" applyAlignment="1">
      <alignment horizontal="center" vertical="center" wrapText="1"/>
    </xf>
    <xf numFmtId="44" fontId="9" fillId="5" borderId="3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81"/>
  <sheetViews>
    <sheetView tabSelected="1" topLeftCell="A2" zoomScale="180" zoomScaleNormal="180" zoomScaleSheetLayoutView="80" workbookViewId="0">
      <selection activeCell="A115" sqref="A115:B121"/>
    </sheetView>
  </sheetViews>
  <sheetFormatPr baseColWidth="10" defaultColWidth="9.1640625" defaultRowHeight="14" x14ac:dyDescent="0.2"/>
  <cols>
    <col min="1" max="1" width="5.5" style="2" customWidth="1"/>
    <col min="2" max="2" width="8.1640625" style="2" customWidth="1"/>
    <col min="3" max="3" width="49.5" style="2" customWidth="1"/>
    <col min="4" max="4" width="10.6640625" style="2" customWidth="1"/>
    <col min="5" max="5" width="9" style="7" customWidth="1"/>
    <col min="6" max="6" width="6" style="3" customWidth="1"/>
    <col min="7" max="7" width="8.1640625" style="4" customWidth="1"/>
    <col min="8" max="8" width="9.33203125" style="4" bestFit="1" customWidth="1"/>
    <col min="9" max="9" width="11.33203125" style="4" bestFit="1" customWidth="1"/>
    <col min="10" max="10" width="11.1640625" style="4" bestFit="1" customWidth="1"/>
    <col min="11" max="11" width="8.1640625" style="4" customWidth="1"/>
    <col min="12" max="12" width="7.1640625" style="7" bestFit="1" customWidth="1"/>
    <col min="13" max="13" width="8.5" style="4" customWidth="1"/>
    <col min="14" max="14" width="16.33203125" style="1" customWidth="1"/>
    <col min="15" max="16" width="9.1640625" style="1"/>
    <col min="17" max="17" width="21.83203125" style="1" customWidth="1"/>
    <col min="18" max="18" width="20.33203125" style="1" customWidth="1"/>
    <col min="19" max="16384" width="9.1640625" style="1"/>
  </cols>
  <sheetData>
    <row r="1" spans="1:13" ht="12.75" customHeight="1" x14ac:dyDescent="0.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12.75" customHeight="1" x14ac:dyDescent="0.2">
      <c r="A2" s="24" t="s">
        <v>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ht="12.75" customHeight="1" x14ac:dyDescent="0.2">
      <c r="A3" s="24" t="s">
        <v>25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5" spans="1:13" ht="48" x14ac:dyDescent="0.2">
      <c r="A5" s="5" t="s">
        <v>24</v>
      </c>
      <c r="B5" s="5" t="s">
        <v>17</v>
      </c>
      <c r="C5" s="6" t="s">
        <v>3</v>
      </c>
      <c r="D5" s="6" t="s">
        <v>1</v>
      </c>
      <c r="E5" s="6" t="s">
        <v>5</v>
      </c>
      <c r="F5" s="6" t="s">
        <v>23</v>
      </c>
      <c r="G5" s="6" t="s">
        <v>19</v>
      </c>
      <c r="H5" s="6" t="s">
        <v>18</v>
      </c>
      <c r="I5" s="6" t="s">
        <v>6</v>
      </c>
      <c r="J5" s="6" t="s">
        <v>26</v>
      </c>
      <c r="K5" s="6" t="s">
        <v>22</v>
      </c>
      <c r="L5" s="6" t="s">
        <v>20</v>
      </c>
      <c r="M5" s="6" t="s">
        <v>21</v>
      </c>
    </row>
    <row r="6" spans="1:13" s="16" customFormat="1" ht="48" x14ac:dyDescent="0.15">
      <c r="A6" s="25">
        <v>1</v>
      </c>
      <c r="B6" s="26">
        <v>1</v>
      </c>
      <c r="C6" s="18" t="s">
        <v>27</v>
      </c>
      <c r="D6" s="18" t="s">
        <v>153</v>
      </c>
      <c r="E6" s="17">
        <v>353931</v>
      </c>
      <c r="F6" s="18" t="s">
        <v>208</v>
      </c>
      <c r="G6" s="18">
        <v>10</v>
      </c>
      <c r="H6" s="19">
        <v>148.94</v>
      </c>
      <c r="I6" s="19">
        <f>G6*ROUND(H6,2)</f>
        <v>1489.4</v>
      </c>
      <c r="J6" s="21">
        <f>SUM(I6:I7)</f>
        <v>3067.9</v>
      </c>
      <c r="K6" s="21" t="s">
        <v>140</v>
      </c>
      <c r="L6" s="8" t="s">
        <v>4</v>
      </c>
      <c r="M6" s="20" t="str">
        <f>VLOOKUP(H6, Intervalos!$B$3:$C$8,2,TRUE)</f>
        <v>0,10%</v>
      </c>
    </row>
    <row r="7" spans="1:13" s="16" customFormat="1" ht="48" x14ac:dyDescent="0.15">
      <c r="A7" s="27"/>
      <c r="B7" s="26">
        <v>2</v>
      </c>
      <c r="C7" s="18" t="s">
        <v>28</v>
      </c>
      <c r="D7" s="18" t="s">
        <v>153</v>
      </c>
      <c r="E7" s="17">
        <v>381968</v>
      </c>
      <c r="F7" s="18" t="s">
        <v>208</v>
      </c>
      <c r="G7" s="18">
        <v>10</v>
      </c>
      <c r="H7" s="19">
        <v>157.85</v>
      </c>
      <c r="I7" s="19">
        <f t="shared" ref="I7:I50" si="0">G7*ROUND(H7,2)</f>
        <v>1578.5</v>
      </c>
      <c r="J7" s="23"/>
      <c r="K7" s="23"/>
      <c r="L7" s="8" t="s">
        <v>4</v>
      </c>
      <c r="M7" s="20" t="str">
        <f>VLOOKUP(H7, Intervalos!$B$3:$C$8,2,TRUE)</f>
        <v>0,10%</v>
      </c>
    </row>
    <row r="8" spans="1:13" s="16" customFormat="1" ht="24" x14ac:dyDescent="0.15">
      <c r="A8" s="17" t="s">
        <v>207</v>
      </c>
      <c r="B8" s="17">
        <v>3</v>
      </c>
      <c r="C8" s="18" t="s">
        <v>29</v>
      </c>
      <c r="D8" s="18" t="s">
        <v>153</v>
      </c>
      <c r="E8" s="17">
        <v>474091</v>
      </c>
      <c r="F8" s="18" t="s">
        <v>208</v>
      </c>
      <c r="G8" s="18">
        <v>2</v>
      </c>
      <c r="H8" s="19">
        <v>1278.51</v>
      </c>
      <c r="I8" s="19">
        <f t="shared" si="0"/>
        <v>2557.02</v>
      </c>
      <c r="J8" s="19" t="s">
        <v>207</v>
      </c>
      <c r="K8" s="19" t="s">
        <v>140</v>
      </c>
      <c r="L8" s="8" t="s">
        <v>4</v>
      </c>
      <c r="M8" s="20" t="str">
        <f>VLOOKUP(H8, Intervalos!$B$3:$C$8,2,TRUE)</f>
        <v>0,10%</v>
      </c>
    </row>
    <row r="9" spans="1:13" s="16" customFormat="1" ht="36" x14ac:dyDescent="0.15">
      <c r="A9" s="25">
        <v>2</v>
      </c>
      <c r="B9" s="26">
        <v>4</v>
      </c>
      <c r="C9" s="18" t="s">
        <v>141</v>
      </c>
      <c r="D9" s="18" t="s">
        <v>153</v>
      </c>
      <c r="E9" s="17">
        <v>604920</v>
      </c>
      <c r="F9" s="18" t="s">
        <v>208</v>
      </c>
      <c r="G9" s="18">
        <f>275*10</f>
        <v>2750</v>
      </c>
      <c r="H9" s="19">
        <f>115.63/10</f>
        <v>11.562999999999999</v>
      </c>
      <c r="I9" s="19">
        <f t="shared" si="0"/>
        <v>31790</v>
      </c>
      <c r="J9" s="21">
        <f>SUM(I9:I11)</f>
        <v>141761.79999999999</v>
      </c>
      <c r="K9" s="21" t="s">
        <v>140</v>
      </c>
      <c r="L9" s="8" t="s">
        <v>4</v>
      </c>
      <c r="M9" s="20">
        <f>VLOOKUP(H9, Intervalos!$B$3:$C$8,2,TRUE)</f>
        <v>0.03</v>
      </c>
    </row>
    <row r="10" spans="1:13" s="16" customFormat="1" ht="36" x14ac:dyDescent="0.15">
      <c r="A10" s="28"/>
      <c r="B10" s="26">
        <v>5</v>
      </c>
      <c r="C10" s="18" t="s">
        <v>142</v>
      </c>
      <c r="D10" s="18" t="s">
        <v>153</v>
      </c>
      <c r="E10" s="17">
        <v>604920</v>
      </c>
      <c r="F10" s="18" t="s">
        <v>208</v>
      </c>
      <c r="G10" s="18">
        <f>538*10</f>
        <v>5380</v>
      </c>
      <c r="H10" s="19">
        <f>136.1/10</f>
        <v>13.61</v>
      </c>
      <c r="I10" s="19">
        <f t="shared" si="0"/>
        <v>73221.8</v>
      </c>
      <c r="J10" s="22"/>
      <c r="K10" s="22"/>
      <c r="L10" s="8" t="s">
        <v>4</v>
      </c>
      <c r="M10" s="20">
        <f>VLOOKUP(H10, Intervalos!$B$3:$C$8,2,TRUE)</f>
        <v>0.03</v>
      </c>
    </row>
    <row r="11" spans="1:13" s="16" customFormat="1" ht="36" x14ac:dyDescent="0.15">
      <c r="A11" s="27"/>
      <c r="B11" s="26">
        <v>6</v>
      </c>
      <c r="C11" s="18" t="s">
        <v>143</v>
      </c>
      <c r="D11" s="18" t="s">
        <v>153</v>
      </c>
      <c r="E11" s="17">
        <v>604920</v>
      </c>
      <c r="F11" s="18" t="s">
        <v>208</v>
      </c>
      <c r="G11" s="18">
        <f>525*10</f>
        <v>5250</v>
      </c>
      <c r="H11" s="19">
        <f>70/10</f>
        <v>7</v>
      </c>
      <c r="I11" s="19">
        <f t="shared" si="0"/>
        <v>36750</v>
      </c>
      <c r="J11" s="23"/>
      <c r="K11" s="23"/>
      <c r="L11" s="8" t="s">
        <v>4</v>
      </c>
      <c r="M11" s="20">
        <f>VLOOKUP(H11, Intervalos!$B$3:$C$8,2,TRUE)</f>
        <v>0.02</v>
      </c>
    </row>
    <row r="12" spans="1:13" s="16" customFormat="1" ht="24" x14ac:dyDescent="0.15">
      <c r="A12" s="25">
        <v>3</v>
      </c>
      <c r="B12" s="26">
        <v>7</v>
      </c>
      <c r="C12" s="18" t="s">
        <v>30</v>
      </c>
      <c r="D12" s="18" t="s">
        <v>153</v>
      </c>
      <c r="E12" s="17">
        <v>428295</v>
      </c>
      <c r="F12" s="18" t="s">
        <v>208</v>
      </c>
      <c r="G12" s="18">
        <v>4</v>
      </c>
      <c r="H12" s="19">
        <v>1085.96</v>
      </c>
      <c r="I12" s="19">
        <f t="shared" si="0"/>
        <v>4343.84</v>
      </c>
      <c r="J12" s="21">
        <f>SUM(I12:I14)</f>
        <v>12628.080000000002</v>
      </c>
      <c r="K12" s="21" t="s">
        <v>140</v>
      </c>
      <c r="L12" s="8" t="s">
        <v>4</v>
      </c>
      <c r="M12" s="20" t="str">
        <f>VLOOKUP(H12, Intervalos!$B$3:$C$8,2,TRUE)</f>
        <v>0,10%</v>
      </c>
    </row>
    <row r="13" spans="1:13" s="16" customFormat="1" ht="24" x14ac:dyDescent="0.15">
      <c r="A13" s="28"/>
      <c r="B13" s="26">
        <v>8</v>
      </c>
      <c r="C13" s="18" t="s">
        <v>31</v>
      </c>
      <c r="D13" s="18" t="s">
        <v>153</v>
      </c>
      <c r="E13" s="17">
        <v>428295</v>
      </c>
      <c r="F13" s="18" t="s">
        <v>208</v>
      </c>
      <c r="G13" s="18">
        <v>4</v>
      </c>
      <c r="H13" s="19">
        <v>1087.01</v>
      </c>
      <c r="I13" s="19">
        <f t="shared" si="0"/>
        <v>4348.04</v>
      </c>
      <c r="J13" s="22"/>
      <c r="K13" s="22"/>
      <c r="L13" s="8" t="s">
        <v>4</v>
      </c>
      <c r="M13" s="20" t="str">
        <f>VLOOKUP(H13, Intervalos!$B$3:$C$8,2,TRUE)</f>
        <v>0,10%</v>
      </c>
    </row>
    <row r="14" spans="1:13" s="16" customFormat="1" ht="24" x14ac:dyDescent="0.15">
      <c r="A14" s="27"/>
      <c r="B14" s="26">
        <v>9</v>
      </c>
      <c r="C14" s="18" t="s">
        <v>32</v>
      </c>
      <c r="D14" s="18" t="s">
        <v>153</v>
      </c>
      <c r="E14" s="17">
        <v>428295</v>
      </c>
      <c r="F14" s="18" t="s">
        <v>208</v>
      </c>
      <c r="G14" s="18">
        <v>4</v>
      </c>
      <c r="H14" s="19">
        <v>984.05</v>
      </c>
      <c r="I14" s="19">
        <f t="shared" si="0"/>
        <v>3936.2</v>
      </c>
      <c r="J14" s="23"/>
      <c r="K14" s="23"/>
      <c r="L14" s="8" t="s">
        <v>4</v>
      </c>
      <c r="M14" s="20" t="str">
        <f>VLOOKUP(H14, Intervalos!$B$3:$C$8,2,TRUE)</f>
        <v>0,10%</v>
      </c>
    </row>
    <row r="15" spans="1:13" s="16" customFormat="1" ht="36" x14ac:dyDescent="0.15">
      <c r="A15" s="25">
        <v>4</v>
      </c>
      <c r="B15" s="26">
        <v>10</v>
      </c>
      <c r="C15" s="18" t="s">
        <v>33</v>
      </c>
      <c r="D15" s="18" t="s">
        <v>153</v>
      </c>
      <c r="E15" s="17">
        <v>452481</v>
      </c>
      <c r="F15" s="18" t="s">
        <v>208</v>
      </c>
      <c r="G15" s="18">
        <v>25</v>
      </c>
      <c r="H15" s="19">
        <v>18.350000000000001</v>
      </c>
      <c r="I15" s="19">
        <f t="shared" si="0"/>
        <v>458.75000000000006</v>
      </c>
      <c r="J15" s="21">
        <f>SUM(I15:I17)</f>
        <v>3458.75</v>
      </c>
      <c r="K15" s="21" t="s">
        <v>140</v>
      </c>
      <c r="L15" s="8" t="s">
        <v>4</v>
      </c>
      <c r="M15" s="20">
        <f>VLOOKUP(H15, Intervalos!$B$3:$C$8,2,TRUE)</f>
        <v>0.03</v>
      </c>
    </row>
    <row r="16" spans="1:13" s="16" customFormat="1" ht="36" x14ac:dyDescent="0.15">
      <c r="A16" s="28"/>
      <c r="B16" s="26">
        <v>11</v>
      </c>
      <c r="C16" s="18" t="s">
        <v>34</v>
      </c>
      <c r="D16" s="18" t="s">
        <v>153</v>
      </c>
      <c r="E16" s="17">
        <v>321461</v>
      </c>
      <c r="F16" s="18" t="s">
        <v>208</v>
      </c>
      <c r="G16" s="18">
        <v>75</v>
      </c>
      <c r="H16" s="19">
        <v>15</v>
      </c>
      <c r="I16" s="19">
        <f t="shared" si="0"/>
        <v>1125</v>
      </c>
      <c r="J16" s="22"/>
      <c r="K16" s="22"/>
      <c r="L16" s="8" t="s">
        <v>4</v>
      </c>
      <c r="M16" s="20">
        <f>VLOOKUP(H16, Intervalos!$B$3:$C$8,2,TRUE)</f>
        <v>0.03</v>
      </c>
    </row>
    <row r="17" spans="1:13" s="16" customFormat="1" ht="12" x14ac:dyDescent="0.15">
      <c r="A17" s="27"/>
      <c r="B17" s="26">
        <v>12</v>
      </c>
      <c r="C17" s="18" t="s">
        <v>35</v>
      </c>
      <c r="D17" s="18" t="s">
        <v>153</v>
      </c>
      <c r="E17" s="17">
        <v>431781</v>
      </c>
      <c r="F17" s="18" t="s">
        <v>208</v>
      </c>
      <c r="G17" s="18">
        <v>125</v>
      </c>
      <c r="H17" s="19">
        <v>15</v>
      </c>
      <c r="I17" s="19">
        <f t="shared" si="0"/>
        <v>1875</v>
      </c>
      <c r="J17" s="23"/>
      <c r="K17" s="23"/>
      <c r="L17" s="8" t="s">
        <v>4</v>
      </c>
      <c r="M17" s="20">
        <f>VLOOKUP(H17, Intervalos!$B$3:$C$8,2,TRUE)</f>
        <v>0.03</v>
      </c>
    </row>
    <row r="18" spans="1:13" s="16" customFormat="1" ht="60" x14ac:dyDescent="0.15">
      <c r="A18" s="17" t="s">
        <v>207</v>
      </c>
      <c r="B18" s="17">
        <v>13</v>
      </c>
      <c r="C18" s="18" t="s">
        <v>36</v>
      </c>
      <c r="D18" s="18" t="s">
        <v>153</v>
      </c>
      <c r="E18" s="17">
        <v>279863</v>
      </c>
      <c r="F18" s="18" t="s">
        <v>208</v>
      </c>
      <c r="G18" s="18">
        <v>38</v>
      </c>
      <c r="H18" s="19">
        <v>86.69</v>
      </c>
      <c r="I18" s="19">
        <f t="shared" si="0"/>
        <v>3294.22</v>
      </c>
      <c r="J18" s="19" t="s">
        <v>207</v>
      </c>
      <c r="K18" s="19" t="s">
        <v>140</v>
      </c>
      <c r="L18" s="8" t="s">
        <v>4</v>
      </c>
      <c r="M18" s="20">
        <f>VLOOKUP(H18, Intervalos!$B$3:$C$8,2,TRUE)</f>
        <v>0.1</v>
      </c>
    </row>
    <row r="19" spans="1:13" s="16" customFormat="1" ht="36" x14ac:dyDescent="0.15">
      <c r="A19" s="25">
        <v>5</v>
      </c>
      <c r="B19" s="26">
        <v>14</v>
      </c>
      <c r="C19" s="18" t="s">
        <v>186</v>
      </c>
      <c r="D19" s="18" t="s">
        <v>153</v>
      </c>
      <c r="E19" s="17">
        <v>444272</v>
      </c>
      <c r="F19" s="18" t="s">
        <v>208</v>
      </c>
      <c r="G19" s="18">
        <f>4*6</f>
        <v>24</v>
      </c>
      <c r="H19" s="19">
        <f>3120/6</f>
        <v>520</v>
      </c>
      <c r="I19" s="19">
        <f t="shared" si="0"/>
        <v>12480</v>
      </c>
      <c r="J19" s="21">
        <f>SUM(I19:I21)</f>
        <v>93600</v>
      </c>
      <c r="K19" s="21" t="s">
        <v>140</v>
      </c>
      <c r="L19" s="8" t="s">
        <v>4</v>
      </c>
      <c r="M19" s="20" t="str">
        <f>VLOOKUP(H19, Intervalos!$B$3:$C$8,2,TRUE)</f>
        <v>0,10%</v>
      </c>
    </row>
    <row r="20" spans="1:13" s="16" customFormat="1" ht="36" x14ac:dyDescent="0.15">
      <c r="A20" s="28"/>
      <c r="B20" s="26">
        <v>15</v>
      </c>
      <c r="C20" s="18" t="s">
        <v>187</v>
      </c>
      <c r="D20" s="18" t="s">
        <v>153</v>
      </c>
      <c r="E20" s="17">
        <v>444271</v>
      </c>
      <c r="F20" s="18" t="s">
        <v>208</v>
      </c>
      <c r="G20" s="18">
        <f>13*6</f>
        <v>78</v>
      </c>
      <c r="H20" s="19">
        <f>3120/6</f>
        <v>520</v>
      </c>
      <c r="I20" s="19">
        <f t="shared" si="0"/>
        <v>40560</v>
      </c>
      <c r="J20" s="22"/>
      <c r="K20" s="22"/>
      <c r="L20" s="8" t="s">
        <v>4</v>
      </c>
      <c r="M20" s="20" t="str">
        <f>VLOOKUP(H20, Intervalos!$B$3:$C$8,2,TRUE)</f>
        <v>0,10%</v>
      </c>
    </row>
    <row r="21" spans="1:13" s="16" customFormat="1" ht="36" x14ac:dyDescent="0.15">
      <c r="A21" s="27"/>
      <c r="B21" s="26">
        <v>16</v>
      </c>
      <c r="C21" s="18" t="s">
        <v>188</v>
      </c>
      <c r="D21" s="18" t="s">
        <v>153</v>
      </c>
      <c r="E21" s="17">
        <v>444271</v>
      </c>
      <c r="F21" s="18" t="s">
        <v>208</v>
      </c>
      <c r="G21" s="18">
        <f>13*6</f>
        <v>78</v>
      </c>
      <c r="H21" s="19">
        <f>3120/6</f>
        <v>520</v>
      </c>
      <c r="I21" s="19">
        <f t="shared" si="0"/>
        <v>40560</v>
      </c>
      <c r="J21" s="23"/>
      <c r="K21" s="23"/>
      <c r="L21" s="8" t="s">
        <v>4</v>
      </c>
      <c r="M21" s="20" t="str">
        <f>VLOOKUP(H21, Intervalos!$B$3:$C$8,2,TRUE)</f>
        <v>0,10%</v>
      </c>
    </row>
    <row r="22" spans="1:13" s="16" customFormat="1" ht="12" x14ac:dyDescent="0.15">
      <c r="A22" s="17" t="s">
        <v>207</v>
      </c>
      <c r="B22" s="17">
        <v>17</v>
      </c>
      <c r="C22" s="18" t="s">
        <v>37</v>
      </c>
      <c r="D22" s="18" t="s">
        <v>153</v>
      </c>
      <c r="E22" s="17">
        <v>272821</v>
      </c>
      <c r="F22" s="18" t="s">
        <v>208</v>
      </c>
      <c r="G22" s="18">
        <v>44</v>
      </c>
      <c r="H22" s="19">
        <v>10.76</v>
      </c>
      <c r="I22" s="19">
        <f t="shared" si="0"/>
        <v>473.44</v>
      </c>
      <c r="J22" s="19" t="s">
        <v>207</v>
      </c>
      <c r="K22" s="19" t="s">
        <v>140</v>
      </c>
      <c r="L22" s="8" t="s">
        <v>4</v>
      </c>
      <c r="M22" s="20">
        <f>VLOOKUP(H22, Intervalos!$B$3:$C$8,2,TRUE)</f>
        <v>0.03</v>
      </c>
    </row>
    <row r="23" spans="1:13" s="16" customFormat="1" ht="12" x14ac:dyDescent="0.15">
      <c r="A23" s="25">
        <v>6</v>
      </c>
      <c r="B23" s="26">
        <v>18</v>
      </c>
      <c r="C23" s="18" t="s">
        <v>38</v>
      </c>
      <c r="D23" s="18" t="s">
        <v>153</v>
      </c>
      <c r="E23" s="17">
        <v>607173</v>
      </c>
      <c r="F23" s="18" t="s">
        <v>208</v>
      </c>
      <c r="G23" s="18">
        <v>625</v>
      </c>
      <c r="H23" s="19">
        <v>8.83</v>
      </c>
      <c r="I23" s="19">
        <f t="shared" si="0"/>
        <v>5518.75</v>
      </c>
      <c r="J23" s="21">
        <f>SUM(I23:I25)</f>
        <v>25197</v>
      </c>
      <c r="K23" s="21" t="s">
        <v>140</v>
      </c>
      <c r="L23" s="8" t="s">
        <v>4</v>
      </c>
      <c r="M23" s="20">
        <f>VLOOKUP(H23, Intervalos!$B$3:$C$8,2,TRUE)</f>
        <v>0.02</v>
      </c>
    </row>
    <row r="24" spans="1:13" s="16" customFormat="1" ht="12" x14ac:dyDescent="0.15">
      <c r="A24" s="28"/>
      <c r="B24" s="26">
        <v>19</v>
      </c>
      <c r="C24" s="18" t="s">
        <v>39</v>
      </c>
      <c r="D24" s="18" t="s">
        <v>153</v>
      </c>
      <c r="E24" s="17">
        <v>607171</v>
      </c>
      <c r="F24" s="18" t="s">
        <v>208</v>
      </c>
      <c r="G24" s="18">
        <v>1250</v>
      </c>
      <c r="H24" s="19">
        <v>6.43</v>
      </c>
      <c r="I24" s="19">
        <f t="shared" si="0"/>
        <v>8037.5</v>
      </c>
      <c r="J24" s="22"/>
      <c r="K24" s="22"/>
      <c r="L24" s="8" t="s">
        <v>4</v>
      </c>
      <c r="M24" s="20">
        <f>VLOOKUP(H24, Intervalos!$B$3:$C$8,2,TRUE)</f>
        <v>0.02</v>
      </c>
    </row>
    <row r="25" spans="1:13" s="16" customFormat="1" ht="12" x14ac:dyDescent="0.15">
      <c r="A25" s="27"/>
      <c r="B25" s="26">
        <v>20</v>
      </c>
      <c r="C25" s="18" t="s">
        <v>40</v>
      </c>
      <c r="D25" s="18" t="s">
        <v>153</v>
      </c>
      <c r="E25" s="17">
        <v>607192</v>
      </c>
      <c r="F25" s="18" t="s">
        <v>208</v>
      </c>
      <c r="G25" s="18">
        <v>1275</v>
      </c>
      <c r="H25" s="19">
        <v>9.1300000000000008</v>
      </c>
      <c r="I25" s="19">
        <f t="shared" si="0"/>
        <v>11640.750000000002</v>
      </c>
      <c r="J25" s="23"/>
      <c r="K25" s="23"/>
      <c r="L25" s="8" t="s">
        <v>4</v>
      </c>
      <c r="M25" s="20">
        <f>VLOOKUP(H25, Intervalos!$B$3:$C$8,2,TRUE)</f>
        <v>0.02</v>
      </c>
    </row>
    <row r="26" spans="1:13" s="16" customFormat="1" ht="12" x14ac:dyDescent="0.15">
      <c r="A26" s="17" t="s">
        <v>207</v>
      </c>
      <c r="B26" s="17">
        <v>21</v>
      </c>
      <c r="C26" s="18" t="s">
        <v>41</v>
      </c>
      <c r="D26" s="18" t="s">
        <v>153</v>
      </c>
      <c r="E26" s="17">
        <v>607192</v>
      </c>
      <c r="F26" s="18" t="s">
        <v>208</v>
      </c>
      <c r="G26" s="18">
        <v>25</v>
      </c>
      <c r="H26" s="19">
        <v>22</v>
      </c>
      <c r="I26" s="19">
        <f t="shared" si="0"/>
        <v>550</v>
      </c>
      <c r="J26" s="19" t="s">
        <v>207</v>
      </c>
      <c r="K26" s="19" t="s">
        <v>140</v>
      </c>
      <c r="L26" s="8" t="s">
        <v>4</v>
      </c>
      <c r="M26" s="20">
        <f>VLOOKUP(H26, Intervalos!$B$3:$C$8,2,TRUE)</f>
        <v>0.05</v>
      </c>
    </row>
    <row r="27" spans="1:13" s="16" customFormat="1" ht="36" x14ac:dyDescent="0.15">
      <c r="A27" s="17" t="s">
        <v>207</v>
      </c>
      <c r="B27" s="17">
        <v>22</v>
      </c>
      <c r="C27" s="18" t="s">
        <v>42</v>
      </c>
      <c r="D27" s="18" t="s">
        <v>193</v>
      </c>
      <c r="E27" s="17">
        <v>623077</v>
      </c>
      <c r="F27" s="18" t="s">
        <v>208</v>
      </c>
      <c r="G27" s="18">
        <v>38</v>
      </c>
      <c r="H27" s="19">
        <v>121.5</v>
      </c>
      <c r="I27" s="19">
        <f t="shared" si="0"/>
        <v>4617</v>
      </c>
      <c r="J27" s="19" t="s">
        <v>207</v>
      </c>
      <c r="K27" s="19" t="s">
        <v>140</v>
      </c>
      <c r="L27" s="8" t="s">
        <v>4</v>
      </c>
      <c r="M27" s="20" t="str">
        <f>VLOOKUP(H27, Intervalos!$B$3:$C$8,2,TRUE)</f>
        <v>0,10%</v>
      </c>
    </row>
    <row r="28" spans="1:13" s="16" customFormat="1" ht="36" x14ac:dyDescent="0.15">
      <c r="A28" s="17" t="s">
        <v>207</v>
      </c>
      <c r="B28" s="17">
        <v>23</v>
      </c>
      <c r="C28" s="18" t="s">
        <v>43</v>
      </c>
      <c r="D28" s="18" t="s">
        <v>193</v>
      </c>
      <c r="E28" s="17">
        <v>623077</v>
      </c>
      <c r="F28" s="18" t="s">
        <v>208</v>
      </c>
      <c r="G28" s="18">
        <v>125</v>
      </c>
      <c r="H28" s="19">
        <v>121.5</v>
      </c>
      <c r="I28" s="19">
        <f t="shared" si="0"/>
        <v>15187.5</v>
      </c>
      <c r="J28" s="19" t="s">
        <v>207</v>
      </c>
      <c r="K28" s="19" t="s">
        <v>140</v>
      </c>
      <c r="L28" s="8" t="s">
        <v>4</v>
      </c>
      <c r="M28" s="20" t="str">
        <f>VLOOKUP(H28, Intervalos!$B$3:$C$8,2,TRUE)</f>
        <v>0,10%</v>
      </c>
    </row>
    <row r="29" spans="1:13" s="16" customFormat="1" ht="36" x14ac:dyDescent="0.15">
      <c r="A29" s="17" t="s">
        <v>207</v>
      </c>
      <c r="B29" s="17">
        <v>24</v>
      </c>
      <c r="C29" s="18" t="s">
        <v>144</v>
      </c>
      <c r="D29" s="18" t="s">
        <v>153</v>
      </c>
      <c r="E29" s="17">
        <v>436469</v>
      </c>
      <c r="F29" s="18" t="s">
        <v>207</v>
      </c>
      <c r="G29" s="18">
        <v>13</v>
      </c>
      <c r="H29" s="19">
        <v>17.23</v>
      </c>
      <c r="I29" s="19">
        <f t="shared" si="0"/>
        <v>223.99</v>
      </c>
      <c r="J29" s="19" t="s">
        <v>207</v>
      </c>
      <c r="K29" s="19" t="s">
        <v>140</v>
      </c>
      <c r="L29" s="8" t="s">
        <v>4</v>
      </c>
      <c r="M29" s="20">
        <f>VLOOKUP(H29, Intervalos!$B$3:$C$8,2,TRUE)</f>
        <v>0.03</v>
      </c>
    </row>
    <row r="30" spans="1:13" s="16" customFormat="1" ht="156" x14ac:dyDescent="0.15">
      <c r="A30" s="17" t="s">
        <v>207</v>
      </c>
      <c r="B30" s="17">
        <v>25</v>
      </c>
      <c r="C30" s="18" t="s">
        <v>44</v>
      </c>
      <c r="D30" s="18" t="s">
        <v>153</v>
      </c>
      <c r="E30" s="17">
        <v>395424</v>
      </c>
      <c r="F30" s="18" t="s">
        <v>207</v>
      </c>
      <c r="G30" s="18">
        <v>7</v>
      </c>
      <c r="H30" s="19">
        <v>57.8</v>
      </c>
      <c r="I30" s="19">
        <f t="shared" si="0"/>
        <v>404.59999999999997</v>
      </c>
      <c r="J30" s="19" t="s">
        <v>207</v>
      </c>
      <c r="K30" s="19" t="s">
        <v>140</v>
      </c>
      <c r="L30" s="8" t="s">
        <v>4</v>
      </c>
      <c r="M30" s="20">
        <f>VLOOKUP(H30, Intervalos!$B$3:$C$8,2,TRUE)</f>
        <v>0.1</v>
      </c>
    </row>
    <row r="31" spans="1:13" s="16" customFormat="1" ht="12" x14ac:dyDescent="0.15">
      <c r="A31" s="25">
        <v>7</v>
      </c>
      <c r="B31" s="26">
        <v>26</v>
      </c>
      <c r="C31" s="18" t="s">
        <v>45</v>
      </c>
      <c r="D31" s="18" t="s">
        <v>153</v>
      </c>
      <c r="E31" s="17">
        <v>621719</v>
      </c>
      <c r="F31" s="18" t="s">
        <v>208</v>
      </c>
      <c r="G31" s="18">
        <v>25</v>
      </c>
      <c r="H31" s="19">
        <v>22.12</v>
      </c>
      <c r="I31" s="19">
        <f t="shared" si="0"/>
        <v>553</v>
      </c>
      <c r="J31" s="21">
        <f>SUM(I31:I32)</f>
        <v>1429</v>
      </c>
      <c r="K31" s="19" t="s">
        <v>140</v>
      </c>
      <c r="L31" s="8" t="s">
        <v>4</v>
      </c>
      <c r="M31" s="20">
        <f>VLOOKUP(H31, Intervalos!$B$3:$C$8,2,TRUE)</f>
        <v>0.05</v>
      </c>
    </row>
    <row r="32" spans="1:13" s="16" customFormat="1" ht="12" x14ac:dyDescent="0.15">
      <c r="A32" s="27"/>
      <c r="B32" s="26">
        <v>27</v>
      </c>
      <c r="C32" s="18" t="s">
        <v>46</v>
      </c>
      <c r="D32" s="18" t="s">
        <v>153</v>
      </c>
      <c r="E32" s="17">
        <v>621723</v>
      </c>
      <c r="F32" s="18" t="s">
        <v>208</v>
      </c>
      <c r="G32" s="18">
        <v>25</v>
      </c>
      <c r="H32" s="19">
        <v>35.04</v>
      </c>
      <c r="I32" s="19">
        <f t="shared" si="0"/>
        <v>876</v>
      </c>
      <c r="J32" s="23"/>
      <c r="K32" s="19" t="s">
        <v>140</v>
      </c>
      <c r="L32" s="8" t="s">
        <v>4</v>
      </c>
      <c r="M32" s="20">
        <f>VLOOKUP(H32, Intervalos!$B$3:$C$8,2,TRUE)</f>
        <v>0.05</v>
      </c>
    </row>
    <row r="33" spans="1:13" s="16" customFormat="1" ht="48" x14ac:dyDescent="0.15">
      <c r="A33" s="17" t="s">
        <v>207</v>
      </c>
      <c r="B33" s="17">
        <v>28</v>
      </c>
      <c r="C33" s="18" t="s">
        <v>47</v>
      </c>
      <c r="D33" s="18" t="s">
        <v>153</v>
      </c>
      <c r="E33" s="17">
        <v>617194</v>
      </c>
      <c r="F33" s="18" t="s">
        <v>208</v>
      </c>
      <c r="G33" s="18">
        <v>313</v>
      </c>
      <c r="H33" s="19">
        <v>4.2699999999999996</v>
      </c>
      <c r="I33" s="19">
        <f t="shared" si="0"/>
        <v>1336.5099999999998</v>
      </c>
      <c r="J33" s="19" t="s">
        <v>207</v>
      </c>
      <c r="K33" s="19" t="s">
        <v>140</v>
      </c>
      <c r="L33" s="8" t="s">
        <v>4</v>
      </c>
      <c r="M33" s="20">
        <f>VLOOKUP(H33, Intervalos!$B$3:$C$8,2,TRUE)</f>
        <v>0.01</v>
      </c>
    </row>
    <row r="34" spans="1:13" s="16" customFormat="1" ht="72" x14ac:dyDescent="0.15">
      <c r="A34" s="25">
        <v>8</v>
      </c>
      <c r="B34" s="26">
        <v>29</v>
      </c>
      <c r="C34" s="18" t="s">
        <v>48</v>
      </c>
      <c r="D34" s="18" t="s">
        <v>153</v>
      </c>
      <c r="E34" s="17">
        <v>466137</v>
      </c>
      <c r="F34" s="18" t="s">
        <v>208</v>
      </c>
      <c r="G34" s="18">
        <v>7</v>
      </c>
      <c r="H34" s="19">
        <v>289.67</v>
      </c>
      <c r="I34" s="19">
        <f t="shared" si="0"/>
        <v>2027.69</v>
      </c>
      <c r="J34" s="21">
        <f>SUM(I34:I43)</f>
        <v>13227.979999999998</v>
      </c>
      <c r="K34" s="21" t="s">
        <v>140</v>
      </c>
      <c r="L34" s="8" t="s">
        <v>4</v>
      </c>
      <c r="M34" s="20" t="str">
        <f>VLOOKUP(H34, Intervalos!$B$3:$C$8,2,TRUE)</f>
        <v>0,10%</v>
      </c>
    </row>
    <row r="35" spans="1:13" s="16" customFormat="1" ht="60" x14ac:dyDescent="0.15">
      <c r="A35" s="28"/>
      <c r="B35" s="26">
        <v>30</v>
      </c>
      <c r="C35" s="18" t="s">
        <v>49</v>
      </c>
      <c r="D35" s="18" t="s">
        <v>153</v>
      </c>
      <c r="E35" s="17">
        <v>466137</v>
      </c>
      <c r="F35" s="18" t="s">
        <v>208</v>
      </c>
      <c r="G35" s="18">
        <v>7</v>
      </c>
      <c r="H35" s="19">
        <v>289.67</v>
      </c>
      <c r="I35" s="19">
        <f t="shared" si="0"/>
        <v>2027.69</v>
      </c>
      <c r="J35" s="22"/>
      <c r="K35" s="22"/>
      <c r="L35" s="8" t="s">
        <v>4</v>
      </c>
      <c r="M35" s="20" t="str">
        <f>VLOOKUP(H35, Intervalos!$B$3:$C$8,2,TRUE)</f>
        <v>0,10%</v>
      </c>
    </row>
    <row r="36" spans="1:13" s="16" customFormat="1" ht="60" x14ac:dyDescent="0.15">
      <c r="A36" s="28"/>
      <c r="B36" s="26">
        <v>31</v>
      </c>
      <c r="C36" s="18" t="s">
        <v>50</v>
      </c>
      <c r="D36" s="18" t="s">
        <v>153</v>
      </c>
      <c r="E36" s="17">
        <v>466137</v>
      </c>
      <c r="F36" s="18" t="s">
        <v>208</v>
      </c>
      <c r="G36" s="18">
        <v>7</v>
      </c>
      <c r="H36" s="19">
        <v>289.67</v>
      </c>
      <c r="I36" s="19">
        <f t="shared" si="0"/>
        <v>2027.69</v>
      </c>
      <c r="J36" s="22"/>
      <c r="K36" s="22"/>
      <c r="L36" s="8" t="s">
        <v>4</v>
      </c>
      <c r="M36" s="20" t="str">
        <f>VLOOKUP(H36, Intervalos!$B$3:$C$8,2,TRUE)</f>
        <v>0,10%</v>
      </c>
    </row>
    <row r="37" spans="1:13" s="16" customFormat="1" ht="60" x14ac:dyDescent="0.15">
      <c r="A37" s="28"/>
      <c r="B37" s="26">
        <v>32</v>
      </c>
      <c r="C37" s="18" t="s">
        <v>51</v>
      </c>
      <c r="D37" s="18" t="s">
        <v>153</v>
      </c>
      <c r="E37" s="17">
        <v>466137</v>
      </c>
      <c r="F37" s="18" t="s">
        <v>208</v>
      </c>
      <c r="G37" s="18">
        <v>3</v>
      </c>
      <c r="H37" s="19">
        <v>289.67</v>
      </c>
      <c r="I37" s="19">
        <f t="shared" si="0"/>
        <v>869.01</v>
      </c>
      <c r="J37" s="22"/>
      <c r="K37" s="22"/>
      <c r="L37" s="8" t="s">
        <v>4</v>
      </c>
      <c r="M37" s="20" t="str">
        <f>VLOOKUP(H37, Intervalos!$B$3:$C$8,2,TRUE)</f>
        <v>0,10%</v>
      </c>
    </row>
    <row r="38" spans="1:13" s="16" customFormat="1" ht="60" x14ac:dyDescent="0.15">
      <c r="A38" s="28"/>
      <c r="B38" s="26">
        <v>33</v>
      </c>
      <c r="C38" s="18" t="s">
        <v>52</v>
      </c>
      <c r="D38" s="18" t="s">
        <v>153</v>
      </c>
      <c r="E38" s="17">
        <v>466137</v>
      </c>
      <c r="F38" s="18" t="s">
        <v>208</v>
      </c>
      <c r="G38" s="18">
        <v>3</v>
      </c>
      <c r="H38" s="19">
        <v>289.67</v>
      </c>
      <c r="I38" s="19">
        <f t="shared" si="0"/>
        <v>869.01</v>
      </c>
      <c r="J38" s="22"/>
      <c r="K38" s="22"/>
      <c r="L38" s="8" t="s">
        <v>4</v>
      </c>
      <c r="M38" s="20" t="str">
        <f>VLOOKUP(H38, Intervalos!$B$3:$C$8,2,TRUE)</f>
        <v>0,10%</v>
      </c>
    </row>
    <row r="39" spans="1:13" s="16" customFormat="1" ht="60" x14ac:dyDescent="0.15">
      <c r="A39" s="28"/>
      <c r="B39" s="26">
        <v>34</v>
      </c>
      <c r="C39" s="18" t="s">
        <v>53</v>
      </c>
      <c r="D39" s="18" t="s">
        <v>153</v>
      </c>
      <c r="E39" s="17">
        <v>466137</v>
      </c>
      <c r="F39" s="18" t="s">
        <v>208</v>
      </c>
      <c r="G39" s="18">
        <v>7</v>
      </c>
      <c r="H39" s="19">
        <v>289.67</v>
      </c>
      <c r="I39" s="19">
        <f t="shared" si="0"/>
        <v>2027.69</v>
      </c>
      <c r="J39" s="22"/>
      <c r="K39" s="22"/>
      <c r="L39" s="8" t="s">
        <v>4</v>
      </c>
      <c r="M39" s="20" t="str">
        <f>VLOOKUP(H39, Intervalos!$B$3:$C$8,2,TRUE)</f>
        <v>0,10%</v>
      </c>
    </row>
    <row r="40" spans="1:13" s="16" customFormat="1" ht="72" x14ac:dyDescent="0.15">
      <c r="A40" s="28"/>
      <c r="B40" s="26">
        <v>35</v>
      </c>
      <c r="C40" s="18" t="s">
        <v>54</v>
      </c>
      <c r="D40" s="18" t="s">
        <v>153</v>
      </c>
      <c r="E40" s="17">
        <v>466137</v>
      </c>
      <c r="F40" s="18" t="s">
        <v>208</v>
      </c>
      <c r="G40" s="18">
        <v>3</v>
      </c>
      <c r="H40" s="19">
        <v>281.60000000000002</v>
      </c>
      <c r="I40" s="19">
        <f t="shared" si="0"/>
        <v>844.80000000000007</v>
      </c>
      <c r="J40" s="22"/>
      <c r="K40" s="22"/>
      <c r="L40" s="8" t="s">
        <v>4</v>
      </c>
      <c r="M40" s="20" t="str">
        <f>VLOOKUP(H40, Intervalos!$B$3:$C$8,2,TRUE)</f>
        <v>0,10%</v>
      </c>
    </row>
    <row r="41" spans="1:13" s="16" customFormat="1" ht="72" x14ac:dyDescent="0.15">
      <c r="A41" s="28"/>
      <c r="B41" s="26">
        <v>36</v>
      </c>
      <c r="C41" s="18" t="s">
        <v>55</v>
      </c>
      <c r="D41" s="18" t="s">
        <v>153</v>
      </c>
      <c r="E41" s="17">
        <v>466137</v>
      </c>
      <c r="F41" s="18" t="s">
        <v>208</v>
      </c>
      <c r="G41" s="18">
        <v>3</v>
      </c>
      <c r="H41" s="19">
        <v>281.60000000000002</v>
      </c>
      <c r="I41" s="19">
        <f t="shared" si="0"/>
        <v>844.80000000000007</v>
      </c>
      <c r="J41" s="22"/>
      <c r="K41" s="22"/>
      <c r="L41" s="8" t="s">
        <v>4</v>
      </c>
      <c r="M41" s="20" t="str">
        <f>VLOOKUP(H41, Intervalos!$B$3:$C$8,2,TRUE)</f>
        <v>0,10%</v>
      </c>
    </row>
    <row r="42" spans="1:13" s="16" customFormat="1" ht="72" x14ac:dyDescent="0.15">
      <c r="A42" s="28"/>
      <c r="B42" s="26">
        <v>37</v>
      </c>
      <c r="C42" s="18" t="s">
        <v>56</v>
      </c>
      <c r="D42" s="18" t="s">
        <v>153</v>
      </c>
      <c r="E42" s="17">
        <v>466137</v>
      </c>
      <c r="F42" s="18" t="s">
        <v>208</v>
      </c>
      <c r="G42" s="18">
        <v>3</v>
      </c>
      <c r="H42" s="19">
        <v>281.60000000000002</v>
      </c>
      <c r="I42" s="19">
        <f t="shared" si="0"/>
        <v>844.80000000000007</v>
      </c>
      <c r="J42" s="22"/>
      <c r="K42" s="22"/>
      <c r="L42" s="8" t="s">
        <v>4</v>
      </c>
      <c r="M42" s="20" t="str">
        <f>VLOOKUP(H42, Intervalos!$B$3:$C$8,2,TRUE)</f>
        <v>0,10%</v>
      </c>
    </row>
    <row r="43" spans="1:13" s="16" customFormat="1" ht="60" x14ac:dyDescent="0.15">
      <c r="A43" s="27"/>
      <c r="B43" s="26">
        <v>38</v>
      </c>
      <c r="C43" s="18" t="s">
        <v>57</v>
      </c>
      <c r="D43" s="18" t="s">
        <v>153</v>
      </c>
      <c r="E43" s="17">
        <v>466137</v>
      </c>
      <c r="F43" s="18" t="s">
        <v>208</v>
      </c>
      <c r="G43" s="18">
        <v>3</v>
      </c>
      <c r="H43" s="19">
        <v>281.60000000000002</v>
      </c>
      <c r="I43" s="19">
        <f t="shared" si="0"/>
        <v>844.80000000000007</v>
      </c>
      <c r="J43" s="23"/>
      <c r="K43" s="23"/>
      <c r="L43" s="8" t="s">
        <v>4</v>
      </c>
      <c r="M43" s="20" t="str">
        <f>VLOOKUP(H43, Intervalos!$B$3:$C$8,2,TRUE)</f>
        <v>0,10%</v>
      </c>
    </row>
    <row r="44" spans="1:13" s="16" customFormat="1" ht="24" x14ac:dyDescent="0.15">
      <c r="A44" s="25">
        <v>9</v>
      </c>
      <c r="B44" s="26">
        <v>39</v>
      </c>
      <c r="C44" s="18" t="s">
        <v>191</v>
      </c>
      <c r="D44" s="18" t="s">
        <v>194</v>
      </c>
      <c r="E44" s="17">
        <v>443987</v>
      </c>
      <c r="F44" s="18" t="s">
        <v>208</v>
      </c>
      <c r="G44" s="18">
        <v>32</v>
      </c>
      <c r="H44" s="19">
        <v>64</v>
      </c>
      <c r="I44" s="19">
        <f t="shared" si="0"/>
        <v>2048</v>
      </c>
      <c r="J44" s="21">
        <f>SUM(I44:I46)</f>
        <v>5459.84</v>
      </c>
      <c r="K44" s="21" t="s">
        <v>140</v>
      </c>
      <c r="L44" s="8" t="s">
        <v>4</v>
      </c>
      <c r="M44" s="20">
        <f>VLOOKUP(H44, Intervalos!$B$3:$C$8,2,TRUE)</f>
        <v>0.1</v>
      </c>
    </row>
    <row r="45" spans="1:13" s="16" customFormat="1" ht="24" x14ac:dyDescent="0.15">
      <c r="A45" s="28"/>
      <c r="B45" s="26">
        <v>40</v>
      </c>
      <c r="C45" s="18" t="s">
        <v>190</v>
      </c>
      <c r="D45" s="18" t="s">
        <v>194</v>
      </c>
      <c r="E45" s="17">
        <v>443987</v>
      </c>
      <c r="F45" s="18" t="s">
        <v>208</v>
      </c>
      <c r="G45" s="18">
        <v>32</v>
      </c>
      <c r="H45" s="19">
        <v>59.12</v>
      </c>
      <c r="I45" s="19">
        <f t="shared" si="0"/>
        <v>1891.84</v>
      </c>
      <c r="J45" s="22"/>
      <c r="K45" s="22"/>
      <c r="L45" s="8" t="s">
        <v>4</v>
      </c>
      <c r="M45" s="20">
        <f>VLOOKUP(H45, Intervalos!$B$3:$C$8,2,TRUE)</f>
        <v>0.1</v>
      </c>
    </row>
    <row r="46" spans="1:13" s="16" customFormat="1" ht="24" x14ac:dyDescent="0.15">
      <c r="A46" s="27"/>
      <c r="B46" s="26">
        <v>41</v>
      </c>
      <c r="C46" s="18" t="s">
        <v>189</v>
      </c>
      <c r="D46" s="18" t="s">
        <v>194</v>
      </c>
      <c r="E46" s="17">
        <v>443987</v>
      </c>
      <c r="F46" s="18" t="s">
        <v>208</v>
      </c>
      <c r="G46" s="18">
        <v>32</v>
      </c>
      <c r="H46" s="19">
        <v>47.5</v>
      </c>
      <c r="I46" s="19">
        <f t="shared" si="0"/>
        <v>1520</v>
      </c>
      <c r="J46" s="23"/>
      <c r="K46" s="23"/>
      <c r="L46" s="8" t="s">
        <v>4</v>
      </c>
      <c r="M46" s="20">
        <f>VLOOKUP(H46, Intervalos!$B$3:$C$8,2,TRUE)</f>
        <v>0.05</v>
      </c>
    </row>
    <row r="47" spans="1:13" s="16" customFormat="1" ht="60" x14ac:dyDescent="0.15">
      <c r="A47" s="17" t="s">
        <v>207</v>
      </c>
      <c r="B47" s="17">
        <v>42</v>
      </c>
      <c r="C47" s="18" t="s">
        <v>58</v>
      </c>
      <c r="D47" s="18" t="s">
        <v>153</v>
      </c>
      <c r="E47" s="17">
        <v>437888</v>
      </c>
      <c r="F47" s="18" t="s">
        <v>208</v>
      </c>
      <c r="G47" s="18">
        <v>38</v>
      </c>
      <c r="H47" s="19">
        <v>162.30000000000001</v>
      </c>
      <c r="I47" s="19">
        <f t="shared" si="0"/>
        <v>6167.4000000000005</v>
      </c>
      <c r="J47" s="19" t="s">
        <v>207</v>
      </c>
      <c r="K47" s="19" t="s">
        <v>140</v>
      </c>
      <c r="L47" s="8" t="s">
        <v>4</v>
      </c>
      <c r="M47" s="20" t="str">
        <f>VLOOKUP(H47, Intervalos!$B$3:$C$8,2,TRUE)</f>
        <v>0,10%</v>
      </c>
    </row>
    <row r="48" spans="1:13" s="16" customFormat="1" ht="24" x14ac:dyDescent="0.15">
      <c r="A48" s="17" t="s">
        <v>207</v>
      </c>
      <c r="B48" s="17">
        <v>43</v>
      </c>
      <c r="C48" s="18" t="s">
        <v>59</v>
      </c>
      <c r="D48" s="18" t="s">
        <v>153</v>
      </c>
      <c r="E48" s="17">
        <v>439207</v>
      </c>
      <c r="F48" s="18" t="s">
        <v>207</v>
      </c>
      <c r="G48" s="18">
        <v>7</v>
      </c>
      <c r="H48" s="19">
        <v>55.32</v>
      </c>
      <c r="I48" s="19">
        <f t="shared" si="0"/>
        <v>387.24</v>
      </c>
      <c r="J48" s="19" t="s">
        <v>207</v>
      </c>
      <c r="K48" s="19" t="s">
        <v>140</v>
      </c>
      <c r="L48" s="8" t="s">
        <v>4</v>
      </c>
      <c r="M48" s="20">
        <f>VLOOKUP(H48, Intervalos!$B$3:$C$8,2,TRUE)</f>
        <v>0.1</v>
      </c>
    </row>
    <row r="49" spans="1:13" s="16" customFormat="1" ht="24" x14ac:dyDescent="0.15">
      <c r="A49" s="17" t="s">
        <v>207</v>
      </c>
      <c r="B49" s="17">
        <v>44</v>
      </c>
      <c r="C49" s="18" t="s">
        <v>60</v>
      </c>
      <c r="D49" s="18" t="s">
        <v>153</v>
      </c>
      <c r="E49" s="17">
        <v>439205</v>
      </c>
      <c r="F49" s="18" t="s">
        <v>207</v>
      </c>
      <c r="G49" s="18">
        <v>13</v>
      </c>
      <c r="H49" s="19">
        <v>87.49</v>
      </c>
      <c r="I49" s="19">
        <f t="shared" si="0"/>
        <v>1137.3699999999999</v>
      </c>
      <c r="J49" s="19" t="s">
        <v>207</v>
      </c>
      <c r="K49" s="19" t="s">
        <v>140</v>
      </c>
      <c r="L49" s="8" t="s">
        <v>4</v>
      </c>
      <c r="M49" s="20">
        <f>VLOOKUP(H49, Intervalos!$B$3:$C$8,2,TRUE)</f>
        <v>0.1</v>
      </c>
    </row>
    <row r="50" spans="1:13" s="16" customFormat="1" ht="36" x14ac:dyDescent="0.15">
      <c r="A50" s="17" t="s">
        <v>207</v>
      </c>
      <c r="B50" s="17">
        <v>45</v>
      </c>
      <c r="C50" s="18" t="s">
        <v>185</v>
      </c>
      <c r="D50" s="18" t="s">
        <v>153</v>
      </c>
      <c r="E50" s="17">
        <v>487627</v>
      </c>
      <c r="F50" s="18" t="s">
        <v>208</v>
      </c>
      <c r="G50" s="18">
        <f>13*24</f>
        <v>312</v>
      </c>
      <c r="H50" s="19">
        <f>55.63/24</f>
        <v>2.3179166666666666</v>
      </c>
      <c r="I50" s="19">
        <f t="shared" si="0"/>
        <v>723.83999999999992</v>
      </c>
      <c r="J50" s="19" t="s">
        <v>207</v>
      </c>
      <c r="K50" s="19" t="s">
        <v>140</v>
      </c>
      <c r="L50" s="8" t="s">
        <v>4</v>
      </c>
      <c r="M50" s="20">
        <f>VLOOKUP(H50, Intervalos!$B$3:$C$8,2,TRUE)</f>
        <v>0.01</v>
      </c>
    </row>
    <row r="51" spans="1:13" s="16" customFormat="1" ht="12" x14ac:dyDescent="0.15">
      <c r="A51" s="25">
        <v>10</v>
      </c>
      <c r="B51" s="26">
        <v>46</v>
      </c>
      <c r="C51" s="18" t="s">
        <v>61</v>
      </c>
      <c r="D51" s="18" t="s">
        <v>153</v>
      </c>
      <c r="E51" s="17">
        <v>438496</v>
      </c>
      <c r="F51" s="18" t="s">
        <v>208</v>
      </c>
      <c r="G51" s="18">
        <v>5</v>
      </c>
      <c r="H51" s="19">
        <v>167.41</v>
      </c>
      <c r="I51" s="19">
        <f t="shared" ref="I51:I103" si="1">G51*ROUND(H51,2)</f>
        <v>837.05</v>
      </c>
      <c r="J51" s="21">
        <f>SUM(I51:I56)</f>
        <v>3515.61</v>
      </c>
      <c r="K51" s="21" t="s">
        <v>140</v>
      </c>
      <c r="L51" s="8" t="s">
        <v>4</v>
      </c>
      <c r="M51" s="20" t="str">
        <f>VLOOKUP(H51, Intervalos!$B$3:$C$8,2,TRUE)</f>
        <v>0,10%</v>
      </c>
    </row>
    <row r="52" spans="1:13" s="16" customFormat="1" ht="12" x14ac:dyDescent="0.15">
      <c r="A52" s="28"/>
      <c r="B52" s="26">
        <v>47</v>
      </c>
      <c r="C52" s="18" t="s">
        <v>62</v>
      </c>
      <c r="D52" s="18" t="s">
        <v>153</v>
      </c>
      <c r="E52" s="17">
        <v>438609</v>
      </c>
      <c r="F52" s="18" t="s">
        <v>208</v>
      </c>
      <c r="G52" s="18">
        <v>5</v>
      </c>
      <c r="H52" s="19">
        <v>167.41</v>
      </c>
      <c r="I52" s="19">
        <f t="shared" si="1"/>
        <v>837.05</v>
      </c>
      <c r="J52" s="22"/>
      <c r="K52" s="22"/>
      <c r="L52" s="8" t="s">
        <v>4</v>
      </c>
      <c r="M52" s="20" t="str">
        <f>VLOOKUP(H52, Intervalos!$B$3:$C$8,2,TRUE)</f>
        <v>0,10%</v>
      </c>
    </row>
    <row r="53" spans="1:13" s="16" customFormat="1" ht="12" x14ac:dyDescent="0.15">
      <c r="A53" s="28"/>
      <c r="B53" s="26">
        <v>48</v>
      </c>
      <c r="C53" s="18" t="s">
        <v>63</v>
      </c>
      <c r="D53" s="18" t="s">
        <v>153</v>
      </c>
      <c r="E53" s="17">
        <v>438608</v>
      </c>
      <c r="F53" s="18" t="s">
        <v>208</v>
      </c>
      <c r="G53" s="18">
        <v>3</v>
      </c>
      <c r="H53" s="19">
        <v>167.41</v>
      </c>
      <c r="I53" s="19">
        <f t="shared" si="1"/>
        <v>502.23</v>
      </c>
      <c r="J53" s="22"/>
      <c r="K53" s="22"/>
      <c r="L53" s="8" t="s">
        <v>4</v>
      </c>
      <c r="M53" s="20" t="str">
        <f>VLOOKUP(H53, Intervalos!$B$3:$C$8,2,TRUE)</f>
        <v>0,10%</v>
      </c>
    </row>
    <row r="54" spans="1:13" s="16" customFormat="1" ht="12" x14ac:dyDescent="0.15">
      <c r="A54" s="28"/>
      <c r="B54" s="26">
        <v>49</v>
      </c>
      <c r="C54" s="18" t="s">
        <v>64</v>
      </c>
      <c r="D54" s="18" t="s">
        <v>153</v>
      </c>
      <c r="E54" s="17">
        <v>438607</v>
      </c>
      <c r="F54" s="18" t="s">
        <v>208</v>
      </c>
      <c r="G54" s="18">
        <v>3</v>
      </c>
      <c r="H54" s="19">
        <v>167.41</v>
      </c>
      <c r="I54" s="19">
        <f t="shared" si="1"/>
        <v>502.23</v>
      </c>
      <c r="J54" s="22"/>
      <c r="K54" s="22"/>
      <c r="L54" s="8" t="s">
        <v>4</v>
      </c>
      <c r="M54" s="20" t="str">
        <f>VLOOKUP(H54, Intervalos!$B$3:$C$8,2,TRUE)</f>
        <v>0,10%</v>
      </c>
    </row>
    <row r="55" spans="1:13" s="16" customFormat="1" ht="12" x14ac:dyDescent="0.15">
      <c r="A55" s="28"/>
      <c r="B55" s="26">
        <v>50</v>
      </c>
      <c r="C55" s="18" t="s">
        <v>65</v>
      </c>
      <c r="D55" s="18" t="s">
        <v>153</v>
      </c>
      <c r="E55" s="17">
        <v>438609</v>
      </c>
      <c r="F55" s="18" t="s">
        <v>208</v>
      </c>
      <c r="G55" s="18">
        <v>3</v>
      </c>
      <c r="H55" s="19">
        <v>167.41</v>
      </c>
      <c r="I55" s="19">
        <f t="shared" si="1"/>
        <v>502.23</v>
      </c>
      <c r="J55" s="22"/>
      <c r="K55" s="22"/>
      <c r="L55" s="8" t="s">
        <v>4</v>
      </c>
      <c r="M55" s="20" t="str">
        <f>VLOOKUP(H55, Intervalos!$B$3:$C$8,2,TRUE)</f>
        <v>0,10%</v>
      </c>
    </row>
    <row r="56" spans="1:13" s="16" customFormat="1" ht="12" x14ac:dyDescent="0.15">
      <c r="A56" s="27"/>
      <c r="B56" s="26">
        <v>51</v>
      </c>
      <c r="C56" s="18" t="s">
        <v>66</v>
      </c>
      <c r="D56" s="18" t="s">
        <v>153</v>
      </c>
      <c r="E56" s="17">
        <v>438608</v>
      </c>
      <c r="F56" s="18" t="s">
        <v>208</v>
      </c>
      <c r="G56" s="18">
        <v>2</v>
      </c>
      <c r="H56" s="19">
        <v>167.41</v>
      </c>
      <c r="I56" s="19">
        <f t="shared" si="1"/>
        <v>334.82</v>
      </c>
      <c r="J56" s="23"/>
      <c r="K56" s="23"/>
      <c r="L56" s="8" t="s">
        <v>4</v>
      </c>
      <c r="M56" s="20" t="str">
        <f>VLOOKUP(H56, Intervalos!$B$3:$C$8,2,TRUE)</f>
        <v>0,10%</v>
      </c>
    </row>
    <row r="57" spans="1:13" s="16" customFormat="1" ht="24" x14ac:dyDescent="0.15">
      <c r="A57" s="25">
        <v>11</v>
      </c>
      <c r="B57" s="26">
        <v>52</v>
      </c>
      <c r="C57" s="18" t="s">
        <v>181</v>
      </c>
      <c r="D57" s="18" t="s">
        <v>153</v>
      </c>
      <c r="E57" s="17">
        <v>487647</v>
      </c>
      <c r="F57" s="18" t="s">
        <v>208</v>
      </c>
      <c r="G57" s="18">
        <f>13*3</f>
        <v>39</v>
      </c>
      <c r="H57" s="19">
        <f>53.51/3</f>
        <v>17.836666666666666</v>
      </c>
      <c r="I57" s="19">
        <f t="shared" si="1"/>
        <v>695.76</v>
      </c>
      <c r="J57" s="21">
        <f>SUM(I57:I60)</f>
        <v>2923.52</v>
      </c>
      <c r="K57" s="21" t="s">
        <v>140</v>
      </c>
      <c r="L57" s="8" t="s">
        <v>4</v>
      </c>
      <c r="M57" s="20">
        <f>VLOOKUP(H57, Intervalos!$B$3:$C$8,2,TRUE)</f>
        <v>0.03</v>
      </c>
    </row>
    <row r="58" spans="1:13" s="16" customFormat="1" ht="24" x14ac:dyDescent="0.15">
      <c r="A58" s="28"/>
      <c r="B58" s="26">
        <v>53</v>
      </c>
      <c r="C58" s="18" t="s">
        <v>182</v>
      </c>
      <c r="D58" s="18" t="s">
        <v>153</v>
      </c>
      <c r="E58" s="17">
        <v>487662</v>
      </c>
      <c r="F58" s="18" t="s">
        <v>208</v>
      </c>
      <c r="G58" s="18">
        <f>13*4</f>
        <v>52</v>
      </c>
      <c r="H58" s="19">
        <f>83.92/4</f>
        <v>20.98</v>
      </c>
      <c r="I58" s="19">
        <f t="shared" si="1"/>
        <v>1090.96</v>
      </c>
      <c r="J58" s="22"/>
      <c r="K58" s="22"/>
      <c r="L58" s="8" t="s">
        <v>4</v>
      </c>
      <c r="M58" s="20">
        <f>VLOOKUP(H58, Intervalos!$B$3:$C$8,2,TRUE)</f>
        <v>0.05</v>
      </c>
    </row>
    <row r="59" spans="1:13" s="16" customFormat="1" ht="24" x14ac:dyDescent="0.15">
      <c r="A59" s="28"/>
      <c r="B59" s="26">
        <v>54</v>
      </c>
      <c r="C59" s="18" t="s">
        <v>183</v>
      </c>
      <c r="D59" s="18" t="s">
        <v>153</v>
      </c>
      <c r="E59" s="17">
        <v>487671</v>
      </c>
      <c r="F59" s="18" t="s">
        <v>208</v>
      </c>
      <c r="G59" s="18">
        <f>7*4</f>
        <v>28</v>
      </c>
      <c r="H59" s="19">
        <f>80.19/4</f>
        <v>20.047499999999999</v>
      </c>
      <c r="I59" s="19">
        <f t="shared" si="1"/>
        <v>561.4</v>
      </c>
      <c r="J59" s="22"/>
      <c r="K59" s="22"/>
      <c r="L59" s="8" t="s">
        <v>4</v>
      </c>
      <c r="M59" s="20">
        <f>VLOOKUP(H59, Intervalos!$B$3:$C$8,2,TRUE)</f>
        <v>0.05</v>
      </c>
    </row>
    <row r="60" spans="1:13" s="16" customFormat="1" ht="24" x14ac:dyDescent="0.15">
      <c r="A60" s="27"/>
      <c r="B60" s="26">
        <v>55</v>
      </c>
      <c r="C60" s="18" t="s">
        <v>184</v>
      </c>
      <c r="D60" s="18" t="s">
        <v>153</v>
      </c>
      <c r="E60" s="17">
        <v>487673</v>
      </c>
      <c r="F60" s="18" t="s">
        <v>208</v>
      </c>
      <c r="G60" s="18">
        <f>7*4</f>
        <v>28</v>
      </c>
      <c r="H60" s="19">
        <f>82.19/4</f>
        <v>20.547499999999999</v>
      </c>
      <c r="I60" s="19">
        <f t="shared" si="1"/>
        <v>575.4</v>
      </c>
      <c r="J60" s="23"/>
      <c r="K60" s="23"/>
      <c r="L60" s="8" t="s">
        <v>4</v>
      </c>
      <c r="M60" s="20">
        <f>VLOOKUP(H60, Intervalos!$B$3:$C$8,2,TRUE)</f>
        <v>0.05</v>
      </c>
    </row>
    <row r="61" spans="1:13" s="16" customFormat="1" ht="24" x14ac:dyDescent="0.15">
      <c r="A61" s="25">
        <v>12</v>
      </c>
      <c r="B61" s="26">
        <v>56</v>
      </c>
      <c r="C61" s="18" t="s">
        <v>155</v>
      </c>
      <c r="D61" s="18" t="s">
        <v>153</v>
      </c>
      <c r="E61" s="17">
        <v>487275</v>
      </c>
      <c r="F61" s="18" t="s">
        <v>208</v>
      </c>
      <c r="G61" s="18">
        <f>7*24</f>
        <v>168</v>
      </c>
      <c r="H61" s="19">
        <f>308.06/24</f>
        <v>12.835833333333333</v>
      </c>
      <c r="I61" s="19">
        <f t="shared" si="1"/>
        <v>2157.12</v>
      </c>
      <c r="J61" s="21">
        <f>SUM(I61:I69)</f>
        <v>42452.639999999999</v>
      </c>
      <c r="K61" s="21" t="s">
        <v>140</v>
      </c>
      <c r="L61" s="8" t="s">
        <v>4</v>
      </c>
      <c r="M61" s="20">
        <f>VLOOKUP(H61, Intervalos!$B$3:$C$8,2,TRUE)</f>
        <v>0.03</v>
      </c>
    </row>
    <row r="62" spans="1:13" s="16" customFormat="1" ht="24" x14ac:dyDescent="0.15">
      <c r="A62" s="28"/>
      <c r="B62" s="26">
        <v>57</v>
      </c>
      <c r="C62" s="18" t="s">
        <v>156</v>
      </c>
      <c r="D62" s="18" t="s">
        <v>153</v>
      </c>
      <c r="E62" s="17">
        <v>487265</v>
      </c>
      <c r="F62" s="18" t="s">
        <v>208</v>
      </c>
      <c r="G62" s="18">
        <f>69*24</f>
        <v>1656</v>
      </c>
      <c r="H62" s="19">
        <f>351.64/24</f>
        <v>14.651666666666666</v>
      </c>
      <c r="I62" s="19">
        <f t="shared" si="1"/>
        <v>24260.400000000001</v>
      </c>
      <c r="J62" s="22"/>
      <c r="K62" s="22"/>
      <c r="L62" s="8" t="s">
        <v>4</v>
      </c>
      <c r="M62" s="20">
        <f>VLOOKUP(H62, Intervalos!$B$3:$C$8,2,TRUE)</f>
        <v>0.03</v>
      </c>
    </row>
    <row r="63" spans="1:13" s="16" customFormat="1" ht="24" x14ac:dyDescent="0.15">
      <c r="A63" s="28"/>
      <c r="B63" s="26">
        <v>58</v>
      </c>
      <c r="C63" s="18" t="s">
        <v>157</v>
      </c>
      <c r="D63" s="18" t="s">
        <v>153</v>
      </c>
      <c r="E63" s="17">
        <v>487267</v>
      </c>
      <c r="F63" s="18" t="s">
        <v>208</v>
      </c>
      <c r="G63" s="18">
        <f>19*24</f>
        <v>456</v>
      </c>
      <c r="H63" s="19">
        <f>229.49/24</f>
        <v>9.5620833333333337</v>
      </c>
      <c r="I63" s="19">
        <f t="shared" si="1"/>
        <v>4359.3600000000006</v>
      </c>
      <c r="J63" s="22"/>
      <c r="K63" s="22"/>
      <c r="L63" s="8" t="s">
        <v>4</v>
      </c>
      <c r="M63" s="20">
        <f>VLOOKUP(H63, Intervalos!$B$3:$C$8,2,TRUE)</f>
        <v>0.02</v>
      </c>
    </row>
    <row r="64" spans="1:13" s="16" customFormat="1" ht="24" x14ac:dyDescent="0.15">
      <c r="A64" s="28"/>
      <c r="B64" s="26">
        <v>59</v>
      </c>
      <c r="C64" s="18" t="s">
        <v>158</v>
      </c>
      <c r="D64" s="18" t="s">
        <v>153</v>
      </c>
      <c r="E64" s="17">
        <v>487246</v>
      </c>
      <c r="F64" s="18" t="s">
        <v>208</v>
      </c>
      <c r="G64" s="18">
        <f>7*24</f>
        <v>168</v>
      </c>
      <c r="H64" s="19">
        <f>257.52/24</f>
        <v>10.729999999999999</v>
      </c>
      <c r="I64" s="19">
        <f t="shared" si="1"/>
        <v>1802.64</v>
      </c>
      <c r="J64" s="22"/>
      <c r="K64" s="22"/>
      <c r="L64" s="8" t="s">
        <v>4</v>
      </c>
      <c r="M64" s="20">
        <f>VLOOKUP(H64, Intervalos!$B$3:$C$8,2,TRUE)</f>
        <v>0.03</v>
      </c>
    </row>
    <row r="65" spans="1:13" s="16" customFormat="1" ht="24" x14ac:dyDescent="0.15">
      <c r="A65" s="28"/>
      <c r="B65" s="26">
        <v>60</v>
      </c>
      <c r="C65" s="18" t="s">
        <v>159</v>
      </c>
      <c r="D65" s="18" t="s">
        <v>153</v>
      </c>
      <c r="E65" s="17">
        <v>487250</v>
      </c>
      <c r="F65" s="18" t="s">
        <v>208</v>
      </c>
      <c r="G65" s="18">
        <f>19*24</f>
        <v>456</v>
      </c>
      <c r="H65" s="19">
        <f>229.49/24</f>
        <v>9.5620833333333337</v>
      </c>
      <c r="I65" s="19">
        <f t="shared" si="1"/>
        <v>4359.3600000000006</v>
      </c>
      <c r="J65" s="22"/>
      <c r="K65" s="22"/>
      <c r="L65" s="8" t="s">
        <v>4</v>
      </c>
      <c r="M65" s="20">
        <f>VLOOKUP(H65, Intervalos!$B$3:$C$8,2,TRUE)</f>
        <v>0.02</v>
      </c>
    </row>
    <row r="66" spans="1:13" s="16" customFormat="1" ht="24" x14ac:dyDescent="0.15">
      <c r="A66" s="28"/>
      <c r="B66" s="26">
        <v>61</v>
      </c>
      <c r="C66" s="18" t="s">
        <v>160</v>
      </c>
      <c r="D66" s="18" t="s">
        <v>153</v>
      </c>
      <c r="E66" s="17">
        <v>487253</v>
      </c>
      <c r="F66" s="18" t="s">
        <v>208</v>
      </c>
      <c r="G66" s="18">
        <f>4*24</f>
        <v>96</v>
      </c>
      <c r="H66" s="19">
        <f>322.73/24</f>
        <v>13.447083333333333</v>
      </c>
      <c r="I66" s="19">
        <f t="shared" si="1"/>
        <v>1291.1999999999998</v>
      </c>
      <c r="J66" s="22"/>
      <c r="K66" s="22"/>
      <c r="L66" s="8" t="s">
        <v>4</v>
      </c>
      <c r="M66" s="20">
        <f>VLOOKUP(H66, Intervalos!$B$3:$C$8,2,TRUE)</f>
        <v>0.03</v>
      </c>
    </row>
    <row r="67" spans="1:13" s="16" customFormat="1" ht="24" x14ac:dyDescent="0.15">
      <c r="A67" s="28"/>
      <c r="B67" s="26">
        <v>62</v>
      </c>
      <c r="C67" s="18" t="s">
        <v>161</v>
      </c>
      <c r="D67" s="18" t="s">
        <v>153</v>
      </c>
      <c r="E67" s="17">
        <v>487241</v>
      </c>
      <c r="F67" s="18" t="s">
        <v>208</v>
      </c>
      <c r="G67" s="18">
        <f>7*24</f>
        <v>168</v>
      </c>
      <c r="H67" s="19">
        <f>406.49/24</f>
        <v>16.937083333333334</v>
      </c>
      <c r="I67" s="19">
        <f t="shared" si="1"/>
        <v>2845.92</v>
      </c>
      <c r="J67" s="22"/>
      <c r="K67" s="22"/>
      <c r="L67" s="8" t="s">
        <v>4</v>
      </c>
      <c r="M67" s="20">
        <f>VLOOKUP(H67, Intervalos!$B$3:$C$8,2,TRUE)</f>
        <v>0.03</v>
      </c>
    </row>
    <row r="68" spans="1:13" s="16" customFormat="1" ht="24" x14ac:dyDescent="0.15">
      <c r="A68" s="28"/>
      <c r="B68" s="26">
        <v>63</v>
      </c>
      <c r="C68" s="18" t="s">
        <v>162</v>
      </c>
      <c r="D68" s="18" t="s">
        <v>153</v>
      </c>
      <c r="E68" s="17">
        <v>487233</v>
      </c>
      <c r="F68" s="18" t="s">
        <v>208</v>
      </c>
      <c r="G68" s="18">
        <f>2*24</f>
        <v>48</v>
      </c>
      <c r="H68" s="19">
        <f>342.77/24</f>
        <v>14.282083333333333</v>
      </c>
      <c r="I68" s="19">
        <f t="shared" si="1"/>
        <v>685.43999999999994</v>
      </c>
      <c r="J68" s="22"/>
      <c r="K68" s="22"/>
      <c r="L68" s="8" t="s">
        <v>4</v>
      </c>
      <c r="M68" s="20">
        <f>VLOOKUP(H68, Intervalos!$B$3:$C$8,2,TRUE)</f>
        <v>0.03</v>
      </c>
    </row>
    <row r="69" spans="1:13" s="16" customFormat="1" ht="24" x14ac:dyDescent="0.15">
      <c r="A69" s="27"/>
      <c r="B69" s="26">
        <v>64</v>
      </c>
      <c r="C69" s="18" t="s">
        <v>163</v>
      </c>
      <c r="D69" s="18" t="s">
        <v>153</v>
      </c>
      <c r="E69" s="17">
        <v>487253</v>
      </c>
      <c r="F69" s="18" t="s">
        <v>208</v>
      </c>
      <c r="G69" s="18">
        <f>2*24</f>
        <v>48</v>
      </c>
      <c r="H69" s="19">
        <f>345.6/24</f>
        <v>14.4</v>
      </c>
      <c r="I69" s="19">
        <f t="shared" si="1"/>
        <v>691.2</v>
      </c>
      <c r="J69" s="23"/>
      <c r="K69" s="23"/>
      <c r="L69" s="8" t="s">
        <v>4</v>
      </c>
      <c r="M69" s="20">
        <f>VLOOKUP(H69, Intervalos!$B$3:$C$8,2,TRUE)</f>
        <v>0.03</v>
      </c>
    </row>
    <row r="70" spans="1:13" s="16" customFormat="1" ht="24" x14ac:dyDescent="0.15">
      <c r="A70" s="25">
        <v>13</v>
      </c>
      <c r="B70" s="26">
        <v>65</v>
      </c>
      <c r="C70" s="18" t="s">
        <v>164</v>
      </c>
      <c r="D70" s="18" t="s">
        <v>153</v>
      </c>
      <c r="E70" s="17">
        <v>487452</v>
      </c>
      <c r="F70" s="18" t="s">
        <v>208</v>
      </c>
      <c r="G70" s="18">
        <f>194*24</f>
        <v>4656</v>
      </c>
      <c r="H70" s="19">
        <f>53.3/24</f>
        <v>2.2208333333333332</v>
      </c>
      <c r="I70" s="19">
        <f t="shared" si="1"/>
        <v>10336.320000000002</v>
      </c>
      <c r="J70" s="21">
        <f>SUM(I70:I73)</f>
        <v>19156.32</v>
      </c>
      <c r="K70" s="21" t="s">
        <v>140</v>
      </c>
      <c r="L70" s="8" t="s">
        <v>4</v>
      </c>
      <c r="M70" s="20">
        <f>VLOOKUP(H70, Intervalos!$B$3:$C$8,2,TRUE)</f>
        <v>0.01</v>
      </c>
    </row>
    <row r="71" spans="1:13" s="16" customFormat="1" ht="24" x14ac:dyDescent="0.15">
      <c r="A71" s="28"/>
      <c r="B71" s="26">
        <v>66</v>
      </c>
      <c r="C71" s="18" t="s">
        <v>165</v>
      </c>
      <c r="D71" s="18" t="s">
        <v>153</v>
      </c>
      <c r="E71" s="17">
        <v>487445</v>
      </c>
      <c r="F71" s="18" t="s">
        <v>208</v>
      </c>
      <c r="G71" s="18">
        <f>125*24</f>
        <v>3000</v>
      </c>
      <c r="H71" s="19">
        <f>55.2/24</f>
        <v>2.3000000000000003</v>
      </c>
      <c r="I71" s="19">
        <f t="shared" si="1"/>
        <v>6899.9999999999991</v>
      </c>
      <c r="J71" s="22"/>
      <c r="K71" s="22"/>
      <c r="L71" s="8" t="s">
        <v>4</v>
      </c>
      <c r="M71" s="20">
        <f>VLOOKUP(H71, Intervalos!$B$3:$C$8,2,TRUE)</f>
        <v>0.01</v>
      </c>
    </row>
    <row r="72" spans="1:13" s="16" customFormat="1" ht="24" x14ac:dyDescent="0.15">
      <c r="A72" s="28"/>
      <c r="B72" s="26">
        <v>67</v>
      </c>
      <c r="C72" s="18" t="s">
        <v>166</v>
      </c>
      <c r="D72" s="18" t="s">
        <v>153</v>
      </c>
      <c r="E72" s="17">
        <v>487429</v>
      </c>
      <c r="F72" s="18" t="s">
        <v>208</v>
      </c>
      <c r="G72" s="18">
        <f>19*24</f>
        <v>456</v>
      </c>
      <c r="H72" s="19">
        <f>55.22/24</f>
        <v>2.3008333333333333</v>
      </c>
      <c r="I72" s="19">
        <f t="shared" si="1"/>
        <v>1048.8</v>
      </c>
      <c r="J72" s="22"/>
      <c r="K72" s="22"/>
      <c r="L72" s="8" t="s">
        <v>4</v>
      </c>
      <c r="M72" s="20">
        <f>VLOOKUP(H72, Intervalos!$B$3:$C$8,2,TRUE)</f>
        <v>0.01</v>
      </c>
    </row>
    <row r="73" spans="1:13" s="16" customFormat="1" ht="24" x14ac:dyDescent="0.15">
      <c r="A73" s="27"/>
      <c r="B73" s="26">
        <v>68</v>
      </c>
      <c r="C73" s="18" t="s">
        <v>167</v>
      </c>
      <c r="D73" s="18" t="s">
        <v>153</v>
      </c>
      <c r="E73" s="17">
        <v>487417</v>
      </c>
      <c r="F73" s="18" t="s">
        <v>208</v>
      </c>
      <c r="G73" s="18">
        <f>15*24</f>
        <v>360</v>
      </c>
      <c r="H73" s="19">
        <f>57.98/24</f>
        <v>2.4158333333333331</v>
      </c>
      <c r="I73" s="19">
        <f t="shared" si="1"/>
        <v>871.19999999999993</v>
      </c>
      <c r="J73" s="23"/>
      <c r="K73" s="23"/>
      <c r="L73" s="8" t="s">
        <v>4</v>
      </c>
      <c r="M73" s="20">
        <f>VLOOKUP(H73, Intervalos!$B$3:$C$8,2,TRUE)</f>
        <v>0.01</v>
      </c>
    </row>
    <row r="74" spans="1:13" s="16" customFormat="1" ht="36" x14ac:dyDescent="0.15">
      <c r="A74" s="25">
        <v>14</v>
      </c>
      <c r="B74" s="26">
        <v>69</v>
      </c>
      <c r="C74" s="18" t="s">
        <v>168</v>
      </c>
      <c r="D74" s="18" t="s">
        <v>153</v>
      </c>
      <c r="E74" s="17">
        <v>487213</v>
      </c>
      <c r="F74" s="18" t="s">
        <v>208</v>
      </c>
      <c r="G74" s="18">
        <f>7*24</f>
        <v>168</v>
      </c>
      <c r="H74" s="19">
        <f>342.96/24</f>
        <v>14.29</v>
      </c>
      <c r="I74" s="19">
        <f t="shared" si="1"/>
        <v>2400.7199999999998</v>
      </c>
      <c r="J74" s="21">
        <f>SUM(I74:I76)</f>
        <v>11102.399999999998</v>
      </c>
      <c r="K74" s="21" t="s">
        <v>140</v>
      </c>
      <c r="L74" s="8" t="s">
        <v>4</v>
      </c>
      <c r="M74" s="20">
        <f>VLOOKUP(H74, Intervalos!$B$3:$C$8,2,TRUE)</f>
        <v>0.03</v>
      </c>
    </row>
    <row r="75" spans="1:13" s="16" customFormat="1" ht="36" x14ac:dyDescent="0.15">
      <c r="A75" s="28"/>
      <c r="B75" s="26">
        <v>70</v>
      </c>
      <c r="C75" s="18" t="s">
        <v>169</v>
      </c>
      <c r="D75" s="18" t="s">
        <v>153</v>
      </c>
      <c r="E75" s="17">
        <v>487208</v>
      </c>
      <c r="F75" s="18" t="s">
        <v>208</v>
      </c>
      <c r="G75" s="18">
        <f>13*24</f>
        <v>312</v>
      </c>
      <c r="H75" s="19">
        <f>338.64/24</f>
        <v>14.11</v>
      </c>
      <c r="I75" s="19">
        <f t="shared" si="1"/>
        <v>4402.32</v>
      </c>
      <c r="J75" s="22"/>
      <c r="K75" s="22"/>
      <c r="L75" s="8" t="s">
        <v>4</v>
      </c>
      <c r="M75" s="20">
        <f>VLOOKUP(H75, Intervalos!$B$3:$C$8,2,TRUE)</f>
        <v>0.03</v>
      </c>
    </row>
    <row r="76" spans="1:13" s="16" customFormat="1" ht="36" x14ac:dyDescent="0.15">
      <c r="A76" s="27"/>
      <c r="B76" s="26">
        <v>71</v>
      </c>
      <c r="C76" s="18" t="s">
        <v>170</v>
      </c>
      <c r="D76" s="18" t="s">
        <v>153</v>
      </c>
      <c r="E76" s="17">
        <v>487204</v>
      </c>
      <c r="F76" s="18" t="s">
        <v>208</v>
      </c>
      <c r="G76" s="18">
        <f>13*24</f>
        <v>312</v>
      </c>
      <c r="H76" s="19">
        <f>330.79/24</f>
        <v>13.782916666666667</v>
      </c>
      <c r="I76" s="19">
        <f t="shared" si="1"/>
        <v>4299.3599999999997</v>
      </c>
      <c r="J76" s="23"/>
      <c r="K76" s="23"/>
      <c r="L76" s="8" t="s">
        <v>4</v>
      </c>
      <c r="M76" s="20">
        <f>VLOOKUP(H76, Intervalos!$B$3:$C$8,2,TRUE)</f>
        <v>0.03</v>
      </c>
    </row>
    <row r="77" spans="1:13" s="16" customFormat="1" ht="24" x14ac:dyDescent="0.15">
      <c r="A77" s="25">
        <v>15</v>
      </c>
      <c r="B77" s="26">
        <v>72</v>
      </c>
      <c r="C77" s="18" t="s">
        <v>171</v>
      </c>
      <c r="D77" s="18" t="s">
        <v>153</v>
      </c>
      <c r="E77" s="17">
        <v>487164</v>
      </c>
      <c r="F77" s="18" t="s">
        <v>208</v>
      </c>
      <c r="G77" s="18">
        <f>19*24</f>
        <v>456</v>
      </c>
      <c r="H77" s="19">
        <f>287.76/24</f>
        <v>11.99</v>
      </c>
      <c r="I77" s="19">
        <f t="shared" si="1"/>
        <v>5467.4400000000005</v>
      </c>
      <c r="J77" s="21">
        <f>SUM(I77:I83)</f>
        <v>45110.400000000001</v>
      </c>
      <c r="K77" s="21" t="s">
        <v>140</v>
      </c>
      <c r="L77" s="8" t="s">
        <v>4</v>
      </c>
      <c r="M77" s="20">
        <f>VLOOKUP(H77, Intervalos!$B$3:$C$8,2,TRUE)</f>
        <v>0.03</v>
      </c>
    </row>
    <row r="78" spans="1:13" s="16" customFormat="1" ht="24" x14ac:dyDescent="0.15">
      <c r="A78" s="28"/>
      <c r="B78" s="26">
        <v>73</v>
      </c>
      <c r="C78" s="18" t="s">
        <v>172</v>
      </c>
      <c r="D78" s="18" t="s">
        <v>153</v>
      </c>
      <c r="E78" s="17">
        <v>487163</v>
      </c>
      <c r="F78" s="18" t="s">
        <v>208</v>
      </c>
      <c r="G78" s="18">
        <f>7*24</f>
        <v>168</v>
      </c>
      <c r="H78" s="19">
        <f>287.76/24</f>
        <v>11.99</v>
      </c>
      <c r="I78" s="19">
        <f t="shared" si="1"/>
        <v>2014.32</v>
      </c>
      <c r="J78" s="22"/>
      <c r="K78" s="22"/>
      <c r="L78" s="8" t="s">
        <v>4</v>
      </c>
      <c r="M78" s="20">
        <f>VLOOKUP(H78, Intervalos!$B$3:$C$8,2,TRUE)</f>
        <v>0.03</v>
      </c>
    </row>
    <row r="79" spans="1:13" s="16" customFormat="1" ht="24" x14ac:dyDescent="0.15">
      <c r="A79" s="28"/>
      <c r="B79" s="26">
        <v>74</v>
      </c>
      <c r="C79" s="18" t="s">
        <v>173</v>
      </c>
      <c r="D79" s="18" t="s">
        <v>153</v>
      </c>
      <c r="E79" s="17">
        <v>487144</v>
      </c>
      <c r="F79" s="18" t="s">
        <v>208</v>
      </c>
      <c r="G79" s="18">
        <f>50*24</f>
        <v>1200</v>
      </c>
      <c r="H79" s="19">
        <f>292.79/24</f>
        <v>12.199583333333335</v>
      </c>
      <c r="I79" s="19">
        <f t="shared" si="1"/>
        <v>14640</v>
      </c>
      <c r="J79" s="22"/>
      <c r="K79" s="22"/>
      <c r="L79" s="8" t="s">
        <v>4</v>
      </c>
      <c r="M79" s="20">
        <f>VLOOKUP(H79, Intervalos!$B$3:$C$8,2,TRUE)</f>
        <v>0.03</v>
      </c>
    </row>
    <row r="80" spans="1:13" s="16" customFormat="1" ht="24" x14ac:dyDescent="0.15">
      <c r="A80" s="28"/>
      <c r="B80" s="26">
        <v>75</v>
      </c>
      <c r="C80" s="18" t="s">
        <v>174</v>
      </c>
      <c r="D80" s="18" t="s">
        <v>153</v>
      </c>
      <c r="E80" s="17">
        <v>487125</v>
      </c>
      <c r="F80" s="18" t="s">
        <v>208</v>
      </c>
      <c r="G80" s="18">
        <f>69*24</f>
        <v>1656</v>
      </c>
      <c r="H80" s="19">
        <f>283.52/24</f>
        <v>11.813333333333333</v>
      </c>
      <c r="I80" s="19">
        <f t="shared" si="1"/>
        <v>19557.36</v>
      </c>
      <c r="J80" s="22"/>
      <c r="K80" s="22"/>
      <c r="L80" s="8" t="s">
        <v>4</v>
      </c>
      <c r="M80" s="20">
        <f>VLOOKUP(H80, Intervalos!$B$3:$C$8,2,TRUE)</f>
        <v>0.03</v>
      </c>
    </row>
    <row r="81" spans="1:13" s="16" customFormat="1" ht="24" x14ac:dyDescent="0.15">
      <c r="A81" s="28"/>
      <c r="B81" s="26">
        <v>76</v>
      </c>
      <c r="C81" s="18" t="s">
        <v>175</v>
      </c>
      <c r="D81" s="18" t="s">
        <v>153</v>
      </c>
      <c r="E81" s="17">
        <v>487125</v>
      </c>
      <c r="F81" s="18" t="s">
        <v>208</v>
      </c>
      <c r="G81" s="18">
        <f>7*24</f>
        <v>168</v>
      </c>
      <c r="H81" s="19">
        <f>292.32/24</f>
        <v>12.18</v>
      </c>
      <c r="I81" s="19">
        <f t="shared" si="1"/>
        <v>2046.24</v>
      </c>
      <c r="J81" s="22"/>
      <c r="K81" s="22"/>
      <c r="L81" s="8" t="s">
        <v>4</v>
      </c>
      <c r="M81" s="20">
        <f>VLOOKUP(H81, Intervalos!$B$3:$C$8,2,TRUE)</f>
        <v>0.03</v>
      </c>
    </row>
    <row r="82" spans="1:13" s="16" customFormat="1" ht="24" x14ac:dyDescent="0.15">
      <c r="A82" s="28"/>
      <c r="B82" s="26">
        <v>77</v>
      </c>
      <c r="C82" s="18" t="s">
        <v>176</v>
      </c>
      <c r="D82" s="18" t="s">
        <v>153</v>
      </c>
      <c r="E82" s="17">
        <v>487100</v>
      </c>
      <c r="F82" s="18" t="s">
        <v>208</v>
      </c>
      <c r="G82" s="18">
        <f>3*24</f>
        <v>72</v>
      </c>
      <c r="H82" s="19">
        <f>272.8/24</f>
        <v>11.366666666666667</v>
      </c>
      <c r="I82" s="19">
        <f t="shared" si="1"/>
        <v>818.64</v>
      </c>
      <c r="J82" s="22"/>
      <c r="K82" s="22"/>
      <c r="L82" s="8" t="s">
        <v>4</v>
      </c>
      <c r="M82" s="20">
        <f>VLOOKUP(H82, Intervalos!$B$3:$C$8,2,TRUE)</f>
        <v>0.03</v>
      </c>
    </row>
    <row r="83" spans="1:13" s="16" customFormat="1" ht="24" x14ac:dyDescent="0.15">
      <c r="A83" s="27"/>
      <c r="B83" s="26">
        <v>78</v>
      </c>
      <c r="C83" s="18" t="s">
        <v>177</v>
      </c>
      <c r="D83" s="18" t="s">
        <v>153</v>
      </c>
      <c r="E83" s="17">
        <v>487093</v>
      </c>
      <c r="F83" s="18" t="s">
        <v>208</v>
      </c>
      <c r="G83" s="18">
        <f>2*24</f>
        <v>48</v>
      </c>
      <c r="H83" s="19">
        <f>283.12/24</f>
        <v>11.796666666666667</v>
      </c>
      <c r="I83" s="19">
        <f t="shared" si="1"/>
        <v>566.40000000000009</v>
      </c>
      <c r="J83" s="23"/>
      <c r="K83" s="23"/>
      <c r="L83" s="8" t="s">
        <v>4</v>
      </c>
      <c r="M83" s="20">
        <f>VLOOKUP(H83, Intervalos!$B$3:$C$8,2,TRUE)</f>
        <v>0.03</v>
      </c>
    </row>
    <row r="84" spans="1:13" s="16" customFormat="1" ht="24" x14ac:dyDescent="0.15">
      <c r="A84" s="25">
        <v>16</v>
      </c>
      <c r="B84" s="26">
        <v>79</v>
      </c>
      <c r="C84" s="18" t="s">
        <v>178</v>
      </c>
      <c r="D84" s="18" t="s">
        <v>153</v>
      </c>
      <c r="E84" s="17">
        <v>487530</v>
      </c>
      <c r="F84" s="18" t="s">
        <v>208</v>
      </c>
      <c r="G84" s="18">
        <f>13*24</f>
        <v>312</v>
      </c>
      <c r="H84" s="19">
        <f>90.57/24</f>
        <v>3.7737499999999997</v>
      </c>
      <c r="I84" s="19">
        <f t="shared" si="1"/>
        <v>1176.24</v>
      </c>
      <c r="J84" s="21">
        <f>SUM(I84:I86)</f>
        <v>4295.5200000000004</v>
      </c>
      <c r="K84" s="21" t="s">
        <v>140</v>
      </c>
      <c r="L84" s="8" t="s">
        <v>4</v>
      </c>
      <c r="M84" s="20">
        <f>VLOOKUP(H84, Intervalos!$B$3:$C$8,2,TRUE)</f>
        <v>0.01</v>
      </c>
    </row>
    <row r="85" spans="1:13" s="16" customFormat="1" ht="24" x14ac:dyDescent="0.15">
      <c r="A85" s="28"/>
      <c r="B85" s="26">
        <v>80</v>
      </c>
      <c r="C85" s="18" t="s">
        <v>179</v>
      </c>
      <c r="D85" s="18" t="s">
        <v>153</v>
      </c>
      <c r="E85" s="17">
        <v>487522</v>
      </c>
      <c r="F85" s="18" t="s">
        <v>208</v>
      </c>
      <c r="G85" s="18">
        <f>13*24</f>
        <v>312</v>
      </c>
      <c r="H85" s="19">
        <f>178.56/24</f>
        <v>7.44</v>
      </c>
      <c r="I85" s="19">
        <f t="shared" si="1"/>
        <v>2321.2800000000002</v>
      </c>
      <c r="J85" s="22"/>
      <c r="K85" s="22"/>
      <c r="L85" s="8" t="s">
        <v>4</v>
      </c>
      <c r="M85" s="20">
        <f>VLOOKUP(H85, Intervalos!$B$3:$C$8,2,TRUE)</f>
        <v>0.02</v>
      </c>
    </row>
    <row r="86" spans="1:13" s="16" customFormat="1" ht="24" x14ac:dyDescent="0.15">
      <c r="A86" s="27"/>
      <c r="B86" s="26">
        <v>81</v>
      </c>
      <c r="C86" s="18" t="s">
        <v>180</v>
      </c>
      <c r="D86" s="18" t="s">
        <v>153</v>
      </c>
      <c r="E86" s="17">
        <v>487533</v>
      </c>
      <c r="F86" s="18" t="s">
        <v>208</v>
      </c>
      <c r="G86" s="18">
        <f>7*24</f>
        <v>168</v>
      </c>
      <c r="H86" s="19">
        <f>114/24</f>
        <v>4.75</v>
      </c>
      <c r="I86" s="19">
        <f t="shared" si="1"/>
        <v>798</v>
      </c>
      <c r="J86" s="23"/>
      <c r="K86" s="23"/>
      <c r="L86" s="8" t="s">
        <v>4</v>
      </c>
      <c r="M86" s="20">
        <f>VLOOKUP(H86, Intervalos!$B$3:$C$8,2,TRUE)</f>
        <v>0.01</v>
      </c>
    </row>
    <row r="87" spans="1:13" s="16" customFormat="1" ht="24" x14ac:dyDescent="0.15">
      <c r="A87" s="25">
        <v>17</v>
      </c>
      <c r="B87" s="26">
        <v>82</v>
      </c>
      <c r="C87" s="18" t="s">
        <v>210</v>
      </c>
      <c r="D87" s="18" t="s">
        <v>153</v>
      </c>
      <c r="E87" s="17">
        <v>434903</v>
      </c>
      <c r="F87" s="18" t="s">
        <v>208</v>
      </c>
      <c r="G87" s="18">
        <v>38</v>
      </c>
      <c r="H87" s="19">
        <v>486.67</v>
      </c>
      <c r="I87" s="19">
        <f t="shared" si="1"/>
        <v>18493.46</v>
      </c>
      <c r="J87" s="21">
        <f>SUM(I87:I89)</f>
        <v>43740.46</v>
      </c>
      <c r="K87" s="21" t="s">
        <v>140</v>
      </c>
      <c r="L87" s="8" t="s">
        <v>4</v>
      </c>
      <c r="M87" s="20" t="str">
        <f>VLOOKUP(H87, Intervalos!$B$3:$C$8,2,TRUE)</f>
        <v>0,10%</v>
      </c>
    </row>
    <row r="88" spans="1:13" s="16" customFormat="1" ht="24" x14ac:dyDescent="0.15">
      <c r="A88" s="28"/>
      <c r="B88" s="26">
        <v>83</v>
      </c>
      <c r="C88" s="18" t="s">
        <v>211</v>
      </c>
      <c r="D88" s="18" t="s">
        <v>153</v>
      </c>
      <c r="E88" s="17">
        <v>428867</v>
      </c>
      <c r="F88" s="18" t="s">
        <v>208</v>
      </c>
      <c r="G88" s="18">
        <v>25</v>
      </c>
      <c r="H88" s="19">
        <v>510.21</v>
      </c>
      <c r="I88" s="19">
        <f t="shared" si="1"/>
        <v>12755.25</v>
      </c>
      <c r="J88" s="22"/>
      <c r="K88" s="22"/>
      <c r="L88" s="8" t="s">
        <v>4</v>
      </c>
      <c r="M88" s="20" t="str">
        <f>VLOOKUP(H88, Intervalos!$B$3:$C$8,2,TRUE)</f>
        <v>0,10%</v>
      </c>
    </row>
    <row r="89" spans="1:13" s="16" customFormat="1" ht="24" x14ac:dyDescent="0.15">
      <c r="A89" s="27"/>
      <c r="B89" s="26">
        <v>84</v>
      </c>
      <c r="C89" s="18" t="s">
        <v>212</v>
      </c>
      <c r="D89" s="18" t="s">
        <v>153</v>
      </c>
      <c r="E89" s="17">
        <v>428874</v>
      </c>
      <c r="F89" s="18" t="s">
        <v>208</v>
      </c>
      <c r="G89" s="18">
        <v>25</v>
      </c>
      <c r="H89" s="19">
        <v>499.67</v>
      </c>
      <c r="I89" s="19">
        <f t="shared" si="1"/>
        <v>12491.75</v>
      </c>
      <c r="J89" s="23"/>
      <c r="K89" s="23"/>
      <c r="L89" s="8" t="s">
        <v>4</v>
      </c>
      <c r="M89" s="20" t="str">
        <f>VLOOKUP(H89, Intervalos!$B$3:$C$8,2,TRUE)</f>
        <v>0,10%</v>
      </c>
    </row>
    <row r="90" spans="1:13" s="16" customFormat="1" ht="24" x14ac:dyDescent="0.15">
      <c r="A90" s="17" t="s">
        <v>207</v>
      </c>
      <c r="B90" s="17">
        <v>85</v>
      </c>
      <c r="C90" s="18" t="s">
        <v>67</v>
      </c>
      <c r="D90" s="18" t="s">
        <v>153</v>
      </c>
      <c r="E90" s="17">
        <v>428870</v>
      </c>
      <c r="F90" s="18" t="s">
        <v>208</v>
      </c>
      <c r="G90" s="18">
        <v>25</v>
      </c>
      <c r="H90" s="19">
        <v>588.66999999999996</v>
      </c>
      <c r="I90" s="19">
        <f t="shared" si="1"/>
        <v>14716.749999999998</v>
      </c>
      <c r="J90" s="19" t="s">
        <v>207</v>
      </c>
      <c r="K90" s="19" t="s">
        <v>140</v>
      </c>
      <c r="L90" s="8" t="s">
        <v>4</v>
      </c>
      <c r="M90" s="20" t="str">
        <f>VLOOKUP(H90, Intervalos!$B$3:$C$8,2,TRUE)</f>
        <v>0,10%</v>
      </c>
    </row>
    <row r="91" spans="1:13" s="16" customFormat="1" ht="24" x14ac:dyDescent="0.15">
      <c r="A91" s="25">
        <v>18</v>
      </c>
      <c r="B91" s="26">
        <v>86</v>
      </c>
      <c r="C91" s="18" t="s">
        <v>68</v>
      </c>
      <c r="D91" s="18" t="s">
        <v>195</v>
      </c>
      <c r="E91" s="17">
        <v>313571</v>
      </c>
      <c r="F91" s="18" t="s">
        <v>208</v>
      </c>
      <c r="G91" s="18">
        <v>69</v>
      </c>
      <c r="H91" s="19">
        <v>54.67</v>
      </c>
      <c r="I91" s="19">
        <f t="shared" si="1"/>
        <v>3772.23</v>
      </c>
      <c r="J91" s="21">
        <f>SUM(I91:I95)</f>
        <v>12989.5</v>
      </c>
      <c r="K91" s="21" t="s">
        <v>140</v>
      </c>
      <c r="L91" s="8" t="s">
        <v>4</v>
      </c>
      <c r="M91" s="20">
        <f>VLOOKUP(H91, Intervalos!$B$3:$C$8,2,TRUE)</f>
        <v>0.1</v>
      </c>
    </row>
    <row r="92" spans="1:13" s="16" customFormat="1" ht="24" x14ac:dyDescent="0.15">
      <c r="A92" s="28"/>
      <c r="B92" s="26">
        <v>87</v>
      </c>
      <c r="C92" s="18" t="s">
        <v>69</v>
      </c>
      <c r="D92" s="18" t="s">
        <v>195</v>
      </c>
      <c r="E92" s="17">
        <v>313628</v>
      </c>
      <c r="F92" s="18" t="s">
        <v>208</v>
      </c>
      <c r="G92" s="18">
        <v>50</v>
      </c>
      <c r="H92" s="19">
        <v>55.3</v>
      </c>
      <c r="I92" s="19">
        <f t="shared" si="1"/>
        <v>2765</v>
      </c>
      <c r="J92" s="22"/>
      <c r="K92" s="22"/>
      <c r="L92" s="8" t="s">
        <v>4</v>
      </c>
      <c r="M92" s="20">
        <f>VLOOKUP(H92, Intervalos!$B$3:$C$8,2,TRUE)</f>
        <v>0.1</v>
      </c>
    </row>
    <row r="93" spans="1:13" s="16" customFormat="1" ht="24" x14ac:dyDescent="0.15">
      <c r="A93" s="28"/>
      <c r="B93" s="26">
        <v>88</v>
      </c>
      <c r="C93" s="18" t="s">
        <v>70</v>
      </c>
      <c r="D93" s="18" t="s">
        <v>195</v>
      </c>
      <c r="E93" s="17">
        <v>273178</v>
      </c>
      <c r="F93" s="18" t="s">
        <v>208</v>
      </c>
      <c r="G93" s="18">
        <v>15</v>
      </c>
      <c r="H93" s="19">
        <v>59.93</v>
      </c>
      <c r="I93" s="19">
        <f t="shared" si="1"/>
        <v>898.95</v>
      </c>
      <c r="J93" s="22"/>
      <c r="K93" s="22"/>
      <c r="L93" s="8" t="s">
        <v>4</v>
      </c>
      <c r="M93" s="20">
        <f>VLOOKUP(H93, Intervalos!$B$3:$C$8,2,TRUE)</f>
        <v>0.1</v>
      </c>
    </row>
    <row r="94" spans="1:13" s="16" customFormat="1" ht="24" x14ac:dyDescent="0.15">
      <c r="A94" s="28"/>
      <c r="B94" s="26">
        <v>89</v>
      </c>
      <c r="C94" s="18" t="s">
        <v>71</v>
      </c>
      <c r="D94" s="18" t="s">
        <v>195</v>
      </c>
      <c r="E94" s="17">
        <v>313631</v>
      </c>
      <c r="F94" s="18" t="s">
        <v>208</v>
      </c>
      <c r="G94" s="18">
        <v>59</v>
      </c>
      <c r="H94" s="19">
        <v>53.2</v>
      </c>
      <c r="I94" s="19">
        <f t="shared" si="1"/>
        <v>3138.8</v>
      </c>
      <c r="J94" s="22"/>
      <c r="K94" s="22"/>
      <c r="L94" s="8" t="s">
        <v>4</v>
      </c>
      <c r="M94" s="20">
        <f>VLOOKUP(H94, Intervalos!$B$3:$C$8,2,TRUE)</f>
        <v>0.1</v>
      </c>
    </row>
    <row r="95" spans="1:13" s="16" customFormat="1" ht="24" x14ac:dyDescent="0.15">
      <c r="A95" s="27"/>
      <c r="B95" s="26">
        <v>90</v>
      </c>
      <c r="C95" s="18" t="s">
        <v>72</v>
      </c>
      <c r="D95" s="18" t="s">
        <v>195</v>
      </c>
      <c r="E95" s="17">
        <v>299240</v>
      </c>
      <c r="F95" s="18" t="s">
        <v>208</v>
      </c>
      <c r="G95" s="18">
        <v>38</v>
      </c>
      <c r="H95" s="19">
        <v>63.54</v>
      </c>
      <c r="I95" s="19">
        <f t="shared" si="1"/>
        <v>2414.52</v>
      </c>
      <c r="J95" s="23"/>
      <c r="K95" s="23"/>
      <c r="L95" s="8" t="s">
        <v>4</v>
      </c>
      <c r="M95" s="20">
        <f>VLOOKUP(H95, Intervalos!$B$3:$C$8,2,TRUE)</f>
        <v>0.1</v>
      </c>
    </row>
    <row r="96" spans="1:13" s="16" customFormat="1" ht="96" x14ac:dyDescent="0.15">
      <c r="A96" s="25">
        <v>19</v>
      </c>
      <c r="B96" s="26">
        <v>91</v>
      </c>
      <c r="C96" s="18" t="s">
        <v>201</v>
      </c>
      <c r="D96" s="18" t="s">
        <v>196</v>
      </c>
      <c r="E96" s="17">
        <v>620088</v>
      </c>
      <c r="F96" s="18" t="s">
        <v>208</v>
      </c>
      <c r="G96" s="18">
        <v>1375</v>
      </c>
      <c r="H96" s="19">
        <v>4.2300000000000004</v>
      </c>
      <c r="I96" s="19">
        <f t="shared" si="1"/>
        <v>5816.2500000000009</v>
      </c>
      <c r="J96" s="21">
        <f>SUM(I96:I101)</f>
        <v>37737.43</v>
      </c>
      <c r="K96" s="21" t="s">
        <v>140</v>
      </c>
      <c r="L96" s="8" t="s">
        <v>4</v>
      </c>
      <c r="M96" s="20">
        <f>VLOOKUP(H96, Intervalos!$B$3:$C$8,2,TRUE)</f>
        <v>0.01</v>
      </c>
    </row>
    <row r="97" spans="1:13" s="16" customFormat="1" ht="96" x14ac:dyDescent="0.15">
      <c r="A97" s="28"/>
      <c r="B97" s="26">
        <v>92</v>
      </c>
      <c r="C97" s="18" t="s">
        <v>202</v>
      </c>
      <c r="D97" s="18" t="s">
        <v>196</v>
      </c>
      <c r="E97" s="17">
        <v>620089</v>
      </c>
      <c r="F97" s="18" t="s">
        <v>208</v>
      </c>
      <c r="G97" s="18">
        <v>2632</v>
      </c>
      <c r="H97" s="19">
        <v>4.2300000000000004</v>
      </c>
      <c r="I97" s="19">
        <f t="shared" si="1"/>
        <v>11133.36</v>
      </c>
      <c r="J97" s="22"/>
      <c r="K97" s="22"/>
      <c r="L97" s="8" t="s">
        <v>4</v>
      </c>
      <c r="M97" s="20">
        <f>VLOOKUP(H97, Intervalos!$B$3:$C$8,2,TRUE)</f>
        <v>0.01</v>
      </c>
    </row>
    <row r="98" spans="1:13" s="16" customFormat="1" ht="96" x14ac:dyDescent="0.15">
      <c r="A98" s="28"/>
      <c r="B98" s="26">
        <v>93</v>
      </c>
      <c r="C98" s="18" t="s">
        <v>203</v>
      </c>
      <c r="D98" s="18" t="s">
        <v>196</v>
      </c>
      <c r="E98" s="17">
        <v>620090</v>
      </c>
      <c r="F98" s="18" t="s">
        <v>208</v>
      </c>
      <c r="G98" s="18">
        <v>2275</v>
      </c>
      <c r="H98" s="19">
        <v>4.24</v>
      </c>
      <c r="I98" s="19">
        <f t="shared" si="1"/>
        <v>9646</v>
      </c>
      <c r="J98" s="22"/>
      <c r="K98" s="22"/>
      <c r="L98" s="8" t="s">
        <v>4</v>
      </c>
      <c r="M98" s="20">
        <f>VLOOKUP(H98, Intervalos!$B$3:$C$8,2,TRUE)</f>
        <v>0.01</v>
      </c>
    </row>
    <row r="99" spans="1:13" s="16" customFormat="1" ht="96" x14ac:dyDescent="0.15">
      <c r="A99" s="28"/>
      <c r="B99" s="26">
        <v>94</v>
      </c>
      <c r="C99" s="18" t="s">
        <v>204</v>
      </c>
      <c r="D99" s="18" t="s">
        <v>196</v>
      </c>
      <c r="E99" s="17">
        <v>620091</v>
      </c>
      <c r="F99" s="18" t="s">
        <v>208</v>
      </c>
      <c r="G99" s="18">
        <v>1259</v>
      </c>
      <c r="H99" s="19">
        <v>4.2300000000000004</v>
      </c>
      <c r="I99" s="19">
        <f t="shared" si="1"/>
        <v>5325.5700000000006</v>
      </c>
      <c r="J99" s="22"/>
      <c r="K99" s="22"/>
      <c r="L99" s="8" t="s">
        <v>4</v>
      </c>
      <c r="M99" s="20">
        <f>VLOOKUP(H99, Intervalos!$B$3:$C$8,2,TRUE)</f>
        <v>0.01</v>
      </c>
    </row>
    <row r="100" spans="1:13" s="16" customFormat="1" ht="96" x14ac:dyDescent="0.15">
      <c r="A100" s="28"/>
      <c r="B100" s="26">
        <v>95</v>
      </c>
      <c r="C100" s="18" t="s">
        <v>205</v>
      </c>
      <c r="D100" s="18" t="s">
        <v>196</v>
      </c>
      <c r="E100" s="17">
        <v>620092</v>
      </c>
      <c r="F100" s="18" t="s">
        <v>208</v>
      </c>
      <c r="G100" s="18">
        <v>1000</v>
      </c>
      <c r="H100" s="19">
        <v>4.2300000000000004</v>
      </c>
      <c r="I100" s="19">
        <f t="shared" si="1"/>
        <v>4230</v>
      </c>
      <c r="J100" s="22"/>
      <c r="K100" s="22"/>
      <c r="L100" s="8" t="s">
        <v>4</v>
      </c>
      <c r="M100" s="20">
        <f>VLOOKUP(H100, Intervalos!$B$3:$C$8,2,TRUE)</f>
        <v>0.01</v>
      </c>
    </row>
    <row r="101" spans="1:13" s="16" customFormat="1" ht="96" x14ac:dyDescent="0.15">
      <c r="A101" s="27"/>
      <c r="B101" s="26">
        <v>96</v>
      </c>
      <c r="C101" s="18" t="s">
        <v>206</v>
      </c>
      <c r="D101" s="18" t="s">
        <v>196</v>
      </c>
      <c r="E101" s="17">
        <v>620087</v>
      </c>
      <c r="F101" s="18" t="s">
        <v>208</v>
      </c>
      <c r="G101" s="18">
        <v>375</v>
      </c>
      <c r="H101" s="19">
        <v>4.2300000000000004</v>
      </c>
      <c r="I101" s="19">
        <f t="shared" si="1"/>
        <v>1586.2500000000002</v>
      </c>
      <c r="J101" s="23"/>
      <c r="K101" s="23"/>
      <c r="L101" s="8" t="s">
        <v>4</v>
      </c>
      <c r="M101" s="20">
        <f>VLOOKUP(H101, Intervalos!$B$3:$C$8,2,TRUE)</f>
        <v>0.01</v>
      </c>
    </row>
    <row r="102" spans="1:13" s="16" customFormat="1" ht="96" x14ac:dyDescent="0.15">
      <c r="A102" s="25">
        <v>20</v>
      </c>
      <c r="B102" s="26">
        <v>97</v>
      </c>
      <c r="C102" s="18" t="s">
        <v>73</v>
      </c>
      <c r="D102" s="18" t="s">
        <v>196</v>
      </c>
      <c r="E102" s="17">
        <v>620080</v>
      </c>
      <c r="F102" s="18" t="s">
        <v>208</v>
      </c>
      <c r="G102" s="18">
        <v>1500</v>
      </c>
      <c r="H102" s="19">
        <v>3.11</v>
      </c>
      <c r="I102" s="19">
        <f t="shared" si="1"/>
        <v>4665</v>
      </c>
      <c r="J102" s="21">
        <f>SUM(I102:I107)</f>
        <v>46923.68</v>
      </c>
      <c r="K102" s="21" t="s">
        <v>140</v>
      </c>
      <c r="L102" s="8" t="s">
        <v>4</v>
      </c>
      <c r="M102" s="20">
        <f>VLOOKUP(H102, Intervalos!$B$3:$C$8,2,TRUE)</f>
        <v>0.01</v>
      </c>
    </row>
    <row r="103" spans="1:13" s="16" customFormat="1" ht="96" x14ac:dyDescent="0.15">
      <c r="A103" s="28"/>
      <c r="B103" s="26">
        <v>98</v>
      </c>
      <c r="C103" s="18" t="s">
        <v>74</v>
      </c>
      <c r="D103" s="18" t="s">
        <v>196</v>
      </c>
      <c r="E103" s="17">
        <v>620081</v>
      </c>
      <c r="F103" s="18" t="s">
        <v>208</v>
      </c>
      <c r="G103" s="18">
        <v>3500</v>
      </c>
      <c r="H103" s="19">
        <v>3.11</v>
      </c>
      <c r="I103" s="19">
        <f t="shared" si="1"/>
        <v>10885</v>
      </c>
      <c r="J103" s="22"/>
      <c r="K103" s="22"/>
      <c r="L103" s="8" t="s">
        <v>4</v>
      </c>
      <c r="M103" s="20">
        <f>VLOOKUP(H103, Intervalos!$B$3:$C$8,2,TRUE)</f>
        <v>0.01</v>
      </c>
    </row>
    <row r="104" spans="1:13" s="16" customFormat="1" ht="96" x14ac:dyDescent="0.15">
      <c r="A104" s="28"/>
      <c r="B104" s="26">
        <v>99</v>
      </c>
      <c r="C104" s="18" t="s">
        <v>75</v>
      </c>
      <c r="D104" s="18" t="s">
        <v>196</v>
      </c>
      <c r="E104" s="17">
        <v>620082</v>
      </c>
      <c r="F104" s="18" t="s">
        <v>208</v>
      </c>
      <c r="G104" s="18">
        <v>3650</v>
      </c>
      <c r="H104" s="19">
        <v>3.11</v>
      </c>
      <c r="I104" s="19">
        <f t="shared" ref="I104:I180" si="2">G104*ROUND(H104,2)</f>
        <v>11351.5</v>
      </c>
      <c r="J104" s="22"/>
      <c r="K104" s="22"/>
      <c r="L104" s="8" t="s">
        <v>4</v>
      </c>
      <c r="M104" s="20">
        <f>VLOOKUP(H104, Intervalos!$B$3:$C$8,2,TRUE)</f>
        <v>0.01</v>
      </c>
    </row>
    <row r="105" spans="1:13" s="16" customFormat="1" ht="96" x14ac:dyDescent="0.15">
      <c r="A105" s="28"/>
      <c r="B105" s="26">
        <v>100</v>
      </c>
      <c r="C105" s="18" t="s">
        <v>76</v>
      </c>
      <c r="D105" s="18" t="s">
        <v>196</v>
      </c>
      <c r="E105" s="17">
        <v>620083</v>
      </c>
      <c r="F105" s="18" t="s">
        <v>208</v>
      </c>
      <c r="G105" s="18">
        <v>3875</v>
      </c>
      <c r="H105" s="19">
        <v>3.11</v>
      </c>
      <c r="I105" s="19">
        <f t="shared" si="2"/>
        <v>12051.25</v>
      </c>
      <c r="J105" s="22"/>
      <c r="K105" s="22"/>
      <c r="L105" s="8" t="s">
        <v>4</v>
      </c>
      <c r="M105" s="20">
        <f>VLOOKUP(H105, Intervalos!$B$3:$C$8,2,TRUE)</f>
        <v>0.01</v>
      </c>
    </row>
    <row r="106" spans="1:13" s="16" customFormat="1" ht="96" x14ac:dyDescent="0.15">
      <c r="A106" s="28"/>
      <c r="B106" s="26">
        <v>101</v>
      </c>
      <c r="C106" s="18" t="s">
        <v>77</v>
      </c>
      <c r="D106" s="18" t="s">
        <v>196</v>
      </c>
      <c r="E106" s="17">
        <v>620084</v>
      </c>
      <c r="F106" s="18" t="s">
        <v>208</v>
      </c>
      <c r="G106" s="18">
        <v>1375</v>
      </c>
      <c r="H106" s="19">
        <v>3.11</v>
      </c>
      <c r="I106" s="19">
        <f t="shared" si="2"/>
        <v>4276.25</v>
      </c>
      <c r="J106" s="22"/>
      <c r="K106" s="22"/>
      <c r="L106" s="8" t="s">
        <v>4</v>
      </c>
      <c r="M106" s="20">
        <f>VLOOKUP(H106, Intervalos!$B$3:$C$8,2,TRUE)</f>
        <v>0.01</v>
      </c>
    </row>
    <row r="107" spans="1:13" s="16" customFormat="1" ht="96" x14ac:dyDescent="0.15">
      <c r="A107" s="27"/>
      <c r="B107" s="26">
        <v>102</v>
      </c>
      <c r="C107" s="18" t="s">
        <v>78</v>
      </c>
      <c r="D107" s="18" t="s">
        <v>196</v>
      </c>
      <c r="E107" s="17">
        <v>620085</v>
      </c>
      <c r="F107" s="18" t="s">
        <v>208</v>
      </c>
      <c r="G107" s="18">
        <v>1188</v>
      </c>
      <c r="H107" s="19">
        <v>3.11</v>
      </c>
      <c r="I107" s="19">
        <f t="shared" si="2"/>
        <v>3694.68</v>
      </c>
      <c r="J107" s="23"/>
      <c r="K107" s="23"/>
      <c r="L107" s="8" t="s">
        <v>4</v>
      </c>
      <c r="M107" s="20">
        <f>VLOOKUP(H107, Intervalos!$B$3:$C$8,2,TRUE)</f>
        <v>0.01</v>
      </c>
    </row>
    <row r="108" spans="1:13" s="16" customFormat="1" ht="84" x14ac:dyDescent="0.15">
      <c r="A108" s="25">
        <v>21</v>
      </c>
      <c r="B108" s="26">
        <v>103</v>
      </c>
      <c r="C108" s="18" t="s">
        <v>79</v>
      </c>
      <c r="D108" s="18" t="s">
        <v>196</v>
      </c>
      <c r="E108" s="17">
        <v>620096</v>
      </c>
      <c r="F108" s="18" t="s">
        <v>208</v>
      </c>
      <c r="G108" s="18">
        <v>382</v>
      </c>
      <c r="H108" s="19">
        <v>12.82</v>
      </c>
      <c r="I108" s="19">
        <f t="shared" si="2"/>
        <v>4897.24</v>
      </c>
      <c r="J108" s="21">
        <f>SUM(I108:I112)</f>
        <v>24216.98</v>
      </c>
      <c r="K108" s="21" t="s">
        <v>140</v>
      </c>
      <c r="L108" s="8" t="s">
        <v>4</v>
      </c>
      <c r="M108" s="20">
        <f>VLOOKUP(H108, Intervalos!$B$3:$C$8,2,TRUE)</f>
        <v>0.03</v>
      </c>
    </row>
    <row r="109" spans="1:13" s="16" customFormat="1" ht="84" x14ac:dyDescent="0.15">
      <c r="A109" s="28"/>
      <c r="B109" s="26">
        <v>104</v>
      </c>
      <c r="C109" s="18" t="s">
        <v>80</v>
      </c>
      <c r="D109" s="18" t="s">
        <v>196</v>
      </c>
      <c r="E109" s="17">
        <v>620097</v>
      </c>
      <c r="F109" s="18" t="s">
        <v>208</v>
      </c>
      <c r="G109" s="18">
        <v>382</v>
      </c>
      <c r="H109" s="19">
        <v>12.82</v>
      </c>
      <c r="I109" s="19">
        <f t="shared" si="2"/>
        <v>4897.24</v>
      </c>
      <c r="J109" s="22"/>
      <c r="K109" s="22"/>
      <c r="L109" s="8" t="s">
        <v>4</v>
      </c>
      <c r="M109" s="20">
        <f>VLOOKUP(H109, Intervalos!$B$3:$C$8,2,TRUE)</f>
        <v>0.03</v>
      </c>
    </row>
    <row r="110" spans="1:13" s="16" customFormat="1" ht="84" x14ac:dyDescent="0.15">
      <c r="A110" s="28"/>
      <c r="B110" s="26">
        <v>105</v>
      </c>
      <c r="C110" s="18" t="s">
        <v>81</v>
      </c>
      <c r="D110" s="18" t="s">
        <v>196</v>
      </c>
      <c r="E110" s="17">
        <v>620098</v>
      </c>
      <c r="F110" s="18" t="s">
        <v>208</v>
      </c>
      <c r="G110" s="18">
        <v>375</v>
      </c>
      <c r="H110" s="19">
        <v>12.82</v>
      </c>
      <c r="I110" s="19">
        <f t="shared" si="2"/>
        <v>4807.5</v>
      </c>
      <c r="J110" s="22"/>
      <c r="K110" s="22"/>
      <c r="L110" s="8" t="s">
        <v>4</v>
      </c>
      <c r="M110" s="20">
        <f>VLOOKUP(H110, Intervalos!$B$3:$C$8,2,TRUE)</f>
        <v>0.03</v>
      </c>
    </row>
    <row r="111" spans="1:13" s="16" customFormat="1" ht="84" x14ac:dyDescent="0.15">
      <c r="A111" s="28"/>
      <c r="B111" s="26">
        <v>106</v>
      </c>
      <c r="C111" s="18" t="s">
        <v>82</v>
      </c>
      <c r="D111" s="18" t="s">
        <v>196</v>
      </c>
      <c r="E111" s="17">
        <v>620094</v>
      </c>
      <c r="F111" s="18" t="s">
        <v>208</v>
      </c>
      <c r="G111" s="18">
        <v>375</v>
      </c>
      <c r="H111" s="19">
        <v>12.82</v>
      </c>
      <c r="I111" s="19">
        <f t="shared" si="2"/>
        <v>4807.5</v>
      </c>
      <c r="J111" s="22"/>
      <c r="K111" s="22"/>
      <c r="L111" s="8" t="s">
        <v>4</v>
      </c>
      <c r="M111" s="20">
        <f>VLOOKUP(H111, Intervalos!$B$3:$C$8,2,TRUE)</f>
        <v>0.03</v>
      </c>
    </row>
    <row r="112" spans="1:13" s="16" customFormat="1" ht="84" x14ac:dyDescent="0.15">
      <c r="A112" s="27"/>
      <c r="B112" s="26">
        <v>107</v>
      </c>
      <c r="C112" s="18" t="s">
        <v>83</v>
      </c>
      <c r="D112" s="18" t="s">
        <v>196</v>
      </c>
      <c r="E112" s="17">
        <v>620095</v>
      </c>
      <c r="F112" s="18" t="s">
        <v>208</v>
      </c>
      <c r="G112" s="18">
        <v>375</v>
      </c>
      <c r="H112" s="19">
        <v>12.82</v>
      </c>
      <c r="I112" s="19">
        <f t="shared" si="2"/>
        <v>4807.5</v>
      </c>
      <c r="J112" s="23"/>
      <c r="K112" s="23"/>
      <c r="L112" s="8" t="s">
        <v>4</v>
      </c>
      <c r="M112" s="20">
        <f>VLOOKUP(H112, Intervalos!$B$3:$C$8,2,TRUE)</f>
        <v>0.03</v>
      </c>
    </row>
    <row r="113" spans="1:13" s="16" customFormat="1" ht="48" x14ac:dyDescent="0.15">
      <c r="A113" s="17" t="s">
        <v>207</v>
      </c>
      <c r="B113" s="17">
        <v>108</v>
      </c>
      <c r="C113" s="18" t="s">
        <v>154</v>
      </c>
      <c r="D113" s="18" t="s">
        <v>153</v>
      </c>
      <c r="E113" s="17">
        <v>485312</v>
      </c>
      <c r="F113" s="18" t="s">
        <v>208</v>
      </c>
      <c r="G113" s="18">
        <f>539*50</f>
        <v>26950</v>
      </c>
      <c r="H113" s="19">
        <f>6.97/50</f>
        <v>0.1394</v>
      </c>
      <c r="I113" s="19">
        <f t="shared" si="2"/>
        <v>3773.0000000000005</v>
      </c>
      <c r="J113" s="19" t="s">
        <v>207</v>
      </c>
      <c r="K113" s="19" t="s">
        <v>140</v>
      </c>
      <c r="L113" s="8" t="s">
        <v>4</v>
      </c>
      <c r="M113" s="20">
        <f>VLOOKUP(H113, Intervalos!$B$3:$C$8,2,TRUE)</f>
        <v>0.01</v>
      </c>
    </row>
    <row r="114" spans="1:13" s="16" customFormat="1" ht="60" x14ac:dyDescent="0.15">
      <c r="A114" s="17" t="s">
        <v>207</v>
      </c>
      <c r="B114" s="17">
        <v>109</v>
      </c>
      <c r="C114" s="18" t="s">
        <v>152</v>
      </c>
      <c r="D114" s="18" t="s">
        <v>153</v>
      </c>
      <c r="E114" s="17">
        <v>464231</v>
      </c>
      <c r="F114" s="18" t="s">
        <v>207</v>
      </c>
      <c r="G114" s="18">
        <f>70*50</f>
        <v>3500</v>
      </c>
      <c r="H114" s="19">
        <f>685.18/50</f>
        <v>13.7036</v>
      </c>
      <c r="I114" s="19">
        <f t="shared" si="2"/>
        <v>47950</v>
      </c>
      <c r="J114" s="19" t="s">
        <v>207</v>
      </c>
      <c r="K114" s="19" t="s">
        <v>140</v>
      </c>
      <c r="L114" s="8" t="s">
        <v>4</v>
      </c>
      <c r="M114" s="20">
        <f>VLOOKUP(H114, Intervalos!$B$3:$C$8,2,TRUE)</f>
        <v>0.03</v>
      </c>
    </row>
    <row r="115" spans="1:13" s="16" customFormat="1" ht="12" x14ac:dyDescent="0.15">
      <c r="A115" s="25">
        <v>22</v>
      </c>
      <c r="B115" s="26">
        <v>110</v>
      </c>
      <c r="C115" s="18" t="s">
        <v>84</v>
      </c>
      <c r="D115" s="18" t="s">
        <v>197</v>
      </c>
      <c r="E115" s="17">
        <v>442486</v>
      </c>
      <c r="F115" s="18" t="s">
        <v>207</v>
      </c>
      <c r="G115" s="18">
        <v>17</v>
      </c>
      <c r="H115" s="19">
        <v>485.16</v>
      </c>
      <c r="I115" s="19">
        <f t="shared" si="2"/>
        <v>8247.7200000000012</v>
      </c>
      <c r="J115" s="21">
        <f>SUM(I115:I121)</f>
        <v>36325.279999999999</v>
      </c>
      <c r="K115" s="21" t="s">
        <v>140</v>
      </c>
      <c r="L115" s="8" t="s">
        <v>4</v>
      </c>
      <c r="M115" s="20" t="str">
        <f>VLOOKUP(H115, Intervalos!$B$3:$C$8,2,TRUE)</f>
        <v>0,10%</v>
      </c>
    </row>
    <row r="116" spans="1:13" s="16" customFormat="1" ht="12" x14ac:dyDescent="0.15">
      <c r="A116" s="28"/>
      <c r="B116" s="26">
        <v>111</v>
      </c>
      <c r="C116" s="18" t="s">
        <v>198</v>
      </c>
      <c r="D116" s="18" t="s">
        <v>199</v>
      </c>
      <c r="E116" s="17">
        <v>625681</v>
      </c>
      <c r="F116" s="18" t="s">
        <v>207</v>
      </c>
      <c r="G116" s="18">
        <v>17</v>
      </c>
      <c r="H116" s="19">
        <v>26.48</v>
      </c>
      <c r="I116" s="19">
        <f t="shared" si="2"/>
        <v>450.16</v>
      </c>
      <c r="J116" s="22"/>
      <c r="K116" s="22"/>
      <c r="L116" s="8" t="s">
        <v>4</v>
      </c>
      <c r="M116" s="20">
        <f>VLOOKUP(H116, Intervalos!$B$3:$C$8,2,TRUE)</f>
        <v>0.05</v>
      </c>
    </row>
    <row r="117" spans="1:13" s="16" customFormat="1" ht="24" x14ac:dyDescent="0.15">
      <c r="A117" s="28"/>
      <c r="B117" s="26">
        <v>112</v>
      </c>
      <c r="C117" s="18" t="s">
        <v>85</v>
      </c>
      <c r="D117" s="18" t="s">
        <v>199</v>
      </c>
      <c r="E117" s="17">
        <v>625681</v>
      </c>
      <c r="F117" s="18" t="s">
        <v>207</v>
      </c>
      <c r="G117" s="18">
        <v>12</v>
      </c>
      <c r="H117" s="19">
        <v>46.15</v>
      </c>
      <c r="I117" s="19">
        <f t="shared" si="2"/>
        <v>553.79999999999995</v>
      </c>
      <c r="J117" s="22"/>
      <c r="K117" s="22"/>
      <c r="L117" s="8" t="s">
        <v>4</v>
      </c>
      <c r="M117" s="20">
        <f>VLOOKUP(H117, Intervalos!$B$3:$C$8,2,TRUE)</f>
        <v>0.05</v>
      </c>
    </row>
    <row r="118" spans="1:13" s="16" customFormat="1" ht="24" x14ac:dyDescent="0.15">
      <c r="A118" s="28"/>
      <c r="B118" s="26">
        <v>113</v>
      </c>
      <c r="C118" s="18" t="s">
        <v>86</v>
      </c>
      <c r="D118" s="18" t="s">
        <v>199</v>
      </c>
      <c r="E118" s="17">
        <v>625681</v>
      </c>
      <c r="F118" s="18" t="s">
        <v>207</v>
      </c>
      <c r="G118" s="18">
        <v>18</v>
      </c>
      <c r="H118" s="19">
        <v>122.33</v>
      </c>
      <c r="I118" s="19">
        <f t="shared" si="2"/>
        <v>2201.94</v>
      </c>
      <c r="J118" s="22"/>
      <c r="K118" s="22"/>
      <c r="L118" s="8" t="s">
        <v>4</v>
      </c>
      <c r="M118" s="20" t="str">
        <f>VLOOKUP(H118, Intervalos!$B$3:$C$8,2,TRUE)</f>
        <v>0,10%</v>
      </c>
    </row>
    <row r="119" spans="1:13" s="16" customFormat="1" ht="168" x14ac:dyDescent="0.15">
      <c r="A119" s="28"/>
      <c r="B119" s="26">
        <v>114</v>
      </c>
      <c r="C119" s="18" t="s">
        <v>87</v>
      </c>
      <c r="D119" s="18" t="s">
        <v>197</v>
      </c>
      <c r="E119" s="17">
        <v>442386</v>
      </c>
      <c r="F119" s="18" t="s">
        <v>207</v>
      </c>
      <c r="G119" s="18">
        <v>69</v>
      </c>
      <c r="H119" s="19">
        <v>223.4</v>
      </c>
      <c r="I119" s="19">
        <f t="shared" si="2"/>
        <v>15414.6</v>
      </c>
      <c r="J119" s="22"/>
      <c r="K119" s="22"/>
      <c r="L119" s="8" t="s">
        <v>4</v>
      </c>
      <c r="M119" s="20" t="str">
        <f>VLOOKUP(H119, Intervalos!$B$3:$C$8,2,TRUE)</f>
        <v>0,10%</v>
      </c>
    </row>
    <row r="120" spans="1:13" s="16" customFormat="1" ht="24" x14ac:dyDescent="0.15">
      <c r="A120" s="28"/>
      <c r="B120" s="26">
        <v>115</v>
      </c>
      <c r="C120" s="18" t="s">
        <v>88</v>
      </c>
      <c r="D120" s="18" t="s">
        <v>197</v>
      </c>
      <c r="E120" s="17">
        <v>443438</v>
      </c>
      <c r="F120" s="18" t="s">
        <v>207</v>
      </c>
      <c r="G120" s="18">
        <v>38</v>
      </c>
      <c r="H120" s="19">
        <v>131</v>
      </c>
      <c r="I120" s="19">
        <f t="shared" si="2"/>
        <v>4978</v>
      </c>
      <c r="J120" s="22"/>
      <c r="K120" s="22"/>
      <c r="L120" s="8" t="s">
        <v>4</v>
      </c>
      <c r="M120" s="20" t="str">
        <f>VLOOKUP(H120, Intervalos!$B$3:$C$8,2,TRUE)</f>
        <v>0,10%</v>
      </c>
    </row>
    <row r="121" spans="1:13" s="16" customFormat="1" ht="24" x14ac:dyDescent="0.15">
      <c r="A121" s="27"/>
      <c r="B121" s="26">
        <v>116</v>
      </c>
      <c r="C121" s="18" t="s">
        <v>89</v>
      </c>
      <c r="D121" s="18" t="s">
        <v>199</v>
      </c>
      <c r="E121" s="17">
        <v>625681</v>
      </c>
      <c r="F121" s="18" t="s">
        <v>207</v>
      </c>
      <c r="G121" s="18">
        <v>38</v>
      </c>
      <c r="H121" s="19">
        <v>117.87</v>
      </c>
      <c r="I121" s="19">
        <f t="shared" si="2"/>
        <v>4479.0600000000004</v>
      </c>
      <c r="J121" s="23"/>
      <c r="K121" s="23"/>
      <c r="L121" s="8" t="s">
        <v>4</v>
      </c>
      <c r="M121" s="20" t="str">
        <f>VLOOKUP(H121, Intervalos!$B$3:$C$8,2,TRUE)</f>
        <v>0,10%</v>
      </c>
    </row>
    <row r="122" spans="1:13" s="16" customFormat="1" ht="60" x14ac:dyDescent="0.15">
      <c r="A122" s="17" t="s">
        <v>207</v>
      </c>
      <c r="B122" s="17">
        <v>117</v>
      </c>
      <c r="C122" s="18" t="s">
        <v>90</v>
      </c>
      <c r="D122" s="18" t="s">
        <v>153</v>
      </c>
      <c r="E122" s="17">
        <v>432007</v>
      </c>
      <c r="F122" s="18" t="s">
        <v>207</v>
      </c>
      <c r="G122" s="18">
        <v>13</v>
      </c>
      <c r="H122" s="19">
        <v>22.36</v>
      </c>
      <c r="I122" s="19">
        <f t="shared" si="2"/>
        <v>290.68</v>
      </c>
      <c r="J122" s="19" t="s">
        <v>207</v>
      </c>
      <c r="K122" s="19" t="s">
        <v>140</v>
      </c>
      <c r="L122" s="8" t="s">
        <v>4</v>
      </c>
      <c r="M122" s="20">
        <f>VLOOKUP(H122, Intervalos!$B$3:$C$8,2,TRUE)</f>
        <v>0.05</v>
      </c>
    </row>
    <row r="123" spans="1:13" s="16" customFormat="1" ht="36" x14ac:dyDescent="0.15">
      <c r="A123" s="17" t="s">
        <v>207</v>
      </c>
      <c r="B123" s="17">
        <v>118</v>
      </c>
      <c r="C123" s="18" t="s">
        <v>91</v>
      </c>
      <c r="D123" s="18" t="s">
        <v>153</v>
      </c>
      <c r="E123" s="17">
        <v>468123</v>
      </c>
      <c r="F123" s="18" t="s">
        <v>208</v>
      </c>
      <c r="G123" s="18">
        <v>3</v>
      </c>
      <c r="H123" s="19">
        <v>289.12</v>
      </c>
      <c r="I123" s="19">
        <f t="shared" si="2"/>
        <v>867.36</v>
      </c>
      <c r="J123" s="19" t="s">
        <v>207</v>
      </c>
      <c r="K123" s="19" t="s">
        <v>140</v>
      </c>
      <c r="L123" s="8" t="s">
        <v>4</v>
      </c>
      <c r="M123" s="20" t="str">
        <f>VLOOKUP(H123, Intervalos!$B$3:$C$8,2,TRUE)</f>
        <v>0,10%</v>
      </c>
    </row>
    <row r="124" spans="1:13" s="16" customFormat="1" ht="12" x14ac:dyDescent="0.15">
      <c r="A124" s="17" t="s">
        <v>207</v>
      </c>
      <c r="B124" s="17">
        <v>119</v>
      </c>
      <c r="C124" s="18" t="s">
        <v>92</v>
      </c>
      <c r="D124" s="18" t="s">
        <v>153</v>
      </c>
      <c r="E124" s="17">
        <v>465100</v>
      </c>
      <c r="F124" s="18" t="s">
        <v>208</v>
      </c>
      <c r="G124" s="18">
        <v>25</v>
      </c>
      <c r="H124" s="19">
        <v>110.11</v>
      </c>
      <c r="I124" s="19">
        <f t="shared" si="2"/>
        <v>2752.75</v>
      </c>
      <c r="J124" s="19" t="s">
        <v>207</v>
      </c>
      <c r="K124" s="19" t="s">
        <v>140</v>
      </c>
      <c r="L124" s="8" t="s">
        <v>4</v>
      </c>
      <c r="M124" s="20" t="str">
        <f>VLOOKUP(H124, Intervalos!$B$3:$C$8,2,TRUE)</f>
        <v>0,10%</v>
      </c>
    </row>
    <row r="125" spans="1:13" s="16" customFormat="1" ht="36" x14ac:dyDescent="0.15">
      <c r="A125" s="25">
        <v>23</v>
      </c>
      <c r="B125" s="26">
        <v>120</v>
      </c>
      <c r="C125" s="18" t="s">
        <v>93</v>
      </c>
      <c r="D125" s="18" t="s">
        <v>153</v>
      </c>
      <c r="E125" s="17">
        <v>470526</v>
      </c>
      <c r="F125" s="18" t="s">
        <v>208</v>
      </c>
      <c r="G125" s="18">
        <v>3</v>
      </c>
      <c r="H125" s="19">
        <v>117.99</v>
      </c>
      <c r="I125" s="19">
        <f t="shared" si="2"/>
        <v>353.96999999999997</v>
      </c>
      <c r="J125" s="21">
        <f>SUM(I125:I126)</f>
        <v>726.15</v>
      </c>
      <c r="K125" s="21" t="s">
        <v>140</v>
      </c>
      <c r="L125" s="8" t="s">
        <v>4</v>
      </c>
      <c r="M125" s="20" t="str">
        <f>VLOOKUP(H125, Intervalos!$B$3:$C$8,2,TRUE)</f>
        <v>0,10%</v>
      </c>
    </row>
    <row r="126" spans="1:13" s="16" customFormat="1" ht="36" x14ac:dyDescent="0.15">
      <c r="A126" s="27"/>
      <c r="B126" s="26">
        <v>121</v>
      </c>
      <c r="C126" s="18" t="s">
        <v>151</v>
      </c>
      <c r="D126" s="18" t="s">
        <v>153</v>
      </c>
      <c r="E126" s="17">
        <v>470519</v>
      </c>
      <c r="F126" s="18" t="s">
        <v>208</v>
      </c>
      <c r="G126" s="18">
        <v>3</v>
      </c>
      <c r="H126" s="19">
        <v>124.06</v>
      </c>
      <c r="I126" s="19">
        <f t="shared" si="2"/>
        <v>372.18</v>
      </c>
      <c r="J126" s="23"/>
      <c r="K126" s="23"/>
      <c r="L126" s="8" t="s">
        <v>4</v>
      </c>
      <c r="M126" s="20" t="str">
        <f>VLOOKUP(H126, Intervalos!$B$3:$C$8,2,TRUE)</f>
        <v>0,10%</v>
      </c>
    </row>
    <row r="127" spans="1:13" s="16" customFormat="1" ht="36" x14ac:dyDescent="0.15">
      <c r="A127" s="17" t="s">
        <v>207</v>
      </c>
      <c r="B127" s="17">
        <v>122</v>
      </c>
      <c r="C127" s="18" t="s">
        <v>94</v>
      </c>
      <c r="D127" s="18" t="s">
        <v>153</v>
      </c>
      <c r="E127" s="17">
        <v>467874</v>
      </c>
      <c r="F127" s="18" t="s">
        <v>208</v>
      </c>
      <c r="G127" s="18">
        <v>4</v>
      </c>
      <c r="H127" s="19">
        <v>94.97</v>
      </c>
      <c r="I127" s="19">
        <f t="shared" si="2"/>
        <v>379.88</v>
      </c>
      <c r="J127" s="19" t="s">
        <v>207</v>
      </c>
      <c r="K127" s="19" t="s">
        <v>140</v>
      </c>
      <c r="L127" s="8" t="s">
        <v>4</v>
      </c>
      <c r="M127" s="20">
        <f>VLOOKUP(H127, Intervalos!$B$3:$C$8,2,TRUE)</f>
        <v>0.1</v>
      </c>
    </row>
    <row r="128" spans="1:13" s="16" customFormat="1" ht="12" x14ac:dyDescent="0.15">
      <c r="A128" s="25">
        <v>24</v>
      </c>
      <c r="B128" s="26">
        <v>123</v>
      </c>
      <c r="C128" s="18" t="s">
        <v>95</v>
      </c>
      <c r="D128" s="18" t="s">
        <v>153</v>
      </c>
      <c r="E128" s="17">
        <v>468013</v>
      </c>
      <c r="F128" s="18" t="s">
        <v>208</v>
      </c>
      <c r="G128" s="18">
        <v>13</v>
      </c>
      <c r="H128" s="19">
        <v>21.62</v>
      </c>
      <c r="I128" s="19">
        <f t="shared" si="2"/>
        <v>281.06</v>
      </c>
      <c r="J128" s="21">
        <f>SUM(I128:I129)</f>
        <v>862.09999999999991</v>
      </c>
      <c r="K128" s="21" t="s">
        <v>140</v>
      </c>
      <c r="L128" s="8" t="s">
        <v>4</v>
      </c>
      <c r="M128" s="20">
        <f>VLOOKUP(H128, Intervalos!$B$3:$C$8,2,TRUE)</f>
        <v>0.05</v>
      </c>
    </row>
    <row r="129" spans="1:13" s="16" customFormat="1" ht="12" x14ac:dyDescent="0.15">
      <c r="A129" s="27"/>
      <c r="B129" s="26">
        <v>124</v>
      </c>
      <c r="C129" s="18" t="s">
        <v>96</v>
      </c>
      <c r="D129" s="18" t="s">
        <v>153</v>
      </c>
      <c r="E129" s="17">
        <v>468001</v>
      </c>
      <c r="F129" s="18" t="s">
        <v>208</v>
      </c>
      <c r="G129" s="18">
        <v>27</v>
      </c>
      <c r="H129" s="19">
        <v>21.52</v>
      </c>
      <c r="I129" s="19">
        <f t="shared" si="2"/>
        <v>581.04</v>
      </c>
      <c r="J129" s="23"/>
      <c r="K129" s="23"/>
      <c r="L129" s="8" t="s">
        <v>4</v>
      </c>
      <c r="M129" s="20">
        <f>VLOOKUP(H129, Intervalos!$B$3:$C$8,2,TRUE)</f>
        <v>0.05</v>
      </c>
    </row>
    <row r="130" spans="1:13" s="16" customFormat="1" ht="24" x14ac:dyDescent="0.15">
      <c r="A130" s="25">
        <v>25</v>
      </c>
      <c r="B130" s="26">
        <v>125</v>
      </c>
      <c r="C130" s="18" t="s">
        <v>97</v>
      </c>
      <c r="D130" s="18" t="s">
        <v>153</v>
      </c>
      <c r="E130" s="17">
        <v>465097</v>
      </c>
      <c r="F130" s="18" t="s">
        <v>208</v>
      </c>
      <c r="G130" s="18">
        <v>3</v>
      </c>
      <c r="H130" s="19">
        <v>200.02</v>
      </c>
      <c r="I130" s="19">
        <f t="shared" si="2"/>
        <v>600.06000000000006</v>
      </c>
      <c r="J130" s="21">
        <f>SUM(I130:I131)</f>
        <v>1620.06</v>
      </c>
      <c r="K130" s="21" t="s">
        <v>140</v>
      </c>
      <c r="L130" s="8" t="s">
        <v>4</v>
      </c>
      <c r="M130" s="20" t="str">
        <f>VLOOKUP(H130, Intervalos!$B$3:$C$8,2,TRUE)</f>
        <v>0,10%</v>
      </c>
    </row>
    <row r="131" spans="1:13" s="16" customFormat="1" ht="24" x14ac:dyDescent="0.15">
      <c r="A131" s="27"/>
      <c r="B131" s="26">
        <v>126</v>
      </c>
      <c r="C131" s="18" t="s">
        <v>98</v>
      </c>
      <c r="D131" s="18" t="s">
        <v>153</v>
      </c>
      <c r="E131" s="17">
        <v>465097</v>
      </c>
      <c r="F131" s="18" t="s">
        <v>208</v>
      </c>
      <c r="G131" s="18">
        <v>5</v>
      </c>
      <c r="H131" s="19">
        <v>204</v>
      </c>
      <c r="I131" s="19">
        <f t="shared" si="2"/>
        <v>1020</v>
      </c>
      <c r="J131" s="23"/>
      <c r="K131" s="23"/>
      <c r="L131" s="8" t="s">
        <v>4</v>
      </c>
      <c r="M131" s="20" t="str">
        <f>VLOOKUP(H131, Intervalos!$B$3:$C$8,2,TRUE)</f>
        <v>0,10%</v>
      </c>
    </row>
    <row r="132" spans="1:13" s="16" customFormat="1" ht="24" x14ac:dyDescent="0.15">
      <c r="A132" s="25">
        <v>26</v>
      </c>
      <c r="B132" s="26">
        <v>127</v>
      </c>
      <c r="C132" s="18" t="s">
        <v>99</v>
      </c>
      <c r="D132" s="18" t="s">
        <v>153</v>
      </c>
      <c r="E132" s="17">
        <v>467783</v>
      </c>
      <c r="F132" s="18" t="s">
        <v>208</v>
      </c>
      <c r="G132" s="18">
        <v>3</v>
      </c>
      <c r="H132" s="19">
        <v>133.11000000000001</v>
      </c>
      <c r="I132" s="19">
        <f t="shared" si="2"/>
        <v>399.33000000000004</v>
      </c>
      <c r="J132" s="21">
        <f>SUM(I132:I133)</f>
        <v>1500.29</v>
      </c>
      <c r="K132" s="21" t="s">
        <v>140</v>
      </c>
      <c r="L132" s="8" t="s">
        <v>4</v>
      </c>
      <c r="M132" s="20" t="str">
        <f>VLOOKUP(H132, Intervalos!$B$3:$C$8,2,TRUE)</f>
        <v>0,10%</v>
      </c>
    </row>
    <row r="133" spans="1:13" s="16" customFormat="1" ht="24" x14ac:dyDescent="0.15">
      <c r="A133" s="27"/>
      <c r="B133" s="26">
        <v>128</v>
      </c>
      <c r="C133" s="18" t="s">
        <v>100</v>
      </c>
      <c r="D133" s="18" t="s">
        <v>153</v>
      </c>
      <c r="E133" s="17">
        <v>467789</v>
      </c>
      <c r="F133" s="18" t="s">
        <v>208</v>
      </c>
      <c r="G133" s="18">
        <v>8</v>
      </c>
      <c r="H133" s="19">
        <v>137.62</v>
      </c>
      <c r="I133" s="19">
        <f t="shared" si="2"/>
        <v>1100.96</v>
      </c>
      <c r="J133" s="23"/>
      <c r="K133" s="23"/>
      <c r="L133" s="8" t="s">
        <v>4</v>
      </c>
      <c r="M133" s="20" t="str">
        <f>VLOOKUP(H133, Intervalos!$B$3:$C$8,2,TRUE)</f>
        <v>0,10%</v>
      </c>
    </row>
    <row r="134" spans="1:13" s="16" customFormat="1" ht="24" x14ac:dyDescent="0.15">
      <c r="A134" s="17" t="s">
        <v>207</v>
      </c>
      <c r="B134" s="17">
        <v>129</v>
      </c>
      <c r="C134" s="18" t="s">
        <v>209</v>
      </c>
      <c r="D134" s="18" t="s">
        <v>153</v>
      </c>
      <c r="E134" s="17">
        <v>613991</v>
      </c>
      <c r="F134" s="18" t="s">
        <v>208</v>
      </c>
      <c r="G134" s="18">
        <v>3</v>
      </c>
      <c r="H134" s="19">
        <v>201.57</v>
      </c>
      <c r="I134" s="19">
        <f t="shared" si="2"/>
        <v>604.71</v>
      </c>
      <c r="J134" s="19" t="s">
        <v>207</v>
      </c>
      <c r="K134" s="19" t="s">
        <v>140</v>
      </c>
      <c r="L134" s="8" t="s">
        <v>4</v>
      </c>
      <c r="M134" s="20" t="str">
        <f>VLOOKUP(H134, Intervalos!$B$3:$C$8,2,TRUE)</f>
        <v>0,10%</v>
      </c>
    </row>
    <row r="135" spans="1:13" s="16" customFormat="1" ht="24" x14ac:dyDescent="0.15">
      <c r="A135" s="17" t="s">
        <v>207</v>
      </c>
      <c r="B135" s="17">
        <v>130</v>
      </c>
      <c r="C135" s="18" t="s">
        <v>101</v>
      </c>
      <c r="D135" s="18" t="s">
        <v>153</v>
      </c>
      <c r="E135" s="17">
        <v>468066</v>
      </c>
      <c r="F135" s="18" t="s">
        <v>208</v>
      </c>
      <c r="G135" s="18">
        <v>3</v>
      </c>
      <c r="H135" s="19">
        <v>75.010000000000005</v>
      </c>
      <c r="I135" s="19">
        <f t="shared" si="2"/>
        <v>225.03000000000003</v>
      </c>
      <c r="J135" s="19" t="s">
        <v>207</v>
      </c>
      <c r="K135" s="19" t="s">
        <v>140</v>
      </c>
      <c r="L135" s="8" t="s">
        <v>4</v>
      </c>
      <c r="M135" s="20">
        <f>VLOOKUP(H135, Intervalos!$B$3:$C$8,2,TRUE)</f>
        <v>0.1</v>
      </c>
    </row>
    <row r="136" spans="1:13" s="16" customFormat="1" ht="24" x14ac:dyDescent="0.15">
      <c r="A136" s="25">
        <v>27</v>
      </c>
      <c r="B136" s="26">
        <v>131</v>
      </c>
      <c r="C136" s="18" t="s">
        <v>102</v>
      </c>
      <c r="D136" s="18" t="s">
        <v>153</v>
      </c>
      <c r="E136" s="17">
        <v>601040</v>
      </c>
      <c r="F136" s="18" t="s">
        <v>208</v>
      </c>
      <c r="G136" s="18">
        <v>3</v>
      </c>
      <c r="H136" s="19">
        <v>253.73</v>
      </c>
      <c r="I136" s="19">
        <f t="shared" si="2"/>
        <v>761.18999999999994</v>
      </c>
      <c r="J136" s="21">
        <f>SUM(I136:I137)</f>
        <v>1522.3799999999999</v>
      </c>
      <c r="K136" s="19" t="s">
        <v>140</v>
      </c>
      <c r="L136" s="8" t="s">
        <v>4</v>
      </c>
      <c r="M136" s="20" t="str">
        <f>VLOOKUP(H136, Intervalos!$B$3:$C$8,2,TRUE)</f>
        <v>0,10%</v>
      </c>
    </row>
    <row r="137" spans="1:13" s="16" customFormat="1" ht="24" x14ac:dyDescent="0.15">
      <c r="A137" s="27"/>
      <c r="B137" s="26">
        <v>132</v>
      </c>
      <c r="C137" s="18" t="s">
        <v>103</v>
      </c>
      <c r="D137" s="18" t="s">
        <v>153</v>
      </c>
      <c r="E137" s="17">
        <v>601040</v>
      </c>
      <c r="F137" s="18" t="s">
        <v>208</v>
      </c>
      <c r="G137" s="18">
        <v>3</v>
      </c>
      <c r="H137" s="19">
        <v>253.73</v>
      </c>
      <c r="I137" s="19">
        <f t="shared" si="2"/>
        <v>761.18999999999994</v>
      </c>
      <c r="J137" s="23"/>
      <c r="K137" s="19" t="s">
        <v>140</v>
      </c>
      <c r="L137" s="8" t="s">
        <v>4</v>
      </c>
      <c r="M137" s="20" t="str">
        <f>VLOOKUP(H137, Intervalos!$B$3:$C$8,2,TRUE)</f>
        <v>0,10%</v>
      </c>
    </row>
    <row r="138" spans="1:13" s="16" customFormat="1" ht="12" x14ac:dyDescent="0.15">
      <c r="A138" s="17" t="s">
        <v>207</v>
      </c>
      <c r="B138" s="17">
        <v>133</v>
      </c>
      <c r="C138" s="18" t="s">
        <v>104</v>
      </c>
      <c r="D138" s="18" t="s">
        <v>153</v>
      </c>
      <c r="E138" s="17">
        <v>468069</v>
      </c>
      <c r="F138" s="18" t="s">
        <v>208</v>
      </c>
      <c r="G138" s="18">
        <v>9</v>
      </c>
      <c r="H138" s="19">
        <v>45.11</v>
      </c>
      <c r="I138" s="19">
        <f t="shared" si="2"/>
        <v>405.99</v>
      </c>
      <c r="J138" s="17" t="s">
        <v>207</v>
      </c>
      <c r="K138" s="19" t="s">
        <v>140</v>
      </c>
      <c r="L138" s="8" t="s">
        <v>4</v>
      </c>
      <c r="M138" s="20">
        <f>VLOOKUP(H138, Intervalos!$B$3:$C$8,2,TRUE)</f>
        <v>0.05</v>
      </c>
    </row>
    <row r="139" spans="1:13" s="16" customFormat="1" ht="36" x14ac:dyDescent="0.15">
      <c r="A139" s="17" t="s">
        <v>207</v>
      </c>
      <c r="B139" s="17">
        <v>134</v>
      </c>
      <c r="C139" s="18" t="s">
        <v>105</v>
      </c>
      <c r="D139" s="18" t="s">
        <v>153</v>
      </c>
      <c r="E139" s="17">
        <v>468115</v>
      </c>
      <c r="F139" s="18" t="s">
        <v>208</v>
      </c>
      <c r="G139" s="18">
        <v>3</v>
      </c>
      <c r="H139" s="19">
        <v>321.44</v>
      </c>
      <c r="I139" s="19">
        <f t="shared" si="2"/>
        <v>964.31999999999994</v>
      </c>
      <c r="J139" s="17" t="s">
        <v>207</v>
      </c>
      <c r="K139" s="19" t="s">
        <v>140</v>
      </c>
      <c r="L139" s="8" t="s">
        <v>4</v>
      </c>
      <c r="M139" s="20" t="str">
        <f>VLOOKUP(H139, Intervalos!$B$3:$C$8,2,TRUE)</f>
        <v>0,10%</v>
      </c>
    </row>
    <row r="140" spans="1:13" s="16" customFormat="1" ht="36" x14ac:dyDescent="0.15">
      <c r="A140" s="17" t="s">
        <v>207</v>
      </c>
      <c r="B140" s="17">
        <v>135</v>
      </c>
      <c r="C140" s="18" t="s">
        <v>192</v>
      </c>
      <c r="D140" s="18" t="s">
        <v>153</v>
      </c>
      <c r="E140" s="17">
        <v>471165</v>
      </c>
      <c r="F140" s="18" t="s">
        <v>208</v>
      </c>
      <c r="G140" s="18">
        <v>8</v>
      </c>
      <c r="H140" s="19">
        <v>63.18</v>
      </c>
      <c r="I140" s="19">
        <f t="shared" si="2"/>
        <v>505.44</v>
      </c>
      <c r="J140" s="19" t="s">
        <v>207</v>
      </c>
      <c r="K140" s="19" t="s">
        <v>140</v>
      </c>
      <c r="L140" s="8" t="s">
        <v>4</v>
      </c>
      <c r="M140" s="20">
        <f>VLOOKUP(H140, Intervalos!$B$3:$C$8,2,TRUE)</f>
        <v>0.1</v>
      </c>
    </row>
    <row r="141" spans="1:13" s="16" customFormat="1" ht="12" x14ac:dyDescent="0.15">
      <c r="A141" s="17" t="s">
        <v>207</v>
      </c>
      <c r="B141" s="17">
        <v>136</v>
      </c>
      <c r="C141" s="18" t="s">
        <v>150</v>
      </c>
      <c r="D141" s="18" t="s">
        <v>153</v>
      </c>
      <c r="E141" s="17">
        <v>450092</v>
      </c>
      <c r="F141" s="18" t="s">
        <v>208</v>
      </c>
      <c r="G141" s="18">
        <v>2</v>
      </c>
      <c r="H141" s="19">
        <v>138.66</v>
      </c>
      <c r="I141" s="19">
        <f t="shared" si="2"/>
        <v>277.32</v>
      </c>
      <c r="J141" s="17" t="s">
        <v>207</v>
      </c>
      <c r="K141" s="19" t="s">
        <v>140</v>
      </c>
      <c r="L141" s="8" t="s">
        <v>4</v>
      </c>
      <c r="M141" s="20" t="str">
        <f>VLOOKUP(H141, Intervalos!$B$3:$C$8,2,TRUE)</f>
        <v>0,10%</v>
      </c>
    </row>
    <row r="142" spans="1:13" s="16" customFormat="1" ht="24" x14ac:dyDescent="0.15">
      <c r="A142" s="25">
        <v>28</v>
      </c>
      <c r="B142" s="26">
        <v>137</v>
      </c>
      <c r="C142" s="18" t="s">
        <v>149</v>
      </c>
      <c r="D142" s="18" t="s">
        <v>153</v>
      </c>
      <c r="E142" s="17">
        <v>600038</v>
      </c>
      <c r="F142" s="18" t="s">
        <v>208</v>
      </c>
      <c r="G142" s="18">
        <v>13</v>
      </c>
      <c r="H142" s="19">
        <v>900</v>
      </c>
      <c r="I142" s="19">
        <f t="shared" si="2"/>
        <v>11700</v>
      </c>
      <c r="J142" s="21">
        <f>SUM(I142:I146)</f>
        <v>97025</v>
      </c>
      <c r="K142" s="21" t="s">
        <v>140</v>
      </c>
      <c r="L142" s="8" t="s">
        <v>4</v>
      </c>
      <c r="M142" s="20" t="str">
        <f>VLOOKUP(H142, Intervalos!$B$3:$C$8,2,TRUE)</f>
        <v>0,10%</v>
      </c>
    </row>
    <row r="143" spans="1:13" s="16" customFormat="1" ht="24" x14ac:dyDescent="0.15">
      <c r="A143" s="28"/>
      <c r="B143" s="26">
        <v>138</v>
      </c>
      <c r="C143" s="18" t="s">
        <v>148</v>
      </c>
      <c r="D143" s="18" t="s">
        <v>153</v>
      </c>
      <c r="E143" s="17">
        <v>600038</v>
      </c>
      <c r="F143" s="18" t="s">
        <v>208</v>
      </c>
      <c r="G143" s="18">
        <v>25</v>
      </c>
      <c r="H143" s="19">
        <v>1022.5</v>
      </c>
      <c r="I143" s="19">
        <f t="shared" si="2"/>
        <v>25562.5</v>
      </c>
      <c r="J143" s="22"/>
      <c r="K143" s="22"/>
      <c r="L143" s="8" t="s">
        <v>4</v>
      </c>
      <c r="M143" s="20" t="str">
        <f>VLOOKUP(H143, Intervalos!$B$3:$C$8,2,TRUE)</f>
        <v>0,10%</v>
      </c>
    </row>
    <row r="144" spans="1:13" s="16" customFormat="1" ht="24" x14ac:dyDescent="0.15">
      <c r="A144" s="28"/>
      <c r="B144" s="26">
        <v>139</v>
      </c>
      <c r="C144" s="18" t="s">
        <v>147</v>
      </c>
      <c r="D144" s="18" t="s">
        <v>153</v>
      </c>
      <c r="E144" s="17">
        <v>600040</v>
      </c>
      <c r="F144" s="18" t="s">
        <v>208</v>
      </c>
      <c r="G144" s="18">
        <v>25</v>
      </c>
      <c r="H144" s="19">
        <v>1022.5</v>
      </c>
      <c r="I144" s="19">
        <f t="shared" si="2"/>
        <v>25562.5</v>
      </c>
      <c r="J144" s="22"/>
      <c r="K144" s="22"/>
      <c r="L144" s="8" t="s">
        <v>4</v>
      </c>
      <c r="M144" s="20" t="str">
        <f>VLOOKUP(H144, Intervalos!$B$3:$C$8,2,TRUE)</f>
        <v>0,10%</v>
      </c>
    </row>
    <row r="145" spans="1:13" s="16" customFormat="1" ht="24" x14ac:dyDescent="0.15">
      <c r="A145" s="28"/>
      <c r="B145" s="26">
        <v>140</v>
      </c>
      <c r="C145" s="18" t="s">
        <v>146</v>
      </c>
      <c r="D145" s="18" t="s">
        <v>153</v>
      </c>
      <c r="E145" s="17">
        <v>600040</v>
      </c>
      <c r="F145" s="18" t="s">
        <v>208</v>
      </c>
      <c r="G145" s="18">
        <v>25</v>
      </c>
      <c r="H145" s="19">
        <v>900</v>
      </c>
      <c r="I145" s="19">
        <f t="shared" si="2"/>
        <v>22500</v>
      </c>
      <c r="J145" s="22"/>
      <c r="K145" s="22"/>
      <c r="L145" s="8" t="s">
        <v>4</v>
      </c>
      <c r="M145" s="20" t="str">
        <f>VLOOKUP(H145, Intervalos!$B$3:$C$8,2,TRUE)</f>
        <v>0,10%</v>
      </c>
    </row>
    <row r="146" spans="1:13" s="16" customFormat="1" ht="24" x14ac:dyDescent="0.15">
      <c r="A146" s="27"/>
      <c r="B146" s="26">
        <v>141</v>
      </c>
      <c r="C146" s="18" t="s">
        <v>145</v>
      </c>
      <c r="D146" s="18" t="s">
        <v>153</v>
      </c>
      <c r="E146" s="17">
        <v>600040</v>
      </c>
      <c r="F146" s="18" t="s">
        <v>208</v>
      </c>
      <c r="G146" s="18">
        <v>13</v>
      </c>
      <c r="H146" s="19">
        <v>900</v>
      </c>
      <c r="I146" s="19">
        <f t="shared" si="2"/>
        <v>11700</v>
      </c>
      <c r="J146" s="23"/>
      <c r="K146" s="23"/>
      <c r="L146" s="8" t="s">
        <v>4</v>
      </c>
      <c r="M146" s="20" t="str">
        <f>VLOOKUP(H146, Intervalos!$B$3:$C$8,2,TRUE)</f>
        <v>0,10%</v>
      </c>
    </row>
    <row r="147" spans="1:13" s="16" customFormat="1" ht="36" x14ac:dyDescent="0.15">
      <c r="A147" s="17" t="s">
        <v>207</v>
      </c>
      <c r="B147" s="17">
        <v>142</v>
      </c>
      <c r="C147" s="18" t="s">
        <v>106</v>
      </c>
      <c r="D147" s="18" t="s">
        <v>200</v>
      </c>
      <c r="E147" s="17">
        <v>436856</v>
      </c>
      <c r="F147" s="18" t="s">
        <v>208</v>
      </c>
      <c r="G147" s="18">
        <v>998</v>
      </c>
      <c r="H147" s="19">
        <v>20.63</v>
      </c>
      <c r="I147" s="19">
        <f t="shared" si="2"/>
        <v>20588.739999999998</v>
      </c>
      <c r="J147" s="19" t="s">
        <v>207</v>
      </c>
      <c r="K147" s="19" t="s">
        <v>140</v>
      </c>
      <c r="L147" s="8" t="s">
        <v>4</v>
      </c>
      <c r="M147" s="20">
        <f>VLOOKUP(H147, Intervalos!$B$3:$C$8,2,TRUE)</f>
        <v>0.05</v>
      </c>
    </row>
    <row r="148" spans="1:13" s="16" customFormat="1" ht="36" x14ac:dyDescent="0.15">
      <c r="A148" s="25">
        <v>29</v>
      </c>
      <c r="B148" s="26">
        <v>143</v>
      </c>
      <c r="C148" s="18" t="s">
        <v>107</v>
      </c>
      <c r="D148" s="18" t="s">
        <v>153</v>
      </c>
      <c r="E148" s="17">
        <v>450950</v>
      </c>
      <c r="F148" s="18" t="s">
        <v>208</v>
      </c>
      <c r="G148" s="18">
        <v>3</v>
      </c>
      <c r="H148" s="19">
        <v>377.38</v>
      </c>
      <c r="I148" s="19">
        <f t="shared" si="2"/>
        <v>1132.1399999999999</v>
      </c>
      <c r="J148" s="21">
        <f>SUM(I148:I151)</f>
        <v>4528.5599999999995</v>
      </c>
      <c r="K148" s="21" t="s">
        <v>140</v>
      </c>
      <c r="L148" s="8" t="s">
        <v>4</v>
      </c>
      <c r="M148" s="20" t="str">
        <f>VLOOKUP(H148, Intervalos!$B$3:$C$8,2,TRUE)</f>
        <v>0,10%</v>
      </c>
    </row>
    <row r="149" spans="1:13" s="16" customFormat="1" ht="36" x14ac:dyDescent="0.15">
      <c r="A149" s="28"/>
      <c r="B149" s="26">
        <v>144</v>
      </c>
      <c r="C149" s="18" t="s">
        <v>108</v>
      </c>
      <c r="D149" s="18" t="s">
        <v>153</v>
      </c>
      <c r="E149" s="17">
        <v>450939</v>
      </c>
      <c r="F149" s="18" t="s">
        <v>208</v>
      </c>
      <c r="G149" s="18">
        <v>3</v>
      </c>
      <c r="H149" s="19">
        <v>377.38</v>
      </c>
      <c r="I149" s="19">
        <f t="shared" si="2"/>
        <v>1132.1399999999999</v>
      </c>
      <c r="J149" s="22"/>
      <c r="K149" s="22"/>
      <c r="L149" s="8" t="s">
        <v>4</v>
      </c>
      <c r="M149" s="20" t="str">
        <f>VLOOKUP(H149, Intervalos!$B$3:$C$8,2,TRUE)</f>
        <v>0,10%</v>
      </c>
    </row>
    <row r="150" spans="1:13" s="16" customFormat="1" ht="36" x14ac:dyDescent="0.15">
      <c r="A150" s="28"/>
      <c r="B150" s="26">
        <v>145</v>
      </c>
      <c r="C150" s="18" t="s">
        <v>109</v>
      </c>
      <c r="D150" s="18" t="s">
        <v>153</v>
      </c>
      <c r="E150" s="17">
        <v>450938</v>
      </c>
      <c r="F150" s="18" t="s">
        <v>208</v>
      </c>
      <c r="G150" s="18">
        <v>3</v>
      </c>
      <c r="H150" s="19">
        <v>377.38</v>
      </c>
      <c r="I150" s="19">
        <f t="shared" si="2"/>
        <v>1132.1399999999999</v>
      </c>
      <c r="J150" s="22"/>
      <c r="K150" s="22"/>
      <c r="L150" s="8" t="s">
        <v>4</v>
      </c>
      <c r="M150" s="20" t="str">
        <f>VLOOKUP(H150, Intervalos!$B$3:$C$8,2,TRUE)</f>
        <v>0,10%</v>
      </c>
    </row>
    <row r="151" spans="1:13" s="16" customFormat="1" ht="36" x14ac:dyDescent="0.15">
      <c r="A151" s="27"/>
      <c r="B151" s="26">
        <v>146</v>
      </c>
      <c r="C151" s="18" t="s">
        <v>110</v>
      </c>
      <c r="D151" s="18" t="s">
        <v>153</v>
      </c>
      <c r="E151" s="17">
        <v>450938</v>
      </c>
      <c r="F151" s="18" t="s">
        <v>208</v>
      </c>
      <c r="G151" s="18">
        <v>3</v>
      </c>
      <c r="H151" s="19">
        <v>377.38</v>
      </c>
      <c r="I151" s="19">
        <f t="shared" si="2"/>
        <v>1132.1399999999999</v>
      </c>
      <c r="J151" s="23"/>
      <c r="K151" s="23"/>
      <c r="L151" s="8" t="s">
        <v>4</v>
      </c>
      <c r="M151" s="20" t="str">
        <f>VLOOKUP(H151, Intervalos!$B$3:$C$8,2,TRUE)</f>
        <v>0,10%</v>
      </c>
    </row>
    <row r="152" spans="1:13" s="16" customFormat="1" ht="36" x14ac:dyDescent="0.15">
      <c r="A152" s="17" t="s">
        <v>207</v>
      </c>
      <c r="B152" s="17">
        <v>147</v>
      </c>
      <c r="C152" s="18" t="s">
        <v>111</v>
      </c>
      <c r="D152" s="18" t="s">
        <v>153</v>
      </c>
      <c r="E152" s="17">
        <v>471678</v>
      </c>
      <c r="F152" s="18" t="s">
        <v>208</v>
      </c>
      <c r="G152" s="18">
        <v>3</v>
      </c>
      <c r="H152" s="19">
        <v>290.52</v>
      </c>
      <c r="I152" s="19">
        <f t="shared" si="2"/>
        <v>871.56</v>
      </c>
      <c r="J152" s="19" t="s">
        <v>207</v>
      </c>
      <c r="K152" s="19" t="s">
        <v>140</v>
      </c>
      <c r="L152" s="8" t="s">
        <v>4</v>
      </c>
      <c r="M152" s="20" t="str">
        <f>VLOOKUP(H152, Intervalos!$B$3:$C$8,2,TRUE)</f>
        <v>0,10%</v>
      </c>
    </row>
    <row r="153" spans="1:13" s="16" customFormat="1" ht="24" x14ac:dyDescent="0.15">
      <c r="A153" s="17" t="s">
        <v>207</v>
      </c>
      <c r="B153" s="17">
        <v>148</v>
      </c>
      <c r="C153" s="18" t="s">
        <v>112</v>
      </c>
      <c r="D153" s="18" t="s">
        <v>153</v>
      </c>
      <c r="E153" s="17">
        <v>471567</v>
      </c>
      <c r="F153" s="18" t="s">
        <v>208</v>
      </c>
      <c r="G153" s="18">
        <v>28</v>
      </c>
      <c r="H153" s="19">
        <v>44.12</v>
      </c>
      <c r="I153" s="19">
        <f t="shared" si="2"/>
        <v>1235.3599999999999</v>
      </c>
      <c r="J153" s="19" t="s">
        <v>207</v>
      </c>
      <c r="K153" s="19" t="s">
        <v>140</v>
      </c>
      <c r="L153" s="8" t="s">
        <v>4</v>
      </c>
      <c r="M153" s="20">
        <f>VLOOKUP(H153, Intervalos!$B$3:$C$8,2,TRUE)</f>
        <v>0.05</v>
      </c>
    </row>
    <row r="154" spans="1:13" s="16" customFormat="1" ht="24" x14ac:dyDescent="0.15">
      <c r="A154" s="17" t="s">
        <v>207</v>
      </c>
      <c r="B154" s="17">
        <v>149</v>
      </c>
      <c r="C154" s="18" t="s">
        <v>113</v>
      </c>
      <c r="D154" s="18" t="s">
        <v>153</v>
      </c>
      <c r="E154" s="17">
        <v>471596</v>
      </c>
      <c r="F154" s="18" t="s">
        <v>208</v>
      </c>
      <c r="G154" s="18">
        <v>9</v>
      </c>
      <c r="H154" s="19">
        <v>44.84</v>
      </c>
      <c r="I154" s="19">
        <f t="shared" si="2"/>
        <v>403.56000000000006</v>
      </c>
      <c r="J154" s="19" t="s">
        <v>207</v>
      </c>
      <c r="K154" s="19" t="s">
        <v>140</v>
      </c>
      <c r="L154" s="8" t="s">
        <v>4</v>
      </c>
      <c r="M154" s="20">
        <f>VLOOKUP(H154, Intervalos!$B$3:$C$8,2,TRUE)</f>
        <v>0.05</v>
      </c>
    </row>
    <row r="155" spans="1:13" s="16" customFormat="1" ht="12" x14ac:dyDescent="0.15">
      <c r="A155" s="17" t="s">
        <v>207</v>
      </c>
      <c r="B155" s="17">
        <v>150</v>
      </c>
      <c r="C155" s="18" t="s">
        <v>114</v>
      </c>
      <c r="D155" s="18" t="s">
        <v>153</v>
      </c>
      <c r="E155" s="17">
        <v>471593</v>
      </c>
      <c r="F155" s="18" t="s">
        <v>208</v>
      </c>
      <c r="G155" s="18">
        <v>3</v>
      </c>
      <c r="H155" s="19">
        <v>70.58</v>
      </c>
      <c r="I155" s="19">
        <f t="shared" si="2"/>
        <v>211.74</v>
      </c>
      <c r="J155" s="19" t="s">
        <v>207</v>
      </c>
      <c r="K155" s="19" t="s">
        <v>140</v>
      </c>
      <c r="L155" s="8" t="s">
        <v>4</v>
      </c>
      <c r="M155" s="20">
        <f>VLOOKUP(H155, Intervalos!$B$3:$C$8,2,TRUE)</f>
        <v>0.1</v>
      </c>
    </row>
    <row r="156" spans="1:13" s="16" customFormat="1" ht="12" x14ac:dyDescent="0.15">
      <c r="A156" s="17" t="s">
        <v>207</v>
      </c>
      <c r="B156" s="17">
        <v>151</v>
      </c>
      <c r="C156" s="18" t="s">
        <v>115</v>
      </c>
      <c r="D156" s="18" t="s">
        <v>153</v>
      </c>
      <c r="E156" s="17">
        <v>471592</v>
      </c>
      <c r="F156" s="18" t="s">
        <v>208</v>
      </c>
      <c r="G156" s="18">
        <v>7</v>
      </c>
      <c r="H156" s="19">
        <v>40.200000000000003</v>
      </c>
      <c r="I156" s="19">
        <f t="shared" si="2"/>
        <v>281.40000000000003</v>
      </c>
      <c r="J156" s="19" t="s">
        <v>207</v>
      </c>
      <c r="K156" s="19" t="s">
        <v>140</v>
      </c>
      <c r="L156" s="8" t="s">
        <v>4</v>
      </c>
      <c r="M156" s="20">
        <f>VLOOKUP(H156, Intervalos!$B$3:$C$8,2,TRUE)</f>
        <v>0.05</v>
      </c>
    </row>
    <row r="157" spans="1:13" s="16" customFormat="1" ht="12" x14ac:dyDescent="0.15">
      <c r="A157" s="17" t="s">
        <v>207</v>
      </c>
      <c r="B157" s="17">
        <v>152</v>
      </c>
      <c r="C157" s="18" t="s">
        <v>116</v>
      </c>
      <c r="D157" s="18" t="s">
        <v>153</v>
      </c>
      <c r="E157" s="17">
        <v>471595</v>
      </c>
      <c r="F157" s="18" t="s">
        <v>208</v>
      </c>
      <c r="G157" s="18">
        <v>13</v>
      </c>
      <c r="H157" s="19">
        <v>52.62</v>
      </c>
      <c r="I157" s="19">
        <f t="shared" si="2"/>
        <v>684.06</v>
      </c>
      <c r="J157" s="19" t="s">
        <v>207</v>
      </c>
      <c r="K157" s="19" t="s">
        <v>140</v>
      </c>
      <c r="L157" s="8" t="s">
        <v>4</v>
      </c>
      <c r="M157" s="20">
        <f>VLOOKUP(H157, Intervalos!$B$3:$C$8,2,TRUE)</f>
        <v>0.1</v>
      </c>
    </row>
    <row r="158" spans="1:13" s="16" customFormat="1" ht="12" x14ac:dyDescent="0.15">
      <c r="A158" s="17" t="s">
        <v>207</v>
      </c>
      <c r="B158" s="17">
        <v>153</v>
      </c>
      <c r="C158" s="18" t="s">
        <v>117</v>
      </c>
      <c r="D158" s="18" t="s">
        <v>153</v>
      </c>
      <c r="E158" s="17">
        <v>471563</v>
      </c>
      <c r="F158" s="18" t="s">
        <v>208</v>
      </c>
      <c r="G158" s="18">
        <v>28</v>
      </c>
      <c r="H158" s="19">
        <v>47.68</v>
      </c>
      <c r="I158" s="19">
        <f t="shared" si="2"/>
        <v>1335.04</v>
      </c>
      <c r="J158" s="19" t="s">
        <v>207</v>
      </c>
      <c r="K158" s="19" t="s">
        <v>140</v>
      </c>
      <c r="L158" s="8" t="s">
        <v>4</v>
      </c>
      <c r="M158" s="20">
        <f>VLOOKUP(H158, Intervalos!$B$3:$C$8,2,TRUE)</f>
        <v>0.05</v>
      </c>
    </row>
    <row r="159" spans="1:13" s="16" customFormat="1" ht="24" x14ac:dyDescent="0.15">
      <c r="A159" s="17" t="s">
        <v>207</v>
      </c>
      <c r="B159" s="17">
        <v>154</v>
      </c>
      <c r="C159" s="18" t="s">
        <v>118</v>
      </c>
      <c r="D159" s="18" t="s">
        <v>153</v>
      </c>
      <c r="E159" s="17">
        <v>471612</v>
      </c>
      <c r="F159" s="18" t="s">
        <v>208</v>
      </c>
      <c r="G159" s="18">
        <v>63</v>
      </c>
      <c r="H159" s="19">
        <v>40.270000000000003</v>
      </c>
      <c r="I159" s="19">
        <f t="shared" si="2"/>
        <v>2537.0100000000002</v>
      </c>
      <c r="J159" s="19" t="s">
        <v>207</v>
      </c>
      <c r="K159" s="19" t="s">
        <v>140</v>
      </c>
      <c r="L159" s="8" t="s">
        <v>4</v>
      </c>
      <c r="M159" s="20">
        <f>VLOOKUP(H159, Intervalos!$B$3:$C$8,2,TRUE)</f>
        <v>0.05</v>
      </c>
    </row>
    <row r="160" spans="1:13" s="16" customFormat="1" ht="24" x14ac:dyDescent="0.15">
      <c r="A160" s="25">
        <v>30</v>
      </c>
      <c r="B160" s="26">
        <v>155</v>
      </c>
      <c r="C160" s="18" t="s">
        <v>119</v>
      </c>
      <c r="D160" s="18" t="s">
        <v>153</v>
      </c>
      <c r="E160" s="17">
        <v>469314</v>
      </c>
      <c r="F160" s="18" t="s">
        <v>208</v>
      </c>
      <c r="G160" s="18">
        <v>63</v>
      </c>
      <c r="H160" s="19">
        <v>266.33</v>
      </c>
      <c r="I160" s="19">
        <f t="shared" si="2"/>
        <v>16778.789999999997</v>
      </c>
      <c r="J160" s="21">
        <f>SUM(I160:I162)</f>
        <v>50336.369999999995</v>
      </c>
      <c r="K160" s="21" t="s">
        <v>140</v>
      </c>
      <c r="L160" s="8" t="s">
        <v>4</v>
      </c>
      <c r="M160" s="20" t="str">
        <f>VLOOKUP(H160, Intervalos!$B$3:$C$8,2,TRUE)</f>
        <v>0,10%</v>
      </c>
    </row>
    <row r="161" spans="1:13" s="16" customFormat="1" ht="24" x14ac:dyDescent="0.15">
      <c r="A161" s="28"/>
      <c r="B161" s="26">
        <v>156</v>
      </c>
      <c r="C161" s="18" t="s">
        <v>120</v>
      </c>
      <c r="D161" s="18" t="s">
        <v>153</v>
      </c>
      <c r="E161" s="17">
        <v>457453</v>
      </c>
      <c r="F161" s="18" t="s">
        <v>208</v>
      </c>
      <c r="G161" s="18">
        <v>63</v>
      </c>
      <c r="H161" s="19">
        <v>266.33</v>
      </c>
      <c r="I161" s="19">
        <f t="shared" si="2"/>
        <v>16778.789999999997</v>
      </c>
      <c r="J161" s="22"/>
      <c r="K161" s="22"/>
      <c r="L161" s="8" t="s">
        <v>4</v>
      </c>
      <c r="M161" s="20" t="str">
        <f>VLOOKUP(H161, Intervalos!$B$3:$C$8,2,TRUE)</f>
        <v>0,10%</v>
      </c>
    </row>
    <row r="162" spans="1:13" s="16" customFormat="1" ht="24" x14ac:dyDescent="0.15">
      <c r="A162" s="27"/>
      <c r="B162" s="26">
        <v>157</v>
      </c>
      <c r="C162" s="18" t="s">
        <v>121</v>
      </c>
      <c r="D162" s="18" t="s">
        <v>153</v>
      </c>
      <c r="E162" s="17">
        <v>457453</v>
      </c>
      <c r="F162" s="18" t="s">
        <v>208</v>
      </c>
      <c r="G162" s="18">
        <v>63</v>
      </c>
      <c r="H162" s="19">
        <v>266.33</v>
      </c>
      <c r="I162" s="19">
        <f t="shared" si="2"/>
        <v>16778.789999999997</v>
      </c>
      <c r="J162" s="23"/>
      <c r="K162" s="23"/>
      <c r="L162" s="8" t="s">
        <v>4</v>
      </c>
      <c r="M162" s="20" t="str">
        <f>VLOOKUP(H162, Intervalos!$B$3:$C$8,2,TRUE)</f>
        <v>0,10%</v>
      </c>
    </row>
    <row r="163" spans="1:13" s="16" customFormat="1" ht="48" x14ac:dyDescent="0.15">
      <c r="A163" s="25">
        <v>31</v>
      </c>
      <c r="B163" s="26">
        <v>158</v>
      </c>
      <c r="C163" s="18" t="s">
        <v>122</v>
      </c>
      <c r="D163" s="18" t="s">
        <v>153</v>
      </c>
      <c r="E163" s="17">
        <v>451395</v>
      </c>
      <c r="F163" s="18" t="s">
        <v>208</v>
      </c>
      <c r="G163" s="18">
        <v>26</v>
      </c>
      <c r="H163" s="19">
        <v>7.99</v>
      </c>
      <c r="I163" s="19">
        <f t="shared" si="2"/>
        <v>207.74</v>
      </c>
      <c r="J163" s="21">
        <f>SUM(I163:I179)</f>
        <v>10633.250000000004</v>
      </c>
      <c r="K163" s="21" t="s">
        <v>140</v>
      </c>
      <c r="L163" s="8" t="s">
        <v>4</v>
      </c>
      <c r="M163" s="20">
        <f>VLOOKUP(H163, Intervalos!$B$3:$C$8,2,TRUE)</f>
        <v>0.02</v>
      </c>
    </row>
    <row r="164" spans="1:13" s="16" customFormat="1" ht="48" x14ac:dyDescent="0.15">
      <c r="A164" s="28"/>
      <c r="B164" s="26">
        <v>159</v>
      </c>
      <c r="C164" s="18" t="s">
        <v>123</v>
      </c>
      <c r="D164" s="18" t="s">
        <v>153</v>
      </c>
      <c r="E164" s="17">
        <v>451245</v>
      </c>
      <c r="F164" s="18" t="s">
        <v>208</v>
      </c>
      <c r="G164" s="18">
        <v>44</v>
      </c>
      <c r="H164" s="19">
        <v>7.99</v>
      </c>
      <c r="I164" s="19">
        <f t="shared" si="2"/>
        <v>351.56</v>
      </c>
      <c r="J164" s="22"/>
      <c r="K164" s="22"/>
      <c r="L164" s="8" t="s">
        <v>4</v>
      </c>
      <c r="M164" s="20">
        <f>VLOOKUP(H164, Intervalos!$B$3:$C$8,2,TRUE)</f>
        <v>0.02</v>
      </c>
    </row>
    <row r="165" spans="1:13" s="16" customFormat="1" ht="48" x14ac:dyDescent="0.15">
      <c r="A165" s="28"/>
      <c r="B165" s="26">
        <v>160</v>
      </c>
      <c r="C165" s="18" t="s">
        <v>124</v>
      </c>
      <c r="D165" s="18" t="s">
        <v>153</v>
      </c>
      <c r="E165" s="17">
        <v>451232</v>
      </c>
      <c r="F165" s="18" t="s">
        <v>208</v>
      </c>
      <c r="G165" s="18">
        <v>69</v>
      </c>
      <c r="H165" s="19">
        <v>7.99</v>
      </c>
      <c r="I165" s="19">
        <f t="shared" si="2"/>
        <v>551.31000000000006</v>
      </c>
      <c r="J165" s="22"/>
      <c r="K165" s="22"/>
      <c r="L165" s="8" t="s">
        <v>4</v>
      </c>
      <c r="M165" s="20">
        <f>VLOOKUP(H165, Intervalos!$B$3:$C$8,2,TRUE)</f>
        <v>0.02</v>
      </c>
    </row>
    <row r="166" spans="1:13" s="16" customFormat="1" ht="48" x14ac:dyDescent="0.15">
      <c r="A166" s="28"/>
      <c r="B166" s="26">
        <v>161</v>
      </c>
      <c r="C166" s="18" t="s">
        <v>125</v>
      </c>
      <c r="D166" s="18" t="s">
        <v>153</v>
      </c>
      <c r="E166" s="17">
        <v>451230</v>
      </c>
      <c r="F166" s="18" t="s">
        <v>208</v>
      </c>
      <c r="G166" s="18">
        <v>107</v>
      </c>
      <c r="H166" s="19">
        <v>7.99</v>
      </c>
      <c r="I166" s="19">
        <f t="shared" si="2"/>
        <v>854.93000000000006</v>
      </c>
      <c r="J166" s="22"/>
      <c r="K166" s="22"/>
      <c r="L166" s="8" t="s">
        <v>4</v>
      </c>
      <c r="M166" s="20">
        <f>VLOOKUP(H166, Intervalos!$B$3:$C$8,2,TRUE)</f>
        <v>0.02</v>
      </c>
    </row>
    <row r="167" spans="1:13" s="16" customFormat="1" ht="48" x14ac:dyDescent="0.15">
      <c r="A167" s="28"/>
      <c r="B167" s="26">
        <v>162</v>
      </c>
      <c r="C167" s="18" t="s">
        <v>126</v>
      </c>
      <c r="D167" s="18" t="s">
        <v>153</v>
      </c>
      <c r="E167" s="17">
        <v>451215</v>
      </c>
      <c r="F167" s="18" t="s">
        <v>208</v>
      </c>
      <c r="G167" s="18">
        <v>107</v>
      </c>
      <c r="H167" s="19">
        <v>7.99</v>
      </c>
      <c r="I167" s="19">
        <f t="shared" si="2"/>
        <v>854.93000000000006</v>
      </c>
      <c r="J167" s="22"/>
      <c r="K167" s="22"/>
      <c r="L167" s="8" t="s">
        <v>4</v>
      </c>
      <c r="M167" s="20">
        <f>VLOOKUP(H167, Intervalos!$B$3:$C$8,2,TRUE)</f>
        <v>0.02</v>
      </c>
    </row>
    <row r="168" spans="1:13" s="16" customFormat="1" ht="48" x14ac:dyDescent="0.15">
      <c r="A168" s="28"/>
      <c r="B168" s="26">
        <v>163</v>
      </c>
      <c r="C168" s="18" t="s">
        <v>127</v>
      </c>
      <c r="D168" s="18" t="s">
        <v>153</v>
      </c>
      <c r="E168" s="17">
        <v>451216</v>
      </c>
      <c r="F168" s="18" t="s">
        <v>208</v>
      </c>
      <c r="G168" s="18">
        <v>69</v>
      </c>
      <c r="H168" s="19">
        <v>7.99</v>
      </c>
      <c r="I168" s="19">
        <f t="shared" si="2"/>
        <v>551.31000000000006</v>
      </c>
      <c r="J168" s="22"/>
      <c r="K168" s="22"/>
      <c r="L168" s="8" t="s">
        <v>4</v>
      </c>
      <c r="M168" s="20">
        <f>VLOOKUP(H168, Intervalos!$B$3:$C$8,2,TRUE)</f>
        <v>0.02</v>
      </c>
    </row>
    <row r="169" spans="1:13" s="16" customFormat="1" ht="48" x14ac:dyDescent="0.15">
      <c r="A169" s="28"/>
      <c r="B169" s="26">
        <v>164</v>
      </c>
      <c r="C169" s="18" t="s">
        <v>128</v>
      </c>
      <c r="D169" s="18" t="s">
        <v>153</v>
      </c>
      <c r="E169" s="17">
        <v>451231</v>
      </c>
      <c r="F169" s="18" t="s">
        <v>208</v>
      </c>
      <c r="G169" s="18">
        <v>69</v>
      </c>
      <c r="H169" s="19">
        <v>7.99</v>
      </c>
      <c r="I169" s="19">
        <f t="shared" si="2"/>
        <v>551.31000000000006</v>
      </c>
      <c r="J169" s="22"/>
      <c r="K169" s="22"/>
      <c r="L169" s="8" t="s">
        <v>4</v>
      </c>
      <c r="M169" s="20">
        <f>VLOOKUP(H169, Intervalos!$B$3:$C$8,2,TRUE)</f>
        <v>0.02</v>
      </c>
    </row>
    <row r="170" spans="1:13" s="16" customFormat="1" ht="48" x14ac:dyDescent="0.15">
      <c r="A170" s="28"/>
      <c r="B170" s="26">
        <v>165</v>
      </c>
      <c r="C170" s="18" t="s">
        <v>129</v>
      </c>
      <c r="D170" s="18" t="s">
        <v>153</v>
      </c>
      <c r="E170" s="17">
        <v>451388</v>
      </c>
      <c r="F170" s="18" t="s">
        <v>208</v>
      </c>
      <c r="G170" s="18">
        <v>132</v>
      </c>
      <c r="H170" s="19">
        <v>7.99</v>
      </c>
      <c r="I170" s="19">
        <f t="shared" si="2"/>
        <v>1054.68</v>
      </c>
      <c r="J170" s="22"/>
      <c r="K170" s="22"/>
      <c r="L170" s="8" t="s">
        <v>4</v>
      </c>
      <c r="M170" s="20">
        <f>VLOOKUP(H170, Intervalos!$B$3:$C$8,2,TRUE)</f>
        <v>0.02</v>
      </c>
    </row>
    <row r="171" spans="1:13" s="16" customFormat="1" ht="48" x14ac:dyDescent="0.15">
      <c r="A171" s="28"/>
      <c r="B171" s="26">
        <v>166</v>
      </c>
      <c r="C171" s="18" t="s">
        <v>130</v>
      </c>
      <c r="D171" s="18" t="s">
        <v>153</v>
      </c>
      <c r="E171" s="17">
        <v>451392</v>
      </c>
      <c r="F171" s="18" t="s">
        <v>208</v>
      </c>
      <c r="G171" s="18">
        <v>125</v>
      </c>
      <c r="H171" s="19">
        <v>7.99</v>
      </c>
      <c r="I171" s="19">
        <f t="shared" si="2"/>
        <v>998.75</v>
      </c>
      <c r="J171" s="22"/>
      <c r="K171" s="22"/>
      <c r="L171" s="8" t="s">
        <v>4</v>
      </c>
      <c r="M171" s="20">
        <f>VLOOKUP(H171, Intervalos!$B$3:$C$8,2,TRUE)</f>
        <v>0.02</v>
      </c>
    </row>
    <row r="172" spans="1:13" s="16" customFormat="1" ht="48" x14ac:dyDescent="0.15">
      <c r="A172" s="28"/>
      <c r="B172" s="26">
        <v>167</v>
      </c>
      <c r="C172" s="18" t="s">
        <v>131</v>
      </c>
      <c r="D172" s="18" t="s">
        <v>153</v>
      </c>
      <c r="E172" s="17">
        <v>451393</v>
      </c>
      <c r="F172" s="18" t="s">
        <v>208</v>
      </c>
      <c r="G172" s="18">
        <v>125</v>
      </c>
      <c r="H172" s="19">
        <v>7.99</v>
      </c>
      <c r="I172" s="19">
        <f t="shared" si="2"/>
        <v>998.75</v>
      </c>
      <c r="J172" s="22"/>
      <c r="K172" s="22"/>
      <c r="L172" s="8" t="s">
        <v>4</v>
      </c>
      <c r="M172" s="20">
        <f>VLOOKUP(H172, Intervalos!$B$3:$C$8,2,TRUE)</f>
        <v>0.02</v>
      </c>
    </row>
    <row r="173" spans="1:13" s="16" customFormat="1" ht="48" x14ac:dyDescent="0.15">
      <c r="A173" s="28"/>
      <c r="B173" s="26">
        <v>168</v>
      </c>
      <c r="C173" s="18" t="s">
        <v>132</v>
      </c>
      <c r="D173" s="18" t="s">
        <v>153</v>
      </c>
      <c r="E173" s="17">
        <v>451394</v>
      </c>
      <c r="F173" s="18" t="s">
        <v>208</v>
      </c>
      <c r="G173" s="18">
        <v>125</v>
      </c>
      <c r="H173" s="19">
        <v>7.99</v>
      </c>
      <c r="I173" s="19">
        <f t="shared" si="2"/>
        <v>998.75</v>
      </c>
      <c r="J173" s="22"/>
      <c r="K173" s="22"/>
      <c r="L173" s="8" t="s">
        <v>4</v>
      </c>
      <c r="M173" s="20">
        <f>VLOOKUP(H173, Intervalos!$B$3:$C$8,2,TRUE)</f>
        <v>0.02</v>
      </c>
    </row>
    <row r="174" spans="1:13" s="16" customFormat="1" ht="48" x14ac:dyDescent="0.15">
      <c r="A174" s="28"/>
      <c r="B174" s="26">
        <v>169</v>
      </c>
      <c r="C174" s="18" t="s">
        <v>133</v>
      </c>
      <c r="D174" s="18" t="s">
        <v>153</v>
      </c>
      <c r="E174" s="17">
        <v>451391</v>
      </c>
      <c r="F174" s="18" t="s">
        <v>208</v>
      </c>
      <c r="G174" s="18">
        <v>100</v>
      </c>
      <c r="H174" s="19">
        <v>7.99</v>
      </c>
      <c r="I174" s="19">
        <f t="shared" si="2"/>
        <v>799</v>
      </c>
      <c r="J174" s="22"/>
      <c r="K174" s="22"/>
      <c r="L174" s="8" t="s">
        <v>4</v>
      </c>
      <c r="M174" s="20">
        <f>VLOOKUP(H174, Intervalos!$B$3:$C$8,2,TRUE)</f>
        <v>0.02</v>
      </c>
    </row>
    <row r="175" spans="1:13" s="16" customFormat="1" ht="48" x14ac:dyDescent="0.15">
      <c r="A175" s="28"/>
      <c r="B175" s="26">
        <v>170</v>
      </c>
      <c r="C175" s="18" t="s">
        <v>134</v>
      </c>
      <c r="D175" s="18" t="s">
        <v>153</v>
      </c>
      <c r="E175" s="17">
        <v>451386</v>
      </c>
      <c r="F175" s="18" t="s">
        <v>208</v>
      </c>
      <c r="G175" s="18">
        <v>63</v>
      </c>
      <c r="H175" s="19">
        <v>7.99</v>
      </c>
      <c r="I175" s="19">
        <f t="shared" si="2"/>
        <v>503.37</v>
      </c>
      <c r="J175" s="22"/>
      <c r="K175" s="22"/>
      <c r="L175" s="8" t="s">
        <v>4</v>
      </c>
      <c r="M175" s="20">
        <f>VLOOKUP(H175, Intervalos!$B$3:$C$8,2,TRUE)</f>
        <v>0.02</v>
      </c>
    </row>
    <row r="176" spans="1:13" s="16" customFormat="1" ht="48" x14ac:dyDescent="0.15">
      <c r="A176" s="28"/>
      <c r="B176" s="26">
        <v>171</v>
      </c>
      <c r="C176" s="18" t="s">
        <v>135</v>
      </c>
      <c r="D176" s="18" t="s">
        <v>153</v>
      </c>
      <c r="E176" s="17">
        <v>451396</v>
      </c>
      <c r="F176" s="18" t="s">
        <v>208</v>
      </c>
      <c r="G176" s="18">
        <v>63</v>
      </c>
      <c r="H176" s="19">
        <v>7.99</v>
      </c>
      <c r="I176" s="19">
        <f t="shared" si="2"/>
        <v>503.37</v>
      </c>
      <c r="J176" s="22"/>
      <c r="K176" s="22"/>
      <c r="L176" s="8" t="s">
        <v>4</v>
      </c>
      <c r="M176" s="20">
        <f>VLOOKUP(H176, Intervalos!$B$3:$C$8,2,TRUE)</f>
        <v>0.02</v>
      </c>
    </row>
    <row r="177" spans="1:13" s="16" customFormat="1" ht="48" x14ac:dyDescent="0.15">
      <c r="A177" s="28"/>
      <c r="B177" s="26">
        <v>172</v>
      </c>
      <c r="C177" s="18" t="s">
        <v>136</v>
      </c>
      <c r="D177" s="18" t="s">
        <v>153</v>
      </c>
      <c r="E177" s="17">
        <v>451390</v>
      </c>
      <c r="F177" s="18" t="s">
        <v>208</v>
      </c>
      <c r="G177" s="18">
        <v>38</v>
      </c>
      <c r="H177" s="19">
        <v>7.99</v>
      </c>
      <c r="I177" s="19">
        <f t="shared" si="2"/>
        <v>303.62</v>
      </c>
      <c r="J177" s="22"/>
      <c r="K177" s="22"/>
      <c r="L177" s="8" t="s">
        <v>4</v>
      </c>
      <c r="M177" s="20">
        <f>VLOOKUP(H177, Intervalos!$B$3:$C$8,2,TRUE)</f>
        <v>0.02</v>
      </c>
    </row>
    <row r="178" spans="1:13" s="16" customFormat="1" ht="48" x14ac:dyDescent="0.15">
      <c r="A178" s="28"/>
      <c r="B178" s="26">
        <v>173</v>
      </c>
      <c r="C178" s="18" t="s">
        <v>137</v>
      </c>
      <c r="D178" s="18" t="s">
        <v>153</v>
      </c>
      <c r="E178" s="17">
        <v>451389</v>
      </c>
      <c r="F178" s="18" t="s">
        <v>208</v>
      </c>
      <c r="G178" s="18">
        <v>38</v>
      </c>
      <c r="H178" s="19">
        <v>7.99</v>
      </c>
      <c r="I178" s="19">
        <f t="shared" si="2"/>
        <v>303.62</v>
      </c>
      <c r="J178" s="22"/>
      <c r="K178" s="22"/>
      <c r="L178" s="8" t="s">
        <v>4</v>
      </c>
      <c r="M178" s="20">
        <f>VLOOKUP(H178, Intervalos!$B$3:$C$8,2,TRUE)</f>
        <v>0.02</v>
      </c>
    </row>
    <row r="179" spans="1:13" s="16" customFormat="1" ht="48" x14ac:dyDescent="0.15">
      <c r="A179" s="27"/>
      <c r="B179" s="26">
        <v>174</v>
      </c>
      <c r="C179" s="18" t="s">
        <v>138</v>
      </c>
      <c r="D179" s="18" t="s">
        <v>153</v>
      </c>
      <c r="E179" s="17">
        <v>451387</v>
      </c>
      <c r="F179" s="18" t="s">
        <v>208</v>
      </c>
      <c r="G179" s="18">
        <v>25</v>
      </c>
      <c r="H179" s="19">
        <v>9.85</v>
      </c>
      <c r="I179" s="19">
        <f t="shared" si="2"/>
        <v>246.25</v>
      </c>
      <c r="J179" s="23"/>
      <c r="K179" s="23"/>
      <c r="L179" s="8" t="s">
        <v>4</v>
      </c>
      <c r="M179" s="20">
        <f>VLOOKUP(H179, Intervalos!$B$3:$C$8,2,TRUE)</f>
        <v>0.02</v>
      </c>
    </row>
    <row r="180" spans="1:13" s="16" customFormat="1" ht="36" x14ac:dyDescent="0.15">
      <c r="A180" s="17" t="s">
        <v>207</v>
      </c>
      <c r="B180" s="17">
        <v>175</v>
      </c>
      <c r="C180" s="18" t="s">
        <v>139</v>
      </c>
      <c r="D180" s="18" t="s">
        <v>153</v>
      </c>
      <c r="E180" s="17">
        <v>619797</v>
      </c>
      <c r="F180" s="18" t="s">
        <v>208</v>
      </c>
      <c r="G180" s="18">
        <v>10</v>
      </c>
      <c r="H180" s="19">
        <v>556.27</v>
      </c>
      <c r="I180" s="19">
        <f t="shared" si="2"/>
        <v>5562.7</v>
      </c>
      <c r="J180" s="19" t="s">
        <v>207</v>
      </c>
      <c r="K180" s="19" t="s">
        <v>140</v>
      </c>
      <c r="L180" s="8" t="s">
        <v>4</v>
      </c>
      <c r="M180" s="20" t="str">
        <f>VLOOKUP(H180, Intervalos!$B$3:$C$8,2,TRUE)</f>
        <v>0,10%</v>
      </c>
    </row>
    <row r="181" spans="1:13" x14ac:dyDescent="0.2">
      <c r="H181" s="6" t="s">
        <v>6</v>
      </c>
      <c r="I181" s="9">
        <f>SUM(I6:I180)</f>
        <v>943558.78000000061</v>
      </c>
    </row>
  </sheetData>
  <mergeCells count="94">
    <mergeCell ref="A1:M1"/>
    <mergeCell ref="A2:M2"/>
    <mergeCell ref="A3:M3"/>
    <mergeCell ref="A6:A7"/>
    <mergeCell ref="J6:J7"/>
    <mergeCell ref="K6:K7"/>
    <mergeCell ref="A9:A11"/>
    <mergeCell ref="J9:J11"/>
    <mergeCell ref="K9:K11"/>
    <mergeCell ref="A12:A14"/>
    <mergeCell ref="J12:J14"/>
    <mergeCell ref="K12:K14"/>
    <mergeCell ref="A15:A17"/>
    <mergeCell ref="J15:J17"/>
    <mergeCell ref="K15:K17"/>
    <mergeCell ref="A19:A21"/>
    <mergeCell ref="J19:J21"/>
    <mergeCell ref="K19:K21"/>
    <mergeCell ref="A23:A25"/>
    <mergeCell ref="J23:J25"/>
    <mergeCell ref="K23:K25"/>
    <mergeCell ref="A31:A32"/>
    <mergeCell ref="J31:J32"/>
    <mergeCell ref="A132:A133"/>
    <mergeCell ref="J132:J133"/>
    <mergeCell ref="K132:K133"/>
    <mergeCell ref="A128:A129"/>
    <mergeCell ref="J128:J129"/>
    <mergeCell ref="K128:K129"/>
    <mergeCell ref="A130:A131"/>
    <mergeCell ref="J130:J131"/>
    <mergeCell ref="A163:A179"/>
    <mergeCell ref="J163:J179"/>
    <mergeCell ref="K163:K179"/>
    <mergeCell ref="A136:A137"/>
    <mergeCell ref="J136:J137"/>
    <mergeCell ref="K130:K131"/>
    <mergeCell ref="J125:J126"/>
    <mergeCell ref="K125:K126"/>
    <mergeCell ref="A125:A126"/>
    <mergeCell ref="A115:A121"/>
    <mergeCell ref="J115:J121"/>
    <mergeCell ref="K115:K121"/>
    <mergeCell ref="A108:A112"/>
    <mergeCell ref="J108:J112"/>
    <mergeCell ref="K108:K112"/>
    <mergeCell ref="A96:A101"/>
    <mergeCell ref="J96:J101"/>
    <mergeCell ref="K96:K101"/>
    <mergeCell ref="A102:A107"/>
    <mergeCell ref="J102:J107"/>
    <mergeCell ref="K102:K107"/>
    <mergeCell ref="A91:A95"/>
    <mergeCell ref="J91:J95"/>
    <mergeCell ref="K91:K95"/>
    <mergeCell ref="A51:A56"/>
    <mergeCell ref="J51:J56"/>
    <mergeCell ref="K51:K56"/>
    <mergeCell ref="A87:A89"/>
    <mergeCell ref="J87:J89"/>
    <mergeCell ref="K87:K89"/>
    <mergeCell ref="A57:A60"/>
    <mergeCell ref="J61:J69"/>
    <mergeCell ref="K61:K69"/>
    <mergeCell ref="A74:A76"/>
    <mergeCell ref="J74:J76"/>
    <mergeCell ref="K74:K76"/>
    <mergeCell ref="A70:A73"/>
    <mergeCell ref="A142:A146"/>
    <mergeCell ref="J142:J146"/>
    <mergeCell ref="K142:K146"/>
    <mergeCell ref="A160:A162"/>
    <mergeCell ref="J160:J162"/>
    <mergeCell ref="K160:K162"/>
    <mergeCell ref="A148:A151"/>
    <mergeCell ref="J148:J151"/>
    <mergeCell ref="K148:K151"/>
    <mergeCell ref="J70:J73"/>
    <mergeCell ref="K70:K73"/>
    <mergeCell ref="A34:A43"/>
    <mergeCell ref="J34:J43"/>
    <mergeCell ref="K34:K43"/>
    <mergeCell ref="J57:J60"/>
    <mergeCell ref="K57:K60"/>
    <mergeCell ref="A61:A69"/>
    <mergeCell ref="A44:A46"/>
    <mergeCell ref="J44:J46"/>
    <mergeCell ref="K44:K46"/>
    <mergeCell ref="A77:A83"/>
    <mergeCell ref="J77:J83"/>
    <mergeCell ref="K77:K83"/>
    <mergeCell ref="A84:A86"/>
    <mergeCell ref="J84:J86"/>
    <mergeCell ref="K84:K86"/>
  </mergeCells>
  <pageMargins left="0.23622047244094491" right="0.23622047244094491" top="0.74803149606299213" bottom="0.74803149606299213" header="0.31496062992125984" footer="0.31496062992125984"/>
  <pageSetup paperSize="9" scale="85" fitToHeight="0" orientation="landscape" r:id="rId1"/>
  <headerFooter>
    <oddHeader>&amp;L&amp;G&amp;CPREGÃO ELETRÔNICO 90063/2025 
&amp;R&amp;G</oddHeader>
    <oddFooter>&amp;L&amp;"-,Itálico"&amp;9ANEXO III 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workbookViewId="0">
      <selection activeCell="C3" sqref="C3"/>
    </sheetView>
  </sheetViews>
  <sheetFormatPr baseColWidth="10" defaultColWidth="0" defaultRowHeight="15" zeroHeight="1" x14ac:dyDescent="0.2"/>
  <cols>
    <col min="1" max="1" width="2.5" customWidth="1"/>
    <col min="2" max="2" width="12.83203125" customWidth="1"/>
    <col min="3" max="3" width="17.6640625" customWidth="1"/>
    <col min="4" max="4" width="3.1640625" customWidth="1"/>
    <col min="5" max="5" width="27" customWidth="1"/>
    <col min="6" max="6" width="4" customWidth="1"/>
    <col min="7" max="16384" width="9.1640625" hidden="1"/>
  </cols>
  <sheetData>
    <row r="1" spans="2:5" ht="10.5" customHeight="1" x14ac:dyDescent="0.2"/>
    <row r="2" spans="2:5" ht="63" customHeight="1" x14ac:dyDescent="0.2">
      <c r="B2" s="12" t="s">
        <v>8</v>
      </c>
      <c r="C2" s="12" t="s">
        <v>7</v>
      </c>
      <c r="E2" s="13" t="s">
        <v>10</v>
      </c>
    </row>
    <row r="3" spans="2:5" x14ac:dyDescent="0.2">
      <c r="B3" s="11">
        <v>0.01</v>
      </c>
      <c r="C3" s="10">
        <v>0.01</v>
      </c>
      <c r="E3" s="14" t="s">
        <v>11</v>
      </c>
    </row>
    <row r="4" spans="2:5" x14ac:dyDescent="0.2">
      <c r="B4" s="10">
        <v>5</v>
      </c>
      <c r="C4" s="10">
        <v>0.02</v>
      </c>
      <c r="E4" s="14" t="s">
        <v>12</v>
      </c>
    </row>
    <row r="5" spans="2:5" x14ac:dyDescent="0.2">
      <c r="B5" s="10">
        <v>10</v>
      </c>
      <c r="C5" s="10">
        <v>0.03</v>
      </c>
      <c r="E5" s="14" t="s">
        <v>13</v>
      </c>
    </row>
    <row r="6" spans="2:5" x14ac:dyDescent="0.2">
      <c r="B6" s="10">
        <v>20</v>
      </c>
      <c r="C6" s="10">
        <v>0.05</v>
      </c>
      <c r="E6" s="14" t="s">
        <v>14</v>
      </c>
    </row>
    <row r="7" spans="2:5" x14ac:dyDescent="0.2">
      <c r="B7" s="10">
        <v>50</v>
      </c>
      <c r="C7" s="10">
        <v>0.1</v>
      </c>
      <c r="E7" s="14" t="s">
        <v>15</v>
      </c>
    </row>
    <row r="8" spans="2:5" x14ac:dyDescent="0.2">
      <c r="B8" s="10">
        <v>100</v>
      </c>
      <c r="C8" s="15" t="s">
        <v>9</v>
      </c>
      <c r="E8" s="14" t="s">
        <v>16</v>
      </c>
    </row>
    <row r="9" spans="2: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III</vt:lpstr>
      <vt:lpstr>Intervalos</vt:lpstr>
      <vt:lpstr>'Anexo III'!Area_de_impressao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ffx119</cp:lastModifiedBy>
  <cp:lastPrinted>2025-09-11T14:49:47Z</cp:lastPrinted>
  <dcterms:created xsi:type="dcterms:W3CDTF">2019-07-30T23:05:19Z</dcterms:created>
  <dcterms:modified xsi:type="dcterms:W3CDTF">2025-09-19T11:50:25Z</dcterms:modified>
</cp:coreProperties>
</file>