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eu Drive\Arquivos secretaria e pregão\Pregoeira\PE_90022_2025 - Aquisição de Material de limpeza\Minuta\"/>
    </mc:Choice>
  </mc:AlternateContent>
  <xr:revisionPtr revIDLastSave="0" documentId="13_ncr:1_{A37715D9-1E96-44DA-B0FF-BAD47EE35A4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Anexo III" sheetId="1" r:id="rId1"/>
    <sheet name="Intervalos" sheetId="2" r:id="rId2"/>
  </sheets>
  <definedNames>
    <definedName name="_xlnm._FilterDatabase" localSheetId="0" hidden="1">'Anexo III'!#REF!</definedName>
    <definedName name="_xlnm.Print_Area" localSheetId="0">'Anexo III'!$A$1:$P$88</definedName>
  </definedNames>
  <calcPr calcId="181029"/>
</workbook>
</file>

<file path=xl/calcChain.xml><?xml version="1.0" encoding="utf-8"?>
<calcChain xmlns="http://schemas.openxmlformats.org/spreadsheetml/2006/main">
  <c r="L7" i="1" l="1"/>
  <c r="L8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58" i="1"/>
  <c r="L59" i="1"/>
  <c r="L60" i="1"/>
  <c r="L61" i="1"/>
  <c r="L62" i="1"/>
  <c r="L63" i="1"/>
  <c r="L64" i="1"/>
  <c r="L65" i="1"/>
  <c r="L66" i="1"/>
  <c r="L67" i="1"/>
  <c r="L68" i="1"/>
  <c r="L69" i="1"/>
  <c r="L70" i="1"/>
  <c r="L71" i="1"/>
  <c r="L72" i="1"/>
  <c r="L73" i="1"/>
  <c r="L74" i="1"/>
  <c r="L75" i="1"/>
  <c r="L76" i="1"/>
  <c r="L77" i="1"/>
  <c r="L78" i="1"/>
  <c r="L79" i="1"/>
  <c r="L80" i="1"/>
  <c r="L81" i="1"/>
  <c r="L82" i="1"/>
  <c r="L83" i="1"/>
  <c r="L84" i="1"/>
  <c r="L85" i="1"/>
  <c r="L86" i="1"/>
  <c r="L87" i="1"/>
  <c r="L6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7" i="1"/>
  <c r="J8" i="1"/>
  <c r="J9" i="1"/>
  <c r="J10" i="1"/>
  <c r="J11" i="1"/>
  <c r="J12" i="1"/>
  <c r="J6" i="1"/>
  <c r="K80" i="1"/>
  <c r="K79" i="1"/>
  <c r="G68" i="1"/>
  <c r="G72" i="1" l="1"/>
  <c r="K19" i="1" l="1"/>
  <c r="P19" i="1" s="1"/>
  <c r="G19" i="1"/>
  <c r="K23" i="1"/>
  <c r="P23" i="1" s="1"/>
  <c r="G23" i="1"/>
  <c r="K34" i="1"/>
  <c r="P34" i="1" s="1"/>
  <c r="G34" i="1"/>
  <c r="M77" i="1"/>
  <c r="P6" i="1"/>
  <c r="P7" i="1"/>
  <c r="P8" i="1"/>
  <c r="P9" i="1"/>
  <c r="P10" i="1"/>
  <c r="P14" i="1"/>
  <c r="P15" i="1"/>
  <c r="P16" i="1"/>
  <c r="P17" i="1"/>
  <c r="P18" i="1"/>
  <c r="P20" i="1"/>
  <c r="P21" i="1"/>
  <c r="P51" i="1"/>
  <c r="P22" i="1"/>
  <c r="P27" i="1"/>
  <c r="P28" i="1"/>
  <c r="P29" i="1"/>
  <c r="P24" i="1"/>
  <c r="P30" i="1"/>
  <c r="P68" i="1"/>
  <c r="P32" i="1"/>
  <c r="P33" i="1"/>
  <c r="P35" i="1"/>
  <c r="P36" i="1"/>
  <c r="P37" i="1"/>
  <c r="P38" i="1"/>
  <c r="P40" i="1"/>
  <c r="P41" i="1"/>
  <c r="P42" i="1"/>
  <c r="P31" i="1"/>
  <c r="P62" i="1"/>
  <c r="P43" i="1"/>
  <c r="P25" i="1"/>
  <c r="P44" i="1"/>
  <c r="P45" i="1"/>
  <c r="P46" i="1"/>
  <c r="P47" i="1"/>
  <c r="P26" i="1"/>
  <c r="P48" i="1"/>
  <c r="P49" i="1"/>
  <c r="P50" i="1"/>
  <c r="P54" i="1"/>
  <c r="P55" i="1"/>
  <c r="P56" i="1"/>
  <c r="P57" i="1"/>
  <c r="P58" i="1"/>
  <c r="P53" i="1"/>
  <c r="P59" i="1"/>
  <c r="P61" i="1"/>
  <c r="P63" i="1"/>
  <c r="P60" i="1"/>
  <c r="P65" i="1"/>
  <c r="P64" i="1"/>
  <c r="P66" i="1"/>
  <c r="P67" i="1"/>
  <c r="P69" i="1"/>
  <c r="P70" i="1"/>
  <c r="P71" i="1"/>
  <c r="P72" i="1"/>
  <c r="P11" i="1"/>
  <c r="P12" i="1"/>
  <c r="P73" i="1"/>
  <c r="P39" i="1"/>
  <c r="P74" i="1"/>
  <c r="P75" i="1"/>
  <c r="P76" i="1"/>
  <c r="P77" i="1"/>
  <c r="P78" i="1"/>
  <c r="P79" i="1"/>
  <c r="P80" i="1"/>
  <c r="P81" i="1"/>
  <c r="P82" i="1"/>
  <c r="P83" i="1"/>
  <c r="P84" i="1"/>
  <c r="P85" i="1"/>
  <c r="P86" i="1"/>
  <c r="P87" i="1"/>
  <c r="P13" i="1"/>
  <c r="M74" i="1" l="1"/>
  <c r="M61" i="1"/>
  <c r="M55" i="1"/>
  <c r="M66" i="1"/>
  <c r="M51" i="1"/>
  <c r="M79" i="1"/>
  <c r="M57" i="1"/>
  <c r="M68" i="1"/>
  <c r="M40" i="1"/>
  <c r="M37" i="1"/>
  <c r="M32" i="1"/>
  <c r="M30" i="1"/>
  <c r="M28" i="1"/>
  <c r="M20" i="1"/>
  <c r="M10" i="1"/>
  <c r="M6" i="1"/>
  <c r="M23" i="1"/>
  <c r="P52" i="1"/>
  <c r="L88" i="1" l="1"/>
</calcChain>
</file>

<file path=xl/sharedStrings.xml><?xml version="1.0" encoding="utf-8"?>
<sst xmlns="http://schemas.openxmlformats.org/spreadsheetml/2006/main" count="478" uniqueCount="147">
  <si>
    <t>PRÓ-REITORIA DE ADMINISTRAÇÃO</t>
  </si>
  <si>
    <t>COORDENAÇÃO DE MATERIAIS</t>
  </si>
  <si>
    <t>DESCRIÇÃO/ ESPECIFICAÇÃO</t>
  </si>
  <si>
    <t>Aberto</t>
  </si>
  <si>
    <t>SUGESTÃO DE CATMAT</t>
  </si>
  <si>
    <t>VALOR TOTAL</t>
  </si>
  <si>
    <t>Diferença Mínima
 de Valores / 
Percentuais de 
Lances</t>
  </si>
  <si>
    <t>Valor Unitário
Estimado (Faixa)</t>
  </si>
  <si>
    <t>0,10%</t>
  </si>
  <si>
    <t>Interpretação</t>
  </si>
  <si>
    <t>R$ 0,01 - R$ 5,00 =&gt; R$ 0,01</t>
  </si>
  <si>
    <t>R$ 5,01 - R$ 10,00 =&gt; R$ 0,02</t>
  </si>
  <si>
    <t>R$ 10,01 - R$ 20,00 =&gt; R$ 0,03</t>
  </si>
  <si>
    <t>R$ 20,01 - R$ 50,00 =&gt; R$ 0,05</t>
  </si>
  <si>
    <t>R$ 50,01 - R$ 100,00 =&gt; R$ 0,10</t>
  </si>
  <si>
    <t>Acima de R$ 100,00 =&gt; 0,10%</t>
  </si>
  <si>
    <t>ITEM LICITAÇÃO</t>
  </si>
  <si>
    <t>VALOR UNITÁRIO</t>
  </si>
  <si>
    <t>MODO DE DISPUTA</t>
  </si>
  <si>
    <t>INTERVALO LANCES</t>
  </si>
  <si>
    <t>EXCLUSIVO ME/EPP</t>
  </si>
  <si>
    <t>INFORMAÇÕES ADICIONAIS</t>
  </si>
  <si>
    <t>GRUPO</t>
  </si>
  <si>
    <t>ANEXO III - PLANILHA ESTIMATIVA DE DESCRIÇÃO E PREÇOS</t>
  </si>
  <si>
    <t>VALOR TOTAL DO GRUPO</t>
  </si>
  <si>
    <t>Lixeira plástica de 50 L com tampa basculante</t>
  </si>
  <si>
    <t>Álcool Etílico hidratado (etanol) 70% (77º GL = 70º INPM), líquido, frasco 1L ou 1000ML. Aplicação limpeza e desinfecção, apresentação líquido. Com registro no órgão competente.</t>
  </si>
  <si>
    <t>ÁLCOOL ETÍLICO, TIPO HIDRATADO, TEOR ALCOÓLICO 70%_(70¨GL), APRESENTAÇÃO GEL</t>
  </si>
  <si>
    <t>ÁLCOOL ETÍLICO, TIPO HIDRATADO, TEOR ALCOÓLICO 70%_(70¨GL), APRESENTAÇÃO GEL Galão com 5L</t>
  </si>
  <si>
    <t>Álcool gel com Triclosan - com agentes controladores que evitam a proliferação de bactérias. Embalagem: Saco Refil de 800 Ml para dispenser.  Especificações: Aspecto: GEL transparente Odor: Característico alcoólico PH: 6,0 a 7,0 Cor: Incolor Viscosidade (20ºC, copo Ford nr 4): acima de 3 minuto Teor de Álcool hidratado (20ºC, ºINPM) : 69,0 a 71,0 Composição: Água, Álcool 92,8º INPM, Espessante, Triclosan, Neutralizante e Glicerina</t>
  </si>
  <si>
    <t>BALDE PLÁSTICO
Em plástico super resistente, com bico direcionador de água, escala medidora de volume, alça anatômica e segura.
Dimensões: Medindo: 35,5 x 31,8 cm (altura x diâmetro) e
Capacidade: 15 litros.</t>
  </si>
  <si>
    <t xml:space="preserve">Bandeja vidro – 23cm x 13cm </t>
  </si>
  <si>
    <t>Bombona Galão com capacidade de 25 Litros para armazenamento de combustível (gasolina e óleo diesel) . Cor Azul. Com certificação Inmetro</t>
  </si>
  <si>
    <t>CAIXA ORGANIZADORA - material resistente para suportar as peças e o formol com tampa e rodinha - CAPACIDADE 50 LITROS</t>
  </si>
  <si>
    <t>Caixa organizadora média alta cristal 30L. Especificações Organizador médio alto, Cor Cristal, plastico Super resistente, Lavável, Com tampa. Dimensões A x C x L:42,5 x 30,7 x 30,5cm.</t>
  </si>
  <si>
    <t>Caixa plástica tipo hortifruti - 46L: Caixa Plástica confeccionada com material de alta densidade, com laterais e fundo vazados, ombreira para facilitar o carregamento, com uma capacidade de 46 litros. Dimensões aproximadas : Comprimento: 55 cm Largura: 35 CM Altura: 30 CM</t>
  </si>
  <si>
    <t>Coador descartável café, material: papel, tamanho: 102_x000D_
Caixa com 30 filtros de papel.</t>
  </si>
  <si>
    <t>Coador descartável café, material: papel, tamanho: 103_x000D_
Caixa com 30 filtros de papel.</t>
  </si>
  <si>
    <t>Coletor para pilhas e baterias em polietileno com capacidade de 30 litros com divisões internas. Inscrito com os dizeres “Pilhas e baterias” na cor laranja.Medidas: 50 cm (alt.) x 32 cm (larg.) x 16 cm (prof.).</t>
  </si>
  <si>
    <t>Concha tipo cereais em aço inox Concha tipo cereais em aço inox AISI 304 (concha medidora / passador), com fundo de cantos arredondados, que não permitem o acúmulo de resíduos, recipiente uniforme isento de marcas ou cordões de solda, incluindo alça tubular de cabo em "C" e acabamento polido. Próprio para utilização em laboratórios, indústrias alimentícias, indústrias farmacêuticas, químicas Volume: 250ml</t>
  </si>
  <si>
    <t>Copo descartável sustentável para água, 200mL, atóxico e biodegradável. Deve atender aos Requisitos de Avaliação da Conformidade para Copos Plásticos Descartáveis, conforme Portaria INMETRO 394 de 23 de dezembro de 2020.</t>
  </si>
  <si>
    <t>Copo descartável sustentável para café, 50mL, atóxico e biodegradável. Deve atender aos Requisitos de Avaliação da Conformidade para Copos Plásticos Descartáveis, conforme Portaria INMETRO 394 de 23 de dezembro de 2020.</t>
  </si>
  <si>
    <t>Copo para água de vidro:
- Material Vidro com superfície lisa e parede fina; 
- Medidas de cada copo (Diâmetro X Alt.) 6,5 X 13 cm; 
- Capacidade de cada copo 300 ml;
- Peso de cada copo até 210g;
- Cor: Incolor e transparente;
- Uso: água, suco ou refrigerante;
- Fornecimento em embalagem com 06 Copos de Vidro de 300 ml.</t>
  </si>
  <si>
    <t>Corda de sisal 4mm  200/2 - rolo com 400m. Cor: Natural de sisal. Espessura aprox: 5 mm. Peso aprox por rolo: 4KG. Metros aprox por rolo: 400 M. Carga ruptura aprox: 190 KgF. Material : 100% fibra de sisal. Produto natural, biodegradável, resistente, resiliente, reutilizável, robusto, flexível, rústico, fácil aplicação.</t>
  </si>
  <si>
    <t>DESINCROSTANTE
Desenvolvido para limpeza eficaz em todas as superfícies com incrustações de gorduras e resíduos de óleos de cozinha. PH puro 12,5 a 14,0. Princípio ativo: Hidróxido de sódio. Altamente concentrado.
Sem fragrância. Ações desincrustrantes e descarbonizantes. Aplicação: Remover sujidades pesadas/gorduras carbonizadas em chapas, fornos, fogões, coifas e outros equipamentos em inox. Com registro no Ministério na Saúde. Apresentação bombona de 5 litros.</t>
  </si>
  <si>
    <t>DESINCROSTANTE, COMPOSIÇÃO:A BASE DE FOSFATO TRISSÓDICO, TIPO:ALCALINO, ASPECTO FÍSICO:LÍQUIDO</t>
  </si>
  <si>
    <t>DESINFETANTE, COMPOSIÇÃO À BASE DE QUATERNÁRIO DE AMÔNIO, TEOR ATIVO TEOR ATIVO ENTRE 2,5% E 3,5%, FORMA FÍSICA SOLUÇÃO AQUOSA CONCENTRADA, CARACTERÍSTICA ADICIONAL SEM AROMA</t>
  </si>
  <si>
    <t xml:space="preserve">DISPENSER PAPEL TOALHA - DISPENSADOR PARA PAPEL TOALHA. Material plástico abs, visor para verificação do volume interno de papel, com chaves, para papel interfolha de 03 dobras (aproximadamente 23 cm x 27cm) e 02 dobras (aproximadamente 23cm x 23cm), sistema que permite sair apenas uma folha por vez, acompanha parafusos e buchas para fixação. Capacidade mínima de 400 folhas. (Variação máxima de 5% do tamanho dos papéis). </t>
  </si>
  <si>
    <t>Dispenser porta papel higiênico 300/500m
 Cor branca. Confeccionado em termoplástico de alta resistência ao impacto, o produto se encaixa facilmente em quaisquer ambientes. As paredes internas possuem geometria que minimizam a umidade e a poeira. Conta com um sistema de travas discreto e seguro que dispensa o uso de chaves, além do visor transparente que permite rápida visualização do conteúdo para facilitar o abastecimento. Dimensões: 265mm de Comprimento, 135mm de largura e 290mm de altura.</t>
  </si>
  <si>
    <t>ESPONJA MULTIUSO DUPLA FACE_x000D_
Manta não tecido, de fibras sintéticas, unidas com_x000D_
resina a prova d’água, impregnada com mineral_x000D_
abrasivo e aderida a espuma de poliuretano.</t>
  </si>
  <si>
    <t>Filme stretch bobina com 5kg - largura 500mm rolo com 500 metros</t>
  </si>
  <si>
    <t>Fio de Sisal Tamanho 500/2 - rolo com 50m. Composição: 100% Sisal. Cor: Natural. Espessura Aproximadamente: 3mm.</t>
  </si>
  <si>
    <t>FLANELA, MATERIAL FLANELA, COMPRIMENTO 40, LARGURA 30</t>
  </si>
  <si>
    <t>FÓSFORO, MATERIAL CORPO MADEIRA, COR CABEÇA VERMELHA, TIPO LONGO</t>
  </si>
  <si>
    <t>Garrafa térmica, material: aço inoxidável, capacidade: 1 l, características adicionais: sistema serve a jato</t>
  </si>
  <si>
    <t>Gaveteiro organizador multiuso de mesa com 10 gavetas LxPxH: 22X24X28cm Confeccionado em poliestireno de alto impacto. Acompanhado de 50 divisórias (5 por gaveta). Dimensões aproximadas da gaveta LxPxH: 10,4x24x5cm. Modelo de referência: Magus CG510.</t>
  </si>
  <si>
    <t>Unidade</t>
  </si>
  <si>
    <t>Guardanapo de papel, material: celulose, largura: 14 cm, comprimento: 14 cm, cor: branca, tipo folhas: simples, características adicionais: não aplicável
100% natural.</t>
  </si>
  <si>
    <t>Hipoclorito de sódio, Apresentação: liquido. Características adicionais: concentração a 2%. Aplicação: para desinfecção de superfícies, equipamentos e utensílios. Apresentação embalagem de um litro.</t>
  </si>
  <si>
    <t>INSETICIDA EM AEROSOL A base d'água, que não deixa cheiro. 300mL</t>
  </si>
  <si>
    <t xml:space="preserve">Jarra de vidro para sucos 2L. Descrição: Jarra, material: vidro, capacidade: 2 l, modelo: com alça, características adicionais: lisa, transmitância: transparente </t>
  </si>
  <si>
    <t xml:space="preserve">Lixeira Aço Inox com Pedal Tipo D 45 Litros. Lixeira em aço inox. Possui tratamento anti-digitais. Acompanha balde interno removível. Fechamento suave da tampa com amortecedor. </t>
  </si>
  <si>
    <t>Lixeira com Pedal 16L com haste metálica reforçada em seu interior e paredes com espessura de 2mm, garantindo muito mais resistência e durabilidade. Cesto interno de fácil remoção; Sistema de abertura exclusivo; Base e pedal antiderrapantes; UTILIZAÇÕES Indicada para hospitais, centros de saúde, consultórios e clínicas, etc.</t>
  </si>
  <si>
    <t>Lixeira em aço inox com aro plástico 50L com adesivação e verde. Confeccionada em aço inoxidável AISI 430, fundo em plástico ABS de alta resistência e aro plástico injetado em polipropileno (PP), com cor específica e adesivação "RESÍDUO RECICLÁVEL"</t>
  </si>
  <si>
    <t xml:space="preserve">Lixeira Plástica 100 Litros com Tampa </t>
  </si>
  <si>
    <t>Lixeira Plástica Polipropileno com proteção UV, Capacidade 60 Litros, modelo tampa vai e vem, na cor Cinza, etiquetado com o tipo de resíduo a ser coletado Medidas: 72cm (altura) x 38cm (largura) x 38cm (profundidade) *Etiqueta NÃO RECICLÁVEL OU REJEITO</t>
  </si>
  <si>
    <t>Lixeira Plástica Polipropileno com proteção UV, Capacidade 60 Litros, modelo tampa vai e vem, na cor Verde, etiquetado com o tipo de resíduo a ser coletado Medidas: 72cm (altura) x 38cm (largura) x 38cm (profundidade) *Etiqueta RESÍDUO RECICLÁVEL</t>
  </si>
  <si>
    <t>Lixeira sem tampa com poste para área externa em Polipropileno (PP) com proteção UV e o Suporte em aço carbono SAE 1020 galvanizado capacidade 40 ou 50 litros, com adesivação "RESÍDUO NÃO RECICLÁVEL/REJEITO" e cor cinza ou marrom;</t>
  </si>
  <si>
    <t>Lixeira sem tampa com poste para área externa em Polipropileno (PP). Com proteção UV e o Suporte em aço carbono SAE 1020 galvanizado capacidade 40 ou 50 litros, com adesivação "RESÍDUO RECICLÁVEL" e cor verde;</t>
  </si>
  <si>
    <t>Lixeira, material polietileno, capacidade 50L, características adicionais: com tampa e pedal.</t>
  </si>
  <si>
    <t>PANO ALVEJADO. Resistente, forte e encorpado, com bainha, 100% algodão, Dimensões aproximadas: 42x63 cm._x000D_
Características adicionais: Alto grau de absorção, Sem estampas, desenhos ou pinturas. Cor: branca.</t>
  </si>
  <si>
    <t>Pano de Limpeza para Clarinetas. Combinando a delicadeza e absorção de seda com a durabilidade de microfibra. Fibras macias apropriadas para a limpeza minuciosa do clarinete protegendo o acabamento delicado. Cordão resistente, de fácil remoção, com peso. Melhor absorção da humidade e lubrificantes. Limpeza fácil com água e sabão. Durável e de longa duração por anos de uso confiável. Similar à marca Vandorem ou superior.</t>
  </si>
  <si>
    <t>PANO PRATO, MATERIAL:ALGODÃO, COMPRIMENTO:60 CM, LARGURA:40 CM, COR:BRANCA</t>
  </si>
  <si>
    <t>PANO, MATERIAL:MICROFIBRA, DIMENSÕES APROXIMADAS 30X40cm</t>
  </si>
  <si>
    <t>Papel alumínio, material: alumínio, comprimento: 7,50 m, largura: 45 cm, apresentação: rolo, aplicação: alimentação de pessoal</t>
  </si>
  <si>
    <t>PAPEL ALUMÍNIO, MATERIAL:ALUMÍNIO, COMPRIMENTO:7,50 M, LARGURA:30 CM, APRESENTAÇÃO:ROLO</t>
  </si>
  <si>
    <t>Papel filme material PVC (cloreto de polivinila).
Dimensões comprimento: 1.000 m, largura: 40 cm, apresentação: rolo
Características adicionais: apresentar elasticidade e poder de adesão, que permitam perfeita vedação ao envolver alimentos e superfícies.</t>
  </si>
  <si>
    <t>Papel Higiênico folhas simples de 30m x 10 cm cada – Neutro. Fardo com 64 rolos</t>
  </si>
  <si>
    <t>Papel toalha Interfolhas 2 Dobras 20 x 21cm. Pacote com 1000 Folhas. Cor branca.</t>
  </si>
  <si>
    <t>Rodo de 60cm, cabo de madeira plastificado, 120 cm.</t>
  </si>
  <si>
    <t xml:space="preserve">RODO PARA BANCADAS E PIAS Construída em PVC resistente, de cabo curto medindo aproximadamente 20 cm. Suporte da base em borracha resistente com medida também aproximada de 20 cm de comprimento. </t>
  </si>
  <si>
    <t>Rolo de alça fita cadarço algodão cru trançado 50 m x 30mm. MATERIAL 100% ALGODÃO CRU TRANÇADO IDEAL P/ BOLSAS, SACOLAS, MOCHILAS, NECESSAIRES, BRINDES EM GERAL</t>
  </si>
  <si>
    <t>SABONETEIRA PLASTICA TIPO DISPENSER PARA SABONETE LIQUIDO COM RESERVATORIO 800 A 1500 ML.</t>
  </si>
  <si>
    <t>SACO DE LIXO PESADO, PRETO, CAPACIDADE 100 LITROS</t>
  </si>
  <si>
    <t>SACO PLÁSTICO RESISTENTE PARA LIXO  Capacidade: 20 LITROS Cor: Preta</t>
  </si>
  <si>
    <t>Saco, material: plástico, reciclável resistente, capacidade: 3 kg, aplicação: acondicionamento de alimentos, características adicionais: acondicionado em bobina picotada com fácil destaque do produto, altura: 50 cm, largura: 30 cm, espessura: 0,04 mm_x000D_
Características adicionais:_x000D_
- Cor Transparente_x000D_
Bobina com 500_x000D_
- Inodoro_x000D_
Aplicação: acondicionamento de alimentos.</t>
  </si>
  <si>
    <t>Saco. Material: Plástico. Cor: Preta. Aplicação: Produção Plantio Mudas. Altura: 20 CM. Largura: 15 CM. Espessura: 0,2 CM</t>
  </si>
  <si>
    <t>Saco. Material: Plástico. Cor: Preta. Aplicação: Produção Plantio Mudas. Altura: 25 CM. Largura: 25 CM. Espessura: 0,2 CM</t>
  </si>
  <si>
    <t>Saponáceo de limpeza branco cremoso tradicional. Frasco 250ml</t>
  </si>
  <si>
    <t>Suporte filtro café, material: aço inoxidável, tamanho referência: grande, para filtro 103</t>
  </si>
  <si>
    <t>Toalha de mesa retangular bege, azul ou branca – 1,40m x 3,20m</t>
  </si>
  <si>
    <t>Toalha de papel, alto poder absorvente, material: papel, tipo folha: simples, quantidade toalha: 60 un, comprimento: 22 cm, largura: 27 cm, cor: branca, características adicionais: não aplicável_x000D_
pct. 2unid.</t>
  </si>
  <si>
    <t>TOALHA DE PAPEL, MATERIAL 100% CELULOSE VIRGEM, TIPO FOLHA 2 DOBRAS, COMPRIMENTO 20, LARGURA 21, COR BRANCA, CARACTERÍSTICAS ADICIONAIS INTERFOLHADA</t>
  </si>
  <si>
    <t>Tubo Rolo De Papelão 10 Cm Kit Com 100. Tubos Rolos de Papelão de Papel Higiênico Kit com 100 Unidades. Para Artesanatos em Geral - Usados para enrolar papel Higiênico.</t>
  </si>
  <si>
    <t>Vassoura piaçava, nº 6, corpo de madeira plastificada, 120cm.</t>
  </si>
  <si>
    <t xml:space="preserve"> 304134</t>
  </si>
  <si>
    <t>Desinfetante tipo "Virkon". Desinfetante para Ambientes, Materiais e Equipamentos. Desinfetante em pó para diluição. Produto à base de biocida totalmente inorgânico, livre de problemas de resíduos. Eficiente contra vírus, bactérias e fungos.Composição: Cada 100g contém: Sulfato hidrogenado de potássio- 11,362g; Dodecil benzeno sulfonato de sódio- 13,170g; Monopersulfato de potássio- 21,242g; Sulfato de potássio- 15,808g; Ácido sulfâmico- 4,4g; Excipiente q. s. p- 100,0g.; em pó. Fornecimento em frasco contendo 500 gramas.</t>
  </si>
  <si>
    <t>Sanitizante. Desinfetante à base de hipoclorito de sódio ou dicloroisocianurato de sódio; com pronta solubilidade em água, com diluição de 30g a 50g do produto em 10L de água, de 100 a 200 ppm. Apresentação: em pó. Aplicação: limpeza e higienização de legumes, frutas e verduras.</t>
  </si>
  <si>
    <t>Papel Toalha bobina. Comprimento: 200m; Largura: 20cm. Embalagem com 6 bobinas.</t>
  </si>
  <si>
    <t>Papel filme PVC translúcido (em rolo 100m). Descrição: Papel filme, material: pvc - cloreto de polivinila, comprimento: 100 m, largura: 25 cm</t>
  </si>
  <si>
    <t>SIM</t>
  </si>
  <si>
    <t xml:space="preserve"> -</t>
  </si>
  <si>
    <t xml:space="preserve">  -</t>
  </si>
  <si>
    <t>CTF/APP: FTE - Categoria: Indústria Química; Código: 15</t>
  </si>
  <si>
    <t>CTF/APP: FTE - Categoria: Indústria de Papel e Celulose; Código: 8</t>
  </si>
  <si>
    <t xml:space="preserve">DETERGENTE NEUTRO LÍQUIDO CONCENTRADO
Uso doméstico. Com pH 6,5 -7,5 ( produto puro), ponto de fulgor &amp;gt; 100º C, densidade (a 25ºC) 1,02g/cm 3 , com solubilidade na água, c/ associação de tensoativos aniônicos entre 6 e 10% com coadjuvantes, com níveis </t>
  </si>
  <si>
    <t>CTF/APP: FTE - Categoria: Indústria Metalúrgica; Código: 3</t>
  </si>
  <si>
    <t>CTF/APP: FTE - Categoria: Indústria Plástica; Código: 12</t>
  </si>
  <si>
    <t>CTF/APP: FTE - Categoria: Indústria Têxtil, de Vestuário, Calçados e Artefatos de Tecidos; Código: 11</t>
  </si>
  <si>
    <t>Coletor lixo,  Material: polipropileno, Capacidade aproximada: 13L, Cor: Branca, Componentes: Tampa acionada por pedal, Dimensões aproximadas :45 X 30 X 30 cm</t>
  </si>
  <si>
    <t>Pano de limpeza multiuso descartável, material: tnt á base de poliéster e viscose, comprimento: rolo 300 m, largura aproximada: 30 cm (podendo ser aceita entre 28-33cm), aplicação: limpeza pesada, tipo: bobina, alto grau de absorção. Cor azul.</t>
  </si>
  <si>
    <t>Bombona 5 litro</t>
  </si>
  <si>
    <t>Frasco 500 mililitro</t>
  </si>
  <si>
    <t>Rolo 7.5 metro</t>
  </si>
  <si>
    <t>Rolo 100 metro</t>
  </si>
  <si>
    <t>Fardo 64 rolo</t>
  </si>
  <si>
    <t>Embalagem 1000 folha</t>
  </si>
  <si>
    <t>Saco, material: plástico reciclável resistente picotado com fácil destaque do produto, acondicionado em bobina., capacidade: 5 kg, aplicação: acondicionamento de alimentos, características adicionais: bobina picotada, altura: 50 cm, largura: 35 cm, espessura: 0,04 mmCaracterísticas adicionais: - Cor Transparente - Inodoro Aplicação: acondicionamento de
alimentos.</t>
  </si>
  <si>
    <t>Bobina 500 Unidade</t>
  </si>
  <si>
    <t>Quliograma</t>
  </si>
  <si>
    <t>Pacote 2 Unidade</t>
  </si>
  <si>
    <t>Canudo Plástico Grosso 8mm - Canudo Plástico - Embalado em cor única Material Plástico Tipo Descartável. Fornecimento em embalagens com 200 Unidades (poderão ser aceitos em alternativa pacotes divisíveis por 200).</t>
  </si>
  <si>
    <t>Caixa 30 Unidade</t>
  </si>
  <si>
    <t>Colher de Mesa toda em aço inox. Detalhes no cabo - Acabamento em alto brilho. Dimensões aproximadas: 19cm x 4,5cm x 16mm (C-L-A) Peso aproximado: 50g. Fornecimento em conjunto com 10 Unidades. (cotar Unidade)</t>
  </si>
  <si>
    <t>Pacote com 100 Unidade</t>
  </si>
  <si>
    <t>ESPONJA DE LÃ DE AÇO_x000D_
Composição: aço de carbono_x000D_
Para limpeza difícil e polimento de alumínio._x000D_
Pacote com 8 Unidades 60g</t>
  </si>
  <si>
    <t>Pacote 8 Unidade</t>
  </si>
  <si>
    <t>Pacote 3 Unidade</t>
  </si>
  <si>
    <t>caixa com 240 Unidade</t>
  </si>
  <si>
    <t>Pacote 500 Unidade</t>
  </si>
  <si>
    <t>Palito em madeira clara, com pontas redondas, medindo - 11,5cm de comprimento x 1,0cm de largura. Pacote com 100 Unidades</t>
  </si>
  <si>
    <t>Fardo 6 Unidade</t>
  </si>
  <si>
    <t>Saco de Lixo Reforçado 200L - pacote com 100 Unidades Saco para Lixo 200 Litros, Reforçado, 110 cm de Comprimento x 90 cm de Largura, Cor Preta, Fardo Com 100 Unidades</t>
  </si>
  <si>
    <t>Pacote 1000 Unidade</t>
  </si>
  <si>
    <t>Caixa 2000 Unidade</t>
  </si>
  <si>
    <t>Caixa 100 Unidade</t>
  </si>
  <si>
    <t>Litro</t>
  </si>
  <si>
    <t>Frasco 800 mililitro</t>
  </si>
  <si>
    <t>Galão 5 litro</t>
  </si>
  <si>
    <t>Caixa 06 Unidade</t>
  </si>
  <si>
    <t>Grama</t>
  </si>
  <si>
    <t>Rolo 300 metro</t>
  </si>
  <si>
    <t>Unidade DE MEDIDA / FORNECIMENTO SISTEMA</t>
  </si>
  <si>
    <t>QUANTI. DPTo ED. E CULTURA UASG 160068</t>
  </si>
  <si>
    <t>QUANT. PROAD UASG 150182</t>
  </si>
  <si>
    <t>QUANTIDADE TOTAL</t>
  </si>
  <si>
    <t>QUANT. BATALHAO DE GUARDA RJ. UASG 160253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</si>
</sst>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164" formatCode="_-[$R$-416]\ * #,##0.00_-;\-[$R$-416]\ * #,##0.00_-;_-[$R$-416]\ * &quot;-&quot;??_-;_-@_-"/>
    <numFmt numFmtId="165" formatCode="_-&quot;R$&quot;\ * #,##0.0000_-;\-&quot;R$&quot;\ * #,##0.0000_-;_-&quot;R$&quot;\ * &quot;-&quot;??_-;_-@_-"/>
  </numFmts>
  <fonts count="10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rgb="FF000000"/>
      <name val="Calibri"/>
      <family val="2"/>
      <scheme val="minor"/>
    </font>
    <font>
      <sz val="8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8DB3E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37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4" fontId="6" fillId="2" borderId="1" xfId="1" applyFont="1" applyFill="1" applyBorder="1" applyAlignment="1">
      <alignment horizontal="center" vertical="center" wrapText="1"/>
    </xf>
    <xf numFmtId="44" fontId="0" fillId="0" borderId="1" xfId="1" applyFont="1" applyBorder="1" applyAlignment="1">
      <alignment horizontal="center" vertical="center"/>
    </xf>
    <xf numFmtId="44" fontId="3" fillId="0" borderId="1" xfId="1" applyFont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4" fontId="0" fillId="0" borderId="1" xfId="1" applyFont="1" applyBorder="1" applyAlignment="1">
      <alignment horizontal="right" vertical="center"/>
    </xf>
    <xf numFmtId="0" fontId="4" fillId="0" borderId="0" xfId="0" applyFont="1"/>
    <xf numFmtId="0" fontId="7" fillId="0" borderId="0" xfId="0" applyFont="1"/>
    <xf numFmtId="0" fontId="9" fillId="5" borderId="1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vertical="center" wrapText="1"/>
    </xf>
    <xf numFmtId="0" fontId="9" fillId="5" borderId="1" xfId="0" applyFont="1" applyFill="1" applyBorder="1" applyAlignment="1">
      <alignment wrapText="1"/>
    </xf>
    <xf numFmtId="44" fontId="9" fillId="5" borderId="1" xfId="1" applyFont="1" applyFill="1" applyBorder="1" applyAlignment="1">
      <alignment vertical="center" wrapText="1"/>
    </xf>
    <xf numFmtId="164" fontId="9" fillId="5" borderId="1" xfId="0" applyNumberFormat="1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 wrapText="1"/>
    </xf>
    <xf numFmtId="44" fontId="4" fillId="0" borderId="0" xfId="0" applyNumberFormat="1" applyFont="1"/>
    <xf numFmtId="0" fontId="7" fillId="5" borderId="0" xfId="0" applyFont="1" applyFill="1"/>
    <xf numFmtId="0" fontId="9" fillId="0" borderId="1" xfId="0" applyFont="1" applyBorder="1" applyAlignment="1">
      <alignment vertical="center" wrapText="1"/>
    </xf>
    <xf numFmtId="165" fontId="9" fillId="5" borderId="1" xfId="1" applyNumberFormat="1" applyFont="1" applyFill="1" applyBorder="1" applyAlignment="1">
      <alignment vertical="center" wrapText="1"/>
    </xf>
    <xf numFmtId="0" fontId="9" fillId="6" borderId="2" xfId="0" applyFont="1" applyFill="1" applyBorder="1" applyAlignment="1">
      <alignment horizontal="center" vertical="center" wrapText="1"/>
    </xf>
    <xf numFmtId="0" fontId="9" fillId="6" borderId="3" xfId="0" applyFont="1" applyFill="1" applyBorder="1" applyAlignment="1">
      <alignment horizontal="center" vertical="center" wrapText="1"/>
    </xf>
    <xf numFmtId="44" fontId="9" fillId="5" borderId="2" xfId="1" applyFont="1" applyFill="1" applyBorder="1" applyAlignment="1">
      <alignment horizontal="center" vertical="center" wrapText="1"/>
    </xf>
    <xf numFmtId="44" fontId="9" fillId="5" borderId="3" xfId="1" applyFont="1" applyFill="1" applyBorder="1" applyAlignment="1">
      <alignment horizontal="center" vertical="center" wrapText="1"/>
    </xf>
    <xf numFmtId="0" fontId="9" fillId="6" borderId="4" xfId="0" applyFont="1" applyFill="1" applyBorder="1" applyAlignment="1">
      <alignment horizontal="center" vertical="center" wrapText="1"/>
    </xf>
    <xf numFmtId="44" fontId="9" fillId="5" borderId="4" xfId="1" applyFont="1" applyFill="1" applyBorder="1" applyAlignment="1">
      <alignment horizontal="center" vertical="center" wrapText="1"/>
    </xf>
    <xf numFmtId="0" fontId="9" fillId="6" borderId="1" xfId="0" applyFont="1" applyFill="1" applyBorder="1" applyAlignment="1">
      <alignment horizontal="center" vertical="center" wrapText="1"/>
    </xf>
    <xf numFmtId="44" fontId="9" fillId="5" borderId="1" xfId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wrapText="1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88"/>
  <sheetViews>
    <sheetView tabSelected="1" topLeftCell="A5" zoomScale="85" zoomScaleNormal="85" zoomScaleSheetLayoutView="80" workbookViewId="0">
      <pane xSplit="2" ySplit="1" topLeftCell="C6" activePane="bottomRight" state="frozen"/>
      <selection activeCell="A5" sqref="A5"/>
      <selection pane="topRight" activeCell="C5" sqref="C5"/>
      <selection pane="bottomLeft" activeCell="A6" sqref="A6"/>
      <selection pane="bottomRight" activeCell="C88" sqref="C88"/>
    </sheetView>
  </sheetViews>
  <sheetFormatPr defaultColWidth="9.140625" defaultRowHeight="12.75" x14ac:dyDescent="0.2"/>
  <cols>
    <col min="1" max="1" width="5.42578125" style="2" customWidth="1"/>
    <col min="2" max="2" width="8.42578125" style="2" customWidth="1"/>
    <col min="3" max="3" width="21.42578125" style="2" customWidth="1"/>
    <col min="4" max="4" width="14.28515625" style="2" customWidth="1"/>
    <col min="5" max="5" width="8.7109375" style="2" customWidth="1"/>
    <col min="6" max="6" width="25" style="3" customWidth="1"/>
    <col min="7" max="10" width="11.42578125" style="4" customWidth="1"/>
    <col min="11" max="11" width="11.28515625" style="4" bestFit="1" customWidth="1"/>
    <col min="12" max="12" width="15.42578125" style="4" customWidth="1"/>
    <col min="13" max="13" width="11.5703125" style="4" customWidth="1"/>
    <col min="14" max="14" width="8.140625" style="4" customWidth="1"/>
    <col min="15" max="15" width="7.140625" style="7" customWidth="1"/>
    <col min="16" max="16" width="8" style="4" customWidth="1"/>
    <col min="17" max="17" width="16.28515625" style="1" customWidth="1"/>
    <col min="18" max="18" width="9.140625" style="1"/>
    <col min="19" max="19" width="9.85546875" style="1" bestFit="1" customWidth="1"/>
    <col min="20" max="20" width="21.85546875" style="1" customWidth="1"/>
    <col min="21" max="21" width="20.28515625" style="1" customWidth="1"/>
    <col min="22" max="16384" width="9.140625" style="1"/>
  </cols>
  <sheetData>
    <row r="1" spans="1:16" ht="12.75" hidden="1" customHeight="1" x14ac:dyDescent="0.2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</row>
    <row r="2" spans="1:16" ht="12.75" hidden="1" customHeight="1" x14ac:dyDescent="0.2">
      <c r="A2" s="36" t="s">
        <v>1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</row>
    <row r="3" spans="1:16" ht="12.75" hidden="1" customHeight="1" x14ac:dyDescent="0.2">
      <c r="A3" s="36" t="s">
        <v>23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</row>
    <row r="4" spans="1:16" hidden="1" x14ac:dyDescent="0.2"/>
    <row r="5" spans="1:16" ht="45" x14ac:dyDescent="0.2">
      <c r="A5" s="5" t="s">
        <v>22</v>
      </c>
      <c r="B5" s="5" t="s">
        <v>16</v>
      </c>
      <c r="C5" s="6" t="s">
        <v>2</v>
      </c>
      <c r="D5" s="6" t="s">
        <v>142</v>
      </c>
      <c r="E5" s="6" t="s">
        <v>4</v>
      </c>
      <c r="F5" s="6" t="s">
        <v>21</v>
      </c>
      <c r="G5" s="6" t="s">
        <v>144</v>
      </c>
      <c r="H5" s="6" t="s">
        <v>143</v>
      </c>
      <c r="I5" s="6" t="s">
        <v>146</v>
      </c>
      <c r="J5" s="6" t="s">
        <v>145</v>
      </c>
      <c r="K5" s="6" t="s">
        <v>17</v>
      </c>
      <c r="L5" s="6" t="s">
        <v>5</v>
      </c>
      <c r="M5" s="6" t="s">
        <v>24</v>
      </c>
      <c r="N5" s="6" t="s">
        <v>20</v>
      </c>
      <c r="O5" s="6" t="s">
        <v>18</v>
      </c>
      <c r="P5" s="6" t="s">
        <v>19</v>
      </c>
    </row>
    <row r="6" spans="1:16" s="16" customFormat="1" ht="69.95" customHeight="1" x14ac:dyDescent="0.2">
      <c r="A6" s="28">
        <v>1</v>
      </c>
      <c r="B6" s="18">
        <v>1</v>
      </c>
      <c r="C6" s="19" t="s">
        <v>26</v>
      </c>
      <c r="D6" s="26" t="s">
        <v>136</v>
      </c>
      <c r="E6" s="20">
        <v>481012</v>
      </c>
      <c r="F6" s="19" t="s">
        <v>103</v>
      </c>
      <c r="G6" s="19">
        <v>2352</v>
      </c>
      <c r="H6" s="19">
        <v>100</v>
      </c>
      <c r="I6" s="19">
        <v>150</v>
      </c>
      <c r="J6" s="19">
        <f>SUM(G6:I6)</f>
        <v>2602</v>
      </c>
      <c r="K6" s="27">
        <v>8.6</v>
      </c>
      <c r="L6" s="21">
        <f>J6*K6</f>
        <v>22377.200000000001</v>
      </c>
      <c r="M6" s="30">
        <f>SUM(L6:L8)</f>
        <v>35946.839999999997</v>
      </c>
      <c r="N6" s="30" t="s">
        <v>100</v>
      </c>
      <c r="O6" s="8" t="s">
        <v>3</v>
      </c>
      <c r="P6" s="22">
        <f>VLOOKUP(K6, Intervalos!$B$3:$C$8,2,TRUE)</f>
        <v>0.02</v>
      </c>
    </row>
    <row r="7" spans="1:16" s="16" customFormat="1" ht="69.95" customHeight="1" x14ac:dyDescent="0.2">
      <c r="A7" s="32"/>
      <c r="B7" s="18">
        <v>2</v>
      </c>
      <c r="C7" s="19" t="s">
        <v>27</v>
      </c>
      <c r="D7" s="26" t="s">
        <v>112</v>
      </c>
      <c r="E7" s="20">
        <v>269943</v>
      </c>
      <c r="F7" s="19" t="s">
        <v>103</v>
      </c>
      <c r="G7" s="19">
        <v>203</v>
      </c>
      <c r="H7" s="19">
        <v>200</v>
      </c>
      <c r="I7" s="19">
        <v>150</v>
      </c>
      <c r="J7" s="26">
        <f t="shared" ref="J7:J70" si="0">SUM(G7:I7)</f>
        <v>553</v>
      </c>
      <c r="K7" s="27">
        <v>9.2799999999999994</v>
      </c>
      <c r="L7" s="21">
        <f t="shared" ref="L7:L70" si="1">J7*K7</f>
        <v>5131.8399999999992</v>
      </c>
      <c r="M7" s="33"/>
      <c r="N7" s="33"/>
      <c r="O7" s="8" t="s">
        <v>3</v>
      </c>
      <c r="P7" s="22">
        <f>VLOOKUP(K7, Intervalos!$B$3:$C$8,2,TRUE)</f>
        <v>0.02</v>
      </c>
    </row>
    <row r="8" spans="1:16" s="16" customFormat="1" ht="69.95" customHeight="1" x14ac:dyDescent="0.2">
      <c r="A8" s="29"/>
      <c r="B8" s="18">
        <v>3</v>
      </c>
      <c r="C8" s="19" t="s">
        <v>28</v>
      </c>
      <c r="D8" s="26" t="s">
        <v>138</v>
      </c>
      <c r="E8" s="20">
        <v>269943</v>
      </c>
      <c r="F8" s="19" t="s">
        <v>103</v>
      </c>
      <c r="G8" s="19">
        <v>117</v>
      </c>
      <c r="H8" s="19">
        <v>20</v>
      </c>
      <c r="I8" s="19">
        <v>150</v>
      </c>
      <c r="J8" s="26">
        <f t="shared" si="0"/>
        <v>287</v>
      </c>
      <c r="K8" s="27">
        <v>29.4</v>
      </c>
      <c r="L8" s="21">
        <f t="shared" si="1"/>
        <v>8437.7999999999993</v>
      </c>
      <c r="M8" s="31"/>
      <c r="N8" s="31"/>
      <c r="O8" s="8" t="s">
        <v>3</v>
      </c>
      <c r="P8" s="22">
        <f>VLOOKUP(K8, Intervalos!$B$3:$C$8,2,TRUE)</f>
        <v>0.05</v>
      </c>
    </row>
    <row r="9" spans="1:16" s="16" customFormat="1" ht="69.95" customHeight="1" x14ac:dyDescent="0.2">
      <c r="A9" s="18" t="s">
        <v>101</v>
      </c>
      <c r="B9" s="18">
        <v>4</v>
      </c>
      <c r="C9" s="19" t="s">
        <v>29</v>
      </c>
      <c r="D9" s="26" t="s">
        <v>137</v>
      </c>
      <c r="E9" s="20">
        <v>269943</v>
      </c>
      <c r="F9" s="19" t="s">
        <v>103</v>
      </c>
      <c r="G9" s="19">
        <v>38</v>
      </c>
      <c r="H9" s="19">
        <v>50</v>
      </c>
      <c r="I9" s="19">
        <v>30</v>
      </c>
      <c r="J9" s="19">
        <f t="shared" si="0"/>
        <v>118</v>
      </c>
      <c r="K9" s="27">
        <v>20.77</v>
      </c>
      <c r="L9" s="21">
        <f t="shared" si="1"/>
        <v>2450.86</v>
      </c>
      <c r="M9" s="21" t="s">
        <v>101</v>
      </c>
      <c r="N9" s="21" t="s">
        <v>100</v>
      </c>
      <c r="O9" s="8" t="s">
        <v>3</v>
      </c>
      <c r="P9" s="22">
        <f>VLOOKUP(K9, Intervalos!$B$3:$C$8,2,TRUE)</f>
        <v>0.05</v>
      </c>
    </row>
    <row r="10" spans="1:16" s="16" customFormat="1" ht="69.95" customHeight="1" x14ac:dyDescent="0.2">
      <c r="A10" s="28">
        <v>2</v>
      </c>
      <c r="B10" s="18">
        <v>5</v>
      </c>
      <c r="C10" s="19" t="s">
        <v>30</v>
      </c>
      <c r="D10" s="26" t="s">
        <v>56</v>
      </c>
      <c r="E10" s="20">
        <v>253221</v>
      </c>
      <c r="F10" s="19" t="s">
        <v>101</v>
      </c>
      <c r="G10" s="19">
        <v>48</v>
      </c>
      <c r="H10" s="19">
        <v>40</v>
      </c>
      <c r="I10" s="19">
        <v>30</v>
      </c>
      <c r="J10" s="19">
        <f t="shared" si="0"/>
        <v>118</v>
      </c>
      <c r="K10" s="27">
        <v>34.99</v>
      </c>
      <c r="L10" s="21">
        <f t="shared" si="1"/>
        <v>4128.8200000000006</v>
      </c>
      <c r="M10" s="30">
        <f>SUM(L10:L13)</f>
        <v>11172.31</v>
      </c>
      <c r="N10" s="30" t="s">
        <v>100</v>
      </c>
      <c r="O10" s="8" t="s">
        <v>3</v>
      </c>
      <c r="P10" s="22">
        <f>VLOOKUP(K10, Intervalos!$B$3:$C$8,2,TRUE)</f>
        <v>0.05</v>
      </c>
    </row>
    <row r="11" spans="1:16" s="16" customFormat="1" ht="69.95" customHeight="1" x14ac:dyDescent="0.2">
      <c r="A11" s="32"/>
      <c r="B11" s="18">
        <v>6</v>
      </c>
      <c r="C11" s="19" t="s">
        <v>79</v>
      </c>
      <c r="D11" s="26" t="s">
        <v>56</v>
      </c>
      <c r="E11" s="20">
        <v>601243</v>
      </c>
      <c r="F11" s="19" t="s">
        <v>101</v>
      </c>
      <c r="G11" s="19">
        <v>15</v>
      </c>
      <c r="H11" s="19">
        <v>20</v>
      </c>
      <c r="I11" s="19">
        <v>15</v>
      </c>
      <c r="J11" s="19">
        <f t="shared" si="0"/>
        <v>50</v>
      </c>
      <c r="K11" s="27">
        <v>16.93</v>
      </c>
      <c r="L11" s="21">
        <f t="shared" si="1"/>
        <v>846.5</v>
      </c>
      <c r="M11" s="33"/>
      <c r="N11" s="33"/>
      <c r="O11" s="8" t="s">
        <v>3</v>
      </c>
      <c r="P11" s="22">
        <f>VLOOKUP(K11, Intervalos!$B$3:$C$8,2,TRUE)</f>
        <v>0.03</v>
      </c>
    </row>
    <row r="12" spans="1:16" s="16" customFormat="1" ht="69.95" customHeight="1" x14ac:dyDescent="0.2">
      <c r="A12" s="32"/>
      <c r="B12" s="18">
        <v>7</v>
      </c>
      <c r="C12" s="19" t="s">
        <v>80</v>
      </c>
      <c r="D12" s="26" t="s">
        <v>56</v>
      </c>
      <c r="E12" s="20">
        <v>607532</v>
      </c>
      <c r="F12" s="19" t="s">
        <v>101</v>
      </c>
      <c r="G12" s="19">
        <v>165</v>
      </c>
      <c r="H12" s="19">
        <v>10</v>
      </c>
      <c r="I12" s="19">
        <v>100</v>
      </c>
      <c r="J12" s="19">
        <f t="shared" si="0"/>
        <v>275</v>
      </c>
      <c r="K12" s="27">
        <v>12.81</v>
      </c>
      <c r="L12" s="21">
        <f t="shared" si="1"/>
        <v>3522.75</v>
      </c>
      <c r="M12" s="33"/>
      <c r="N12" s="33"/>
      <c r="O12" s="8" t="s">
        <v>3</v>
      </c>
      <c r="P12" s="22">
        <f>VLOOKUP(K12, Intervalos!$B$3:$C$8,2,TRUE)</f>
        <v>0.03</v>
      </c>
    </row>
    <row r="13" spans="1:16" s="16" customFormat="1" ht="69.95" customHeight="1" x14ac:dyDescent="0.2">
      <c r="A13" s="29"/>
      <c r="B13" s="18">
        <v>8</v>
      </c>
      <c r="C13" s="19" t="s">
        <v>94</v>
      </c>
      <c r="D13" s="26" t="s">
        <v>56</v>
      </c>
      <c r="E13" s="20">
        <v>421697</v>
      </c>
      <c r="F13" s="19" t="s">
        <v>101</v>
      </c>
      <c r="G13" s="19">
        <v>42</v>
      </c>
      <c r="H13" s="19">
        <v>50</v>
      </c>
      <c r="I13" s="19">
        <v>30</v>
      </c>
      <c r="J13" s="19">
        <f t="shared" si="0"/>
        <v>122</v>
      </c>
      <c r="K13" s="27">
        <v>21.92</v>
      </c>
      <c r="L13" s="21">
        <f t="shared" si="1"/>
        <v>2674.2400000000002</v>
      </c>
      <c r="M13" s="31"/>
      <c r="N13" s="31"/>
      <c r="O13" s="8" t="s">
        <v>3</v>
      </c>
      <c r="P13" s="22">
        <f>VLOOKUP(K13, Intervalos!$B$3:$C$8,2,TRUE)</f>
        <v>0.05</v>
      </c>
    </row>
    <row r="14" spans="1:16" s="16" customFormat="1" ht="69.95" customHeight="1" x14ac:dyDescent="0.2">
      <c r="A14" s="18" t="s">
        <v>101</v>
      </c>
      <c r="B14" s="18">
        <v>9</v>
      </c>
      <c r="C14" s="19" t="s">
        <v>31</v>
      </c>
      <c r="D14" s="26" t="s">
        <v>56</v>
      </c>
      <c r="E14" s="20">
        <v>616143</v>
      </c>
      <c r="F14" s="19" t="s">
        <v>101</v>
      </c>
      <c r="G14" s="19">
        <v>8</v>
      </c>
      <c r="H14" s="19">
        <v>10</v>
      </c>
      <c r="I14" s="19">
        <v>8</v>
      </c>
      <c r="J14" s="19">
        <f t="shared" si="0"/>
        <v>26</v>
      </c>
      <c r="K14" s="27">
        <v>71.13</v>
      </c>
      <c r="L14" s="21">
        <f t="shared" si="1"/>
        <v>1849.3799999999999</v>
      </c>
      <c r="M14" s="21" t="s">
        <v>101</v>
      </c>
      <c r="N14" s="21" t="s">
        <v>100</v>
      </c>
      <c r="O14" s="8" t="s">
        <v>3</v>
      </c>
      <c r="P14" s="22">
        <f>VLOOKUP(K14, Intervalos!$B$3:$C$8,2,TRUE)</f>
        <v>0.1</v>
      </c>
    </row>
    <row r="15" spans="1:16" s="16" customFormat="1" ht="69.95" customHeight="1" x14ac:dyDescent="0.2">
      <c r="A15" s="18" t="s">
        <v>101</v>
      </c>
      <c r="B15" s="18">
        <v>10</v>
      </c>
      <c r="C15" s="19" t="s">
        <v>32</v>
      </c>
      <c r="D15" s="26" t="s">
        <v>56</v>
      </c>
      <c r="E15" s="20">
        <v>453449</v>
      </c>
      <c r="F15" s="19" t="s">
        <v>101</v>
      </c>
      <c r="G15" s="19">
        <v>8</v>
      </c>
      <c r="H15" s="19">
        <v>15</v>
      </c>
      <c r="I15" s="19">
        <v>8</v>
      </c>
      <c r="J15" s="19">
        <f t="shared" si="0"/>
        <v>31</v>
      </c>
      <c r="K15" s="27">
        <v>56.73</v>
      </c>
      <c r="L15" s="21">
        <f t="shared" si="1"/>
        <v>1758.6299999999999</v>
      </c>
      <c r="M15" s="21" t="s">
        <v>101</v>
      </c>
      <c r="N15" s="21" t="s">
        <v>100</v>
      </c>
      <c r="O15" s="8" t="s">
        <v>3</v>
      </c>
      <c r="P15" s="22">
        <f>VLOOKUP(K15, Intervalos!$B$3:$C$8,2,TRUE)</f>
        <v>0.1</v>
      </c>
    </row>
    <row r="16" spans="1:16" s="16" customFormat="1" ht="69.95" customHeight="1" x14ac:dyDescent="0.2">
      <c r="A16" s="18" t="s">
        <v>101</v>
      </c>
      <c r="B16" s="18">
        <v>11</v>
      </c>
      <c r="C16" s="19" t="s">
        <v>33</v>
      </c>
      <c r="D16" s="26" t="s">
        <v>56</v>
      </c>
      <c r="E16" s="20">
        <v>406835</v>
      </c>
      <c r="F16" s="19" t="s">
        <v>101</v>
      </c>
      <c r="G16" s="19">
        <v>24</v>
      </c>
      <c r="H16" s="19">
        <v>0</v>
      </c>
      <c r="I16" s="19">
        <v>20</v>
      </c>
      <c r="J16" s="19">
        <f t="shared" si="0"/>
        <v>44</v>
      </c>
      <c r="K16" s="27">
        <v>65.7</v>
      </c>
      <c r="L16" s="21">
        <f t="shared" si="1"/>
        <v>2890.8</v>
      </c>
      <c r="M16" s="21" t="s">
        <v>101</v>
      </c>
      <c r="N16" s="21" t="s">
        <v>100</v>
      </c>
      <c r="O16" s="8" t="s">
        <v>3</v>
      </c>
      <c r="P16" s="22">
        <f>VLOOKUP(K16, Intervalos!$B$3:$C$8,2,TRUE)</f>
        <v>0.1</v>
      </c>
    </row>
    <row r="17" spans="1:16" s="16" customFormat="1" ht="69.95" customHeight="1" x14ac:dyDescent="0.2">
      <c r="A17" s="18" t="s">
        <v>101</v>
      </c>
      <c r="B17" s="18">
        <v>12</v>
      </c>
      <c r="C17" s="19" t="s">
        <v>34</v>
      </c>
      <c r="D17" s="26" t="s">
        <v>56</v>
      </c>
      <c r="E17" s="20">
        <v>415618</v>
      </c>
      <c r="F17" s="19" t="s">
        <v>101</v>
      </c>
      <c r="G17" s="19">
        <v>68</v>
      </c>
      <c r="H17" s="19">
        <v>0</v>
      </c>
      <c r="I17" s="19">
        <v>30</v>
      </c>
      <c r="J17" s="19">
        <f t="shared" si="0"/>
        <v>98</v>
      </c>
      <c r="K17" s="27">
        <v>55.03</v>
      </c>
      <c r="L17" s="21">
        <f t="shared" si="1"/>
        <v>5392.9400000000005</v>
      </c>
      <c r="M17" s="21" t="s">
        <v>101</v>
      </c>
      <c r="N17" s="21" t="s">
        <v>100</v>
      </c>
      <c r="O17" s="8" t="s">
        <v>3</v>
      </c>
      <c r="P17" s="22">
        <f>VLOOKUP(K17, Intervalos!$B$3:$C$8,2,TRUE)</f>
        <v>0.1</v>
      </c>
    </row>
    <row r="18" spans="1:16" s="16" customFormat="1" ht="69.95" customHeight="1" x14ac:dyDescent="0.2">
      <c r="A18" s="18" t="s">
        <v>101</v>
      </c>
      <c r="B18" s="18">
        <v>13</v>
      </c>
      <c r="C18" s="19" t="s">
        <v>35</v>
      </c>
      <c r="D18" s="26" t="s">
        <v>56</v>
      </c>
      <c r="E18" s="20">
        <v>469824</v>
      </c>
      <c r="F18" s="19" t="s">
        <v>101</v>
      </c>
      <c r="G18" s="19">
        <v>63</v>
      </c>
      <c r="H18" s="19">
        <v>0</v>
      </c>
      <c r="I18" s="19">
        <v>40</v>
      </c>
      <c r="J18" s="19">
        <f t="shared" si="0"/>
        <v>103</v>
      </c>
      <c r="K18" s="27">
        <v>29.59</v>
      </c>
      <c r="L18" s="21">
        <f t="shared" si="1"/>
        <v>3047.77</v>
      </c>
      <c r="M18" s="21" t="s">
        <v>101</v>
      </c>
      <c r="N18" s="21" t="s">
        <v>100</v>
      </c>
      <c r="O18" s="8" t="s">
        <v>3</v>
      </c>
      <c r="P18" s="22">
        <f>VLOOKUP(K18, Intervalos!$B$3:$C$8,2,TRUE)</f>
        <v>0.05</v>
      </c>
    </row>
    <row r="19" spans="1:16" s="16" customFormat="1" ht="69.95" customHeight="1" x14ac:dyDescent="0.2">
      <c r="A19" s="18" t="s">
        <v>101</v>
      </c>
      <c r="B19" s="18">
        <v>14</v>
      </c>
      <c r="C19" s="19" t="s">
        <v>121</v>
      </c>
      <c r="D19" s="26" t="s">
        <v>56</v>
      </c>
      <c r="E19" s="20">
        <v>462248</v>
      </c>
      <c r="F19" s="19" t="s">
        <v>101</v>
      </c>
      <c r="G19" s="19">
        <f>15*200</f>
        <v>3000</v>
      </c>
      <c r="H19" s="19">
        <v>0</v>
      </c>
      <c r="I19" s="19">
        <v>1200</v>
      </c>
      <c r="J19" s="19">
        <f t="shared" si="0"/>
        <v>4200</v>
      </c>
      <c r="K19" s="27">
        <f>16.5/200</f>
        <v>8.2500000000000004E-2</v>
      </c>
      <c r="L19" s="21">
        <f t="shared" si="1"/>
        <v>346.5</v>
      </c>
      <c r="M19" s="21" t="s">
        <v>102</v>
      </c>
      <c r="N19" s="21" t="s">
        <v>100</v>
      </c>
      <c r="O19" s="8" t="s">
        <v>3</v>
      </c>
      <c r="P19" s="22">
        <f>VLOOKUP(K19, Intervalos!$B$3:$C$8,2,TRUE)</f>
        <v>0.01</v>
      </c>
    </row>
    <row r="20" spans="1:16" s="16" customFormat="1" ht="69.95" customHeight="1" x14ac:dyDescent="0.2">
      <c r="A20" s="28">
        <v>3</v>
      </c>
      <c r="B20" s="18">
        <v>15</v>
      </c>
      <c r="C20" s="19" t="s">
        <v>36</v>
      </c>
      <c r="D20" s="26" t="s">
        <v>122</v>
      </c>
      <c r="E20" s="20">
        <v>237589</v>
      </c>
      <c r="F20" s="19" t="s">
        <v>104</v>
      </c>
      <c r="G20" s="19">
        <v>319</v>
      </c>
      <c r="H20" s="19">
        <v>0</v>
      </c>
      <c r="I20" s="19">
        <v>250</v>
      </c>
      <c r="J20" s="19">
        <f t="shared" si="0"/>
        <v>569</v>
      </c>
      <c r="K20" s="27">
        <v>4.2699999999999996</v>
      </c>
      <c r="L20" s="21">
        <f t="shared" si="1"/>
        <v>2429.6299999999997</v>
      </c>
      <c r="M20" s="30">
        <f>SUM(L20:L21)</f>
        <v>8870.6299999999992</v>
      </c>
      <c r="N20" s="30" t="s">
        <v>100</v>
      </c>
      <c r="O20" s="8" t="s">
        <v>3</v>
      </c>
      <c r="P20" s="22">
        <f>VLOOKUP(K20, Intervalos!$B$3:$C$8,2,TRUE)</f>
        <v>0.01</v>
      </c>
    </row>
    <row r="21" spans="1:16" s="16" customFormat="1" ht="69.95" customHeight="1" x14ac:dyDescent="0.2">
      <c r="A21" s="29"/>
      <c r="B21" s="18">
        <v>16</v>
      </c>
      <c r="C21" s="19" t="s">
        <v>37</v>
      </c>
      <c r="D21" s="26" t="s">
        <v>122</v>
      </c>
      <c r="E21" s="20">
        <v>237590</v>
      </c>
      <c r="F21" s="19" t="s">
        <v>104</v>
      </c>
      <c r="G21" s="19">
        <v>1175</v>
      </c>
      <c r="H21" s="19">
        <v>0</v>
      </c>
      <c r="I21" s="19">
        <v>250</v>
      </c>
      <c r="J21" s="19">
        <f t="shared" si="0"/>
        <v>1425</v>
      </c>
      <c r="K21" s="27">
        <v>4.5199999999999996</v>
      </c>
      <c r="L21" s="21">
        <f t="shared" si="1"/>
        <v>6440.9999999999991</v>
      </c>
      <c r="M21" s="31"/>
      <c r="N21" s="31"/>
      <c r="O21" s="8" t="s">
        <v>3</v>
      </c>
      <c r="P21" s="22">
        <f>VLOOKUP(K21, Intervalos!$B$3:$C$8,2,TRUE)</f>
        <v>0.01</v>
      </c>
    </row>
    <row r="22" spans="1:16" s="16" customFormat="1" ht="69.95" customHeight="1" x14ac:dyDescent="0.2">
      <c r="A22" s="18" t="s">
        <v>101</v>
      </c>
      <c r="B22" s="18">
        <v>17</v>
      </c>
      <c r="C22" s="19" t="s">
        <v>38</v>
      </c>
      <c r="D22" s="26" t="s">
        <v>56</v>
      </c>
      <c r="E22" s="20">
        <v>318665</v>
      </c>
      <c r="F22" s="19" t="s">
        <v>101</v>
      </c>
      <c r="G22" s="19">
        <v>5</v>
      </c>
      <c r="H22" s="19">
        <v>10</v>
      </c>
      <c r="I22" s="19">
        <v>5</v>
      </c>
      <c r="J22" s="19">
        <f t="shared" si="0"/>
        <v>20</v>
      </c>
      <c r="K22" s="27">
        <v>91.4</v>
      </c>
      <c r="L22" s="21">
        <f t="shared" si="1"/>
        <v>1828</v>
      </c>
      <c r="M22" s="21" t="s">
        <v>101</v>
      </c>
      <c r="N22" s="21" t="s">
        <v>100</v>
      </c>
      <c r="O22" s="8" t="s">
        <v>3</v>
      </c>
      <c r="P22" s="22">
        <f>VLOOKUP(K22, Intervalos!$B$3:$C$8,2,TRUE)</f>
        <v>0.1</v>
      </c>
    </row>
    <row r="23" spans="1:16" s="16" customFormat="1" ht="69.95" customHeight="1" x14ac:dyDescent="0.2">
      <c r="A23" s="28">
        <v>4</v>
      </c>
      <c r="B23" s="18">
        <v>18</v>
      </c>
      <c r="C23" s="19" t="s">
        <v>123</v>
      </c>
      <c r="D23" s="26" t="s">
        <v>56</v>
      </c>
      <c r="E23" s="20">
        <v>240321</v>
      </c>
      <c r="F23" s="19" t="s">
        <v>106</v>
      </c>
      <c r="G23" s="19">
        <f>25*10</f>
        <v>250</v>
      </c>
      <c r="H23" s="19">
        <v>150</v>
      </c>
      <c r="I23" s="19">
        <v>250</v>
      </c>
      <c r="J23" s="19">
        <f t="shared" si="0"/>
        <v>650</v>
      </c>
      <c r="K23" s="27">
        <f>25/10</f>
        <v>2.5</v>
      </c>
      <c r="L23" s="21">
        <f t="shared" si="1"/>
        <v>1625</v>
      </c>
      <c r="M23" s="30">
        <f>SUM(L23:L26)</f>
        <v>14105.69</v>
      </c>
      <c r="N23" s="30" t="s">
        <v>100</v>
      </c>
      <c r="O23" s="8" t="s">
        <v>3</v>
      </c>
      <c r="P23" s="22">
        <f>VLOOKUP(K23, Intervalos!$B$3:$C$8,2,TRUE)</f>
        <v>0.01</v>
      </c>
    </row>
    <row r="24" spans="1:16" s="16" customFormat="1" ht="69.95" customHeight="1" x14ac:dyDescent="0.2">
      <c r="A24" s="32"/>
      <c r="B24" s="18">
        <v>19</v>
      </c>
      <c r="C24" s="19" t="s">
        <v>42</v>
      </c>
      <c r="D24" s="26" t="s">
        <v>139</v>
      </c>
      <c r="E24" s="20">
        <v>393858</v>
      </c>
      <c r="F24" s="19" t="s">
        <v>101</v>
      </c>
      <c r="G24" s="19">
        <v>28</v>
      </c>
      <c r="H24" s="19">
        <v>60</v>
      </c>
      <c r="I24" s="19">
        <v>25</v>
      </c>
      <c r="J24" s="19">
        <f t="shared" si="0"/>
        <v>113</v>
      </c>
      <c r="K24" s="27">
        <v>37.14</v>
      </c>
      <c r="L24" s="21">
        <f t="shared" si="1"/>
        <v>4196.82</v>
      </c>
      <c r="M24" s="33"/>
      <c r="N24" s="33"/>
      <c r="O24" s="8" t="s">
        <v>3</v>
      </c>
      <c r="P24" s="22">
        <f>VLOOKUP(K24, Intervalos!$B$3:$C$8,2,TRUE)</f>
        <v>0.05</v>
      </c>
    </row>
    <row r="25" spans="1:16" s="16" customFormat="1" ht="69.95" customHeight="1" x14ac:dyDescent="0.2">
      <c r="A25" s="32"/>
      <c r="B25" s="18">
        <v>20</v>
      </c>
      <c r="C25" s="19" t="s">
        <v>54</v>
      </c>
      <c r="D25" s="26" t="s">
        <v>56</v>
      </c>
      <c r="E25" s="20">
        <v>455619</v>
      </c>
      <c r="F25" s="19" t="s">
        <v>101</v>
      </c>
      <c r="G25" s="19">
        <v>53</v>
      </c>
      <c r="H25" s="19">
        <v>10</v>
      </c>
      <c r="I25" s="19">
        <v>20</v>
      </c>
      <c r="J25" s="19">
        <f t="shared" si="0"/>
        <v>83</v>
      </c>
      <c r="K25" s="27">
        <v>86.13</v>
      </c>
      <c r="L25" s="21">
        <f t="shared" si="1"/>
        <v>7148.79</v>
      </c>
      <c r="M25" s="33"/>
      <c r="N25" s="33"/>
      <c r="O25" s="8" t="s">
        <v>3</v>
      </c>
      <c r="P25" s="22">
        <f>VLOOKUP(K25, Intervalos!$B$3:$C$8,2,TRUE)</f>
        <v>0.1</v>
      </c>
    </row>
    <row r="26" spans="1:16" s="16" customFormat="1" ht="69.95" customHeight="1" x14ac:dyDescent="0.2">
      <c r="A26" s="29"/>
      <c r="B26" s="18">
        <v>21</v>
      </c>
      <c r="C26" s="19" t="s">
        <v>60</v>
      </c>
      <c r="D26" s="26" t="s">
        <v>56</v>
      </c>
      <c r="E26" s="20">
        <v>297135</v>
      </c>
      <c r="F26" s="19" t="s">
        <v>101</v>
      </c>
      <c r="G26" s="19">
        <v>13</v>
      </c>
      <c r="H26" s="19">
        <v>10</v>
      </c>
      <c r="I26" s="19">
        <v>13</v>
      </c>
      <c r="J26" s="19">
        <f t="shared" si="0"/>
        <v>36</v>
      </c>
      <c r="K26" s="27">
        <v>31.53</v>
      </c>
      <c r="L26" s="21">
        <f t="shared" si="1"/>
        <v>1135.08</v>
      </c>
      <c r="M26" s="31"/>
      <c r="N26" s="31"/>
      <c r="O26" s="8" t="s">
        <v>3</v>
      </c>
      <c r="P26" s="22">
        <f>VLOOKUP(K26, Intervalos!$B$3:$C$8,2,TRUE)</f>
        <v>0.05</v>
      </c>
    </row>
    <row r="27" spans="1:16" s="17" customFormat="1" ht="69.95" customHeight="1" x14ac:dyDescent="0.2">
      <c r="A27" s="18" t="s">
        <v>101</v>
      </c>
      <c r="B27" s="18">
        <v>22</v>
      </c>
      <c r="C27" s="19" t="s">
        <v>39</v>
      </c>
      <c r="D27" s="26" t="s">
        <v>56</v>
      </c>
      <c r="E27" s="20">
        <v>454989</v>
      </c>
      <c r="F27" s="19" t="s">
        <v>106</v>
      </c>
      <c r="G27" s="19">
        <v>7</v>
      </c>
      <c r="H27" s="19">
        <v>5</v>
      </c>
      <c r="I27" s="19">
        <v>7</v>
      </c>
      <c r="J27" s="19">
        <f t="shared" si="0"/>
        <v>19</v>
      </c>
      <c r="K27" s="27">
        <v>217.47</v>
      </c>
      <c r="L27" s="21">
        <f t="shared" si="1"/>
        <v>4131.93</v>
      </c>
      <c r="M27" s="21" t="s">
        <v>101</v>
      </c>
      <c r="N27" s="21" t="s">
        <v>100</v>
      </c>
      <c r="O27" s="8" t="s">
        <v>3</v>
      </c>
      <c r="P27" s="22" t="str">
        <f>VLOOKUP(K27, Intervalos!$B$3:$C$8,2,TRUE)</f>
        <v>0,10%</v>
      </c>
    </row>
    <row r="28" spans="1:16" s="17" customFormat="1" ht="69.95" customHeight="1" x14ac:dyDescent="0.2">
      <c r="A28" s="28">
        <v>5</v>
      </c>
      <c r="B28" s="18">
        <v>23</v>
      </c>
      <c r="C28" s="19" t="s">
        <v>40</v>
      </c>
      <c r="D28" s="26" t="s">
        <v>124</v>
      </c>
      <c r="E28" s="20">
        <v>435019</v>
      </c>
      <c r="F28" s="19" t="s">
        <v>101</v>
      </c>
      <c r="G28" s="19">
        <v>8198</v>
      </c>
      <c r="H28" s="19">
        <v>1000</v>
      </c>
      <c r="I28" s="19">
        <v>300</v>
      </c>
      <c r="J28" s="19">
        <f t="shared" si="0"/>
        <v>9498</v>
      </c>
      <c r="K28" s="27">
        <v>4.6500000000000004</v>
      </c>
      <c r="L28" s="21">
        <f t="shared" si="1"/>
        <v>44165.700000000004</v>
      </c>
      <c r="M28" s="30">
        <f>SUM(L28:L29)</f>
        <v>61427.12000000001</v>
      </c>
      <c r="N28" s="30" t="s">
        <v>100</v>
      </c>
      <c r="O28" s="8" t="s">
        <v>3</v>
      </c>
      <c r="P28" s="22">
        <f>VLOOKUP(K28, Intervalos!$B$3:$C$8,2,TRUE)</f>
        <v>0.01</v>
      </c>
    </row>
    <row r="29" spans="1:16" s="16" customFormat="1" ht="69.95" customHeight="1" x14ac:dyDescent="0.2">
      <c r="A29" s="29"/>
      <c r="B29" s="18">
        <v>24</v>
      </c>
      <c r="C29" s="19" t="s">
        <v>41</v>
      </c>
      <c r="D29" s="26" t="s">
        <v>124</v>
      </c>
      <c r="E29" s="20">
        <v>419309</v>
      </c>
      <c r="F29" s="19" t="s">
        <v>101</v>
      </c>
      <c r="G29" s="19">
        <v>3662</v>
      </c>
      <c r="H29" s="19">
        <v>1000</v>
      </c>
      <c r="I29" s="19">
        <v>400</v>
      </c>
      <c r="J29" s="19">
        <f t="shared" si="0"/>
        <v>5062</v>
      </c>
      <c r="K29" s="27">
        <v>3.41</v>
      </c>
      <c r="L29" s="21">
        <f t="shared" si="1"/>
        <v>17261.420000000002</v>
      </c>
      <c r="M29" s="31"/>
      <c r="N29" s="31"/>
      <c r="O29" s="8" t="s">
        <v>3</v>
      </c>
      <c r="P29" s="22">
        <f>VLOOKUP(K29, Intervalos!$B$3:$C$8,2,TRUE)</f>
        <v>0.01</v>
      </c>
    </row>
    <row r="30" spans="1:16" s="16" customFormat="1" ht="69.95" customHeight="1" x14ac:dyDescent="0.2">
      <c r="A30" s="28">
        <v>6</v>
      </c>
      <c r="B30" s="18">
        <v>25</v>
      </c>
      <c r="C30" s="19" t="s">
        <v>43</v>
      </c>
      <c r="D30" s="26" t="s">
        <v>56</v>
      </c>
      <c r="E30" s="20">
        <v>461694</v>
      </c>
      <c r="F30" s="19" t="s">
        <v>101</v>
      </c>
      <c r="G30" s="19">
        <v>7</v>
      </c>
      <c r="H30" s="19">
        <v>0</v>
      </c>
      <c r="I30" s="19">
        <v>7</v>
      </c>
      <c r="J30" s="19">
        <f t="shared" si="0"/>
        <v>14</v>
      </c>
      <c r="K30" s="27">
        <v>123.82</v>
      </c>
      <c r="L30" s="21">
        <f t="shared" si="1"/>
        <v>1733.48</v>
      </c>
      <c r="M30" s="30">
        <f>SUM(L30:L31)</f>
        <v>2630.48</v>
      </c>
      <c r="N30" s="30" t="s">
        <v>100</v>
      </c>
      <c r="O30" s="8" t="s">
        <v>3</v>
      </c>
      <c r="P30" s="22" t="str">
        <f>VLOOKUP(K30, Intervalos!$B$3:$C$8,2,TRUE)</f>
        <v>0,10%</v>
      </c>
    </row>
    <row r="31" spans="1:16" s="16" customFormat="1" ht="69.95" customHeight="1" x14ac:dyDescent="0.2">
      <c r="A31" s="29"/>
      <c r="B31" s="18">
        <v>26</v>
      </c>
      <c r="C31" s="19" t="s">
        <v>51</v>
      </c>
      <c r="D31" s="26" t="s">
        <v>56</v>
      </c>
      <c r="E31" s="20">
        <v>451744</v>
      </c>
      <c r="F31" s="19" t="s">
        <v>101</v>
      </c>
      <c r="G31" s="19">
        <v>25</v>
      </c>
      <c r="H31" s="19">
        <v>0</v>
      </c>
      <c r="I31" s="19">
        <v>25</v>
      </c>
      <c r="J31" s="19">
        <f t="shared" si="0"/>
        <v>50</v>
      </c>
      <c r="K31" s="27">
        <v>17.940000000000001</v>
      </c>
      <c r="L31" s="21">
        <f t="shared" si="1"/>
        <v>897.00000000000011</v>
      </c>
      <c r="M31" s="31"/>
      <c r="N31" s="31"/>
      <c r="O31" s="8" t="s">
        <v>3</v>
      </c>
      <c r="P31" s="22">
        <f>VLOOKUP(K31, Intervalos!$B$3:$C$8,2,TRUE)</f>
        <v>0.03</v>
      </c>
    </row>
    <row r="32" spans="1:16" s="16" customFormat="1" ht="69.95" customHeight="1" x14ac:dyDescent="0.2">
      <c r="A32" s="28">
        <v>7</v>
      </c>
      <c r="B32" s="18">
        <v>27</v>
      </c>
      <c r="C32" s="19" t="s">
        <v>44</v>
      </c>
      <c r="D32" s="26" t="s">
        <v>111</v>
      </c>
      <c r="E32" s="20">
        <v>449762</v>
      </c>
      <c r="F32" s="19" t="s">
        <v>103</v>
      </c>
      <c r="G32" s="19">
        <v>50</v>
      </c>
      <c r="H32" s="19">
        <v>20</v>
      </c>
      <c r="I32" s="19">
        <v>40</v>
      </c>
      <c r="J32" s="19">
        <f t="shared" si="0"/>
        <v>110</v>
      </c>
      <c r="K32" s="27">
        <v>40</v>
      </c>
      <c r="L32" s="21">
        <f t="shared" si="1"/>
        <v>4400</v>
      </c>
      <c r="M32" s="30">
        <f>SUM(L32:L33)</f>
        <v>6579.15</v>
      </c>
      <c r="N32" s="30" t="s">
        <v>100</v>
      </c>
      <c r="O32" s="8" t="s">
        <v>3</v>
      </c>
      <c r="P32" s="22">
        <f>VLOOKUP(K32, Intervalos!$B$3:$C$8,2,TRUE)</f>
        <v>0.05</v>
      </c>
    </row>
    <row r="33" spans="1:16" s="16" customFormat="1" ht="69.95" customHeight="1" x14ac:dyDescent="0.2">
      <c r="A33" s="29"/>
      <c r="B33" s="18">
        <v>28</v>
      </c>
      <c r="C33" s="19" t="s">
        <v>45</v>
      </c>
      <c r="D33" s="26" t="s">
        <v>138</v>
      </c>
      <c r="E33" s="20">
        <v>358886</v>
      </c>
      <c r="F33" s="19" t="s">
        <v>103</v>
      </c>
      <c r="G33" s="19">
        <v>13</v>
      </c>
      <c r="H33" s="19">
        <v>15</v>
      </c>
      <c r="I33" s="19">
        <v>13</v>
      </c>
      <c r="J33" s="19">
        <f t="shared" si="0"/>
        <v>41</v>
      </c>
      <c r="K33" s="27">
        <v>53.15</v>
      </c>
      <c r="L33" s="21">
        <f t="shared" si="1"/>
        <v>2179.15</v>
      </c>
      <c r="M33" s="31"/>
      <c r="N33" s="31"/>
      <c r="O33" s="8" t="s">
        <v>3</v>
      </c>
      <c r="P33" s="22">
        <f>VLOOKUP(K33, Intervalos!$B$3:$C$8,2,TRUE)</f>
        <v>0.1</v>
      </c>
    </row>
    <row r="34" spans="1:16" s="16" customFormat="1" ht="69.95" customHeight="1" x14ac:dyDescent="0.2">
      <c r="A34" s="18" t="s">
        <v>101</v>
      </c>
      <c r="B34" s="18">
        <v>29</v>
      </c>
      <c r="C34" s="19" t="s">
        <v>96</v>
      </c>
      <c r="D34" s="26" t="s">
        <v>140</v>
      </c>
      <c r="E34" s="20">
        <v>389764</v>
      </c>
      <c r="F34" s="19" t="s">
        <v>103</v>
      </c>
      <c r="G34" s="19">
        <f>13*500</f>
        <v>6500</v>
      </c>
      <c r="H34" s="19">
        <v>0</v>
      </c>
      <c r="I34" s="19">
        <v>1500</v>
      </c>
      <c r="J34" s="19">
        <f t="shared" si="0"/>
        <v>8000</v>
      </c>
      <c r="K34" s="27">
        <f>159.15/500</f>
        <v>0.31830000000000003</v>
      </c>
      <c r="L34" s="21">
        <f t="shared" si="1"/>
        <v>2546.4</v>
      </c>
      <c r="M34" s="21" t="s">
        <v>101</v>
      </c>
      <c r="N34" s="21" t="s">
        <v>100</v>
      </c>
      <c r="O34" s="8" t="s">
        <v>3</v>
      </c>
      <c r="P34" s="22">
        <f>VLOOKUP(K34, Intervalos!$B$3:$C$8,2,TRUE)</f>
        <v>0.01</v>
      </c>
    </row>
    <row r="35" spans="1:16" s="16" customFormat="1" ht="69.95" customHeight="1" x14ac:dyDescent="0.2">
      <c r="A35" s="18" t="s">
        <v>101</v>
      </c>
      <c r="B35" s="18">
        <v>30</v>
      </c>
      <c r="C35" s="19" t="s">
        <v>46</v>
      </c>
      <c r="D35" s="26" t="s">
        <v>136</v>
      </c>
      <c r="E35" s="20">
        <v>408763</v>
      </c>
      <c r="F35" s="19" t="s">
        <v>103</v>
      </c>
      <c r="G35" s="19">
        <v>1487</v>
      </c>
      <c r="H35" s="19">
        <v>200</v>
      </c>
      <c r="I35" s="19">
        <v>100</v>
      </c>
      <c r="J35" s="19">
        <f t="shared" si="0"/>
        <v>1787</v>
      </c>
      <c r="K35" s="27">
        <v>15.93</v>
      </c>
      <c r="L35" s="21">
        <f t="shared" si="1"/>
        <v>28466.91</v>
      </c>
      <c r="M35" s="21" t="s">
        <v>101</v>
      </c>
      <c r="N35" s="21" t="s">
        <v>100</v>
      </c>
      <c r="O35" s="8" t="s">
        <v>3</v>
      </c>
      <c r="P35" s="22">
        <f>VLOOKUP(K35, Intervalos!$B$3:$C$8,2,TRUE)</f>
        <v>0.03</v>
      </c>
    </row>
    <row r="36" spans="1:16" s="17" customFormat="1" ht="69.95" customHeight="1" x14ac:dyDescent="0.2">
      <c r="A36" s="18" t="s">
        <v>101</v>
      </c>
      <c r="B36" s="18">
        <v>31</v>
      </c>
      <c r="C36" s="19" t="s">
        <v>105</v>
      </c>
      <c r="D36" s="26" t="s">
        <v>112</v>
      </c>
      <c r="E36" s="20">
        <v>338836</v>
      </c>
      <c r="F36" s="19" t="s">
        <v>103</v>
      </c>
      <c r="G36" s="19">
        <v>1422</v>
      </c>
      <c r="H36" s="19">
        <v>250</v>
      </c>
      <c r="I36" s="19">
        <v>800</v>
      </c>
      <c r="J36" s="19">
        <f t="shared" si="0"/>
        <v>2472</v>
      </c>
      <c r="K36" s="27">
        <v>2.23</v>
      </c>
      <c r="L36" s="21">
        <f t="shared" si="1"/>
        <v>5512.56</v>
      </c>
      <c r="M36" s="21" t="s">
        <v>101</v>
      </c>
      <c r="N36" s="21" t="s">
        <v>100</v>
      </c>
      <c r="O36" s="8" t="s">
        <v>3</v>
      </c>
      <c r="P36" s="22">
        <f>VLOOKUP(K36, Intervalos!$B$3:$C$8,2,TRUE)</f>
        <v>0.01</v>
      </c>
    </row>
    <row r="37" spans="1:16" s="16" customFormat="1" ht="69.95" customHeight="1" x14ac:dyDescent="0.2">
      <c r="A37" s="28">
        <v>8</v>
      </c>
      <c r="B37" s="18">
        <v>32</v>
      </c>
      <c r="C37" s="19" t="s">
        <v>47</v>
      </c>
      <c r="D37" s="26" t="s">
        <v>56</v>
      </c>
      <c r="E37" s="20">
        <v>261607</v>
      </c>
      <c r="F37" s="19" t="s">
        <v>101</v>
      </c>
      <c r="G37" s="19">
        <v>145</v>
      </c>
      <c r="H37" s="19">
        <v>70</v>
      </c>
      <c r="I37" s="19">
        <v>40</v>
      </c>
      <c r="J37" s="19">
        <f t="shared" si="0"/>
        <v>255</v>
      </c>
      <c r="K37" s="27">
        <v>36.9</v>
      </c>
      <c r="L37" s="21">
        <f t="shared" si="1"/>
        <v>9409.5</v>
      </c>
      <c r="M37" s="30">
        <f>SUM(L37:L39)</f>
        <v>36482.240000000005</v>
      </c>
      <c r="N37" s="30"/>
      <c r="O37" s="8" t="s">
        <v>3</v>
      </c>
      <c r="P37" s="22">
        <f>VLOOKUP(K37, Intervalos!$B$3:$C$8,2,TRUE)</f>
        <v>0.05</v>
      </c>
    </row>
    <row r="38" spans="1:16" s="16" customFormat="1" ht="69.95" customHeight="1" x14ac:dyDescent="0.2">
      <c r="A38" s="32"/>
      <c r="B38" s="18">
        <v>33</v>
      </c>
      <c r="C38" s="19" t="s">
        <v>48</v>
      </c>
      <c r="D38" s="26" t="s">
        <v>56</v>
      </c>
      <c r="E38" s="20">
        <v>607815</v>
      </c>
      <c r="F38" s="19" t="s">
        <v>101</v>
      </c>
      <c r="G38" s="19">
        <v>194</v>
      </c>
      <c r="H38" s="19">
        <v>210</v>
      </c>
      <c r="I38" s="19">
        <v>50</v>
      </c>
      <c r="J38" s="19">
        <f t="shared" si="0"/>
        <v>454</v>
      </c>
      <c r="K38" s="27">
        <v>32.81</v>
      </c>
      <c r="L38" s="21">
        <f t="shared" si="1"/>
        <v>14895.740000000002</v>
      </c>
      <c r="M38" s="33"/>
      <c r="N38" s="33"/>
      <c r="O38" s="8" t="s">
        <v>3</v>
      </c>
      <c r="P38" s="22">
        <f>VLOOKUP(K38, Intervalos!$B$3:$C$8,2,TRUE)</f>
        <v>0.05</v>
      </c>
    </row>
    <row r="39" spans="1:16" s="16" customFormat="1" ht="69.95" customHeight="1" x14ac:dyDescent="0.2">
      <c r="A39" s="29"/>
      <c r="B39" s="18">
        <v>34</v>
      </c>
      <c r="C39" s="19" t="s">
        <v>82</v>
      </c>
      <c r="D39" s="26" t="s">
        <v>56</v>
      </c>
      <c r="E39" s="20">
        <v>270820</v>
      </c>
      <c r="F39" s="19" t="s">
        <v>101</v>
      </c>
      <c r="G39" s="19">
        <v>210</v>
      </c>
      <c r="H39" s="19">
        <v>70</v>
      </c>
      <c r="I39" s="19">
        <v>50</v>
      </c>
      <c r="J39" s="19">
        <f t="shared" si="0"/>
        <v>330</v>
      </c>
      <c r="K39" s="27">
        <v>36.9</v>
      </c>
      <c r="L39" s="21">
        <f t="shared" si="1"/>
        <v>12177</v>
      </c>
      <c r="M39" s="31"/>
      <c r="N39" s="31"/>
      <c r="O39" s="8" t="s">
        <v>3</v>
      </c>
      <c r="P39" s="22">
        <f>VLOOKUP(K39, Intervalos!$B$3:$C$8,2,TRUE)</f>
        <v>0.05</v>
      </c>
    </row>
    <row r="40" spans="1:16" s="16" customFormat="1" ht="69.95" customHeight="1" x14ac:dyDescent="0.2">
      <c r="A40" s="28">
        <v>9</v>
      </c>
      <c r="B40" s="18">
        <v>35</v>
      </c>
      <c r="C40" s="19" t="s">
        <v>125</v>
      </c>
      <c r="D40" s="26" t="s">
        <v>126</v>
      </c>
      <c r="E40" s="20">
        <v>481018</v>
      </c>
      <c r="F40" s="19" t="s">
        <v>106</v>
      </c>
      <c r="G40" s="19">
        <v>143</v>
      </c>
      <c r="H40" s="19">
        <v>300</v>
      </c>
      <c r="I40" s="19">
        <v>800</v>
      </c>
      <c r="J40" s="19">
        <f t="shared" si="0"/>
        <v>1243</v>
      </c>
      <c r="K40" s="27">
        <v>2.89</v>
      </c>
      <c r="L40" s="21">
        <f t="shared" si="1"/>
        <v>3592.27</v>
      </c>
      <c r="M40" s="30">
        <f>SUM(L40:L41)</f>
        <v>16648.82</v>
      </c>
      <c r="N40" s="30" t="s">
        <v>100</v>
      </c>
      <c r="O40" s="8" t="s">
        <v>3</v>
      </c>
      <c r="P40" s="22">
        <f>VLOOKUP(K40, Intervalos!$B$3:$C$8,2,TRUE)</f>
        <v>0.01</v>
      </c>
    </row>
    <row r="41" spans="1:16" s="16" customFormat="1" ht="69.95" customHeight="1" x14ac:dyDescent="0.2">
      <c r="A41" s="29"/>
      <c r="B41" s="18">
        <v>36</v>
      </c>
      <c r="C41" s="19" t="s">
        <v>49</v>
      </c>
      <c r="D41" s="26" t="s">
        <v>127</v>
      </c>
      <c r="E41" s="20">
        <v>481020</v>
      </c>
      <c r="F41" s="19" t="s">
        <v>101</v>
      </c>
      <c r="G41" s="19">
        <v>1745</v>
      </c>
      <c r="H41" s="19">
        <v>1100</v>
      </c>
      <c r="I41" s="19">
        <v>600</v>
      </c>
      <c r="J41" s="19">
        <f t="shared" si="0"/>
        <v>3445</v>
      </c>
      <c r="K41" s="27">
        <v>3.79</v>
      </c>
      <c r="L41" s="21">
        <f t="shared" si="1"/>
        <v>13056.55</v>
      </c>
      <c r="M41" s="31"/>
      <c r="N41" s="31"/>
      <c r="O41" s="8" t="s">
        <v>3</v>
      </c>
      <c r="P41" s="22">
        <f>VLOOKUP(K41, Intervalos!$B$3:$C$8,2,TRUE)</f>
        <v>0.01</v>
      </c>
    </row>
    <row r="42" spans="1:16" s="16" customFormat="1" ht="69.95" customHeight="1" x14ac:dyDescent="0.2">
      <c r="A42" s="18" t="s">
        <v>101</v>
      </c>
      <c r="B42" s="18">
        <v>37</v>
      </c>
      <c r="C42" s="19" t="s">
        <v>50</v>
      </c>
      <c r="D42" s="26" t="s">
        <v>56</v>
      </c>
      <c r="E42" s="20">
        <v>418623</v>
      </c>
      <c r="F42" s="19" t="s">
        <v>101</v>
      </c>
      <c r="G42" s="19">
        <v>19</v>
      </c>
      <c r="H42" s="19">
        <v>0</v>
      </c>
      <c r="I42" s="19">
        <v>19</v>
      </c>
      <c r="J42" s="19">
        <f t="shared" si="0"/>
        <v>38</v>
      </c>
      <c r="K42" s="27">
        <v>95.4</v>
      </c>
      <c r="L42" s="21">
        <f t="shared" si="1"/>
        <v>3625.2000000000003</v>
      </c>
      <c r="M42" s="21" t="s">
        <v>101</v>
      </c>
      <c r="N42" s="21" t="s">
        <v>100</v>
      </c>
      <c r="O42" s="8" t="s">
        <v>3</v>
      </c>
      <c r="P42" s="22">
        <f>VLOOKUP(K42, Intervalos!$B$3:$C$8,2,TRUE)</f>
        <v>0.1</v>
      </c>
    </row>
    <row r="43" spans="1:16" s="16" customFormat="1" ht="69.95" customHeight="1" x14ac:dyDescent="0.2">
      <c r="A43" s="18" t="s">
        <v>101</v>
      </c>
      <c r="B43" s="18">
        <v>38</v>
      </c>
      <c r="C43" s="19" t="s">
        <v>53</v>
      </c>
      <c r="D43" s="26" t="s">
        <v>128</v>
      </c>
      <c r="E43" s="20">
        <v>241343</v>
      </c>
      <c r="F43" s="19" t="s">
        <v>103</v>
      </c>
      <c r="G43" s="19">
        <v>157</v>
      </c>
      <c r="H43" s="19">
        <v>0</v>
      </c>
      <c r="I43" s="19">
        <v>150</v>
      </c>
      <c r="J43" s="19">
        <f t="shared" si="0"/>
        <v>307</v>
      </c>
      <c r="K43" s="27">
        <v>4.6500000000000004</v>
      </c>
      <c r="L43" s="21">
        <f t="shared" si="1"/>
        <v>1427.5500000000002</v>
      </c>
      <c r="M43" s="21" t="s">
        <v>101</v>
      </c>
      <c r="N43" s="21" t="s">
        <v>100</v>
      </c>
      <c r="O43" s="8" t="s">
        <v>3</v>
      </c>
      <c r="P43" s="22">
        <f>VLOOKUP(K43, Intervalos!$B$3:$C$8,2,TRUE)</f>
        <v>0.01</v>
      </c>
    </row>
    <row r="44" spans="1:16" s="16" customFormat="1" ht="69.95" customHeight="1" x14ac:dyDescent="0.2">
      <c r="A44" s="18" t="s">
        <v>101</v>
      </c>
      <c r="B44" s="18">
        <v>39</v>
      </c>
      <c r="C44" s="19" t="s">
        <v>55</v>
      </c>
      <c r="D44" s="26" t="s">
        <v>56</v>
      </c>
      <c r="E44" s="20">
        <v>438094</v>
      </c>
      <c r="F44" s="19" t="s">
        <v>101</v>
      </c>
      <c r="G44" s="19">
        <v>8</v>
      </c>
      <c r="H44" s="19">
        <v>14</v>
      </c>
      <c r="I44" s="19">
        <v>8</v>
      </c>
      <c r="J44" s="19">
        <f t="shared" si="0"/>
        <v>30</v>
      </c>
      <c r="K44" s="27">
        <v>282.54000000000002</v>
      </c>
      <c r="L44" s="21">
        <f t="shared" si="1"/>
        <v>8476.2000000000007</v>
      </c>
      <c r="M44" s="21" t="s">
        <v>101</v>
      </c>
      <c r="N44" s="21" t="s">
        <v>100</v>
      </c>
      <c r="O44" s="8" t="s">
        <v>3</v>
      </c>
      <c r="P44" s="22" t="str">
        <f>VLOOKUP(K44, Intervalos!$B$3:$C$8,2,TRUE)</f>
        <v>0,10%</v>
      </c>
    </row>
    <row r="45" spans="1:16" s="16" customFormat="1" ht="69.95" customHeight="1" x14ac:dyDescent="0.2">
      <c r="A45" s="18" t="s">
        <v>101</v>
      </c>
      <c r="B45" s="18">
        <v>40</v>
      </c>
      <c r="C45" s="19" t="s">
        <v>57</v>
      </c>
      <c r="D45" s="26" t="s">
        <v>129</v>
      </c>
      <c r="E45" s="20">
        <v>224565</v>
      </c>
      <c r="F45" s="19" t="s">
        <v>104</v>
      </c>
      <c r="G45" s="19">
        <v>294</v>
      </c>
      <c r="H45" s="19">
        <v>700</v>
      </c>
      <c r="I45" s="19">
        <v>200</v>
      </c>
      <c r="J45" s="19">
        <f t="shared" si="0"/>
        <v>1194</v>
      </c>
      <c r="K45" s="27">
        <v>4.59</v>
      </c>
      <c r="L45" s="21">
        <f t="shared" si="1"/>
        <v>5480.46</v>
      </c>
      <c r="M45" s="21" t="s">
        <v>101</v>
      </c>
      <c r="N45" s="21" t="s">
        <v>100</v>
      </c>
      <c r="O45" s="8" t="s">
        <v>3</v>
      </c>
      <c r="P45" s="22">
        <f>VLOOKUP(K45, Intervalos!$B$3:$C$8,2,TRUE)</f>
        <v>0.01</v>
      </c>
    </row>
    <row r="46" spans="1:16" s="16" customFormat="1" ht="69.95" customHeight="1" x14ac:dyDescent="0.2">
      <c r="A46" s="18" t="s">
        <v>101</v>
      </c>
      <c r="B46" s="18">
        <v>41</v>
      </c>
      <c r="C46" s="19" t="s">
        <v>58</v>
      </c>
      <c r="D46" s="26" t="s">
        <v>136</v>
      </c>
      <c r="E46" s="20">
        <v>437156</v>
      </c>
      <c r="F46" s="19" t="s">
        <v>103</v>
      </c>
      <c r="G46" s="19">
        <v>3014</v>
      </c>
      <c r="H46" s="19">
        <v>700</v>
      </c>
      <c r="I46" s="19">
        <v>200</v>
      </c>
      <c r="J46" s="19">
        <f t="shared" si="0"/>
        <v>3914</v>
      </c>
      <c r="K46" s="27">
        <v>6.36</v>
      </c>
      <c r="L46" s="21">
        <f t="shared" si="1"/>
        <v>24893.040000000001</v>
      </c>
      <c r="M46" s="21" t="s">
        <v>101</v>
      </c>
      <c r="N46" s="21" t="s">
        <v>100</v>
      </c>
      <c r="O46" s="8" t="s">
        <v>3</v>
      </c>
      <c r="P46" s="22">
        <f>VLOOKUP(K46, Intervalos!$B$3:$C$8,2,TRUE)</f>
        <v>0.02</v>
      </c>
    </row>
    <row r="47" spans="1:16" s="16" customFormat="1" ht="69.95" customHeight="1" x14ac:dyDescent="0.2">
      <c r="A47" s="18" t="s">
        <v>101</v>
      </c>
      <c r="B47" s="18">
        <v>42</v>
      </c>
      <c r="C47" s="19" t="s">
        <v>59</v>
      </c>
      <c r="D47" s="26" t="s">
        <v>56</v>
      </c>
      <c r="E47" s="20">
        <v>484679</v>
      </c>
      <c r="F47" s="19" t="s">
        <v>103</v>
      </c>
      <c r="G47" s="19">
        <v>294</v>
      </c>
      <c r="H47" s="19">
        <v>500</v>
      </c>
      <c r="I47" s="19">
        <v>150</v>
      </c>
      <c r="J47" s="19">
        <f t="shared" si="0"/>
        <v>944</v>
      </c>
      <c r="K47" s="27">
        <v>9.4600000000000009</v>
      </c>
      <c r="L47" s="21">
        <f t="shared" si="1"/>
        <v>8930.2400000000016</v>
      </c>
      <c r="M47" s="21" t="s">
        <v>101</v>
      </c>
      <c r="N47" s="21" t="s">
        <v>100</v>
      </c>
      <c r="O47" s="8" t="s">
        <v>3</v>
      </c>
      <c r="P47" s="22">
        <f>VLOOKUP(K47, Intervalos!$B$3:$C$8,2,TRUE)</f>
        <v>0.02</v>
      </c>
    </row>
    <row r="48" spans="1:16" s="16" customFormat="1" ht="69.95" customHeight="1" x14ac:dyDescent="0.2">
      <c r="A48" s="18" t="s">
        <v>101</v>
      </c>
      <c r="B48" s="18">
        <v>43</v>
      </c>
      <c r="C48" s="19" t="s">
        <v>61</v>
      </c>
      <c r="D48" s="26" t="s">
        <v>56</v>
      </c>
      <c r="E48" s="20">
        <v>618278</v>
      </c>
      <c r="F48" s="19" t="s">
        <v>101</v>
      </c>
      <c r="G48" s="19">
        <v>33</v>
      </c>
      <c r="H48" s="19">
        <v>0</v>
      </c>
      <c r="I48" s="19">
        <v>2</v>
      </c>
      <c r="J48" s="19">
        <f t="shared" si="0"/>
        <v>35</v>
      </c>
      <c r="K48" s="27">
        <v>1370.13</v>
      </c>
      <c r="L48" s="21">
        <f t="shared" si="1"/>
        <v>47954.55</v>
      </c>
      <c r="M48" s="21" t="s">
        <v>101</v>
      </c>
      <c r="N48" s="21" t="s">
        <v>100</v>
      </c>
      <c r="O48" s="8" t="s">
        <v>3</v>
      </c>
      <c r="P48" s="22" t="str">
        <f>VLOOKUP(K48, Intervalos!$B$3:$C$8,2,TRUE)</f>
        <v>0,10%</v>
      </c>
    </row>
    <row r="49" spans="1:16" s="16" customFormat="1" ht="69.95" customHeight="1" x14ac:dyDescent="0.2">
      <c r="A49" s="18" t="s">
        <v>101</v>
      </c>
      <c r="B49" s="18">
        <v>44</v>
      </c>
      <c r="C49" s="19" t="s">
        <v>62</v>
      </c>
      <c r="D49" s="26" t="s">
        <v>56</v>
      </c>
      <c r="E49" s="20">
        <v>297306</v>
      </c>
      <c r="F49" s="19" t="s">
        <v>101</v>
      </c>
      <c r="G49" s="19">
        <v>54</v>
      </c>
      <c r="H49" s="19">
        <v>0</v>
      </c>
      <c r="I49" s="19">
        <v>20</v>
      </c>
      <c r="J49" s="19">
        <f t="shared" si="0"/>
        <v>74</v>
      </c>
      <c r="K49" s="27">
        <v>77.78</v>
      </c>
      <c r="L49" s="21">
        <f t="shared" si="1"/>
        <v>5755.72</v>
      </c>
      <c r="M49" s="21" t="s">
        <v>101</v>
      </c>
      <c r="N49" s="21" t="s">
        <v>100</v>
      </c>
      <c r="O49" s="8" t="s">
        <v>3</v>
      </c>
      <c r="P49" s="22">
        <f>VLOOKUP(K49, Intervalos!$B$3:$C$8,2,TRUE)</f>
        <v>0.1</v>
      </c>
    </row>
    <row r="50" spans="1:16" s="16" customFormat="1" ht="69.95" customHeight="1" x14ac:dyDescent="0.2">
      <c r="A50" s="18" t="s">
        <v>101</v>
      </c>
      <c r="B50" s="18">
        <v>45</v>
      </c>
      <c r="C50" s="19" t="s">
        <v>63</v>
      </c>
      <c r="D50" s="26" t="s">
        <v>56</v>
      </c>
      <c r="E50" s="20">
        <v>326766</v>
      </c>
      <c r="F50" s="19" t="s">
        <v>101</v>
      </c>
      <c r="G50" s="19">
        <v>2</v>
      </c>
      <c r="H50" s="19">
        <v>0</v>
      </c>
      <c r="I50" s="19">
        <v>2</v>
      </c>
      <c r="J50" s="19">
        <f t="shared" si="0"/>
        <v>4</v>
      </c>
      <c r="K50" s="27">
        <v>404.93</v>
      </c>
      <c r="L50" s="21">
        <f t="shared" si="1"/>
        <v>1619.72</v>
      </c>
      <c r="M50" s="21" t="s">
        <v>101</v>
      </c>
      <c r="N50" s="21" t="s">
        <v>100</v>
      </c>
      <c r="O50" s="8" t="s">
        <v>3</v>
      </c>
      <c r="P50" s="22" t="str">
        <f>VLOOKUP(K50, Intervalos!$B$3:$C$8,2,TRUE)</f>
        <v>0,10%</v>
      </c>
    </row>
    <row r="51" spans="1:16" s="16" customFormat="1" ht="69.95" customHeight="1" x14ac:dyDescent="0.2">
      <c r="A51" s="28">
        <v>10</v>
      </c>
      <c r="B51" s="18">
        <v>46</v>
      </c>
      <c r="C51" s="19" t="s">
        <v>109</v>
      </c>
      <c r="D51" s="26" t="s">
        <v>56</v>
      </c>
      <c r="E51" s="20">
        <v>323092</v>
      </c>
      <c r="F51" s="19" t="s">
        <v>101</v>
      </c>
      <c r="G51" s="19">
        <v>59</v>
      </c>
      <c r="H51" s="19">
        <v>30</v>
      </c>
      <c r="I51" s="19">
        <v>30</v>
      </c>
      <c r="J51" s="19">
        <f t="shared" si="0"/>
        <v>119</v>
      </c>
      <c r="K51" s="27">
        <v>52.9</v>
      </c>
      <c r="L51" s="21">
        <f t="shared" si="1"/>
        <v>6295.0999999999995</v>
      </c>
      <c r="M51" s="30">
        <f>SUM(L51:L54)</f>
        <v>17825.05</v>
      </c>
      <c r="N51" s="30" t="s">
        <v>100</v>
      </c>
      <c r="O51" s="8" t="s">
        <v>3</v>
      </c>
      <c r="P51" s="22">
        <f>VLOOKUP(K51, Intervalos!$B$3:$C$8,2,TRUE)</f>
        <v>0.1</v>
      </c>
    </row>
    <row r="52" spans="1:16" s="16" customFormat="1" ht="69.95" customHeight="1" x14ac:dyDescent="0.2">
      <c r="A52" s="32"/>
      <c r="B52" s="18">
        <v>47</v>
      </c>
      <c r="C52" s="19" t="s">
        <v>25</v>
      </c>
      <c r="D52" s="26" t="s">
        <v>56</v>
      </c>
      <c r="E52" s="20">
        <v>359474</v>
      </c>
      <c r="F52" s="19" t="s">
        <v>101</v>
      </c>
      <c r="G52" s="19">
        <v>25</v>
      </c>
      <c r="H52" s="19">
        <v>10</v>
      </c>
      <c r="I52" s="19">
        <v>15</v>
      </c>
      <c r="J52" s="19">
        <f t="shared" si="0"/>
        <v>50</v>
      </c>
      <c r="K52" s="27">
        <v>82.33</v>
      </c>
      <c r="L52" s="21">
        <f t="shared" si="1"/>
        <v>4116.5</v>
      </c>
      <c r="M52" s="33"/>
      <c r="N52" s="33"/>
      <c r="O52" s="8" t="s">
        <v>3</v>
      </c>
      <c r="P52" s="22">
        <f>VLOOKUP(K52, Intervalos!$B$3:$C$8,2,TRUE)</f>
        <v>0.1</v>
      </c>
    </row>
    <row r="53" spans="1:16" s="16" customFormat="1" ht="69.95" customHeight="1" x14ac:dyDescent="0.2">
      <c r="A53" s="32"/>
      <c r="B53" s="18">
        <v>48</v>
      </c>
      <c r="C53" s="19" t="s">
        <v>69</v>
      </c>
      <c r="D53" s="26" t="s">
        <v>56</v>
      </c>
      <c r="E53" s="20">
        <v>468291</v>
      </c>
      <c r="F53" s="19" t="s">
        <v>101</v>
      </c>
      <c r="G53" s="19">
        <v>24</v>
      </c>
      <c r="H53" s="19">
        <v>10</v>
      </c>
      <c r="I53" s="19">
        <v>15</v>
      </c>
      <c r="J53" s="19">
        <f t="shared" si="0"/>
        <v>49</v>
      </c>
      <c r="K53" s="27">
        <v>106.87</v>
      </c>
      <c r="L53" s="21">
        <f t="shared" si="1"/>
        <v>5236.63</v>
      </c>
      <c r="M53" s="33"/>
      <c r="N53" s="33"/>
      <c r="O53" s="8" t="s">
        <v>3</v>
      </c>
      <c r="P53" s="22" t="str">
        <f>VLOOKUP(K53, Intervalos!$B$3:$C$8,2,TRUE)</f>
        <v>0,10%</v>
      </c>
    </row>
    <row r="54" spans="1:16" s="16" customFormat="1" ht="69.95" customHeight="1" x14ac:dyDescent="0.2">
      <c r="A54" s="29"/>
      <c r="B54" s="18">
        <v>49</v>
      </c>
      <c r="C54" s="19" t="s">
        <v>64</v>
      </c>
      <c r="D54" s="26" t="s">
        <v>56</v>
      </c>
      <c r="E54" s="20">
        <v>296444</v>
      </c>
      <c r="F54" s="19" t="s">
        <v>101</v>
      </c>
      <c r="G54" s="19">
        <v>8</v>
      </c>
      <c r="H54" s="19">
        <v>15</v>
      </c>
      <c r="I54" s="19">
        <v>8</v>
      </c>
      <c r="J54" s="19">
        <f t="shared" si="0"/>
        <v>31</v>
      </c>
      <c r="K54" s="27">
        <v>70.22</v>
      </c>
      <c r="L54" s="21">
        <f t="shared" si="1"/>
        <v>2176.8200000000002</v>
      </c>
      <c r="M54" s="31"/>
      <c r="N54" s="31"/>
      <c r="O54" s="8" t="s">
        <v>3</v>
      </c>
      <c r="P54" s="22">
        <f>VLOOKUP(K54, Intervalos!$B$3:$C$8,2,TRUE)</f>
        <v>0.1</v>
      </c>
    </row>
    <row r="55" spans="1:16" s="16" customFormat="1" ht="69.95" customHeight="1" x14ac:dyDescent="0.2">
      <c r="A55" s="28">
        <v>11</v>
      </c>
      <c r="B55" s="18">
        <v>50</v>
      </c>
      <c r="C55" s="19" t="s">
        <v>65</v>
      </c>
      <c r="D55" s="26" t="s">
        <v>56</v>
      </c>
      <c r="E55" s="20">
        <v>296445</v>
      </c>
      <c r="F55" s="19" t="s">
        <v>101</v>
      </c>
      <c r="G55" s="19">
        <v>139</v>
      </c>
      <c r="H55" s="19">
        <v>5</v>
      </c>
      <c r="I55" s="19">
        <v>15</v>
      </c>
      <c r="J55" s="19">
        <f t="shared" si="0"/>
        <v>159</v>
      </c>
      <c r="K55" s="27">
        <v>87.95</v>
      </c>
      <c r="L55" s="21">
        <f t="shared" si="1"/>
        <v>13984.050000000001</v>
      </c>
      <c r="M55" s="30">
        <f>SUM(L55:L56)</f>
        <v>27968.100000000002</v>
      </c>
      <c r="N55" s="30" t="s">
        <v>100</v>
      </c>
      <c r="O55" s="8" t="s">
        <v>3</v>
      </c>
      <c r="P55" s="22">
        <f>VLOOKUP(K55, Intervalos!$B$3:$C$8,2,TRUE)</f>
        <v>0.1</v>
      </c>
    </row>
    <row r="56" spans="1:16" s="16" customFormat="1" ht="69.95" customHeight="1" x14ac:dyDescent="0.2">
      <c r="A56" s="29"/>
      <c r="B56" s="18">
        <v>51</v>
      </c>
      <c r="C56" s="19" t="s">
        <v>66</v>
      </c>
      <c r="D56" s="26" t="s">
        <v>56</v>
      </c>
      <c r="E56" s="20">
        <v>296445</v>
      </c>
      <c r="F56" s="19" t="s">
        <v>101</v>
      </c>
      <c r="G56" s="19">
        <v>139</v>
      </c>
      <c r="H56" s="19">
        <v>5</v>
      </c>
      <c r="I56" s="19">
        <v>15</v>
      </c>
      <c r="J56" s="19">
        <f t="shared" si="0"/>
        <v>159</v>
      </c>
      <c r="K56" s="27">
        <v>87.95</v>
      </c>
      <c r="L56" s="21">
        <f t="shared" si="1"/>
        <v>13984.050000000001</v>
      </c>
      <c r="M56" s="31"/>
      <c r="N56" s="31"/>
      <c r="O56" s="8" t="s">
        <v>3</v>
      </c>
      <c r="P56" s="22">
        <f>VLOOKUP(K56, Intervalos!$B$3:$C$8,2,TRUE)</f>
        <v>0.1</v>
      </c>
    </row>
    <row r="57" spans="1:16" s="16" customFormat="1" ht="69.95" customHeight="1" x14ac:dyDescent="0.2">
      <c r="A57" s="28">
        <v>12</v>
      </c>
      <c r="B57" s="18">
        <v>52</v>
      </c>
      <c r="C57" s="19" t="s">
        <v>67</v>
      </c>
      <c r="D57" s="26" t="s">
        <v>56</v>
      </c>
      <c r="E57" s="20">
        <v>358675</v>
      </c>
      <c r="F57" s="19" t="s">
        <v>101</v>
      </c>
      <c r="G57" s="19">
        <v>2</v>
      </c>
      <c r="H57" s="19">
        <v>10</v>
      </c>
      <c r="I57" s="19">
        <v>2</v>
      </c>
      <c r="J57" s="19">
        <f t="shared" si="0"/>
        <v>14</v>
      </c>
      <c r="K57" s="27">
        <v>226.87</v>
      </c>
      <c r="L57" s="21">
        <f t="shared" si="1"/>
        <v>3176.1800000000003</v>
      </c>
      <c r="M57" s="30">
        <f>SUM(L57:L58)</f>
        <v>4083.6600000000003</v>
      </c>
      <c r="N57" s="30" t="s">
        <v>100</v>
      </c>
      <c r="O57" s="8" t="s">
        <v>3</v>
      </c>
      <c r="P57" s="22" t="str">
        <f>VLOOKUP(K57, Intervalos!$B$3:$C$8,2,TRUE)</f>
        <v>0,10%</v>
      </c>
    </row>
    <row r="58" spans="1:16" s="16" customFormat="1" ht="69.95" customHeight="1" x14ac:dyDescent="0.2">
      <c r="A58" s="29"/>
      <c r="B58" s="18">
        <v>53</v>
      </c>
      <c r="C58" s="19" t="s">
        <v>68</v>
      </c>
      <c r="D58" s="26" t="s">
        <v>56</v>
      </c>
      <c r="E58" s="20">
        <v>358675</v>
      </c>
      <c r="F58" s="19" t="s">
        <v>101</v>
      </c>
      <c r="G58" s="19">
        <v>2</v>
      </c>
      <c r="H58" s="19">
        <v>0</v>
      </c>
      <c r="I58" s="19">
        <v>2</v>
      </c>
      <c r="J58" s="19">
        <f t="shared" si="0"/>
        <v>4</v>
      </c>
      <c r="K58" s="27">
        <v>226.87</v>
      </c>
      <c r="L58" s="21">
        <f t="shared" si="1"/>
        <v>907.48</v>
      </c>
      <c r="M58" s="31"/>
      <c r="N58" s="31"/>
      <c r="O58" s="8" t="s">
        <v>3</v>
      </c>
      <c r="P58" s="22" t="str">
        <f>VLOOKUP(K58, Intervalos!$B$3:$C$8,2,TRUE)</f>
        <v>0,10%</v>
      </c>
    </row>
    <row r="59" spans="1:16" s="16" customFormat="1" ht="69.95" customHeight="1" x14ac:dyDescent="0.2">
      <c r="A59" s="18" t="s">
        <v>101</v>
      </c>
      <c r="B59" s="18">
        <v>54</v>
      </c>
      <c r="C59" s="26" t="s">
        <v>130</v>
      </c>
      <c r="D59" s="26" t="s">
        <v>56</v>
      </c>
      <c r="E59" s="20">
        <v>293875</v>
      </c>
      <c r="F59" s="19" t="s">
        <v>101</v>
      </c>
      <c r="G59" s="19">
        <v>35</v>
      </c>
      <c r="H59" s="19">
        <v>0</v>
      </c>
      <c r="I59" s="19">
        <v>0</v>
      </c>
      <c r="J59" s="19">
        <f t="shared" si="0"/>
        <v>35</v>
      </c>
      <c r="K59" s="27">
        <v>6.25</v>
      </c>
      <c r="L59" s="21">
        <f t="shared" si="1"/>
        <v>218.75</v>
      </c>
      <c r="M59" s="21" t="s">
        <v>101</v>
      </c>
      <c r="N59" s="21" t="s">
        <v>100</v>
      </c>
      <c r="O59" s="8" t="s">
        <v>3</v>
      </c>
      <c r="P59" s="22">
        <f>VLOOKUP(K59, Intervalos!$B$3:$C$8,2,TRUE)</f>
        <v>0.02</v>
      </c>
    </row>
    <row r="60" spans="1:16" s="16" customFormat="1" ht="69.95" customHeight="1" x14ac:dyDescent="0.2">
      <c r="A60" s="18" t="s">
        <v>101</v>
      </c>
      <c r="B60" s="18">
        <v>55</v>
      </c>
      <c r="C60" s="19" t="s">
        <v>71</v>
      </c>
      <c r="D60" s="26" t="s">
        <v>56</v>
      </c>
      <c r="E60" s="20">
        <v>438326</v>
      </c>
      <c r="F60" s="19" t="s">
        <v>101</v>
      </c>
      <c r="G60" s="19">
        <v>25</v>
      </c>
      <c r="H60" s="19">
        <v>0</v>
      </c>
      <c r="I60" s="19">
        <v>0</v>
      </c>
      <c r="J60" s="19">
        <f t="shared" si="0"/>
        <v>25</v>
      </c>
      <c r="K60" s="27">
        <v>39.97</v>
      </c>
      <c r="L60" s="21">
        <f t="shared" si="1"/>
        <v>999.25</v>
      </c>
      <c r="M60" s="21" t="s">
        <v>101</v>
      </c>
      <c r="N60" s="21" t="s">
        <v>100</v>
      </c>
      <c r="O60" s="8" t="s">
        <v>3</v>
      </c>
      <c r="P60" s="22">
        <f>VLOOKUP(K60, Intervalos!$B$3:$C$8,2,TRUE)</f>
        <v>0.05</v>
      </c>
    </row>
    <row r="61" spans="1:16" s="16" customFormat="1" ht="69.95" customHeight="1" x14ac:dyDescent="0.2">
      <c r="A61" s="28">
        <v>13</v>
      </c>
      <c r="B61" s="18">
        <v>56</v>
      </c>
      <c r="C61" s="19" t="s">
        <v>70</v>
      </c>
      <c r="D61" s="26" t="s">
        <v>56</v>
      </c>
      <c r="E61" s="20">
        <v>260569</v>
      </c>
      <c r="F61" s="19" t="s">
        <v>101</v>
      </c>
      <c r="G61" s="19">
        <v>674</v>
      </c>
      <c r="H61" s="19">
        <v>700</v>
      </c>
      <c r="I61" s="19">
        <v>300</v>
      </c>
      <c r="J61" s="19">
        <f t="shared" si="0"/>
        <v>1674</v>
      </c>
      <c r="K61" s="27">
        <v>4.5</v>
      </c>
      <c r="L61" s="21">
        <f t="shared" si="1"/>
        <v>7533</v>
      </c>
      <c r="M61" s="30">
        <f>SUM(L61:L65)</f>
        <v>42138.71</v>
      </c>
      <c r="N61" s="30" t="s">
        <v>100</v>
      </c>
      <c r="O61" s="8" t="s">
        <v>3</v>
      </c>
      <c r="P61" s="22">
        <f>VLOOKUP(K61, Intervalos!$B$3:$C$8,2,TRUE)</f>
        <v>0.01</v>
      </c>
    </row>
    <row r="62" spans="1:16" s="16" customFormat="1" ht="69.95" customHeight="1" x14ac:dyDescent="0.2">
      <c r="A62" s="32"/>
      <c r="B62" s="18">
        <v>57</v>
      </c>
      <c r="C62" s="19" t="s">
        <v>52</v>
      </c>
      <c r="D62" s="26" t="s">
        <v>56</v>
      </c>
      <c r="E62" s="20">
        <v>230233</v>
      </c>
      <c r="F62" s="19" t="s">
        <v>101</v>
      </c>
      <c r="G62" s="19">
        <v>338</v>
      </c>
      <c r="H62" s="19">
        <v>250</v>
      </c>
      <c r="I62" s="19">
        <v>300</v>
      </c>
      <c r="J62" s="19">
        <f t="shared" si="0"/>
        <v>888</v>
      </c>
      <c r="K62" s="27">
        <v>1.79</v>
      </c>
      <c r="L62" s="21">
        <f t="shared" si="1"/>
        <v>1589.52</v>
      </c>
      <c r="M62" s="33"/>
      <c r="N62" s="33"/>
      <c r="O62" s="8" t="s">
        <v>3</v>
      </c>
      <c r="P62" s="22">
        <f>VLOOKUP(K62, Intervalos!$B$3:$C$8,2,TRUE)</f>
        <v>0.01</v>
      </c>
    </row>
    <row r="63" spans="1:16" s="16" customFormat="1" ht="69.95" customHeight="1" x14ac:dyDescent="0.2">
      <c r="A63" s="32"/>
      <c r="B63" s="18">
        <v>58</v>
      </c>
      <c r="C63" s="19" t="s">
        <v>110</v>
      </c>
      <c r="D63" s="26" t="s">
        <v>141</v>
      </c>
      <c r="E63" s="20">
        <v>449804</v>
      </c>
      <c r="F63" s="19" t="s">
        <v>101</v>
      </c>
      <c r="G63" s="19">
        <v>163</v>
      </c>
      <c r="H63" s="19">
        <v>10</v>
      </c>
      <c r="I63" s="19">
        <v>10</v>
      </c>
      <c r="J63" s="19">
        <f t="shared" si="0"/>
        <v>183</v>
      </c>
      <c r="K63" s="27">
        <v>149.94999999999999</v>
      </c>
      <c r="L63" s="21">
        <f t="shared" si="1"/>
        <v>27440.85</v>
      </c>
      <c r="M63" s="33"/>
      <c r="N63" s="33"/>
      <c r="O63" s="8" t="s">
        <v>3</v>
      </c>
      <c r="P63" s="22" t="str">
        <f>VLOOKUP(K63, Intervalos!$B$3:$C$8,2,TRUE)</f>
        <v>0,10%</v>
      </c>
    </row>
    <row r="64" spans="1:16" s="16" customFormat="1" ht="69.95" customHeight="1" x14ac:dyDescent="0.2">
      <c r="A64" s="32"/>
      <c r="B64" s="18">
        <v>59</v>
      </c>
      <c r="C64" s="19" t="s">
        <v>73</v>
      </c>
      <c r="D64" s="26" t="s">
        <v>56</v>
      </c>
      <c r="E64" s="20">
        <v>615214</v>
      </c>
      <c r="F64" s="19" t="s">
        <v>101</v>
      </c>
      <c r="G64" s="19">
        <v>202</v>
      </c>
      <c r="H64" s="19">
        <v>100</v>
      </c>
      <c r="I64" s="19">
        <v>200</v>
      </c>
      <c r="J64" s="19">
        <f t="shared" si="0"/>
        <v>502</v>
      </c>
      <c r="K64" s="27">
        <v>3.33</v>
      </c>
      <c r="L64" s="21">
        <f t="shared" si="1"/>
        <v>1671.66</v>
      </c>
      <c r="M64" s="33"/>
      <c r="N64" s="33"/>
      <c r="O64" s="8" t="s">
        <v>3</v>
      </c>
      <c r="P64" s="22">
        <f>VLOOKUP(K64, Intervalos!$B$3:$C$8,2,TRUE)</f>
        <v>0.01</v>
      </c>
    </row>
    <row r="65" spans="1:19" s="16" customFormat="1" ht="69.95" customHeight="1" x14ac:dyDescent="0.2">
      <c r="A65" s="29"/>
      <c r="B65" s="18">
        <v>60</v>
      </c>
      <c r="C65" s="19" t="s">
        <v>72</v>
      </c>
      <c r="D65" s="26" t="s">
        <v>56</v>
      </c>
      <c r="E65" s="20">
        <v>344983</v>
      </c>
      <c r="F65" s="19" t="s">
        <v>101</v>
      </c>
      <c r="G65" s="19">
        <v>459</v>
      </c>
      <c r="H65" s="19">
        <v>250</v>
      </c>
      <c r="I65" s="19">
        <v>400</v>
      </c>
      <c r="J65" s="19">
        <f t="shared" si="0"/>
        <v>1109</v>
      </c>
      <c r="K65" s="27">
        <v>3.52</v>
      </c>
      <c r="L65" s="21">
        <f t="shared" si="1"/>
        <v>3903.68</v>
      </c>
      <c r="M65" s="31"/>
      <c r="N65" s="31"/>
      <c r="O65" s="8" t="s">
        <v>3</v>
      </c>
      <c r="P65" s="22">
        <f>VLOOKUP(K65, Intervalos!$B$3:$C$8,2,TRUE)</f>
        <v>0.01</v>
      </c>
    </row>
    <row r="66" spans="1:19" s="16" customFormat="1" ht="69.95" customHeight="1" x14ac:dyDescent="0.2">
      <c r="A66" s="28">
        <v>14</v>
      </c>
      <c r="B66" s="18">
        <v>61</v>
      </c>
      <c r="C66" s="19" t="s">
        <v>74</v>
      </c>
      <c r="D66" s="26" t="s">
        <v>113</v>
      </c>
      <c r="E66" s="20">
        <v>258123</v>
      </c>
      <c r="F66" s="19" t="s">
        <v>106</v>
      </c>
      <c r="G66" s="19">
        <v>68</v>
      </c>
      <c r="H66" s="19">
        <v>100</v>
      </c>
      <c r="I66" s="19">
        <v>60</v>
      </c>
      <c r="J66" s="19">
        <f t="shared" si="0"/>
        <v>228</v>
      </c>
      <c r="K66" s="27">
        <v>5.2</v>
      </c>
      <c r="L66" s="21">
        <f t="shared" si="1"/>
        <v>1185.6000000000001</v>
      </c>
      <c r="M66" s="30">
        <f>SUM(L66:L67)</f>
        <v>2335.19</v>
      </c>
      <c r="N66" s="30" t="s">
        <v>100</v>
      </c>
      <c r="O66" s="8" t="s">
        <v>3</v>
      </c>
      <c r="P66" s="22">
        <f>VLOOKUP(K66, Intervalos!$B$3:$C$8,2,TRUE)</f>
        <v>0.02</v>
      </c>
    </row>
    <row r="67" spans="1:19" s="17" customFormat="1" ht="69.95" customHeight="1" x14ac:dyDescent="0.2">
      <c r="A67" s="29"/>
      <c r="B67" s="18">
        <v>62</v>
      </c>
      <c r="C67" s="19" t="s">
        <v>75</v>
      </c>
      <c r="D67" s="26" t="s">
        <v>113</v>
      </c>
      <c r="E67" s="20">
        <v>221390</v>
      </c>
      <c r="F67" s="19" t="s">
        <v>106</v>
      </c>
      <c r="G67" s="19">
        <v>99</v>
      </c>
      <c r="H67" s="19">
        <v>50</v>
      </c>
      <c r="I67" s="19">
        <v>90</v>
      </c>
      <c r="J67" s="19">
        <f t="shared" si="0"/>
        <v>239</v>
      </c>
      <c r="K67" s="27">
        <v>4.8099999999999996</v>
      </c>
      <c r="L67" s="21">
        <f t="shared" si="1"/>
        <v>1149.5899999999999</v>
      </c>
      <c r="M67" s="31"/>
      <c r="N67" s="31"/>
      <c r="O67" s="8" t="s">
        <v>3</v>
      </c>
      <c r="P67" s="22">
        <f>VLOOKUP(K67, Intervalos!$B$3:$C$8,2,TRUE)</f>
        <v>0.01</v>
      </c>
    </row>
    <row r="68" spans="1:19" s="16" customFormat="1" ht="69.95" customHeight="1" x14ac:dyDescent="0.2">
      <c r="A68" s="28">
        <v>15</v>
      </c>
      <c r="B68" s="18">
        <v>63</v>
      </c>
      <c r="C68" s="19" t="s">
        <v>99</v>
      </c>
      <c r="D68" s="26" t="s">
        <v>114</v>
      </c>
      <c r="E68" s="20">
        <v>427228</v>
      </c>
      <c r="F68" s="19" t="s">
        <v>101</v>
      </c>
      <c r="G68" s="19">
        <f>104+35</f>
        <v>139</v>
      </c>
      <c r="H68" s="19">
        <v>20</v>
      </c>
      <c r="I68" s="19">
        <v>80</v>
      </c>
      <c r="J68" s="19">
        <f t="shared" si="0"/>
        <v>239</v>
      </c>
      <c r="K68" s="27">
        <v>15.7</v>
      </c>
      <c r="L68" s="21">
        <f t="shared" si="1"/>
        <v>3752.2999999999997</v>
      </c>
      <c r="M68" s="30">
        <f>SUM(L68:L69)</f>
        <v>8850.7999999999993</v>
      </c>
      <c r="N68" s="30" t="s">
        <v>100</v>
      </c>
      <c r="O68" s="8" t="s">
        <v>3</v>
      </c>
      <c r="P68" s="22">
        <f>VLOOKUP(K68, Intervalos!$B$3:$C$8,2,TRUE)</f>
        <v>0.03</v>
      </c>
    </row>
    <row r="69" spans="1:19" s="17" customFormat="1" ht="69.95" customHeight="1" x14ac:dyDescent="0.2">
      <c r="A69" s="29"/>
      <c r="B69" s="18">
        <v>64</v>
      </c>
      <c r="C69" s="19" t="s">
        <v>76</v>
      </c>
      <c r="D69" s="26" t="s">
        <v>56</v>
      </c>
      <c r="E69" s="20">
        <v>431101</v>
      </c>
      <c r="F69" s="19" t="s">
        <v>101</v>
      </c>
      <c r="G69" s="19">
        <v>30</v>
      </c>
      <c r="H69" s="19">
        <v>5</v>
      </c>
      <c r="I69" s="19">
        <v>10</v>
      </c>
      <c r="J69" s="19">
        <f t="shared" si="0"/>
        <v>45</v>
      </c>
      <c r="K69" s="27">
        <v>113.3</v>
      </c>
      <c r="L69" s="21">
        <f t="shared" si="1"/>
        <v>5098.5</v>
      </c>
      <c r="M69" s="31"/>
      <c r="N69" s="31"/>
      <c r="O69" s="8" t="s">
        <v>3</v>
      </c>
      <c r="P69" s="22" t="str">
        <f>VLOOKUP(K69, Intervalos!$B$3:$C$8,2,TRUE)</f>
        <v>0,10%</v>
      </c>
    </row>
    <row r="70" spans="1:19" s="17" customFormat="1" ht="69.95" customHeight="1" x14ac:dyDescent="0.2">
      <c r="A70" s="18" t="s">
        <v>101</v>
      </c>
      <c r="B70" s="18">
        <v>65</v>
      </c>
      <c r="C70" s="19" t="s">
        <v>77</v>
      </c>
      <c r="D70" s="26" t="s">
        <v>115</v>
      </c>
      <c r="E70" s="20">
        <v>620626</v>
      </c>
      <c r="F70" s="19" t="s">
        <v>104</v>
      </c>
      <c r="G70" s="19">
        <v>1505</v>
      </c>
      <c r="H70" s="19">
        <v>100</v>
      </c>
      <c r="I70" s="19">
        <v>30</v>
      </c>
      <c r="J70" s="19">
        <f t="shared" si="0"/>
        <v>1635</v>
      </c>
      <c r="K70" s="27">
        <v>48.89</v>
      </c>
      <c r="L70" s="21">
        <f t="shared" si="1"/>
        <v>79935.149999999994</v>
      </c>
      <c r="M70" s="21" t="s">
        <v>101</v>
      </c>
      <c r="N70" s="21" t="s">
        <v>100</v>
      </c>
      <c r="O70" s="8" t="s">
        <v>3</v>
      </c>
      <c r="P70" s="22">
        <f>VLOOKUP(K70, Intervalos!$B$3:$C$8,2,TRUE)</f>
        <v>0.05</v>
      </c>
    </row>
    <row r="71" spans="1:19" s="16" customFormat="1" ht="69.95" customHeight="1" x14ac:dyDescent="0.2">
      <c r="A71" s="18" t="s">
        <v>101</v>
      </c>
      <c r="B71" s="18">
        <v>66</v>
      </c>
      <c r="C71" s="19" t="s">
        <v>98</v>
      </c>
      <c r="D71" s="26" t="s">
        <v>131</v>
      </c>
      <c r="E71" s="20">
        <v>374443</v>
      </c>
      <c r="F71" s="19" t="s">
        <v>104</v>
      </c>
      <c r="G71" s="19">
        <v>239</v>
      </c>
      <c r="H71" s="19">
        <v>250</v>
      </c>
      <c r="I71" s="19">
        <v>30</v>
      </c>
      <c r="J71" s="19">
        <f t="shared" ref="J71:J87" si="2">SUM(G71:I71)</f>
        <v>519</v>
      </c>
      <c r="K71" s="27">
        <v>53.27</v>
      </c>
      <c r="L71" s="21">
        <f t="shared" ref="L71:L87" si="3">J71*K71</f>
        <v>27647.13</v>
      </c>
      <c r="M71" s="21" t="s">
        <v>101</v>
      </c>
      <c r="N71" s="21" t="s">
        <v>100</v>
      </c>
      <c r="O71" s="8" t="s">
        <v>3</v>
      </c>
      <c r="P71" s="22">
        <f>VLOOKUP(K71, Intervalos!$B$3:$C$8,2,TRUE)</f>
        <v>0.1</v>
      </c>
    </row>
    <row r="72" spans="1:19" s="25" customFormat="1" ht="69.95" customHeight="1" x14ac:dyDescent="0.2">
      <c r="A72" s="18" t="s">
        <v>101</v>
      </c>
      <c r="B72" s="18">
        <v>67</v>
      </c>
      <c r="C72" s="19" t="s">
        <v>78</v>
      </c>
      <c r="D72" s="26" t="s">
        <v>116</v>
      </c>
      <c r="E72" s="20">
        <v>436328</v>
      </c>
      <c r="F72" s="19" t="s">
        <v>104</v>
      </c>
      <c r="G72" s="19">
        <f>2425+2009</f>
        <v>4434</v>
      </c>
      <c r="H72" s="19">
        <v>500</v>
      </c>
      <c r="I72" s="19">
        <v>100</v>
      </c>
      <c r="J72" s="19">
        <f t="shared" si="2"/>
        <v>5034</v>
      </c>
      <c r="K72" s="27">
        <v>10.3</v>
      </c>
      <c r="L72" s="21">
        <f t="shared" si="3"/>
        <v>51850.200000000004</v>
      </c>
      <c r="M72" s="21" t="s">
        <v>101</v>
      </c>
      <c r="N72" s="21" t="s">
        <v>100</v>
      </c>
      <c r="O72" s="23" t="s">
        <v>3</v>
      </c>
      <c r="P72" s="22">
        <f>VLOOKUP(K72, Intervalos!$B$3:$C$8,2,TRUE)</f>
        <v>0.03</v>
      </c>
    </row>
    <row r="73" spans="1:19" s="16" customFormat="1" ht="69.95" customHeight="1" x14ac:dyDescent="0.2">
      <c r="A73" s="18" t="s">
        <v>101</v>
      </c>
      <c r="B73" s="18">
        <v>68</v>
      </c>
      <c r="C73" s="19" t="s">
        <v>81</v>
      </c>
      <c r="D73" s="26" t="s">
        <v>56</v>
      </c>
      <c r="E73" s="20">
        <v>429224</v>
      </c>
      <c r="F73" s="19" t="s">
        <v>101</v>
      </c>
      <c r="G73" s="19">
        <v>38</v>
      </c>
      <c r="H73" s="19">
        <v>0</v>
      </c>
      <c r="I73" s="19">
        <v>30</v>
      </c>
      <c r="J73" s="19">
        <f t="shared" si="2"/>
        <v>68</v>
      </c>
      <c r="K73" s="27">
        <v>45.37</v>
      </c>
      <c r="L73" s="21">
        <f t="shared" si="3"/>
        <v>3085.16</v>
      </c>
      <c r="M73" s="21" t="s">
        <v>101</v>
      </c>
      <c r="N73" s="21" t="s">
        <v>100</v>
      </c>
      <c r="O73" s="8" t="s">
        <v>3</v>
      </c>
      <c r="P73" s="22">
        <f>VLOOKUP(K73, Intervalos!$B$3:$C$8,2,TRUE)</f>
        <v>0.05</v>
      </c>
    </row>
    <row r="74" spans="1:19" s="16" customFormat="1" ht="69.95" customHeight="1" x14ac:dyDescent="0.2">
      <c r="A74" s="34">
        <v>16</v>
      </c>
      <c r="B74" s="18">
        <v>69</v>
      </c>
      <c r="C74" s="19" t="s">
        <v>83</v>
      </c>
      <c r="D74" s="26" t="s">
        <v>124</v>
      </c>
      <c r="E74" s="20">
        <v>230573</v>
      </c>
      <c r="F74" s="19" t="s">
        <v>107</v>
      </c>
      <c r="G74" s="19">
        <v>719</v>
      </c>
      <c r="H74" s="19">
        <v>20</v>
      </c>
      <c r="I74" s="19">
        <v>30</v>
      </c>
      <c r="J74" s="19">
        <f t="shared" si="2"/>
        <v>769</v>
      </c>
      <c r="K74" s="27">
        <v>48.4</v>
      </c>
      <c r="L74" s="21">
        <f t="shared" si="3"/>
        <v>37219.599999999999</v>
      </c>
      <c r="M74" s="35">
        <f>SUM(L74:L76)</f>
        <v>63887.1</v>
      </c>
      <c r="N74" s="35" t="s">
        <v>100</v>
      </c>
      <c r="O74" s="8" t="s">
        <v>3</v>
      </c>
      <c r="P74" s="22">
        <f>VLOOKUP(K74, Intervalos!$B$3:$C$8,2,TRUE)</f>
        <v>0.05</v>
      </c>
    </row>
    <row r="75" spans="1:19" s="16" customFormat="1" ht="69.95" customHeight="1" x14ac:dyDescent="0.2">
      <c r="A75" s="34"/>
      <c r="B75" s="18">
        <v>70</v>
      </c>
      <c r="C75" s="19" t="s">
        <v>132</v>
      </c>
      <c r="D75" s="26" t="s">
        <v>124</v>
      </c>
      <c r="E75" s="20">
        <v>418433</v>
      </c>
      <c r="F75" s="19" t="s">
        <v>107</v>
      </c>
      <c r="G75" s="19">
        <v>80</v>
      </c>
      <c r="H75" s="19">
        <v>10</v>
      </c>
      <c r="I75" s="19">
        <v>30</v>
      </c>
      <c r="J75" s="19">
        <f t="shared" si="2"/>
        <v>120</v>
      </c>
      <c r="K75" s="27">
        <v>66.5</v>
      </c>
      <c r="L75" s="21">
        <f t="shared" si="3"/>
        <v>7980</v>
      </c>
      <c r="M75" s="35"/>
      <c r="N75" s="35"/>
      <c r="O75" s="8" t="s">
        <v>3</v>
      </c>
      <c r="P75" s="22">
        <f>VLOOKUP(K75, Intervalos!$B$3:$C$8,2,TRUE)</f>
        <v>0.1</v>
      </c>
    </row>
    <row r="76" spans="1:19" s="16" customFormat="1" ht="69.95" customHeight="1" x14ac:dyDescent="0.2">
      <c r="A76" s="34"/>
      <c r="B76" s="18">
        <v>71</v>
      </c>
      <c r="C76" s="19" t="s">
        <v>84</v>
      </c>
      <c r="D76" s="26" t="s">
        <v>124</v>
      </c>
      <c r="E76" s="20">
        <v>355268</v>
      </c>
      <c r="F76" s="19" t="s">
        <v>107</v>
      </c>
      <c r="G76" s="19">
        <v>805</v>
      </c>
      <c r="H76" s="19">
        <v>20</v>
      </c>
      <c r="I76" s="19">
        <v>800</v>
      </c>
      <c r="J76" s="19">
        <f t="shared" si="2"/>
        <v>1625</v>
      </c>
      <c r="K76" s="27">
        <v>11.5</v>
      </c>
      <c r="L76" s="21">
        <f t="shared" si="3"/>
        <v>18687.5</v>
      </c>
      <c r="M76" s="35"/>
      <c r="N76" s="35"/>
      <c r="O76" s="8" t="s">
        <v>3</v>
      </c>
      <c r="P76" s="22">
        <f>VLOOKUP(K76, Intervalos!$B$3:$C$8,2,TRUE)</f>
        <v>0.03</v>
      </c>
    </row>
    <row r="77" spans="1:19" s="16" customFormat="1" ht="69.95" customHeight="1" x14ac:dyDescent="0.2">
      <c r="A77" s="28">
        <v>17</v>
      </c>
      <c r="B77" s="18">
        <v>72</v>
      </c>
      <c r="C77" s="19" t="s">
        <v>117</v>
      </c>
      <c r="D77" s="26" t="s">
        <v>118</v>
      </c>
      <c r="E77" s="20">
        <v>304141</v>
      </c>
      <c r="F77" s="19" t="s">
        <v>107</v>
      </c>
      <c r="G77" s="19">
        <v>14</v>
      </c>
      <c r="H77" s="19">
        <v>0</v>
      </c>
      <c r="I77" s="19">
        <v>14</v>
      </c>
      <c r="J77" s="19">
        <f t="shared" si="2"/>
        <v>28</v>
      </c>
      <c r="K77" s="27">
        <v>35.15</v>
      </c>
      <c r="L77" s="21">
        <f t="shared" si="3"/>
        <v>984.19999999999993</v>
      </c>
      <c r="M77" s="30">
        <f>SUM(L77:L78)</f>
        <v>2249.6</v>
      </c>
      <c r="N77" s="30" t="s">
        <v>100</v>
      </c>
      <c r="O77" s="8" t="s">
        <v>3</v>
      </c>
      <c r="P77" s="22">
        <f>VLOOKUP(K77, Intervalos!$B$3:$C$8,2,TRUE)</f>
        <v>0.05</v>
      </c>
    </row>
    <row r="78" spans="1:19" s="16" customFormat="1" ht="69.95" customHeight="1" x14ac:dyDescent="0.2">
      <c r="A78" s="29"/>
      <c r="B78" s="18">
        <v>73</v>
      </c>
      <c r="C78" s="19" t="s">
        <v>85</v>
      </c>
      <c r="D78" s="26" t="s">
        <v>118</v>
      </c>
      <c r="E78" s="20" t="s">
        <v>95</v>
      </c>
      <c r="F78" s="19" t="s">
        <v>107</v>
      </c>
      <c r="G78" s="19">
        <v>18</v>
      </c>
      <c r="H78" s="19">
        <v>0</v>
      </c>
      <c r="I78" s="19">
        <v>18</v>
      </c>
      <c r="J78" s="19">
        <f t="shared" si="2"/>
        <v>36</v>
      </c>
      <c r="K78" s="27">
        <v>35.15</v>
      </c>
      <c r="L78" s="21">
        <f t="shared" si="3"/>
        <v>1265.3999999999999</v>
      </c>
      <c r="M78" s="31"/>
      <c r="N78" s="31"/>
      <c r="O78" s="8" t="s">
        <v>3</v>
      </c>
      <c r="P78" s="22">
        <f>VLOOKUP(K78, Intervalos!$B$3:$C$8,2,TRUE)</f>
        <v>0.05</v>
      </c>
    </row>
    <row r="79" spans="1:19" s="16" customFormat="1" ht="69.95" customHeight="1" x14ac:dyDescent="0.2">
      <c r="A79" s="28">
        <v>18</v>
      </c>
      <c r="B79" s="18">
        <v>74</v>
      </c>
      <c r="C79" s="19" t="s">
        <v>86</v>
      </c>
      <c r="D79" s="26" t="s">
        <v>133</v>
      </c>
      <c r="E79" s="20">
        <v>473257</v>
      </c>
      <c r="F79" s="19" t="s">
        <v>107</v>
      </c>
      <c r="G79" s="19">
        <v>13</v>
      </c>
      <c r="H79" s="19">
        <v>0</v>
      </c>
      <c r="I79" s="19">
        <v>13</v>
      </c>
      <c r="J79" s="19">
        <f t="shared" si="2"/>
        <v>26</v>
      </c>
      <c r="K79" s="27">
        <f>0.15*1000</f>
        <v>150</v>
      </c>
      <c r="L79" s="21">
        <f t="shared" si="3"/>
        <v>3900</v>
      </c>
      <c r="M79" s="30">
        <f>SUM(L79:L80)</f>
        <v>10340</v>
      </c>
      <c r="N79" s="30" t="s">
        <v>100</v>
      </c>
      <c r="O79" s="8" t="s">
        <v>3</v>
      </c>
      <c r="P79" s="22" t="str">
        <f>VLOOKUP(K79, Intervalos!$B$3:$C$8,2,TRUE)</f>
        <v>0,10%</v>
      </c>
      <c r="S79" s="24"/>
    </row>
    <row r="80" spans="1:19" s="16" customFormat="1" ht="69.95" customHeight="1" x14ac:dyDescent="0.2">
      <c r="A80" s="29"/>
      <c r="B80" s="18">
        <v>75</v>
      </c>
      <c r="C80" s="19" t="s">
        <v>87</v>
      </c>
      <c r="D80" s="26" t="s">
        <v>133</v>
      </c>
      <c r="E80" s="20">
        <v>473256</v>
      </c>
      <c r="F80" s="19" t="s">
        <v>107</v>
      </c>
      <c r="G80" s="19">
        <v>7</v>
      </c>
      <c r="H80" s="19">
        <v>0</v>
      </c>
      <c r="I80" s="19">
        <v>7</v>
      </c>
      <c r="J80" s="19">
        <f t="shared" si="2"/>
        <v>14</v>
      </c>
      <c r="K80" s="27">
        <f>0.46*1000</f>
        <v>460</v>
      </c>
      <c r="L80" s="21">
        <f t="shared" si="3"/>
        <v>6440</v>
      </c>
      <c r="M80" s="31"/>
      <c r="N80" s="31"/>
      <c r="O80" s="8" t="s">
        <v>3</v>
      </c>
      <c r="P80" s="22" t="str">
        <f>VLOOKUP(K80, Intervalos!$B$3:$C$8,2,TRUE)</f>
        <v>0,10%</v>
      </c>
      <c r="S80" s="24"/>
    </row>
    <row r="81" spans="1:16" s="17" customFormat="1" ht="69.95" customHeight="1" x14ac:dyDescent="0.2">
      <c r="A81" s="18" t="s">
        <v>101</v>
      </c>
      <c r="B81" s="18">
        <v>76</v>
      </c>
      <c r="C81" s="19" t="s">
        <v>97</v>
      </c>
      <c r="D81" s="26" t="s">
        <v>119</v>
      </c>
      <c r="E81" s="20">
        <v>458294</v>
      </c>
      <c r="F81" s="19" t="s">
        <v>103</v>
      </c>
      <c r="G81" s="19">
        <v>7</v>
      </c>
      <c r="H81" s="19">
        <v>100</v>
      </c>
      <c r="I81" s="19">
        <v>7</v>
      </c>
      <c r="J81" s="19">
        <f t="shared" si="2"/>
        <v>114</v>
      </c>
      <c r="K81" s="27">
        <v>37.049999999999997</v>
      </c>
      <c r="L81" s="21">
        <f t="shared" si="3"/>
        <v>4223.7</v>
      </c>
      <c r="M81" s="21" t="s">
        <v>101</v>
      </c>
      <c r="N81" s="21" t="s">
        <v>100</v>
      </c>
      <c r="O81" s="8" t="s">
        <v>3</v>
      </c>
      <c r="P81" s="22">
        <f>VLOOKUP(K81, Intervalos!$B$3:$C$8,2,TRUE)</f>
        <v>0.05</v>
      </c>
    </row>
    <row r="82" spans="1:16" s="16" customFormat="1" ht="69.95" customHeight="1" x14ac:dyDescent="0.2">
      <c r="A82" s="18" t="s">
        <v>101</v>
      </c>
      <c r="B82" s="18">
        <v>77</v>
      </c>
      <c r="C82" s="19" t="s">
        <v>88</v>
      </c>
      <c r="D82" s="26" t="s">
        <v>56</v>
      </c>
      <c r="E82" s="20">
        <v>397370</v>
      </c>
      <c r="F82" s="19" t="s">
        <v>103</v>
      </c>
      <c r="G82" s="19">
        <v>24</v>
      </c>
      <c r="H82" s="19">
        <v>250</v>
      </c>
      <c r="I82" s="19">
        <v>24</v>
      </c>
      <c r="J82" s="19">
        <f t="shared" si="2"/>
        <v>298</v>
      </c>
      <c r="K82" s="27">
        <v>12.4</v>
      </c>
      <c r="L82" s="21">
        <f t="shared" si="3"/>
        <v>3695.2000000000003</v>
      </c>
      <c r="M82" s="21" t="s">
        <v>101</v>
      </c>
      <c r="N82" s="21" t="s">
        <v>100</v>
      </c>
      <c r="O82" s="8" t="s">
        <v>3</v>
      </c>
      <c r="P82" s="22">
        <f>VLOOKUP(K82, Intervalos!$B$3:$C$8,2,TRUE)</f>
        <v>0.03</v>
      </c>
    </row>
    <row r="83" spans="1:16" s="16" customFormat="1" ht="69.95" customHeight="1" x14ac:dyDescent="0.2">
      <c r="A83" s="18" t="s">
        <v>101</v>
      </c>
      <c r="B83" s="18">
        <v>78</v>
      </c>
      <c r="C83" s="19" t="s">
        <v>89</v>
      </c>
      <c r="D83" s="26" t="s">
        <v>56</v>
      </c>
      <c r="E83" s="20">
        <v>323435</v>
      </c>
      <c r="F83" s="19" t="s">
        <v>101</v>
      </c>
      <c r="G83" s="19">
        <v>5</v>
      </c>
      <c r="H83" s="19">
        <v>0</v>
      </c>
      <c r="I83" s="19">
        <v>5</v>
      </c>
      <c r="J83" s="19">
        <f t="shared" si="2"/>
        <v>10</v>
      </c>
      <c r="K83" s="27">
        <v>47.63</v>
      </c>
      <c r="L83" s="21">
        <f t="shared" si="3"/>
        <v>476.3</v>
      </c>
      <c r="M83" s="21" t="s">
        <v>101</v>
      </c>
      <c r="N83" s="21" t="s">
        <v>100</v>
      </c>
      <c r="O83" s="8" t="s">
        <v>3</v>
      </c>
      <c r="P83" s="22">
        <f>VLOOKUP(K83, Intervalos!$B$3:$C$8,2,TRUE)</f>
        <v>0.05</v>
      </c>
    </row>
    <row r="84" spans="1:16" s="16" customFormat="1" ht="69.95" customHeight="1" x14ac:dyDescent="0.2">
      <c r="A84" s="18" t="s">
        <v>101</v>
      </c>
      <c r="B84" s="18">
        <v>79</v>
      </c>
      <c r="C84" s="19" t="s">
        <v>90</v>
      </c>
      <c r="D84" s="26" t="s">
        <v>56</v>
      </c>
      <c r="E84" s="20">
        <v>615957</v>
      </c>
      <c r="F84" s="19" t="s">
        <v>108</v>
      </c>
      <c r="G84" s="19">
        <v>12</v>
      </c>
      <c r="H84" s="19">
        <v>0</v>
      </c>
      <c r="I84" s="19">
        <v>12</v>
      </c>
      <c r="J84" s="19">
        <f t="shared" si="2"/>
        <v>24</v>
      </c>
      <c r="K84" s="27">
        <v>91.49</v>
      </c>
      <c r="L84" s="21">
        <f t="shared" si="3"/>
        <v>2195.7599999999998</v>
      </c>
      <c r="M84" s="21" t="s">
        <v>101</v>
      </c>
      <c r="N84" s="21" t="s">
        <v>100</v>
      </c>
      <c r="O84" s="8" t="s">
        <v>3</v>
      </c>
      <c r="P84" s="22">
        <f>VLOOKUP(K84, Intervalos!$B$3:$C$8,2,TRUE)</f>
        <v>0.1</v>
      </c>
    </row>
    <row r="85" spans="1:16" s="16" customFormat="1" ht="69.95" customHeight="1" x14ac:dyDescent="0.2">
      <c r="A85" s="18" t="s">
        <v>101</v>
      </c>
      <c r="B85" s="18">
        <v>80</v>
      </c>
      <c r="C85" s="19" t="s">
        <v>91</v>
      </c>
      <c r="D85" s="26" t="s">
        <v>120</v>
      </c>
      <c r="E85" s="20">
        <v>228469</v>
      </c>
      <c r="F85" s="19" t="s">
        <v>104</v>
      </c>
      <c r="G85" s="19">
        <v>438</v>
      </c>
      <c r="H85" s="19">
        <v>150</v>
      </c>
      <c r="I85" s="19">
        <v>300</v>
      </c>
      <c r="J85" s="19">
        <f t="shared" si="2"/>
        <v>888</v>
      </c>
      <c r="K85" s="27">
        <v>4.6900000000000004</v>
      </c>
      <c r="L85" s="21">
        <f t="shared" si="3"/>
        <v>4164.72</v>
      </c>
      <c r="M85" s="21" t="s">
        <v>101</v>
      </c>
      <c r="N85" s="21" t="s">
        <v>100</v>
      </c>
      <c r="O85" s="8" t="s">
        <v>3</v>
      </c>
      <c r="P85" s="22">
        <f>VLOOKUP(K85, Intervalos!$B$3:$C$8,2,TRUE)</f>
        <v>0.01</v>
      </c>
    </row>
    <row r="86" spans="1:16" s="16" customFormat="1" ht="69.95" customHeight="1" x14ac:dyDescent="0.2">
      <c r="A86" s="18" t="s">
        <v>101</v>
      </c>
      <c r="B86" s="18">
        <v>81</v>
      </c>
      <c r="C86" s="19" t="s">
        <v>92</v>
      </c>
      <c r="D86" s="26" t="s">
        <v>134</v>
      </c>
      <c r="E86" s="20">
        <v>436328</v>
      </c>
      <c r="F86" s="19" t="s">
        <v>104</v>
      </c>
      <c r="G86" s="19">
        <v>3695</v>
      </c>
      <c r="H86" s="19">
        <v>200</v>
      </c>
      <c r="I86" s="19">
        <v>80</v>
      </c>
      <c r="J86" s="19">
        <f t="shared" si="2"/>
        <v>3975</v>
      </c>
      <c r="K86" s="27">
        <v>17.79</v>
      </c>
      <c r="L86" s="21">
        <f t="shared" si="3"/>
        <v>70715.25</v>
      </c>
      <c r="M86" s="21" t="s">
        <v>101</v>
      </c>
      <c r="N86" s="21" t="s">
        <v>100</v>
      </c>
      <c r="O86" s="8" t="s">
        <v>3</v>
      </c>
      <c r="P86" s="22">
        <f>VLOOKUP(K86, Intervalos!$B$3:$C$8,2,TRUE)</f>
        <v>0.03</v>
      </c>
    </row>
    <row r="87" spans="1:16" s="16" customFormat="1" ht="69.95" customHeight="1" x14ac:dyDescent="0.2">
      <c r="A87" s="18" t="s">
        <v>101</v>
      </c>
      <c r="B87" s="18">
        <v>82</v>
      </c>
      <c r="C87" s="19" t="s">
        <v>93</v>
      </c>
      <c r="D87" s="26" t="s">
        <v>135</v>
      </c>
      <c r="E87" s="20">
        <v>479993</v>
      </c>
      <c r="F87" s="19" t="s">
        <v>101</v>
      </c>
      <c r="G87" s="19">
        <v>25</v>
      </c>
      <c r="H87" s="19">
        <v>10</v>
      </c>
      <c r="I87" s="19">
        <v>25</v>
      </c>
      <c r="J87" s="19">
        <f t="shared" si="2"/>
        <v>60</v>
      </c>
      <c r="K87" s="27">
        <v>71.989999999999995</v>
      </c>
      <c r="L87" s="21">
        <f t="shared" si="3"/>
        <v>4319.3999999999996</v>
      </c>
      <c r="M87" s="21" t="s">
        <v>101</v>
      </c>
      <c r="N87" s="21" t="s">
        <v>100</v>
      </c>
      <c r="O87" s="8" t="s">
        <v>3</v>
      </c>
      <c r="P87" s="22">
        <f>VLOOKUP(K87, Intervalos!$B$3:$C$8,2,TRUE)</f>
        <v>0.1</v>
      </c>
    </row>
    <row r="88" spans="1:16" ht="69.95" customHeight="1" x14ac:dyDescent="0.2">
      <c r="K88" s="6" t="s">
        <v>5</v>
      </c>
      <c r="L88" s="9">
        <f>SUM(L6:L87)</f>
        <v>795452.81999999972</v>
      </c>
    </row>
  </sheetData>
  <mergeCells count="57">
    <mergeCell ref="A1:P1"/>
    <mergeCell ref="A2:P2"/>
    <mergeCell ref="A3:P3"/>
    <mergeCell ref="A20:A21"/>
    <mergeCell ref="M20:M21"/>
    <mergeCell ref="N20:N21"/>
    <mergeCell ref="A6:A8"/>
    <mergeCell ref="M6:M8"/>
    <mergeCell ref="N6:N8"/>
    <mergeCell ref="A10:A13"/>
    <mergeCell ref="M10:M13"/>
    <mergeCell ref="N10:N13"/>
    <mergeCell ref="A32:A33"/>
    <mergeCell ref="M32:M33"/>
    <mergeCell ref="N32:N33"/>
    <mergeCell ref="A37:A39"/>
    <mergeCell ref="M37:M39"/>
    <mergeCell ref="N37:N39"/>
    <mergeCell ref="A57:A58"/>
    <mergeCell ref="M55:M56"/>
    <mergeCell ref="N55:N56"/>
    <mergeCell ref="M57:M58"/>
    <mergeCell ref="N57:N58"/>
    <mergeCell ref="M79:M80"/>
    <mergeCell ref="N79:N80"/>
    <mergeCell ref="A79:A80"/>
    <mergeCell ref="A74:A76"/>
    <mergeCell ref="M74:M76"/>
    <mergeCell ref="N74:N76"/>
    <mergeCell ref="A77:A78"/>
    <mergeCell ref="M77:M78"/>
    <mergeCell ref="N77:N78"/>
    <mergeCell ref="A23:A26"/>
    <mergeCell ref="M23:M26"/>
    <mergeCell ref="N23:N26"/>
    <mergeCell ref="A30:A31"/>
    <mergeCell ref="M30:M31"/>
    <mergeCell ref="N30:N31"/>
    <mergeCell ref="A28:A29"/>
    <mergeCell ref="M28:M29"/>
    <mergeCell ref="N28:N29"/>
    <mergeCell ref="A40:A41"/>
    <mergeCell ref="M40:M41"/>
    <mergeCell ref="N40:N41"/>
    <mergeCell ref="A66:A67"/>
    <mergeCell ref="A68:A69"/>
    <mergeCell ref="M66:M67"/>
    <mergeCell ref="N66:N67"/>
    <mergeCell ref="M68:M69"/>
    <mergeCell ref="N68:N69"/>
    <mergeCell ref="A51:A54"/>
    <mergeCell ref="M51:M54"/>
    <mergeCell ref="N51:N54"/>
    <mergeCell ref="A61:A65"/>
    <mergeCell ref="M61:M65"/>
    <mergeCell ref="N61:N65"/>
    <mergeCell ref="A55:A56"/>
  </mergeCells>
  <pageMargins left="0.23622047244094491" right="0.23622047244094491" top="0.74803149606299213" bottom="0.74803149606299213" header="0.31496062992125984" footer="0.31496062992125984"/>
  <pageSetup paperSize="9" scale="75" fitToHeight="0" orientation="landscape" r:id="rId1"/>
  <headerFooter>
    <oddHeader>&amp;L&amp;G&amp;CPREGÃO ELETRÔNICO XX/2025 
&amp;R&amp;G</oddHeader>
    <oddFooter>&amp;L&amp;"-,Itálico"&amp;9ANEXO III - PLANILHA ESTIMATIVA DE QUANTIDADE E PREÇO&amp;R&amp;9&amp;P/&amp;N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2A44FF-836B-4AD3-983B-AAB120C3AFFF}">
  <dimension ref="A1:F9"/>
  <sheetViews>
    <sheetView workbookViewId="0">
      <selection activeCell="C3" sqref="C3"/>
    </sheetView>
  </sheetViews>
  <sheetFormatPr defaultColWidth="0" defaultRowHeight="15" zeroHeight="1" x14ac:dyDescent="0.25"/>
  <cols>
    <col min="1" max="1" width="2.42578125" customWidth="1"/>
    <col min="2" max="2" width="12.85546875" customWidth="1"/>
    <col min="3" max="3" width="17.7109375" customWidth="1"/>
    <col min="4" max="4" width="3.140625" customWidth="1"/>
    <col min="5" max="5" width="27" customWidth="1"/>
    <col min="6" max="6" width="4" customWidth="1"/>
    <col min="7" max="16384" width="9.140625" hidden="1"/>
  </cols>
  <sheetData>
    <row r="1" spans="2:5" ht="10.5" customHeight="1" x14ac:dyDescent="0.25"/>
    <row r="2" spans="2:5" ht="63" customHeight="1" x14ac:dyDescent="0.25">
      <c r="B2" s="12" t="s">
        <v>7</v>
      </c>
      <c r="C2" s="12" t="s">
        <v>6</v>
      </c>
      <c r="E2" s="13" t="s">
        <v>9</v>
      </c>
    </row>
    <row r="3" spans="2:5" x14ac:dyDescent="0.25">
      <c r="B3" s="11">
        <v>0.01</v>
      </c>
      <c r="C3" s="10">
        <v>0.01</v>
      </c>
      <c r="E3" s="14" t="s">
        <v>10</v>
      </c>
    </row>
    <row r="4" spans="2:5" x14ac:dyDescent="0.25">
      <c r="B4" s="10">
        <v>5</v>
      </c>
      <c r="C4" s="10">
        <v>0.02</v>
      </c>
      <c r="E4" s="14" t="s">
        <v>11</v>
      </c>
    </row>
    <row r="5" spans="2:5" x14ac:dyDescent="0.25">
      <c r="B5" s="10">
        <v>10</v>
      </c>
      <c r="C5" s="10">
        <v>0.03</v>
      </c>
      <c r="E5" s="14" t="s">
        <v>12</v>
      </c>
    </row>
    <row r="6" spans="2:5" x14ac:dyDescent="0.25">
      <c r="B6" s="10">
        <v>20</v>
      </c>
      <c r="C6" s="10">
        <v>0.05</v>
      </c>
      <c r="E6" s="14" t="s">
        <v>13</v>
      </c>
    </row>
    <row r="7" spans="2:5" x14ac:dyDescent="0.25">
      <c r="B7" s="10">
        <v>50</v>
      </c>
      <c r="C7" s="10">
        <v>0.1</v>
      </c>
      <c r="E7" s="14" t="s">
        <v>14</v>
      </c>
    </row>
    <row r="8" spans="2:5" x14ac:dyDescent="0.25">
      <c r="B8" s="10">
        <v>100</v>
      </c>
      <c r="C8" s="15" t="s">
        <v>8</v>
      </c>
      <c r="E8" s="14" t="s">
        <v>15</v>
      </c>
    </row>
    <row r="9" spans="2:5" x14ac:dyDescent="0.25"/>
  </sheetData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1</vt:i4>
      </vt:variant>
    </vt:vector>
  </HeadingPairs>
  <TitlesOfParts>
    <vt:vector size="3" baseType="lpstr">
      <vt:lpstr>Anexo III</vt:lpstr>
      <vt:lpstr>Intervalos</vt:lpstr>
      <vt:lpstr>'Anexo III'!Area_de_impressao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Viviane Lemos</cp:lastModifiedBy>
  <cp:lastPrinted>2025-02-18T22:03:55Z</cp:lastPrinted>
  <dcterms:created xsi:type="dcterms:W3CDTF">2019-07-30T23:05:19Z</dcterms:created>
  <dcterms:modified xsi:type="dcterms:W3CDTF">2025-07-18T14:07:23Z</dcterms:modified>
</cp:coreProperties>
</file>