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85" windowWidth="27495" windowHeight="13740"/>
  </bookViews>
  <sheets>
    <sheet name="Anexo III" sheetId="1" r:id="rId1"/>
    <sheet name="Intervalos" sheetId="2" r:id="rId2"/>
  </sheets>
  <calcPr calcId="144525"/>
  <extLst>
    <ext uri="GoogleSheetsCustomDataVersion2">
      <go:sheetsCustomData xmlns:go="http://customooxmlschemas.google.com/" r:id="" roundtripDataChecksum="1+uBU60SIjpDn76FZHO+DkVsjS6Zn6mIycSr1ebt7MA="/>
    </ext>
  </extLst>
</workbook>
</file>

<file path=xl/calcChain.xml><?xml version="1.0" encoding="utf-8"?>
<calcChain xmlns="http://schemas.openxmlformats.org/spreadsheetml/2006/main">
  <c r="N160" i="1" l="1"/>
  <c r="J160" i="1"/>
  <c r="H160" i="1"/>
  <c r="N159" i="1"/>
  <c r="H159" i="1"/>
  <c r="J159" i="1" s="1"/>
  <c r="I158" i="1"/>
  <c r="N158" i="1" s="1"/>
  <c r="H158" i="1"/>
  <c r="J158" i="1" s="1"/>
  <c r="F158" i="1"/>
  <c r="I157" i="1"/>
  <c r="N157" i="1" s="1"/>
  <c r="F157" i="1"/>
  <c r="H157" i="1" s="1"/>
  <c r="J157" i="1" s="1"/>
  <c r="N156" i="1"/>
  <c r="I156" i="1"/>
  <c r="F156" i="1"/>
  <c r="H156" i="1" s="1"/>
  <c r="J156" i="1" s="1"/>
  <c r="N155" i="1"/>
  <c r="I155" i="1"/>
  <c r="F155" i="1"/>
  <c r="H155" i="1" s="1"/>
  <c r="J155" i="1" s="1"/>
  <c r="N154" i="1"/>
  <c r="H154" i="1"/>
  <c r="J154" i="1" s="1"/>
  <c r="N153" i="1"/>
  <c r="I153" i="1"/>
  <c r="F153" i="1"/>
  <c r="H153" i="1" s="1"/>
  <c r="J153" i="1" s="1"/>
  <c r="I152" i="1"/>
  <c r="N152" i="1" s="1"/>
  <c r="H152" i="1"/>
  <c r="J152" i="1" s="1"/>
  <c r="F152" i="1"/>
  <c r="I151" i="1"/>
  <c r="N151" i="1" s="1"/>
  <c r="F151" i="1"/>
  <c r="H151" i="1" s="1"/>
  <c r="J151" i="1" s="1"/>
  <c r="N150" i="1"/>
  <c r="I150" i="1"/>
  <c r="F150" i="1"/>
  <c r="H150" i="1" s="1"/>
  <c r="J150" i="1" s="1"/>
  <c r="N149" i="1"/>
  <c r="I149" i="1"/>
  <c r="F149" i="1"/>
  <c r="H149" i="1" s="1"/>
  <c r="J149" i="1" s="1"/>
  <c r="I148" i="1"/>
  <c r="N148" i="1" s="1"/>
  <c r="H148" i="1"/>
  <c r="J148" i="1" s="1"/>
  <c r="F148" i="1"/>
  <c r="N147" i="1"/>
  <c r="H147" i="1"/>
  <c r="J147" i="1" s="1"/>
  <c r="I146" i="1"/>
  <c r="N146" i="1" s="1"/>
  <c r="H146" i="1"/>
  <c r="J146" i="1" s="1"/>
  <c r="F146" i="1"/>
  <c r="N145" i="1"/>
  <c r="H145" i="1"/>
  <c r="J145" i="1" s="1"/>
  <c r="I144" i="1"/>
  <c r="N144" i="1" s="1"/>
  <c r="H144" i="1"/>
  <c r="J144" i="1" s="1"/>
  <c r="F144" i="1"/>
  <c r="N143" i="1"/>
  <c r="H143" i="1"/>
  <c r="J143" i="1" s="1"/>
  <c r="N142" i="1"/>
  <c r="H142" i="1"/>
  <c r="J142" i="1" s="1"/>
  <c r="N141" i="1"/>
  <c r="I141" i="1"/>
  <c r="F141" i="1"/>
  <c r="H141" i="1" s="1"/>
  <c r="J141" i="1" s="1"/>
  <c r="I140" i="1"/>
  <c r="N140" i="1" s="1"/>
  <c r="H140" i="1"/>
  <c r="J140" i="1" s="1"/>
  <c r="F140" i="1"/>
  <c r="I139" i="1"/>
  <c r="N139" i="1" s="1"/>
  <c r="F139" i="1"/>
  <c r="H139" i="1" s="1"/>
  <c r="J139" i="1" s="1"/>
  <c r="N138" i="1"/>
  <c r="J138" i="1"/>
  <c r="H138" i="1"/>
  <c r="N137" i="1"/>
  <c r="H137" i="1"/>
  <c r="J137" i="1" s="1"/>
  <c r="N136" i="1"/>
  <c r="H136" i="1"/>
  <c r="J136" i="1" s="1"/>
  <c r="N135" i="1"/>
  <c r="H135" i="1"/>
  <c r="J135" i="1" s="1"/>
  <c r="N134" i="1"/>
  <c r="J134" i="1"/>
  <c r="H134" i="1"/>
  <c r="N133" i="1"/>
  <c r="H133" i="1"/>
  <c r="J133" i="1" s="1"/>
  <c r="N132" i="1"/>
  <c r="H132" i="1"/>
  <c r="J132" i="1" s="1"/>
  <c r="N131" i="1"/>
  <c r="H131" i="1"/>
  <c r="J131" i="1" s="1"/>
  <c r="N130" i="1"/>
  <c r="J130" i="1"/>
  <c r="H130" i="1"/>
  <c r="N129" i="1"/>
  <c r="H129" i="1"/>
  <c r="J129" i="1" s="1"/>
  <c r="I128" i="1"/>
  <c r="N128" i="1" s="1"/>
  <c r="H128" i="1"/>
  <c r="J128" i="1" s="1"/>
  <c r="F128" i="1"/>
  <c r="N127" i="1"/>
  <c r="H127" i="1"/>
  <c r="J127" i="1" s="1"/>
  <c r="N126" i="1"/>
  <c r="H126" i="1"/>
  <c r="J126" i="1" s="1"/>
  <c r="N125" i="1"/>
  <c r="H125" i="1"/>
  <c r="J125" i="1" s="1"/>
  <c r="N124" i="1"/>
  <c r="J124" i="1"/>
  <c r="H124" i="1"/>
  <c r="N123" i="1"/>
  <c r="H123" i="1"/>
  <c r="J123" i="1" s="1"/>
  <c r="N122" i="1"/>
  <c r="H122" i="1"/>
  <c r="J122" i="1" s="1"/>
  <c r="N121" i="1"/>
  <c r="H121" i="1"/>
  <c r="J121" i="1" s="1"/>
  <c r="N120" i="1"/>
  <c r="J120" i="1"/>
  <c r="H120" i="1"/>
  <c r="N119" i="1"/>
  <c r="H119" i="1"/>
  <c r="J119" i="1" s="1"/>
  <c r="N118" i="1"/>
  <c r="H118" i="1"/>
  <c r="J118" i="1" s="1"/>
  <c r="N117" i="1"/>
  <c r="H117" i="1"/>
  <c r="J117" i="1" s="1"/>
  <c r="N116" i="1"/>
  <c r="J116" i="1"/>
  <c r="H116" i="1"/>
  <c r="N115" i="1"/>
  <c r="H115" i="1"/>
  <c r="J115" i="1" s="1"/>
  <c r="N114" i="1"/>
  <c r="H114" i="1"/>
  <c r="J114" i="1" s="1"/>
  <c r="N113" i="1"/>
  <c r="H113" i="1"/>
  <c r="J113" i="1" s="1"/>
  <c r="N112" i="1"/>
  <c r="J112" i="1"/>
  <c r="H112" i="1"/>
  <c r="N111" i="1"/>
  <c r="H111" i="1"/>
  <c r="J111" i="1" s="1"/>
  <c r="N110" i="1"/>
  <c r="H110" i="1"/>
  <c r="J110" i="1" s="1"/>
  <c r="N109" i="1"/>
  <c r="H109" i="1"/>
  <c r="J109" i="1" s="1"/>
  <c r="N108" i="1"/>
  <c r="J108" i="1"/>
  <c r="H108" i="1"/>
  <c r="N107" i="1"/>
  <c r="H107" i="1"/>
  <c r="J107" i="1" s="1"/>
  <c r="N106" i="1"/>
  <c r="H106" i="1"/>
  <c r="J106" i="1" s="1"/>
  <c r="N105" i="1"/>
  <c r="H105" i="1"/>
  <c r="J105" i="1" s="1"/>
  <c r="N104" i="1"/>
  <c r="J104" i="1"/>
  <c r="H104" i="1"/>
  <c r="N103" i="1"/>
  <c r="H103" i="1"/>
  <c r="J103" i="1" s="1"/>
  <c r="N102" i="1"/>
  <c r="H102" i="1"/>
  <c r="J102" i="1" s="1"/>
  <c r="N101" i="1"/>
  <c r="H101" i="1"/>
  <c r="J101" i="1" s="1"/>
  <c r="N100" i="1"/>
  <c r="J100" i="1"/>
  <c r="H100" i="1"/>
  <c r="N99" i="1"/>
  <c r="H99" i="1"/>
  <c r="J99" i="1" s="1"/>
  <c r="N98" i="1"/>
  <c r="H98" i="1"/>
  <c r="J98" i="1" s="1"/>
  <c r="N97" i="1"/>
  <c r="H97" i="1"/>
  <c r="J97" i="1" s="1"/>
  <c r="N96" i="1"/>
  <c r="J96" i="1"/>
  <c r="H96" i="1"/>
  <c r="I95" i="1"/>
  <c r="N95" i="1" s="1"/>
  <c r="F95" i="1"/>
  <c r="H95" i="1" s="1"/>
  <c r="J95" i="1" s="1"/>
  <c r="N94" i="1"/>
  <c r="J94" i="1"/>
  <c r="H94" i="1"/>
  <c r="I93" i="1"/>
  <c r="N93" i="1" s="1"/>
  <c r="F93" i="1"/>
  <c r="H93" i="1" s="1"/>
  <c r="J93" i="1" s="1"/>
  <c r="N92" i="1"/>
  <c r="J92" i="1"/>
  <c r="H92" i="1"/>
  <c r="I91" i="1"/>
  <c r="N91" i="1" s="1"/>
  <c r="F91" i="1"/>
  <c r="H91" i="1" s="1"/>
  <c r="J91" i="1" s="1"/>
  <c r="N90" i="1"/>
  <c r="I90" i="1"/>
  <c r="F90" i="1"/>
  <c r="H90" i="1" s="1"/>
  <c r="J90" i="1" s="1"/>
  <c r="N89" i="1"/>
  <c r="H89" i="1"/>
  <c r="J89" i="1" s="1"/>
  <c r="N88" i="1"/>
  <c r="J88" i="1"/>
  <c r="H88" i="1"/>
  <c r="N87" i="1"/>
  <c r="H87" i="1"/>
  <c r="J87" i="1" s="1"/>
  <c r="N86" i="1"/>
  <c r="H86" i="1"/>
  <c r="J86" i="1" s="1"/>
  <c r="N85" i="1"/>
  <c r="I85" i="1"/>
  <c r="F85" i="1"/>
  <c r="H85" i="1" s="1"/>
  <c r="J85" i="1" s="1"/>
  <c r="I84" i="1"/>
  <c r="N84" i="1" s="1"/>
  <c r="H84" i="1"/>
  <c r="J84" i="1" s="1"/>
  <c r="F84" i="1"/>
  <c r="N83" i="1"/>
  <c r="H83" i="1"/>
  <c r="J83" i="1" s="1"/>
  <c r="N82" i="1"/>
  <c r="H82" i="1"/>
  <c r="J82" i="1" s="1"/>
  <c r="N81" i="1"/>
  <c r="H81" i="1"/>
  <c r="J81" i="1" s="1"/>
  <c r="N80" i="1"/>
  <c r="J80" i="1"/>
  <c r="H80" i="1"/>
  <c r="N79" i="1"/>
  <c r="H79" i="1"/>
  <c r="J79" i="1" s="1"/>
  <c r="I78" i="1"/>
  <c r="N78" i="1" s="1"/>
  <c r="H78" i="1"/>
  <c r="J78" i="1" s="1"/>
  <c r="F78" i="1"/>
  <c r="I77" i="1"/>
  <c r="N77" i="1" s="1"/>
  <c r="F77" i="1"/>
  <c r="H77" i="1" s="1"/>
  <c r="J77" i="1" s="1"/>
  <c r="N76" i="1"/>
  <c r="J76" i="1"/>
  <c r="H76" i="1"/>
  <c r="N75" i="1"/>
  <c r="H75" i="1"/>
  <c r="J75" i="1" s="1"/>
  <c r="N74" i="1"/>
  <c r="H74" i="1"/>
  <c r="J74" i="1" s="1"/>
  <c r="N73" i="1"/>
  <c r="H73" i="1"/>
  <c r="J73" i="1" s="1"/>
  <c r="N72" i="1"/>
  <c r="J72" i="1"/>
  <c r="H72" i="1"/>
  <c r="N71" i="1"/>
  <c r="H71" i="1"/>
  <c r="J71" i="1" s="1"/>
  <c r="I70" i="1"/>
  <c r="N70" i="1" s="1"/>
  <c r="H70" i="1"/>
  <c r="J70" i="1" s="1"/>
  <c r="F70" i="1"/>
  <c r="N69" i="1"/>
  <c r="H69" i="1"/>
  <c r="J69" i="1" s="1"/>
  <c r="N68" i="1"/>
  <c r="H68" i="1"/>
  <c r="J68" i="1" s="1"/>
  <c r="N67" i="1"/>
  <c r="H67" i="1"/>
  <c r="J67" i="1" s="1"/>
  <c r="N66" i="1"/>
  <c r="J66" i="1"/>
  <c r="H66" i="1"/>
  <c r="N65" i="1"/>
  <c r="H65" i="1"/>
  <c r="J65" i="1" s="1"/>
  <c r="N64" i="1"/>
  <c r="H64" i="1"/>
  <c r="J64" i="1" s="1"/>
  <c r="N63" i="1"/>
  <c r="I63" i="1"/>
  <c r="F63" i="1"/>
  <c r="H63" i="1" s="1"/>
  <c r="J63" i="1" s="1"/>
  <c r="N62" i="1"/>
  <c r="H62" i="1"/>
  <c r="J62" i="1" s="1"/>
  <c r="N61" i="1"/>
  <c r="H61" i="1"/>
  <c r="J61" i="1" s="1"/>
  <c r="N60" i="1"/>
  <c r="I60" i="1"/>
  <c r="F60" i="1"/>
  <c r="H60" i="1" s="1"/>
  <c r="J60" i="1" s="1"/>
  <c r="N59" i="1"/>
  <c r="I59" i="1"/>
  <c r="F59" i="1"/>
  <c r="H59" i="1" s="1"/>
  <c r="J59" i="1" s="1"/>
  <c r="N58" i="1"/>
  <c r="H58" i="1"/>
  <c r="J58" i="1" s="1"/>
  <c r="N57" i="1"/>
  <c r="H57" i="1"/>
  <c r="J57" i="1" s="1"/>
  <c r="N56" i="1"/>
  <c r="J56" i="1"/>
  <c r="H56" i="1"/>
  <c r="N55" i="1"/>
  <c r="H55" i="1"/>
  <c r="J55" i="1" s="1"/>
  <c r="N54" i="1"/>
  <c r="H54" i="1"/>
  <c r="J54" i="1" s="1"/>
  <c r="N53" i="1"/>
  <c r="H53" i="1"/>
  <c r="J53" i="1" s="1"/>
  <c r="N52" i="1"/>
  <c r="J52" i="1"/>
  <c r="H52" i="1"/>
  <c r="I51" i="1"/>
  <c r="N51" i="1" s="1"/>
  <c r="F51" i="1"/>
  <c r="H51" i="1" s="1"/>
  <c r="J51" i="1" s="1"/>
  <c r="N50" i="1"/>
  <c r="J50" i="1"/>
  <c r="H50" i="1"/>
  <c r="N49" i="1"/>
  <c r="H49" i="1"/>
  <c r="J49" i="1" s="1"/>
  <c r="N48" i="1"/>
  <c r="H48" i="1"/>
  <c r="J48" i="1" s="1"/>
  <c r="N47" i="1"/>
  <c r="H47" i="1"/>
  <c r="J47" i="1" s="1"/>
  <c r="N46" i="1"/>
  <c r="J46" i="1"/>
  <c r="H46" i="1"/>
  <c r="N45" i="1"/>
  <c r="H45" i="1"/>
  <c r="J45" i="1" s="1"/>
  <c r="N44" i="1"/>
  <c r="H44" i="1"/>
  <c r="J44" i="1" s="1"/>
  <c r="N43" i="1"/>
  <c r="H43" i="1"/>
  <c r="J43" i="1" s="1"/>
  <c r="N42" i="1"/>
  <c r="J42" i="1"/>
  <c r="H42" i="1"/>
  <c r="N41" i="1"/>
  <c r="H41" i="1"/>
  <c r="J41" i="1" s="1"/>
  <c r="I40" i="1"/>
  <c r="N40" i="1" s="1"/>
  <c r="H40" i="1"/>
  <c r="J40" i="1" s="1"/>
  <c r="F40" i="1"/>
  <c r="N39" i="1"/>
  <c r="H39" i="1"/>
  <c r="J39" i="1" s="1"/>
  <c r="N38" i="1"/>
  <c r="H38" i="1"/>
  <c r="J38" i="1" s="1"/>
  <c r="N37" i="1"/>
  <c r="H37" i="1"/>
  <c r="J37" i="1" s="1"/>
  <c r="N36" i="1"/>
  <c r="J36" i="1"/>
  <c r="H36" i="1"/>
  <c r="N35" i="1"/>
  <c r="H35" i="1"/>
  <c r="J35" i="1" s="1"/>
  <c r="N34" i="1"/>
  <c r="H34" i="1"/>
  <c r="J34" i="1" s="1"/>
  <c r="N33" i="1"/>
  <c r="H33" i="1"/>
  <c r="J33" i="1" s="1"/>
  <c r="N32" i="1"/>
  <c r="J32" i="1"/>
  <c r="H32" i="1"/>
  <c r="I31" i="1"/>
  <c r="N31" i="1" s="1"/>
  <c r="F31" i="1"/>
  <c r="H31" i="1" s="1"/>
  <c r="J31" i="1" s="1"/>
  <c r="N30" i="1"/>
  <c r="I30" i="1"/>
  <c r="F30" i="1"/>
  <c r="H30" i="1" s="1"/>
  <c r="J30" i="1" s="1"/>
  <c r="N29" i="1"/>
  <c r="H29" i="1"/>
  <c r="J29" i="1" s="1"/>
  <c r="N28" i="1"/>
  <c r="J28" i="1"/>
  <c r="H28" i="1"/>
  <c r="N27" i="1"/>
  <c r="H27" i="1"/>
  <c r="J27" i="1" s="1"/>
  <c r="N26" i="1"/>
  <c r="H26" i="1"/>
  <c r="J26" i="1" s="1"/>
  <c r="N25" i="1"/>
  <c r="H25" i="1"/>
  <c r="J25" i="1" s="1"/>
  <c r="N24" i="1"/>
  <c r="J24" i="1"/>
  <c r="H24" i="1"/>
  <c r="N23" i="1"/>
  <c r="H23" i="1"/>
  <c r="J23" i="1" s="1"/>
  <c r="N22" i="1"/>
  <c r="H22" i="1"/>
  <c r="J22" i="1" s="1"/>
  <c r="N21" i="1"/>
  <c r="H21" i="1"/>
  <c r="J21" i="1" s="1"/>
  <c r="N20" i="1"/>
  <c r="J20" i="1"/>
  <c r="H20" i="1"/>
  <c r="N19" i="1"/>
  <c r="H19" i="1"/>
  <c r="J19" i="1" s="1"/>
  <c r="N18" i="1"/>
  <c r="H18" i="1"/>
  <c r="J18" i="1" s="1"/>
  <c r="N17" i="1"/>
  <c r="H17" i="1"/>
  <c r="J17" i="1" s="1"/>
  <c r="N16" i="1"/>
  <c r="J16" i="1"/>
  <c r="H16" i="1"/>
  <c r="N15" i="1"/>
  <c r="H15" i="1"/>
  <c r="J15" i="1" s="1"/>
  <c r="N14" i="1"/>
  <c r="H14" i="1"/>
  <c r="J14" i="1" s="1"/>
  <c r="N13" i="1"/>
  <c r="H13" i="1"/>
  <c r="J13" i="1" s="1"/>
  <c r="N12" i="1"/>
  <c r="I12" i="1"/>
  <c r="F12" i="1"/>
  <c r="H12" i="1" s="1"/>
  <c r="J12" i="1" s="1"/>
  <c r="N11" i="1"/>
  <c r="I11" i="1"/>
  <c r="F11" i="1"/>
  <c r="H11" i="1" s="1"/>
  <c r="J11" i="1" s="1"/>
  <c r="N10" i="1"/>
  <c r="H10" i="1"/>
  <c r="J10" i="1" s="1"/>
  <c r="N9" i="1"/>
  <c r="H9" i="1"/>
  <c r="J9" i="1" s="1"/>
  <c r="N8" i="1"/>
  <c r="J8" i="1"/>
  <c r="H8" i="1"/>
  <c r="N7" i="1"/>
  <c r="H7" i="1"/>
  <c r="J7" i="1" s="1"/>
  <c r="N6" i="1"/>
  <c r="H6" i="1"/>
  <c r="J6" i="1" s="1"/>
  <c r="J161" i="1" l="1"/>
</calcChain>
</file>

<file path=xl/sharedStrings.xml><?xml version="1.0" encoding="utf-8"?>
<sst xmlns="http://schemas.openxmlformats.org/spreadsheetml/2006/main" count="958" uniqueCount="236">
  <si>
    <t>PRÓ-REITORIA DE ADMINISTRAÇÃO</t>
  </si>
  <si>
    <t>COORDENAÇÃO DE MATERIAIS</t>
  </si>
  <si>
    <t>ANEXO III - PLANILHA ESTIMATIVA DE DESCRIÇÃO E PREÇOS</t>
  </si>
  <si>
    <t>ITEM LICITAÇÃO</t>
  </si>
  <si>
    <t>DESCRIÇÃO/ ESPECIFICAÇÃO</t>
  </si>
  <si>
    <t>UNIDADE DE MEDIDA</t>
  </si>
  <si>
    <t>SUGESTÃO DE CATMAT</t>
  </si>
  <si>
    <t>INFORMAÇÕES ADICIONAIS</t>
  </si>
  <si>
    <t xml:space="preserve">QUANTIDADE UASG 150182 </t>
  </si>
  <si>
    <t>QUANTIDADE UASG 160251</t>
  </si>
  <si>
    <t>QUANTIDADE TOTAL</t>
  </si>
  <si>
    <t>VALOR UNITÁRIO</t>
  </si>
  <si>
    <t>VALOR TOTAL</t>
  </si>
  <si>
    <t>EXCLUSIVO ME/EPP</t>
  </si>
  <si>
    <t>MODO DE DISPUTA</t>
  </si>
  <si>
    <t>INTERVALO LANCES</t>
  </si>
  <si>
    <t>Água, estéril e apirogênica, seu uso objetiva a diluição e solubilização de medicamentos injetáveis. Fornecimento em caixa com 200 frascos de 10ml</t>
  </si>
  <si>
    <t>frasco 10ml</t>
  </si>
  <si>
    <t>Anvisa</t>
  </si>
  <si>
    <t>NÃO</t>
  </si>
  <si>
    <t>Aberto</t>
  </si>
  <si>
    <t>ALÇA BACTERIOLÓGICA, MATERIAL NÍQUEL CROMO, COMPONENTES COM CABO, CALIBRAGEM CALIBRADA, VOLUME 1 MCL</t>
  </si>
  <si>
    <t>unidade</t>
  </si>
  <si>
    <t xml:space="preserve"> -</t>
  </si>
  <si>
    <t>alça bacteriológica, material níquel cromo, componentes sem cabo, calibragem calibrada, volume 10 mcl</t>
  </si>
  <si>
    <t>ALÇA BACTERIOLÓGICA, MATERIAL PLATINA, COMPONENTES COM CABO, CALIBRAGEM CALIBRADA, VOLUME 10 MCL</t>
  </si>
  <si>
    <t>Álcool Iodado 0,1%, antisséptico tópico, utilizado em curativos no tratamento de feridas.Iodo a 0,1% em álcool etílico 50% (v/v). Frasco 1L</t>
  </si>
  <si>
    <t>frasco de 1 litro</t>
  </si>
  <si>
    <t>Anvisa
CTF/APP: FTE - Categoria: Indústria Química; Código: 15</t>
  </si>
  <si>
    <t>Álcool isopropílico a 70% para assepsia, swab. Fornecimento em caixa com 100 unidades (sachês).</t>
  </si>
  <si>
    <t>Sachê</t>
  </si>
  <si>
    <t>Algodão Ortopédico, atadura, 10cmx1,8m. Elaborada a partir de fibras 100% de algodão crú. Hidrófobo ( não absorve água ). Uso: Auxiliar de procedimentos em imobilização ortopédica, para acolchoamento e proteção entre a pele e o imobilizador. Fornecimento em pacote com 12 unidades.</t>
  </si>
  <si>
    <t>Unidade</t>
  </si>
  <si>
    <t>ALGODÃO, HIDRÓFILO, EM BOLAS, ALVEJADO, PURIFICADO, ISENTO DE IMPUREZAS, NÃO ESTÉRIL</t>
  </si>
  <si>
    <t>Embalagem 100 g</t>
  </si>
  <si>
    <t>ALGODÃO, HIDRÓFILO, EM MANTAS, ALVEJADO, PURIFICADO, ISENTO DE IMPUREZAS, ENROLADO EM PAPEL APROPRIADO, NÃO ESTÉRIL, EMBALAGEM INDIVIDUAL DE 500G</t>
  </si>
  <si>
    <t>embalagem 500g</t>
  </si>
  <si>
    <t>Almotolia com álcool a 70%. Frasco 100ml</t>
  </si>
  <si>
    <t>frasco = frasco 100ml</t>
  </si>
  <si>
    <t>Antisséptico degermante a base de polivinil pirrolidona iodo (PVP-I) 10% em solução com tensoativos, equivalente a 1% de iodo ativo, frasco 1L</t>
  </si>
  <si>
    <t>Litro = frasco 1 l</t>
  </si>
  <si>
    <t>Antisséptico tópico a base de polivinil pirrolidona iodo (PVP-I) 10% em solução aquosa, equivalente a 1% de iodo ativo, frasco 1L</t>
  </si>
  <si>
    <t>ATADURA, CREPOM, 100% ALGODÃO, 10 CM, 180 CM, EM REPOUSO, 13 UN/CM², EMBALAGEM INDIVIDUAL</t>
  </si>
  <si>
    <t>Rolo</t>
  </si>
  <si>
    <t>ATADURA, CREPOM, 100% ALGODÃO, 15 CM, 180 CM, EM REPOUSO, 13 UN/CM², EMBALAGEM INDIVIDUAL</t>
  </si>
  <si>
    <t>ATADURA, CREPOM, 100% ALGODÃO, 20 CM, 180 CM, EM REPOUSO, 13 UN/CM², EMBALAGEM INDIVIDUAL</t>
  </si>
  <si>
    <t>ATADURA, CREPOM, 100% ALGODÃO, 30 CM, 180 CM, EM REPOUSO, 13 UN/CM², EMBALAGEM INDIVIDUAL</t>
  </si>
  <si>
    <t>Faixa de Esmarch 12cm x 2m. Bandagem elástica de borracha natural rosa, indicada para estancar ou bloquear o fluxo sanguíneo. Não estéril, Produto de uso único e descartável</t>
  </si>
  <si>
    <t>Rolo 2 Metro</t>
  </si>
  <si>
    <t>BANDAGEM ELÁSTICA, NÃO TECIDO POROSO, AUTO-ADERENTE, 100 MM, 4,5 M, COM COR, COM FIBRAS ELÁSTICAS</t>
  </si>
  <si>
    <t>BANDAGEM ELÁSTICA, NÃO TECIDO POROSO, AUTO-ADERENTE, 50 MM, 4,5 M, COM COR, COM FIBRAS ELÁSTICAS</t>
  </si>
  <si>
    <t>BANDAGEM ELÁSTICA, NÃO TECIDO POROSO, AUTO-ADERENTE, 75 MM, 4,5 M, COM COR, COM FIBRAS ELÁSTICAS</t>
  </si>
  <si>
    <t>Bandeja, material aço inoxidável, tipo lisa, dimensões cerca de 45 x 35 x 5, esterilizável</t>
  </si>
  <si>
    <t>Bocal para espirometria em papelão resistente: com fina película plastificada na parte exterior, que aumenta o conforto do exame de espirometria pois evita que os lábios fiquem colados no bocal; embalagem plástica individual para garantir sua qualidade; agrupados em pacotes que lembram colméias - isso faz com que os bocais ocupem menos espaço, otimizando o transporte e facilitando o armazenamento do seu estoque de material para espirometria; Medidas: 28,00mm Diâmetro Interno x 65,00mm Comprimento – Diâmetro Externo 30,00mm. Embalagem com 100 Unidades</t>
  </si>
  <si>
    <t>Caixa 100 unidades = pacote 100 unidades</t>
  </si>
  <si>
    <t>BOLSA COLETORA DE HEMODERIVADOS, PVC, COLETA SANGUE, SIMPLES, 500 ML, TUBO DE COLETA, AGULHAS, COM CPDA-1, EM SISTEMA FECHADO, ESTÉRIL,ATÓXICA,APIROGÊNICA</t>
  </si>
  <si>
    <t>Bolsa Coletora de Urina Diurese Horária. Diurese horária 500ml; bolsa 2.000ml; graduada; válvula anti-refluxo; pinça clamp corta fluxo; filtro hidrofóbico bacteriológico; conector universal, alça de sustentação.</t>
  </si>
  <si>
    <t>Bolsa dupla para coleta de sangue e plaquetas (CPDA-1). Capacidade aproximada de 500ml.</t>
  </si>
  <si>
    <t>BOLSA OSTOMIA, MATÉRIA PRIMA PLáSTICO, APLICAÇÃO COLOSTOMIA E ILEOSTOMIA, NÚMERO DE PEÇAS 1 PEÇA (PLACA E BOLSA ACOPLADAS), MODELO DRENÁVEL, ACESSÓRIOS 1 CLIP PARA CADA 10 BOLSAS, TIPO DE BOLSA TRANSPARENTE, TIPO DE ADESIVO ADESIVO MICROPOROSO, MATERIAL DA PLACA BASE DE KARAYA, DIÂMETRO PRÉ-CORTADA ATÉ 70</t>
  </si>
  <si>
    <t>BOLSA OSTOMIA, MATÉRIA PRIMA PLÁSTICO, APLICAÇÃO UROSTOMIA, NÚMERO DE PEÇAS 2 PEÇAS (PLACA E BOLSA SEPARADAS), MODELO DRENÁVEL, TIPO DE BOLSA TRANSPARENTE, TIPO DE ADESIVO ADESIVO MICROPOROSO, MATERIAL DA PLACA RESINA SINTÉTICA, DIÂMETRO RECORTÁVEL ATÉ 70, CARACTERÍSTICAS ADICIONAIS VÁLVULA ANTI-REFLUXO</t>
  </si>
  <si>
    <t>Braçadeira neonatal de pressão arterial descartável de 1 via - em silicone próprias para medição de pressão arterial não invasiva, livre de latex. Próprio para esfignomanômetro ou monitor. Circunferência entre 3.3-5.6cm</t>
  </si>
  <si>
    <t>Braçadeira neonatal de pressão arterial descartável de 1 via - em silicone próprias para medição de pressão arterial não invasiva, livre de latex. Próprio para esfignomanômetro ou monitor. Circunferência entre 4.2 - 7.1cm</t>
  </si>
  <si>
    <t>Braçadeira neonatal de pressão arterial descartável de 1 via - em silicone próprias para medição de pressão arterial não invasiva, livre de latex. Próprio para esfignomanômetro ou monitor. Circunferência entre 5.4 - 9.1cm</t>
  </si>
  <si>
    <t>Braçadeira neonatal de pressão arterial descartável de 1 via - em silicone próprias para medição de pressão arterial não invasiva, livre de latex. Próprio para esfignomanômetro ou monitor. Circunferência entre 6.9 - 11.7cm</t>
  </si>
  <si>
    <t>Braçadeira neonatal de pressão arterial descartável de 1 via - em silicone próprias para medição de pressão arterial não invasiva, livre de latex. Próprio para esfignomanômetro ou monitor. Circunferência entre 8.9 - 15.0 cm</t>
  </si>
  <si>
    <t>Caixa Térmica 5 Litros com Termômetro Digital de Máximo e Mínimo à prova d’agua -50 até 70 °C. Em plástico de alta resistência e internamente revestida de poliuretano, inclusive na tampa, facilitando o seu isolamento térmico. Com termômetro externo que mostra a temperatura atual, mínima e máxima do conteúdo. Uso para Medicamentos, Órgãos e Tecidos, Vacinas, Amostras e materiais Biológicos.</t>
  </si>
  <si>
    <t>Cal Sodada, Absorvedor de CO2. Utilizado em circuito respiratório de aparelhos de anestesia.  Uso exclusivo em anestesia.  Composição: 97% de hidróxido de cálcio, 3% de hidróxido de sódio, 0,03% de indicador de cor e 16 a 18 % de umidade. Apresentado na forma de grão semi-esférico poroso de aproximadamente 3mm de diâmetro. Cor: branca a levemente amarelada ou acinzentada; Indicador pós-saturação: mudança de cor para violeta.</t>
  </si>
  <si>
    <t>Balde 4.3 Quilograma</t>
  </si>
  <si>
    <t>Coletor de urina sistema fechado 2000ml: Coletor de urina, sistema fechado, estéril, com conector de sonda rígido e conizado, extensor em PVC transparente cristal medindo 1,30 m e diâmetro interno entre 0,7 e 0,9 mm com dispositivo autovedante para coleta de urina. Bolsa coletora de material resistente, branco opaco na face posterior e branco transparente na anterior, graduada válvula antirefluxo e filtro de ar. Pinça para interrupção do fluxo no extensor e no sistema de drenagem. Conter alças plásticas ou cadarço para fixação na beira do leito. Capacidade de 2.000 ml, adulto. Fornecimento em embalagem com 100 unidades.</t>
  </si>
  <si>
    <t xml:space="preserve">COLETOR MATERIAL PÉRFURO-CORTANTE, PAPELÃO, 1,5L </t>
  </si>
  <si>
    <t>COLETOR MATERIAL PÉRFURO-CORTANTE, PAPELÃO, 13 L, ALÇAS RÍGIDAS E TAMPA, REVESTIMENTO INTERNO EM POLIETILENO ALTA DENSIDADE, DESCARTÁVEL</t>
  </si>
  <si>
    <t>unid.</t>
  </si>
  <si>
    <t>COLETOR MATERIAL PÉRFURO-CORTANTE, PAPELÃO, 20 L, ALÇAS RÍGIDAS E TAMPA, REVESTIMENTO INTERNO EM POLIETILENO ALTA DENSIDADE, DESCARTÁVEL</t>
  </si>
  <si>
    <t>COLETOR MATERIAL PÉRFURO-CORTANTE, PAPELÃO, 7 L, ALÇAS RÍGIDAS E TAMPA, REVESTIMENTO INTERNO EM POLIETILENO ALTA DENSIDADE, DESCARTÁVEL</t>
  </si>
  <si>
    <t>Compressa campo operatório não estéril, tecido quádruplo, 100% algodão, altamente absorvente, isento de substâncias gordurosas, amido e alvejantes, 23 x 25cm. Com fio radiopaco. Pacote com 50 unidades.</t>
  </si>
  <si>
    <t>pacote = embalagem 50 unidades</t>
  </si>
  <si>
    <t>Compressa de Gaze 11 fios 7,5x7,5. Fornecimento em embalagem com 500 unidades.</t>
  </si>
  <si>
    <t>embalagem com 500 unidades = pacote 500 unidades</t>
  </si>
  <si>
    <t>Compressa gaze estéril, tecido 100% algodão, 13 fios/cm², cor branca, isenta de impurezas, 8 camadas, 7,5 cm por 7,5 fechada e 15 cm x 15 cm aberta, 5 dobras, descartável. Fornecimento em pacote com 10 unidades</t>
  </si>
  <si>
    <t>pacote com 10 unidades</t>
  </si>
  <si>
    <t>Compressa gaze não estéril, tecido 100% algodão, 13 fios/cm², cor branca, isenta de impurezas, 8 camadas, 7,5 cm por 7,5 fechada e 15 cm x 15 cm aberta, 5 dobras, descartável. Fornecimento em pacote com 500 unidades</t>
  </si>
  <si>
    <t>pacote com 500 unidades</t>
  </si>
  <si>
    <t>COMPRESSA GAZE, TECIDO 100% ALGODÃO, TIPO QUEIJO, COR BRANCA,ISENTA DE IMPUREZAS, 8 CAMADAS, 13 FIOS/CM2, 91 CM, 91 M, 4 DOBRAS, EMBALAGEM PLÁSTICA INDIVIDUAL</t>
  </si>
  <si>
    <t>rolo de 91 metros</t>
  </si>
  <si>
    <t>Curativo antimicrobiano de hydrofiber com prata e fibra de reforço tamanho 10 x 10 cm. Hidrofibras. Utilização em práticas de curativos e procedimentos de enfermagem.</t>
  </si>
  <si>
    <t>Curativo carvão ativado com prata. Cerca de 10 x 10cm. Fornecimento em caixa com 10 unidades.</t>
  </si>
  <si>
    <t>Curativo de Alginato e Prata, tamanho 10cm x 10cm, composto por espuma de poliuretano com alginato de cálcio e prata 100% ionica</t>
  </si>
  <si>
    <t>Curativo de Alginato e Prata, tamanho 10cm x 20cm, composto por espuma de poliuretano com alginato de cálcio e prata 100% ionica</t>
  </si>
  <si>
    <t>Curativo de Alginato e Prata, tamanho 15cm x 15cm, composto por espuma de poliuretano com alginato de cálcio e prata 100% ionica</t>
  </si>
  <si>
    <t>Curativo de Alginato e Prata, tamanho 20cm x 20cm, composto por espuma de poliuretano com alginato de cálcio e prata 100% ionica</t>
  </si>
  <si>
    <t xml:space="preserve">Curativo Hidrogel em gel – 25g </t>
  </si>
  <si>
    <t>Curativo para feridas e queimaduras, hidrogel 
Hidrogel transparente composto de poliuretano absorvente, revestido com uma cobertura de poliuretano com borda adesiva permeável ao oxigênio mas impermeável a líquidos e bactérias. Unidade - tamanho 10 x 10 cm</t>
  </si>
  <si>
    <t>Solução antisséptica degermante líquida à base de Clorexidina 2%.</t>
  </si>
  <si>
    <t>litro</t>
  </si>
  <si>
    <t>CTF/APP: FTE - Categoria: Indústria Química; Código: 15</t>
  </si>
  <si>
    <t>Eletrodo ECG - Adulto - Espuma de poliestireno adesivada hipoalergênica, com aplicação de gel celulose sólido, diretamente em contato com rebite metálico revestido com ABS banhado em Ag/AgCl na base e revestido em inox na parte superior , protegido por uma lâmina de PVC. Fornecimento em pacote com 50 unidades.</t>
  </si>
  <si>
    <t>Eletrodos ECG - Infantil - Espuma de poliestireno adesivada hipoalergênica, com aplicação de gel celulose sólido, diretamente em contato com rebite metálico revestido com ABS banhado em Ag/AgCl na base e revestido em inox na parte superior , protegido por uma lâmina de PVC. Fornecimento em pacote com 50 unidades.</t>
  </si>
  <si>
    <t>EMBALAGEM PARA ESTERILIZAÇÃO EM AUTOCLAVE MEDINDO 200 MM X 100 METROS. DE PAPEL GRAU CIRÚRGICO E FILME LAMINADO DE POLIÉSTER COM POLIPROPILENO TUBULAR, COM BLOQUEIO BACTERICIDA EM TORNO DE 96% COM POROSIDADE E RESISTÊNCIA CONTROLADA, COM NUMERO DE LOTE IMPRESSO EM TODA A SUA EXTENSÃO, COM INDICADORES QUÍMICOS QUE MUDAM DE COR APOS O CONTATO COM AGENTE ESTERILIZANTE, DEFINIDOS PELA NORMA TÉCNICA DA ABNT. Cotar o rolo.</t>
  </si>
  <si>
    <t>rolo = unidade</t>
  </si>
  <si>
    <t>Equipo Duas Vias; Estéril; Fabricado em PVC flexível; Possuir duas extremidades distais com conectores luer lock, duas extensões em PVC dotadas de dispositivo clamp de fechamento rápido em cores diferentes, um intermediário em "Y" unindo as extensões distais à extensão proximal(luer slip); Atóxico e Apirogênico;</t>
  </si>
  <si>
    <t>Equipo fotoprotetor com câmara de gotejamento flexível com filtro e entrada de ar, pinça rolete, corta fluxo dedicado, trecho de silicone, injetor lateral, luer lock rotativo e tampa oclusora com filtro de membrana hidrofóbica. Compatível com a bomba: ICATU S. Fornecimento em caixa com 50 unidades.</t>
  </si>
  <si>
    <t>Equipo macrogotas com pinça rolete de alta precisão; injetor lateral em “Y’’ com membrana auto cicatrizante ou valvulado com área para rápida assepsia; dispositivo de entrada de ar lateral com filtro hidrófobo de 15 micras; câmara de gotejamento com filtro de fluído no seu interior (malha de 15 micras), transparente com gotejador para 20 gotas por ml e flexível com perfurador do soro tipo lanceta; tubo extensor em PVC ou polietileno flexível, uniforme; transparente em toda sua extensão, igual ou superior a 1,20 m de comprimento. Conector luer lock. Estéril apirogênico, atóxico e embalado em papel grau cirúrgico.</t>
  </si>
  <si>
    <t>Equipo Microgotas com Bureta Fotoprotetor; Câmara gotejadora flexível; Tubo em PVC âmbar de 1,50 m, estéril, atóxico e apirogênico; Pinça rolete para dosagem de volume; Conector luer lock, Bureta graduada em 150 ml, Pinça corta fluxo tipo Clamp, Injetor lateral autocicatrizante, Entrada de ar, Filtro de partícula. Para Indicado para infusão de medicamentos fotossensíveis.</t>
  </si>
  <si>
    <t>Equipo Microgotas com Bureta; Câmara gotejadora flexível; Tubo em PVC de 1,50 m, estéril, atóxico e apirogênico; Pinça rolete para dosagem de volume; Conector luer lock, Bureta graduada em 150 ml, Pinça corta fluxo tipo Clamp, Injetor lateral autocicatrizante, Entrada de ar, Filtro de partícula</t>
  </si>
  <si>
    <t>Equipo microgotas com pinça rolete de alta precisão; injetor lateral em “Y’’ com membrana autocicatrizante ou valvulado com área para rápida assepsia; dispositivo de entrada de ar lateral com filtro hidrófobo de 15 micras; câmara de gotejamento com filtro de fluído no seu interior (malha de 15 micras), transparente cristal com gotejador para 20 gotas por ml e flexível com perfurador do soro tipo lanceta; tubo extensor em PVC ou polietileno flexível, uniforme; transparente cristal em toda sua extensão, igual ou superior a 1, 20 m de comprimento. Conector luer lock e protetores que garantam a sua esterilidade. Estéril apirogênico, atóxico e embalado em papel grau cirúrgico.</t>
  </si>
  <si>
    <t>Equipo microgotas para solução fotossensível, câmara graduada de capacidade igual ou acima de 150 ml, âmbar, com entrada de ar e filtro hidrófobo e injetor superior, graduação de 1 ml em 1 ml e destaque a cada 5 ml de boa visualização, subcâmara flexível âmbar com microgotejador para 60 mgts/ml; tubo extensor na cor âmbar, em PVC ou polietileno flexível, uniforme; igual ou superior a 1,20 m de comprimento, perfurador do soro tipo lanceta, injetor lateral em “Y’’ com área para rápida assepsia e membrana autocicatrizante ou valvulado; pinça rolete de alta precisão. Conector luer lock reversível. Estéril apirogênico, atóxico e embalado em papel grau cirúrgico.</t>
  </si>
  <si>
    <t>Equipo para transfusão sanguínea com câmara de filtro transparente e flexível de 170 a 200 micras com área de filtragem de 18 cm3
com câmara de gotejamento transparente tubo extensor contínuo sem terminações em látex ou similar, transparente, flexível, igual ou superior a 1,50 m de comprimento, perfurador especial para bolsas de sangue e derivados, conector macho com conicidade a 6% e protetores que garantam a sua esterilidade Estéril apirogênico, atóxico e embalado em papel grau cirúrgico.</t>
  </si>
  <si>
    <t>Escova cervical para coleta de material do canal endocervical, estéril. Características técnicas: Composta de haste plástica cilíndrica com 16 cm e cerdas de nylon com formato levemente cônico com 2 cm de comprimento, no total 18 cm. As cerdas são dispostas em aproximadamente 13 níveis paralelos da base ao ápice, tendo diâmetro maior, determinado pelas cerdas da base do cone, de 0,7 cm e o diâmetro menor, correspondente às cerdas do ápice do cone, de 0,5 cm. Estéril por Óxido Etileno (ETO). Embalagem Estéril: embalada em papel grau cirúrgico e filme de polietileno/polipropileno. Embalada individualmente. Fornecimento em pacote com 100 unidades.</t>
  </si>
  <si>
    <t>Escova com clorexidina a 2% e tensoativo, dupla face</t>
  </si>
  <si>
    <t xml:space="preserve">Escova de degermação cirúrgica. Escova PVPI 10%. Solução com Tensoativos Degermante 10ml. Conjunto esponja-escova com 10ml. </t>
  </si>
  <si>
    <t>Escova para limpeza de instrumentais de cabeça única. Dimensões aproximadas: 14mm x 30mm x 7mm. Comprimento aproximado: 177mm. Informações adicionais: escova de cabeça única para limpeza de instrumentais, estilo escova de dentes. Cabos anatômicos para prevenir que a escova escorregue. Cerdas médias.</t>
  </si>
  <si>
    <t>ESPARADRAPO, 100 MM, 4,50 M, IMPERMEÁVEL 1 FACE, MASSA ADESIVA ZNO, RESISTENTE, BRANCA, TECIDO DE ALGODÃO</t>
  </si>
  <si>
    <t>ESPARADRAPO, TECIDO IMPERMEÁVEL, 50 MM, 4,50 M, IMPERMEÁVEL,MASSA ADESIVA DE ZINCO, BRANCA, TECIDO DE ALGODÃO</t>
  </si>
  <si>
    <t>Espátula de Ayres. Kit Auxiliar para Papanicolaou. Descartável. Espátula de Ayres de plástico 175mm . Extremidade arredondada e outra com uma reentrância que estabelece uma boa relação anatômica e orifícios que facilitam a coleta da amostra. Fornecimento em caixa com 100 unidades.</t>
  </si>
  <si>
    <t>caixa c/ 100 und = pacote 100 unidades</t>
  </si>
  <si>
    <t>Espéculo descartável vaginal Tamanho M. Não lubrificado - Não estéril - Atóxico - Parafuso regulador borboleta - Embalado em papel cirúrgico. Fornecimento em caixa com 100 unidades</t>
  </si>
  <si>
    <t>Espéculo descartável vaginal Tamanho P. Não lubrificado - Não estéril - Atóxico - Parafuso regulador borboleta - Embalado em papel cirúrgico. Fornecimento em caixa com 100 unidades</t>
  </si>
  <si>
    <t>Esponja Hemostatica de gelatina de colágeno de origem animal, tamanho 10mmx10mm. Fornecimento em caixa com 10 unidades esterilizadas e embaladas individualmente</t>
  </si>
  <si>
    <t>caixa c/ 10 und</t>
  </si>
  <si>
    <t>Esponja Hemostática de gelatina de colágeno de origem animal, tamanho 7cm x 5cm x 0,1cm. Fornecimento em caixa com 10 unidades esterilizadas embaladas individualmente</t>
  </si>
  <si>
    <t>Esponja Hemostática de gelatina de colágeno de origem animal, tamanho 7cm x 5cm x 1cm. Fornecimento em caixa com 10 unidades esterilizadas embaladas individualmente</t>
  </si>
  <si>
    <t>Esponja Hemostática de gelatina de colágeno de origem animal, tamanho 8cm x 12,5cm x 1cm. Fornecimento em caixa com 10 unidades esterilizadas embaladas individualmente</t>
  </si>
  <si>
    <t>Esponja Hemostática Filme de gelatina de colágeno de origem animal, tamanho 200 x 70 x 0,5 mm</t>
  </si>
  <si>
    <t>Espuma proteção para pré-moldagem auricular - Espuma proteção para pré-moldagem auricular, molde shell levando espuma impressão, tipo "otoblocks". Tamanho único. Fornecimento em pacote com 50 unidades.</t>
  </si>
  <si>
    <t xml:space="preserve">Tiras para Teste de Schirmer. Estéreis e embaladas individualmente, para o diagnóstico oftalmológico. Fornecimento em embalagem com 50 unidades (tiras). </t>
  </si>
  <si>
    <t>Fita crepe hospitalar 19mm x 50m , indicado para fixação de ataduras, rótulos em sacos, seringas e mamadeiras, fechamento de pacotes de papel e plástico para acondicionamento de utensílios e materiais. - Fita com fina camada impermeabilizante; - Excelente adesividade; - Ideal para uso em hospitais, clínicas, ambulatórios, consultórios e postos de saúde. Cotar o rolo.</t>
  </si>
  <si>
    <t>Fita elástica bandagem terapêutica - kinesio 5cm x 5m - Fita adesiva de padrão ondulado em poliacrilato e substrato de algodão (96%) e elastano (4%); expansível, com película protetora e medida 5cm x 5m. Adesivo-ativado pelo calor. Cores diversas.</t>
  </si>
  <si>
    <t>Fita indicadora para autoclave: 19 mm x 30 M. Fornecimento em rolo de 30m.</t>
  </si>
  <si>
    <t>rolo de 30 metros</t>
  </si>
  <si>
    <t>FITA MICROPORE HIPOALERGÊNICA (50MMX10M(BRANCA)) Indicações: Curativos em geral; Áreas que requerem trocas frequentes de curativos; Ideal de neonatos até pacientes idosos. Composição: Rayon de viscose não tecido com adesivo acrílico hipoalergênico.</t>
  </si>
  <si>
    <t>Fita para medição de glicose - tiras para teste glicemia compatível com aparelho medidor de glicemia On Call Plus II, On Call Plus, On Call EZ II.  Fornecimento em embalagem com 50 unidades. *Cada caixinha acompanha 1 chip de codificação.</t>
  </si>
  <si>
    <t>Fita para medição de glicose capilar compatível com aparelho medidor de glicose no sangue G-Tech Free Lite. Características: Enzima GDH-FAD contida na tira que proporciona uma medição altamente precisa. Elimina interferentes como açúcares diferentes da glicose, oxigenoterapia, entre outros, que alteram o resultado de tiras que utilizam outras enzimas como GOD e GDH-PQQ. Pode utilizar sangue venoso, arterial ou capilar. Fornecimento em embalagem com 50 unidades.</t>
  </si>
  <si>
    <t>Caixa com 50 unidades = unidade</t>
  </si>
  <si>
    <t>Fixador celular 100ml. Fórmula especialmente desenvolvida para fixar e preservar o esfregaço celular em lâmina. Aplicação: Indicado para fixar lâminas.</t>
  </si>
  <si>
    <t>Fralda descartável adulto. Tamanho G. Fornecimento em pacote com 16 unidades.</t>
  </si>
  <si>
    <t>Fralda descartável recém-nascido. Laterais com ajuste cômodo e flexível. Indicador de umidade e tecnologia Algodão-Sec. Pacote com 36 unidades. Cotar o pacote.</t>
  </si>
  <si>
    <t>pacote = unidade</t>
  </si>
  <si>
    <t>Fralda geriátrica. Tamanho G. Pacote com 8 unidades. Descartável, possui camadas de distribuição e gel superabsorvente para rápida absorção do líquido, mantendo o toque seco. Tecnologia anti odor e barreiras para proporcionar mais segurança contra vazamentos laterais. Fornecimento em pacote com 8 unidades.</t>
  </si>
  <si>
    <t>Gel condutor para ultrassonografia</t>
  </si>
  <si>
    <t>galão 5L</t>
  </si>
  <si>
    <t>Gel condutor, isento de sal, pH neutro, solúvel em água.
Aplicação eletrocardiografia, bisturis elétricos, doppler e similares.</t>
  </si>
  <si>
    <t>Embalagem 100g = frasco 100g</t>
  </si>
  <si>
    <t>Hastes flexíveis descartáveis, não estéreis, com pontas de algodão hidrófilo antigermes. Fornecimento em caixa com 75 unidades</t>
  </si>
  <si>
    <t>caixa c/ 75 und</t>
  </si>
  <si>
    <t xml:space="preserve">Injetor de seringa de impressão para impressões auriculares. Cilindro transparente torna o procedimento de injeção visível e controlável. Material: PC. Embalagem: única caixa (14*5.5*3.8 cm). Ferramenta de tomada de impressão de ouvido profissional, para dispensadores de aparelhos auditivos/diyers iem (monitor de ouvido) </t>
  </si>
  <si>
    <t>LAMINA DE BARBEAR para tricotomia. Fornecimento em caixa com 5 unidades.</t>
  </si>
  <si>
    <t>caixa c/ 5 und = embalagem 5 unidades</t>
  </si>
  <si>
    <t>Lenço de papel. Caixa com 75 folhas. Cotar a caixa</t>
  </si>
  <si>
    <t>Caixa = unidade</t>
  </si>
  <si>
    <t>CTF/APP: FTE - Categoria: Indústria de Papel e Celulose; Código: 8</t>
  </si>
  <si>
    <t>Lençol Descartável Papel Hospitalar Maca. Não estéril. Uso único. Fornecimento em rolo de 70cm x 50 metros. Cor: branco. Fibras celulósicas. Produto não perecível.</t>
  </si>
  <si>
    <t>Lençol Descartável Papel Hospitalar Maca 50x50. Não estéril. Uso único. Fornecimento em rolo de 50 metros.</t>
  </si>
  <si>
    <t>Lençol Infantil Liso Branco. Lençol 100% algodão avulso. Cor Branco. Dimensões aproximadas do produto: 70cm x 1,30m x 15cm.</t>
  </si>
  <si>
    <t>Lençol Solteiro Sem Elástico Percal 180 Fios. Lençol avulso sem elástico com acabamento em bainha nos 4 lados. Dimensões aproximadas: 1,45m x 2,45m.</t>
  </si>
  <si>
    <t>Luva de palpação transretal - Tamanho médio - Caixa com 100 unidades. Material plástico resistente indicado para palpação, toque e exames. Luvas com alta sensibilidade para palpação e toque.</t>
  </si>
  <si>
    <t>caixa com 100 unidades = embalagem 100 unidades</t>
  </si>
  <si>
    <t>MANGUEIRA E BOCAL RESPIRON Referência NCS Dimensões 12X5X1 Peça de reposição para o aparelho Respiron da nsc, ampliando seu tempo de uso. Características do produto: Possui mangueira e bocal; Cor: azul; Pode ser levado com água corrente e sabão neutro; Não é descartável; Uso individual.</t>
  </si>
  <si>
    <t>Massa para pré-moldagem - molde auricular - Gel abrasivo de preparação da pele para uso quando a redução da impedância da pele melhora o resultado. -  Kit C/ 2 Potes de 800g cada. Unidade = kit</t>
  </si>
  <si>
    <t>Saco de Lixo Infectante branco 100 Litros. Material: Polietileno Alta Densidade, Cor: Branca , Capacidade: 100 L. Aplicação: Resíduos Hospitalares Infectantes E Tóxicos. Espessura: 0,04 mm. Características Adicionais: com Símbolo De Risco Biológico. Embalagem com 100 unidades. Norma Técnica 9191 ABNT.</t>
  </si>
  <si>
    <t>Embalagem com 100 unidades.</t>
  </si>
  <si>
    <t>CTF/APP: FTE - Categoria: Indústria de Produtos de Matéria Plástica; Código: 12</t>
  </si>
  <si>
    <t>Micropipetador - 3µL. Micropipetador de precisão para manipulação de gametas e embriões - volume 3µL. Manipulação de gametas e embriões com uma quantidade mínima de transferência de fluídos. Adaptável aos seguintes tamanhos de Stripper Tips: 75µm; 100µm; 125µm; 135µm; 150µm; 175µm; 200µm; 275µm; 600µm. Modelo de referência: Stripper</t>
  </si>
  <si>
    <t>Óculos para proteção profissional, plástico resistente, formato anatômico, com possibilidade de visualização num ângulo de 120 graus, lente incolor anti-embaçante, com proteção lateral, haste regulável ou não, compatível com profissionais que utilizem óculos de grau. Lavável e passível de desinfecção química. Tamanho: Adulto.</t>
  </si>
  <si>
    <t>Pallet Estrado Modular em Polipropileno, medindo 50 cm de comprimento x 50 cm de largura x 4,5 cm de altura. Cor Preta.</t>
  </si>
  <si>
    <t>Papanicolau Kit: Kit completo para a realização do exame de Papanicolau. Tamanho G. Itens inclusos: 01 Espéculo Vaginal Descartável (tamanho G). 01 Escova Cervical. 01 Espátula de Madeira Mod. Ayres. 01 Luva E.V.A. 01 Estojo Porta Lâmina de papel. 01 Lâmina de Vidro.</t>
  </si>
  <si>
    <t>Papanicolau Kit: Kit completo para a realização do exame de Papanicolau. Tamanho M. Itens inclusos: 01 Espéculo Vaginal Descartável (tamanho M). 01 Escova Cervical. 01 Espátula de Madeira Mod. Ayres. 01 Luva E.V.A. 01 Estojo Porta Lâmina de papel. 01 Lâmina de Vidro.</t>
  </si>
  <si>
    <t>Papanicolau Kit: Kit completo para a realização do exame de Papanicolau. Tamanho P. Itens inclusos: 01 Espéculo Vaginal Descartável (tamanho P). 01 Escova Cervical. 01 Espátula de Madeira Mod. Ayres. 01 Luva E.V.A. 01 Estojo Porta Lâmina de papel. 01 Lâmina de Vidro.</t>
  </si>
  <si>
    <t>Papel Grau Cirúrgico 120mm x 100metros - 12cm x 100mt rolo Papel Grau cirúrgico 60 g/m² utilizado para garantir a resistência mecânica, barreira microbiológica e o controle da porosidade para manutenção da esterilidade; · Papel Grau cirúrgico isento de furos, sem corantes, repelente a líquidos, resistente a rasgos e inodoro; · Toda embalagem primaria tem o numero de lote de fabricação. · Embalagem registrada no Ministério da Saúde. · Cores diferenciadas nos indicadores antes e após a esterilização. Cotar o rolo.</t>
  </si>
  <si>
    <t>Pasta condutora tipo abrasiva compatível com B.E.R.A . - Pasta condutora, tipo: para polissonografia. Características adicionais: Pasta condutora tipo abrasiva, de uso tópico, utilizada na realização do PEATE/BERA. Compatível com equipamento EP15 e EP25-INTERACOUSTICS. "Tipo Nuprep". Embalagem em pote ou bisnaga de no mínimo 114g.</t>
  </si>
  <si>
    <t>Bisnaga 120 Grama</t>
  </si>
  <si>
    <t>Pinça de Dissecção Anatômica: em aço inox 18cm</t>
  </si>
  <si>
    <t>Pinça de Mohr 60mm em aço. Pinça de Mohr 60mm em aço</t>
  </si>
  <si>
    <t>Pinça Dente de Rato: em aço inox 14cm</t>
  </si>
  <si>
    <t>Pinça Dente de Rato: em aço inox 25cm</t>
  </si>
  <si>
    <t>Pinça Hemostática Micromosquito Reta  18 cm</t>
  </si>
  <si>
    <t>Reservatório de silicone Jackson-Pratt 100ml</t>
  </si>
  <si>
    <t>Reservatório de silicone Jackson-Pratt 400ml</t>
  </si>
  <si>
    <t>Saco de Lixo Infectante branco 200 Litros 93 x 103 x 0,02. Constituído de Polietileno de Alta Densidade (PEAD) Virgem, oferecendo uma perfeita resistência mecânica e proporcionando a opacidade necessária à aplicação. Solda de fundo tipo estrela, contínua, homogênea e uniforme, vedando completamente e não permitindo a perda do conteúdo durante o manuseio, conforme Norma Técnica 9191 ABNT. Fornecimento em pacote com 100 unidades</t>
  </si>
  <si>
    <t>pacote com 100 unidades</t>
  </si>
  <si>
    <t>Saco de lixo infectante branco 30 litros. Constituído de Polietileno de Alta Densidade (PEAD) Virgem, oferecendo uma perfeita resistência mecânica e proporcionando a opacidade necessária à aplicação. Solda de fundo tipo estrela, contínua, homogênea e uniforme, vedando completamente e não permitindo a perda do conteúdo durante o manuseio, conforme Norma Técnica 9191 ABNT. Fornecimento em pacote com 100 unidades</t>
  </si>
  <si>
    <t xml:space="preserve">Saco de lixo infectante branco 50 litros. Constituído de Polietileno de Alta Densidade (PEAD) Virgem, oferecendo uma perfeita resistência mecânica e proporcionando a opacidade necessária à aplicação. Solda de fundo tipo estrela, contínua, homogênea e uniforme, vedando completamente e não permitindo a perda do conteúdo durante o manuseio, conforme Norma Técnica 9191 ABNT. Fornecimento em pacote com 100 unidades </t>
  </si>
  <si>
    <t xml:space="preserve">Saco para autoclave tamanho 100 Litros, MEDIDAS 75x105cm, Pacote 20 unidades. Indicados para a prévia “inativação” desinfecção dos resíduos dos laboratórios, através da autoclavação, em temperatura de 121ºC por 15 minutos, para posterior descarte; Em PEAD (Polietileno de alta densidade),leitoso; Fabricados:com solda somente no fundo do saco para maior segurança na utilização do produto; SANFONADO para maior conforto e praticidade; Espessura 0,08 micras; Confeccionado: Utilizando como matéria prima polietileno de alta densidade transparente; Material de uso único, não deve ser reprocessado; Uso exclusivo para autoclavação. Fornecimento em pacote com 20 unidades </t>
  </si>
  <si>
    <t>Sangue artificial para simulação nos braços de punção venosa. Frasco de 1 Litro.</t>
  </si>
  <si>
    <t>Solução limpadora para limpeza e hidratação de feridas - solução aquosa com polihexanida 0,1% (PHMB) - embalagem com 100 mL</t>
  </si>
  <si>
    <t>Frasco 100 ml</t>
  </si>
  <si>
    <t>SORO FISIOLÓGICO: à 0,9%, solução estéril, injetável. Fornecimento em frasco de 250ml</t>
  </si>
  <si>
    <t>frasco de 250ml</t>
  </si>
  <si>
    <t>SORO FISIOLÓGICO: Cloreto de sódio 0,9%, solução estéril, injetável, ampola 10 ml</t>
  </si>
  <si>
    <t>Ampola 10ml</t>
  </si>
  <si>
    <t xml:space="preserve">SORO FISIOLÓGICO: Cloreto de sódio 0,9%, solução estéril, injetável, frasco 100 ml </t>
  </si>
  <si>
    <t>Frasco 100ml</t>
  </si>
  <si>
    <t xml:space="preserve">SORO FISIOLÓGICO: Cloreto de sódio 0,9%, solução estéril, injetável, frasco 500 ml </t>
  </si>
  <si>
    <t>Frasco de 500ml</t>
  </si>
  <si>
    <t>SORO FISIOLÓGICO: Cloreto de sódio 20%, solução estéril, injetável, ampola 10 ml</t>
  </si>
  <si>
    <t>ampola 10mL</t>
  </si>
  <si>
    <t>SORO GLICOSADO: à 5%, solução de Cloreto de Sódio + Glicose monoidratada, para uso injetável. Fornecimento em bolsa de 500ml</t>
  </si>
  <si>
    <t>bolsa de 500ml</t>
  </si>
  <si>
    <t>SORO RINGER LACTATO: Composto Lactato de Sódio (0,3g/100mL) + Cloreto de Sódio (0,6g/100mL) + Cloreto de Potássio (0,03g/100mL) + Cloreto de Cálcio diidratado (0,02g/100mL)</t>
  </si>
  <si>
    <t>bolsa 500 mL</t>
  </si>
  <si>
    <t>SORO RINGER Simples. Fornecimento em bolsa de 500 ml</t>
  </si>
  <si>
    <t>Espéculo Auricular para Otoscópio (Descartável). Superfícies lisas, sem farpas ou irregularidades. Diâmetro da base: 26mm Diâmetro da ponta: 6,7mm Altura: 36 mm. Fornecimento em caixa com 250 unidades.</t>
  </si>
  <si>
    <t>Swab para transporte em meio de Stuart, estéril, descartável, embalado individualmente. Fornecimento em embalagem com 100 unidades.</t>
  </si>
  <si>
    <t>Swab, haste plástica, ponta em algodão hidrófilo, embalagem individual em tubo plástico, estéril, descartável. Fornecimento em pacote com 100 unidades.</t>
  </si>
  <si>
    <t>Esparadrapo, 25 mm x 4,5 m . Tecido impermeável, massa de zinco branca, tecido de algodão.</t>
  </si>
  <si>
    <t>TERMÔMETRO CLÍNICO: Digital, 10 Segundos</t>
  </si>
  <si>
    <t>Torneira descartável de três vias confeccionada em PVC, transparente, conectores luer lock universais com tampa e orientador de fluxo direcionado, estéril, descartável.</t>
  </si>
  <si>
    <t>Travesseiro hospitalar na cor azul, 70 cm X 50 cm, capa de tecido impermeável, fechamento com ziper. Utilização nas aulas práticas de assistência à pacientes internados, mobilidade, conforto e preparo do leito hospitalar.</t>
  </si>
  <si>
    <t>Tubo Capilar Para Microhematócrito Sem Heparina. Transparente Comprimento: 75 mm Diâmetro interno: 1,10 mm Diâmetro externo: 1,50 mm. Fornecimento em frasco com 500 unidades.</t>
  </si>
  <si>
    <t>TUBO COLETA DE SANGUE VERMELHO ATIVADOR DE COÁGULO 10ML Tubo confeccionado em plástico. Tubo siliconizado a vácuo. Capacidade: 10ml. Aditivo: Seco + ativador de coágulo (tampa vermelha). Exames comuns: exames sorológicos, bioquímicos em geral, drogas terapêuticas e hormônios.</t>
  </si>
  <si>
    <t>Tubo para coleta a vácuo, tampa cinza (fluoreto de sódio), capacidade 4 mL. Fornecimento em embalagem com 100 unidades.</t>
  </si>
  <si>
    <t>Tubo para coleta à Vácuo: Tampa Amarela (Gel) - 5ml Material polipropileno. Fornecimento em embalagem com 100 unidades.</t>
  </si>
  <si>
    <t>Tubo Para Coleta à Vácuo: Tampa Amarela (Gel) - 8,5ml Material polipropileno. Fornecimento em embalagem com 100 unidades.</t>
  </si>
  <si>
    <t>Tubo Para Coleta à Vácuo: Tampa Azul (Citrato de Sódio) - 0,5. ml Material polipropileno. Fornecimento em embalagem com 100 unidades.</t>
  </si>
  <si>
    <t>Tubo Para Coleta à Vácuo: Tampa Azul (Citrato de Sódio) - 3,0mL ou 3,5mL. Material polipropileno. Fornecimento em embalagem com 100 unidades.</t>
  </si>
  <si>
    <t xml:space="preserve">Tubo Para Coleta à Vácuo: Tampa Roxa (EDTA) - 0,5ml - Material polipropileno. Fornecimento em rack com 50 unidades. </t>
  </si>
  <si>
    <t xml:space="preserve">Tubo Para Coleta à Vácuo: Tampa Roxa (EDTA) - 2ml - Material polipropileno </t>
  </si>
  <si>
    <t>Tubo Para Coleta à Vácuo: Tampa Roxa (EDTA) - 4ml - Material polipropileno. Fornecimento em embalagem com 100 unidades.</t>
  </si>
  <si>
    <t>Tubo Para Coleta à Vácuo: Tampa Vermelha (Seco) - 4ml - Material polipropileno. Fornecimento em embalagem com 100 unidades.</t>
  </si>
  <si>
    <t>Tubo Para Coleta de sangue: Tampa cinza (fluoreto de sódio). Volume: 0,5 ml, com demarcação de limite. Para dosagem de Glicose. Material polipropileno. Fornecimento em embalagem com 50 unidades.</t>
  </si>
  <si>
    <t>Tubo Para Coleta de sangue: Tampa Verde (Heparina de lítio). Volume: 0,5 mL. Fornecimento em embalagem com 50 unidades.</t>
  </si>
  <si>
    <t xml:space="preserve">Tubos para ressonância - Produto Polímero, tubo de ressonância em 100% de Silicone. Não Atóxico - Inodoro - Inspído - Antifúngico. Dimensões 13,00 X 09,00 X 350,00 mm </t>
  </si>
  <si>
    <t>Válvula de aspiração. Aspirador Rede Vacuômetro com frasco de vidro 500 ml.</t>
  </si>
  <si>
    <t>Und.</t>
  </si>
  <si>
    <t>Valor Unitário
Estimado (Faixa)</t>
  </si>
  <si>
    <t>Diferença Mínima
 de Valores / 
Percentuais de 
Lances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</si>
  <si>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</si>
  <si>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</si>
  <si>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</si>
  <si>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</si>
  <si>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</si>
  <si>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</si>
  <si>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0,10%</t>
  </si>
  <si>
    <t>Acima de R$ 100,00 =&gt; 0,10%</t>
  </si>
  <si>
    <t>MARGEM DE PREFERÊNCIA</t>
  </si>
  <si>
    <t>Margem de preferência normal: 5%
Margem de preferência adicional: 10%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</si>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</sst>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R$&quot;\ * #,##0.00_-;\-&quot;R$&quot;\ * #,##0.00_-;_-&quot;R$&quot;\ * &quot;-&quot;??_-;_-@"/>
    <numFmt numFmtId="165" formatCode="_-[$R$-416]\ * #,##0.00_-;\-[$R$-416]\ * #,##0.00_-;_-[$R$-416]\ * &quot;-&quot;??_-;_-@"/>
  </numFmts>
  <fonts count="9" x14ac:knownFonts="1">
    <font>
      <sz val="11"/>
      <color theme="1"/>
      <name val="Calibri"/>
      <scheme val="minor"/>
    </font>
    <font>
      <b/>
      <sz val="10"/>
      <color theme="1"/>
      <name val="Calibri"/>
    </font>
    <font>
      <sz val="10"/>
      <color theme="1"/>
      <name val="Calibri"/>
    </font>
    <font>
      <b/>
      <sz val="8"/>
      <color theme="1"/>
      <name val="Calibri"/>
    </font>
    <font>
      <b/>
      <sz val="8"/>
      <color rgb="FF000000"/>
      <name val="Calibri"/>
    </font>
    <font>
      <sz val="8"/>
      <color theme="1"/>
      <name val="Calibri"/>
    </font>
    <font>
      <sz val="8"/>
      <color rgb="FFFF0000"/>
      <name val="Calibri"/>
    </font>
    <font>
      <b/>
      <sz val="11"/>
      <color theme="1"/>
      <name val="Calibri"/>
    </font>
    <font>
      <sz val="11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95B3D7"/>
        <bgColor rgb="FF95B3D7"/>
      </patternFill>
    </fill>
    <fill>
      <patternFill patternType="solid">
        <fgColor rgb="FFC2D69B"/>
        <bgColor rgb="FFC2D69B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wrapText="1"/>
    </xf>
    <xf numFmtId="164" fontId="5" fillId="3" borderId="1" xfId="0" applyNumberFormat="1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5" fillId="3" borderId="1" xfId="0" applyNumberFormat="1" applyFont="1" applyFill="1" applyBorder="1" applyAlignment="1">
      <alignment horizontal="center" vertical="center"/>
    </xf>
    <xf numFmtId="0" fontId="5" fillId="3" borderId="2" xfId="0" applyFont="1" applyFill="1" applyBorder="1"/>
    <xf numFmtId="0" fontId="6" fillId="3" borderId="2" xfId="0" applyFont="1" applyFill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164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center" vertical="center"/>
    </xf>
    <xf numFmtId="0" fontId="5" fillId="0" borderId="0" xfId="0" applyFont="1"/>
    <xf numFmtId="0" fontId="6" fillId="0" borderId="0" xfId="0" applyFont="1"/>
    <xf numFmtId="0" fontId="4" fillId="2" borderId="2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right" vertical="center"/>
    </xf>
    <xf numFmtId="0" fontId="1" fillId="0" borderId="0" xfId="0" applyFont="1" applyAlignment="1">
      <alignment horizontal="center" wrapText="1"/>
    </xf>
    <xf numFmtId="0" fontId="0" fillId="0" borderId="0" xfId="0" applyFont="1" applyAlignment="1"/>
    <xf numFmtId="164" fontId="5" fillId="3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361"/>
  <sheetViews>
    <sheetView tabSelected="1" view="pageLayout" zoomScaleNormal="100" workbookViewId="0">
      <selection activeCell="L6" sqref="L6"/>
    </sheetView>
  </sheetViews>
  <sheetFormatPr defaultColWidth="14.42578125" defaultRowHeight="15" x14ac:dyDescent="0.25"/>
  <cols>
    <col min="1" max="1" width="7.28515625" customWidth="1"/>
    <col min="2" max="2" width="49.5703125" customWidth="1"/>
    <col min="3" max="3" width="14.28515625" customWidth="1"/>
    <col min="4" max="4" width="9" customWidth="1"/>
    <col min="5" max="5" width="19.28515625" customWidth="1"/>
    <col min="6" max="6" width="12.7109375" customWidth="1"/>
    <col min="7" max="9" width="9.28515625" customWidth="1"/>
    <col min="10" max="10" width="12.140625" customWidth="1"/>
    <col min="11" max="11" width="8.140625" customWidth="1"/>
    <col min="12" max="12" width="21.85546875" customWidth="1"/>
    <col min="13" max="13" width="7.140625" customWidth="1"/>
    <col min="14" max="14" width="8" customWidth="1"/>
    <col min="15" max="29" width="9.140625" customWidth="1"/>
  </cols>
  <sheetData>
    <row r="1" spans="1:29" x14ac:dyDescent="0.25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x14ac:dyDescent="0.25">
      <c r="A2" s="33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A3" s="33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x14ac:dyDescent="0.25">
      <c r="A4" s="2"/>
      <c r="B4" s="2"/>
      <c r="C4" s="2"/>
      <c r="D4" s="2"/>
      <c r="E4" s="3"/>
      <c r="F4" s="4"/>
      <c r="G4" s="4"/>
      <c r="H4" s="4"/>
      <c r="I4" s="4"/>
      <c r="J4" s="4"/>
      <c r="K4" s="4"/>
      <c r="L4" s="4"/>
      <c r="M4" s="5"/>
      <c r="N4" s="4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33.75" x14ac:dyDescent="0.25">
      <c r="A5" s="6" t="s">
        <v>3</v>
      </c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8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8" t="s">
        <v>233</v>
      </c>
      <c r="M5" s="7" t="s">
        <v>14</v>
      </c>
      <c r="N5" s="7" t="s">
        <v>15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33.75" x14ac:dyDescent="0.25">
      <c r="A6" s="9">
        <v>1</v>
      </c>
      <c r="B6" s="10" t="s">
        <v>16</v>
      </c>
      <c r="C6" s="11" t="s">
        <v>17</v>
      </c>
      <c r="D6" s="12">
        <v>276839</v>
      </c>
      <c r="E6" s="10" t="s">
        <v>18</v>
      </c>
      <c r="F6" s="10">
        <v>3000</v>
      </c>
      <c r="G6" s="10">
        <v>100</v>
      </c>
      <c r="H6" s="10">
        <f t="shared" ref="H6:H160" si="0">SUM(F6:G6)</f>
        <v>3100</v>
      </c>
      <c r="I6" s="13">
        <v>0.79</v>
      </c>
      <c r="J6" s="13">
        <f t="shared" ref="J6:J160" si="1">H6*ROUND(I6,2)</f>
        <v>2449</v>
      </c>
      <c r="K6" s="13" t="s">
        <v>19</v>
      </c>
      <c r="L6" s="35" t="s">
        <v>235</v>
      </c>
      <c r="M6" s="14" t="s">
        <v>20</v>
      </c>
      <c r="N6" s="15">
        <f>VLOOKUP(I6,Intervalos!$B$3:$C$8,2,TRUE)</f>
        <v>0.01</v>
      </c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</row>
    <row r="7" spans="1:29" ht="22.5" x14ac:dyDescent="0.25">
      <c r="A7" s="9">
        <v>2</v>
      </c>
      <c r="B7" s="10" t="s">
        <v>21</v>
      </c>
      <c r="C7" s="11" t="s">
        <v>22</v>
      </c>
      <c r="D7" s="12">
        <v>408808</v>
      </c>
      <c r="E7" s="10" t="s">
        <v>23</v>
      </c>
      <c r="F7" s="10">
        <v>5</v>
      </c>
      <c r="G7" s="10">
        <v>0</v>
      </c>
      <c r="H7" s="10">
        <f t="shared" si="0"/>
        <v>5</v>
      </c>
      <c r="I7" s="13">
        <v>48.93</v>
      </c>
      <c r="J7" s="13">
        <f t="shared" si="1"/>
        <v>244.65</v>
      </c>
      <c r="K7" s="13" t="s">
        <v>19</v>
      </c>
      <c r="L7" s="35" t="s">
        <v>235</v>
      </c>
      <c r="M7" s="14" t="s">
        <v>20</v>
      </c>
      <c r="N7" s="15">
        <f>VLOOKUP(I7,Intervalos!$B$3:$C$8,2,TRUE)</f>
        <v>0.05</v>
      </c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ht="22.5" x14ac:dyDescent="0.25">
      <c r="A8" s="9">
        <v>3</v>
      </c>
      <c r="B8" s="10" t="s">
        <v>24</v>
      </c>
      <c r="C8" s="11" t="s">
        <v>22</v>
      </c>
      <c r="D8" s="12">
        <v>408809</v>
      </c>
      <c r="E8" s="10" t="s">
        <v>23</v>
      </c>
      <c r="F8" s="10">
        <v>20</v>
      </c>
      <c r="G8" s="10">
        <v>0</v>
      </c>
      <c r="H8" s="10">
        <f t="shared" si="0"/>
        <v>20</v>
      </c>
      <c r="I8" s="13">
        <v>11.1</v>
      </c>
      <c r="J8" s="13">
        <f t="shared" si="1"/>
        <v>222</v>
      </c>
      <c r="K8" s="13" t="s">
        <v>19</v>
      </c>
      <c r="L8" s="35" t="s">
        <v>235</v>
      </c>
      <c r="M8" s="14" t="s">
        <v>20</v>
      </c>
      <c r="N8" s="15">
        <f>VLOOKUP(I8,Intervalos!$B$3:$C$8,2,TRUE)</f>
        <v>0.03</v>
      </c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</row>
    <row r="9" spans="1:29" ht="22.5" x14ac:dyDescent="0.25">
      <c r="A9" s="9">
        <v>4</v>
      </c>
      <c r="B9" s="10" t="s">
        <v>25</v>
      </c>
      <c r="C9" s="11" t="s">
        <v>22</v>
      </c>
      <c r="D9" s="12">
        <v>408811</v>
      </c>
      <c r="E9" s="10" t="s">
        <v>23</v>
      </c>
      <c r="F9" s="10">
        <v>7</v>
      </c>
      <c r="G9" s="10">
        <v>0</v>
      </c>
      <c r="H9" s="10">
        <f t="shared" si="0"/>
        <v>7</v>
      </c>
      <c r="I9" s="13">
        <v>131.19999999999999</v>
      </c>
      <c r="J9" s="13">
        <f t="shared" si="1"/>
        <v>918.39999999999986</v>
      </c>
      <c r="K9" s="13" t="s">
        <v>19</v>
      </c>
      <c r="L9" s="35" t="s">
        <v>235</v>
      </c>
      <c r="M9" s="14" t="s">
        <v>20</v>
      </c>
      <c r="N9" s="15" t="str">
        <f>VLOOKUP(I9,Intervalos!$B$3:$C$8,2,TRUE)</f>
        <v>0,10%</v>
      </c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</row>
    <row r="10" spans="1:29" ht="67.5" x14ac:dyDescent="0.25">
      <c r="A10" s="9">
        <v>5</v>
      </c>
      <c r="B10" s="10" t="s">
        <v>26</v>
      </c>
      <c r="C10" s="11" t="s">
        <v>27</v>
      </c>
      <c r="D10" s="12">
        <v>440573</v>
      </c>
      <c r="E10" s="10" t="s">
        <v>28</v>
      </c>
      <c r="F10" s="10">
        <v>3</v>
      </c>
      <c r="G10" s="10">
        <v>0</v>
      </c>
      <c r="H10" s="10">
        <f t="shared" si="0"/>
        <v>3</v>
      </c>
      <c r="I10" s="13">
        <v>42.51</v>
      </c>
      <c r="J10" s="13">
        <f t="shared" si="1"/>
        <v>127.53</v>
      </c>
      <c r="K10" s="13" t="s">
        <v>19</v>
      </c>
      <c r="L10" s="13" t="s">
        <v>234</v>
      </c>
      <c r="M10" s="14" t="s">
        <v>20</v>
      </c>
      <c r="N10" s="15">
        <f>VLOOKUP(I10,Intervalos!$B$3:$C$8,2,TRUE)</f>
        <v>0.05</v>
      </c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</row>
    <row r="11" spans="1:29" ht="45" x14ac:dyDescent="0.25">
      <c r="A11" s="9">
        <v>6</v>
      </c>
      <c r="B11" s="10" t="s">
        <v>29</v>
      </c>
      <c r="C11" s="11" t="s">
        <v>30</v>
      </c>
      <c r="D11" s="12">
        <v>392369</v>
      </c>
      <c r="E11" s="10" t="s">
        <v>28</v>
      </c>
      <c r="F11" s="10">
        <f>53*100</f>
        <v>5300</v>
      </c>
      <c r="G11" s="10">
        <v>5</v>
      </c>
      <c r="H11" s="10">
        <f t="shared" si="0"/>
        <v>5305</v>
      </c>
      <c r="I11" s="13">
        <f>7.29/100</f>
        <v>7.2900000000000006E-2</v>
      </c>
      <c r="J11" s="13">
        <f t="shared" si="1"/>
        <v>371.35</v>
      </c>
      <c r="K11" s="13" t="s">
        <v>19</v>
      </c>
      <c r="L11" s="35" t="s">
        <v>235</v>
      </c>
      <c r="M11" s="14" t="s">
        <v>20</v>
      </c>
      <c r="N11" s="15">
        <f>VLOOKUP(I11,Intervalos!$B$3:$C$8,2,TRUE)</f>
        <v>0.01</v>
      </c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</row>
    <row r="12" spans="1:29" ht="56.25" x14ac:dyDescent="0.25">
      <c r="A12" s="9">
        <v>7</v>
      </c>
      <c r="B12" s="10" t="s">
        <v>31</v>
      </c>
      <c r="C12" s="11" t="s">
        <v>32</v>
      </c>
      <c r="D12" s="12">
        <v>448246</v>
      </c>
      <c r="E12" s="10" t="s">
        <v>18</v>
      </c>
      <c r="F12" s="10">
        <f>175*12</f>
        <v>2100</v>
      </c>
      <c r="G12" s="10">
        <v>0</v>
      </c>
      <c r="H12" s="10">
        <f t="shared" si="0"/>
        <v>2100</v>
      </c>
      <c r="I12" s="13">
        <f>13.49/12</f>
        <v>1.1241666666666668</v>
      </c>
      <c r="J12" s="13">
        <f t="shared" si="1"/>
        <v>2352</v>
      </c>
      <c r="K12" s="13" t="s">
        <v>19</v>
      </c>
      <c r="L12" s="35" t="s">
        <v>235</v>
      </c>
      <c r="M12" s="14" t="s">
        <v>20</v>
      </c>
      <c r="N12" s="15">
        <f>VLOOKUP(I12,Intervalos!$B$3:$C$8,2,TRUE)</f>
        <v>0.01</v>
      </c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</row>
    <row r="13" spans="1:29" ht="22.5" x14ac:dyDescent="0.25">
      <c r="A13" s="9">
        <v>8</v>
      </c>
      <c r="B13" s="10" t="s">
        <v>33</v>
      </c>
      <c r="C13" s="11" t="s">
        <v>34</v>
      </c>
      <c r="D13" s="12">
        <v>279727</v>
      </c>
      <c r="E13" s="10" t="s">
        <v>18</v>
      </c>
      <c r="F13" s="10">
        <v>265</v>
      </c>
      <c r="G13" s="10">
        <v>100</v>
      </c>
      <c r="H13" s="10">
        <f t="shared" si="0"/>
        <v>365</v>
      </c>
      <c r="I13" s="13">
        <v>6</v>
      </c>
      <c r="J13" s="13">
        <f t="shared" si="1"/>
        <v>2190</v>
      </c>
      <c r="K13" s="13" t="s">
        <v>19</v>
      </c>
      <c r="L13" s="35" t="s">
        <v>235</v>
      </c>
      <c r="M13" s="14" t="s">
        <v>20</v>
      </c>
      <c r="N13" s="15">
        <f>VLOOKUP(I13,Intervalos!$B$3:$C$8,2,TRUE)</f>
        <v>0.02</v>
      </c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</row>
    <row r="14" spans="1:29" ht="33.75" x14ac:dyDescent="0.25">
      <c r="A14" s="9">
        <v>9</v>
      </c>
      <c r="B14" s="10" t="s">
        <v>35</v>
      </c>
      <c r="C14" s="11" t="s">
        <v>36</v>
      </c>
      <c r="D14" s="12">
        <v>279726</v>
      </c>
      <c r="E14" s="10" t="s">
        <v>18</v>
      </c>
      <c r="F14" s="10">
        <v>505</v>
      </c>
      <c r="G14" s="10">
        <v>25</v>
      </c>
      <c r="H14" s="10">
        <f t="shared" si="0"/>
        <v>530</v>
      </c>
      <c r="I14" s="13">
        <v>29.9</v>
      </c>
      <c r="J14" s="13">
        <f t="shared" si="1"/>
        <v>15847</v>
      </c>
      <c r="K14" s="13" t="s">
        <v>19</v>
      </c>
      <c r="L14" s="35" t="s">
        <v>235</v>
      </c>
      <c r="M14" s="14" t="s">
        <v>20</v>
      </c>
      <c r="N14" s="15">
        <f>VLOOKUP(I14,Intervalos!$B$3:$C$8,2,TRUE)</f>
        <v>0.05</v>
      </c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</row>
    <row r="15" spans="1:29" ht="22.5" x14ac:dyDescent="0.25">
      <c r="A15" s="9">
        <v>10</v>
      </c>
      <c r="B15" s="10" t="s">
        <v>37</v>
      </c>
      <c r="C15" s="11" t="s">
        <v>38</v>
      </c>
      <c r="D15" s="12">
        <v>269941</v>
      </c>
      <c r="E15" s="10" t="s">
        <v>23</v>
      </c>
      <c r="F15" s="10">
        <v>75</v>
      </c>
      <c r="G15" s="10">
        <v>10</v>
      </c>
      <c r="H15" s="10">
        <f t="shared" si="0"/>
        <v>85</v>
      </c>
      <c r="I15" s="13">
        <v>3.69</v>
      </c>
      <c r="J15" s="13">
        <f t="shared" si="1"/>
        <v>313.64999999999998</v>
      </c>
      <c r="K15" s="13" t="s">
        <v>19</v>
      </c>
      <c r="L15" s="35" t="s">
        <v>235</v>
      </c>
      <c r="M15" s="14" t="s">
        <v>20</v>
      </c>
      <c r="N15" s="15">
        <f>VLOOKUP(I15,Intervalos!$B$3:$C$8,2,TRUE)</f>
        <v>0.01</v>
      </c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</row>
    <row r="16" spans="1:29" ht="45" x14ac:dyDescent="0.25">
      <c r="A16" s="9">
        <v>11</v>
      </c>
      <c r="B16" s="10" t="s">
        <v>39</v>
      </c>
      <c r="C16" s="11" t="s">
        <v>40</v>
      </c>
      <c r="D16" s="12">
        <v>398705</v>
      </c>
      <c r="E16" s="10" t="s">
        <v>28</v>
      </c>
      <c r="F16" s="10">
        <v>28</v>
      </c>
      <c r="G16" s="10">
        <v>5</v>
      </c>
      <c r="H16" s="10">
        <f t="shared" si="0"/>
        <v>33</v>
      </c>
      <c r="I16" s="13">
        <v>103.9</v>
      </c>
      <c r="J16" s="13">
        <f t="shared" si="1"/>
        <v>3428.7000000000003</v>
      </c>
      <c r="K16" s="13" t="s">
        <v>19</v>
      </c>
      <c r="L16" s="13" t="s">
        <v>234</v>
      </c>
      <c r="M16" s="14" t="s">
        <v>20</v>
      </c>
      <c r="N16" s="15" t="str">
        <f>VLOOKUP(I16,Intervalos!$B$3:$C$8,2,TRUE)</f>
        <v>0,10%</v>
      </c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</row>
    <row r="17" spans="1:29" ht="45" x14ac:dyDescent="0.25">
      <c r="A17" s="9">
        <v>12</v>
      </c>
      <c r="B17" s="10" t="s">
        <v>41</v>
      </c>
      <c r="C17" s="11" t="s">
        <v>40</v>
      </c>
      <c r="D17" s="12">
        <v>398706</v>
      </c>
      <c r="E17" s="10" t="s">
        <v>28</v>
      </c>
      <c r="F17" s="10">
        <v>28</v>
      </c>
      <c r="G17" s="10">
        <v>5</v>
      </c>
      <c r="H17" s="10">
        <f t="shared" si="0"/>
        <v>33</v>
      </c>
      <c r="I17" s="13">
        <v>98.9</v>
      </c>
      <c r="J17" s="13">
        <f t="shared" si="1"/>
        <v>3263.7000000000003</v>
      </c>
      <c r="K17" s="13" t="s">
        <v>19</v>
      </c>
      <c r="L17" s="13" t="s">
        <v>234</v>
      </c>
      <c r="M17" s="14" t="s">
        <v>20</v>
      </c>
      <c r="N17" s="15">
        <f>VLOOKUP(I17,Intervalos!$B$3:$C$8,2,TRUE)</f>
        <v>0.1</v>
      </c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</row>
    <row r="18" spans="1:29" ht="22.5" x14ac:dyDescent="0.25">
      <c r="A18" s="9">
        <v>13</v>
      </c>
      <c r="B18" s="10" t="s">
        <v>42</v>
      </c>
      <c r="C18" s="11" t="s">
        <v>43</v>
      </c>
      <c r="D18" s="12">
        <v>444355</v>
      </c>
      <c r="E18" s="10" t="s">
        <v>18</v>
      </c>
      <c r="F18" s="10">
        <v>763</v>
      </c>
      <c r="G18" s="10">
        <v>100</v>
      </c>
      <c r="H18" s="10">
        <f t="shared" si="0"/>
        <v>863</v>
      </c>
      <c r="I18" s="13">
        <v>1.8</v>
      </c>
      <c r="J18" s="13">
        <f t="shared" si="1"/>
        <v>1553.4</v>
      </c>
      <c r="K18" s="13" t="s">
        <v>19</v>
      </c>
      <c r="L18" s="35" t="s">
        <v>235</v>
      </c>
      <c r="M18" s="14" t="s">
        <v>20</v>
      </c>
      <c r="N18" s="15">
        <f>VLOOKUP(I18,Intervalos!$B$3:$C$8,2,TRUE)</f>
        <v>0.01</v>
      </c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</row>
    <row r="19" spans="1:29" ht="22.5" x14ac:dyDescent="0.25">
      <c r="A19" s="9">
        <v>14</v>
      </c>
      <c r="B19" s="10" t="s">
        <v>44</v>
      </c>
      <c r="C19" s="11" t="s">
        <v>43</v>
      </c>
      <c r="D19" s="12">
        <v>444365</v>
      </c>
      <c r="E19" s="10" t="s">
        <v>18</v>
      </c>
      <c r="F19" s="10">
        <v>700</v>
      </c>
      <c r="G19" s="10">
        <v>100</v>
      </c>
      <c r="H19" s="10">
        <f t="shared" si="0"/>
        <v>800</v>
      </c>
      <c r="I19" s="13">
        <v>1.9</v>
      </c>
      <c r="J19" s="13">
        <f t="shared" si="1"/>
        <v>1520</v>
      </c>
      <c r="K19" s="13" t="s">
        <v>19</v>
      </c>
      <c r="L19" s="35" t="s">
        <v>235</v>
      </c>
      <c r="M19" s="14" t="s">
        <v>20</v>
      </c>
      <c r="N19" s="15">
        <f>VLOOKUP(I19,Intervalos!$B$3:$C$8,2,TRUE)</f>
        <v>0.01</v>
      </c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</row>
    <row r="20" spans="1:29" ht="22.5" x14ac:dyDescent="0.25">
      <c r="A20" s="9">
        <v>15</v>
      </c>
      <c r="B20" s="10" t="s">
        <v>45</v>
      </c>
      <c r="C20" s="11" t="s">
        <v>43</v>
      </c>
      <c r="D20" s="12">
        <v>444371</v>
      </c>
      <c r="E20" s="10" t="s">
        <v>18</v>
      </c>
      <c r="F20" s="10">
        <v>325</v>
      </c>
      <c r="G20" s="10">
        <v>50</v>
      </c>
      <c r="H20" s="10">
        <f t="shared" si="0"/>
        <v>375</v>
      </c>
      <c r="I20" s="13">
        <v>3</v>
      </c>
      <c r="J20" s="13">
        <f t="shared" si="1"/>
        <v>1125</v>
      </c>
      <c r="K20" s="13" t="s">
        <v>19</v>
      </c>
      <c r="L20" s="35" t="s">
        <v>235</v>
      </c>
      <c r="M20" s="14" t="s">
        <v>20</v>
      </c>
      <c r="N20" s="15">
        <f>VLOOKUP(I20,Intervalos!$B$3:$C$8,2,TRUE)</f>
        <v>0.01</v>
      </c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</row>
    <row r="21" spans="1:29" ht="22.5" x14ac:dyDescent="0.25">
      <c r="A21" s="9">
        <v>16</v>
      </c>
      <c r="B21" s="10" t="s">
        <v>46</v>
      </c>
      <c r="C21" s="11" t="s">
        <v>43</v>
      </c>
      <c r="D21" s="12">
        <v>444375</v>
      </c>
      <c r="E21" s="10" t="s">
        <v>18</v>
      </c>
      <c r="F21" s="10">
        <v>325</v>
      </c>
      <c r="G21" s="10">
        <v>50</v>
      </c>
      <c r="H21" s="10">
        <f t="shared" si="0"/>
        <v>375</v>
      </c>
      <c r="I21" s="13">
        <v>4.8</v>
      </c>
      <c r="J21" s="13">
        <f t="shared" si="1"/>
        <v>1800</v>
      </c>
      <c r="K21" s="13" t="s">
        <v>19</v>
      </c>
      <c r="L21" s="35" t="s">
        <v>235</v>
      </c>
      <c r="M21" s="14" t="s">
        <v>20</v>
      </c>
      <c r="N21" s="15">
        <f>VLOOKUP(I21,Intervalos!$B$3:$C$8,2,TRUE)</f>
        <v>0.01</v>
      </c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</row>
    <row r="22" spans="1:29" ht="33.75" x14ac:dyDescent="0.25">
      <c r="A22" s="9">
        <v>17</v>
      </c>
      <c r="B22" s="10" t="s">
        <v>47</v>
      </c>
      <c r="C22" s="11" t="s">
        <v>48</v>
      </c>
      <c r="D22" s="12">
        <v>477511</v>
      </c>
      <c r="E22" s="10" t="s">
        <v>18</v>
      </c>
      <c r="F22" s="10">
        <v>13</v>
      </c>
      <c r="G22" s="10">
        <v>13</v>
      </c>
      <c r="H22" s="10">
        <f t="shared" si="0"/>
        <v>26</v>
      </c>
      <c r="I22" s="13">
        <v>33.799999999999997</v>
      </c>
      <c r="J22" s="13">
        <f t="shared" si="1"/>
        <v>878.8</v>
      </c>
      <c r="K22" s="13" t="s">
        <v>19</v>
      </c>
      <c r="L22" s="35" t="s">
        <v>235</v>
      </c>
      <c r="M22" s="14" t="s">
        <v>20</v>
      </c>
      <c r="N22" s="15">
        <f>VLOOKUP(I22,Intervalos!$B$3:$C$8,2,TRUE)</f>
        <v>0.05</v>
      </c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</row>
    <row r="23" spans="1:29" ht="22.5" x14ac:dyDescent="0.25">
      <c r="A23" s="9">
        <v>18</v>
      </c>
      <c r="B23" s="10" t="s">
        <v>49</v>
      </c>
      <c r="C23" s="11" t="s">
        <v>22</v>
      </c>
      <c r="D23" s="12">
        <v>478129</v>
      </c>
      <c r="E23" s="10" t="s">
        <v>18</v>
      </c>
      <c r="F23" s="10">
        <v>125</v>
      </c>
      <c r="G23" s="10">
        <v>25</v>
      </c>
      <c r="H23" s="10">
        <f t="shared" si="0"/>
        <v>150</v>
      </c>
      <c r="I23" s="13">
        <v>23.8</v>
      </c>
      <c r="J23" s="13">
        <f t="shared" si="1"/>
        <v>3570</v>
      </c>
      <c r="K23" s="13" t="s">
        <v>19</v>
      </c>
      <c r="L23" s="35" t="s">
        <v>235</v>
      </c>
      <c r="M23" s="14" t="s">
        <v>20</v>
      </c>
      <c r="N23" s="15">
        <f>VLOOKUP(I23,Intervalos!$B$3:$C$8,2,TRUE)</f>
        <v>0.05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</row>
    <row r="24" spans="1:29" ht="22.5" x14ac:dyDescent="0.25">
      <c r="A24" s="9">
        <v>19</v>
      </c>
      <c r="B24" s="10" t="s">
        <v>50</v>
      </c>
      <c r="C24" s="11" t="s">
        <v>22</v>
      </c>
      <c r="D24" s="12">
        <v>478130</v>
      </c>
      <c r="E24" s="10" t="s">
        <v>18</v>
      </c>
      <c r="F24" s="10">
        <v>129</v>
      </c>
      <c r="G24" s="10">
        <v>25</v>
      </c>
      <c r="H24" s="10">
        <f t="shared" si="0"/>
        <v>154</v>
      </c>
      <c r="I24" s="13">
        <v>20.48</v>
      </c>
      <c r="J24" s="13">
        <f t="shared" si="1"/>
        <v>3153.92</v>
      </c>
      <c r="K24" s="13" t="s">
        <v>19</v>
      </c>
      <c r="L24" s="35" t="s">
        <v>235</v>
      </c>
      <c r="M24" s="14" t="s">
        <v>20</v>
      </c>
      <c r="N24" s="15">
        <f>VLOOKUP(I24,Intervalos!$B$3:$C$8,2,TRUE)</f>
        <v>0.05</v>
      </c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</row>
    <row r="25" spans="1:29" ht="22.5" x14ac:dyDescent="0.25">
      <c r="A25" s="9">
        <v>20</v>
      </c>
      <c r="B25" s="10" t="s">
        <v>51</v>
      </c>
      <c r="C25" s="11" t="s">
        <v>22</v>
      </c>
      <c r="D25" s="12">
        <v>478131</v>
      </c>
      <c r="E25" s="10" t="s">
        <v>18</v>
      </c>
      <c r="F25" s="10">
        <v>125</v>
      </c>
      <c r="G25" s="10">
        <v>25</v>
      </c>
      <c r="H25" s="10">
        <f t="shared" si="0"/>
        <v>150</v>
      </c>
      <c r="I25" s="13">
        <v>21.23</v>
      </c>
      <c r="J25" s="13">
        <f t="shared" si="1"/>
        <v>3184.5</v>
      </c>
      <c r="K25" s="13" t="s">
        <v>19</v>
      </c>
      <c r="L25" s="35" t="s">
        <v>235</v>
      </c>
      <c r="M25" s="14" t="s">
        <v>20</v>
      </c>
      <c r="N25" s="15">
        <f>VLOOKUP(I25,Intervalos!$B$3:$C$8,2,TRUE)</f>
        <v>0.05</v>
      </c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</row>
    <row r="26" spans="1:29" ht="22.5" x14ac:dyDescent="0.25">
      <c r="A26" s="9">
        <v>21</v>
      </c>
      <c r="B26" s="10" t="s">
        <v>52</v>
      </c>
      <c r="C26" s="11" t="s">
        <v>22</v>
      </c>
      <c r="D26" s="12">
        <v>440153</v>
      </c>
      <c r="E26" s="10" t="s">
        <v>23</v>
      </c>
      <c r="F26" s="10">
        <v>2</v>
      </c>
      <c r="G26" s="10">
        <v>2</v>
      </c>
      <c r="H26" s="10">
        <f t="shared" si="0"/>
        <v>4</v>
      </c>
      <c r="I26" s="13">
        <v>352.86</v>
      </c>
      <c r="J26" s="13">
        <f t="shared" si="1"/>
        <v>1411.44</v>
      </c>
      <c r="K26" s="13" t="s">
        <v>19</v>
      </c>
      <c r="L26" s="35" t="s">
        <v>235</v>
      </c>
      <c r="M26" s="14" t="s">
        <v>20</v>
      </c>
      <c r="N26" s="15" t="str">
        <f>VLOOKUP(I26,Intervalos!$B$3:$C$8,2,TRUE)</f>
        <v>0,10%</v>
      </c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</row>
    <row r="27" spans="1:29" ht="101.25" x14ac:dyDescent="0.25">
      <c r="A27" s="9">
        <v>22</v>
      </c>
      <c r="B27" s="10" t="s">
        <v>53</v>
      </c>
      <c r="C27" s="11" t="s">
        <v>54</v>
      </c>
      <c r="D27" s="12">
        <v>475100</v>
      </c>
      <c r="E27" s="10" t="s">
        <v>18</v>
      </c>
      <c r="F27" s="10">
        <v>3</v>
      </c>
      <c r="G27" s="10">
        <v>0</v>
      </c>
      <c r="H27" s="10">
        <f t="shared" si="0"/>
        <v>3</v>
      </c>
      <c r="I27" s="13">
        <v>95.83</v>
      </c>
      <c r="J27" s="13">
        <f t="shared" si="1"/>
        <v>287.49</v>
      </c>
      <c r="K27" s="13" t="s">
        <v>19</v>
      </c>
      <c r="L27" s="35" t="s">
        <v>235</v>
      </c>
      <c r="M27" s="14" t="s">
        <v>20</v>
      </c>
      <c r="N27" s="15">
        <f>VLOOKUP(I27,Intervalos!$B$3:$C$8,2,TRUE)</f>
        <v>0.1</v>
      </c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</row>
    <row r="28" spans="1:29" ht="33.75" x14ac:dyDescent="0.25">
      <c r="A28" s="18">
        <v>23</v>
      </c>
      <c r="B28" s="19" t="s">
        <v>55</v>
      </c>
      <c r="C28" s="11" t="s">
        <v>22</v>
      </c>
      <c r="D28" s="20">
        <v>368394</v>
      </c>
      <c r="E28" s="19" t="s">
        <v>18</v>
      </c>
      <c r="F28" s="19">
        <v>94</v>
      </c>
      <c r="G28" s="10">
        <v>0</v>
      </c>
      <c r="H28" s="10">
        <f t="shared" si="0"/>
        <v>94</v>
      </c>
      <c r="I28" s="21">
        <v>49.62</v>
      </c>
      <c r="J28" s="13">
        <f t="shared" si="1"/>
        <v>4664.28</v>
      </c>
      <c r="K28" s="21" t="s">
        <v>19</v>
      </c>
      <c r="L28" s="35" t="s">
        <v>235</v>
      </c>
      <c r="M28" s="22" t="s">
        <v>20</v>
      </c>
      <c r="N28" s="23">
        <f>VLOOKUP(I28,Intervalos!$B$3:$C$8,2,TRUE)</f>
        <v>0.05</v>
      </c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ht="33.75" x14ac:dyDescent="0.25">
      <c r="A29" s="18">
        <v>24</v>
      </c>
      <c r="B29" s="19" t="s">
        <v>56</v>
      </c>
      <c r="C29" s="11" t="s">
        <v>22</v>
      </c>
      <c r="D29" s="20">
        <v>432133</v>
      </c>
      <c r="E29" s="19" t="s">
        <v>18</v>
      </c>
      <c r="F29" s="19">
        <v>4</v>
      </c>
      <c r="G29" s="10">
        <v>0</v>
      </c>
      <c r="H29" s="10">
        <f t="shared" si="0"/>
        <v>4</v>
      </c>
      <c r="I29" s="21">
        <v>87.6</v>
      </c>
      <c r="J29" s="13">
        <f t="shared" si="1"/>
        <v>350.4</v>
      </c>
      <c r="K29" s="21" t="s">
        <v>19</v>
      </c>
      <c r="L29" s="35" t="s">
        <v>235</v>
      </c>
      <c r="M29" s="22" t="s">
        <v>20</v>
      </c>
      <c r="N29" s="23">
        <f>VLOOKUP(I29,Intervalos!$B$3:$C$8,2,TRUE)</f>
        <v>0.1</v>
      </c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</row>
    <row r="30" spans="1:29" ht="22.5" x14ac:dyDescent="0.25">
      <c r="A30" s="18">
        <v>25</v>
      </c>
      <c r="B30" s="19" t="s">
        <v>57</v>
      </c>
      <c r="C30" s="11" t="s">
        <v>32</v>
      </c>
      <c r="D30" s="20">
        <v>370596</v>
      </c>
      <c r="E30" s="19" t="s">
        <v>18</v>
      </c>
      <c r="F30" s="19">
        <f>2*50</f>
        <v>100</v>
      </c>
      <c r="G30" s="10">
        <v>0</v>
      </c>
      <c r="H30" s="10">
        <f t="shared" si="0"/>
        <v>100</v>
      </c>
      <c r="I30" s="21">
        <f>2283.33/50</f>
        <v>45.666599999999995</v>
      </c>
      <c r="J30" s="13">
        <f t="shared" si="1"/>
        <v>4567</v>
      </c>
      <c r="K30" s="21" t="s">
        <v>19</v>
      </c>
      <c r="L30" s="35" t="s">
        <v>235</v>
      </c>
      <c r="M30" s="22" t="s">
        <v>20</v>
      </c>
      <c r="N30" s="23">
        <f>VLOOKUP(I30,Intervalos!$B$3:$C$8,2,TRUE)</f>
        <v>0.05</v>
      </c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ht="56.25" x14ac:dyDescent="0.25">
      <c r="A31" s="18">
        <v>26</v>
      </c>
      <c r="B31" s="19" t="s">
        <v>58</v>
      </c>
      <c r="C31" s="11" t="s">
        <v>32</v>
      </c>
      <c r="D31" s="20">
        <v>615854</v>
      </c>
      <c r="E31" s="19" t="s">
        <v>18</v>
      </c>
      <c r="F31" s="19">
        <f>8*15</f>
        <v>120</v>
      </c>
      <c r="G31" s="10">
        <v>0</v>
      </c>
      <c r="H31" s="10">
        <f t="shared" si="0"/>
        <v>120</v>
      </c>
      <c r="I31" s="21">
        <f>381.6/15</f>
        <v>25.44</v>
      </c>
      <c r="J31" s="13">
        <f t="shared" si="1"/>
        <v>3052.8</v>
      </c>
      <c r="K31" s="21" t="s">
        <v>19</v>
      </c>
      <c r="L31" s="35" t="s">
        <v>235</v>
      </c>
      <c r="M31" s="22" t="s">
        <v>20</v>
      </c>
      <c r="N31" s="23">
        <f>VLOOKUP(I31,Intervalos!$B$3:$C$8,2,TRUE)</f>
        <v>0.05</v>
      </c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ht="67.5" x14ac:dyDescent="0.25">
      <c r="A32" s="18">
        <v>27</v>
      </c>
      <c r="B32" s="19" t="s">
        <v>59</v>
      </c>
      <c r="C32" s="11" t="s">
        <v>22</v>
      </c>
      <c r="D32" s="20">
        <v>477422</v>
      </c>
      <c r="E32" s="19" t="s">
        <v>18</v>
      </c>
      <c r="F32" s="19">
        <v>32</v>
      </c>
      <c r="G32" s="10">
        <v>0</v>
      </c>
      <c r="H32" s="10">
        <f t="shared" si="0"/>
        <v>32</v>
      </c>
      <c r="I32" s="21">
        <v>56.4</v>
      </c>
      <c r="J32" s="13">
        <f t="shared" si="1"/>
        <v>1804.8</v>
      </c>
      <c r="K32" s="21" t="s">
        <v>19</v>
      </c>
      <c r="L32" s="35" t="s">
        <v>235</v>
      </c>
      <c r="M32" s="22" t="s">
        <v>20</v>
      </c>
      <c r="N32" s="23">
        <f>VLOOKUP(I32,Intervalos!$B$3:$C$8,2,TRUE)</f>
        <v>0.1</v>
      </c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29" ht="45" x14ac:dyDescent="0.25">
      <c r="A33" s="18">
        <v>28</v>
      </c>
      <c r="B33" s="19" t="s">
        <v>60</v>
      </c>
      <c r="C33" s="11" t="s">
        <v>22</v>
      </c>
      <c r="D33" s="20">
        <v>443832</v>
      </c>
      <c r="E33" s="19" t="s">
        <v>18</v>
      </c>
      <c r="F33" s="19">
        <v>29</v>
      </c>
      <c r="G33" s="10">
        <v>0</v>
      </c>
      <c r="H33" s="10">
        <f t="shared" si="0"/>
        <v>29</v>
      </c>
      <c r="I33" s="21">
        <v>50</v>
      </c>
      <c r="J33" s="13">
        <f t="shared" si="1"/>
        <v>1450</v>
      </c>
      <c r="K33" s="21" t="s">
        <v>19</v>
      </c>
      <c r="L33" s="35" t="s">
        <v>235</v>
      </c>
      <c r="M33" s="22" t="s">
        <v>20</v>
      </c>
      <c r="N33" s="23">
        <f>VLOOKUP(I33,Intervalos!$B$3:$C$8,2,TRUE)</f>
        <v>0.1</v>
      </c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</row>
    <row r="34" spans="1:29" ht="45" x14ac:dyDescent="0.25">
      <c r="A34" s="18">
        <v>29</v>
      </c>
      <c r="B34" s="19" t="s">
        <v>61</v>
      </c>
      <c r="C34" s="11" t="s">
        <v>22</v>
      </c>
      <c r="D34" s="20">
        <v>443832</v>
      </c>
      <c r="E34" s="19" t="s">
        <v>18</v>
      </c>
      <c r="F34" s="19">
        <v>42</v>
      </c>
      <c r="G34" s="10">
        <v>0</v>
      </c>
      <c r="H34" s="10">
        <f t="shared" si="0"/>
        <v>42</v>
      </c>
      <c r="I34" s="21">
        <v>49.42</v>
      </c>
      <c r="J34" s="13">
        <f t="shared" si="1"/>
        <v>2075.64</v>
      </c>
      <c r="K34" s="21" t="s">
        <v>19</v>
      </c>
      <c r="L34" s="35" t="s">
        <v>235</v>
      </c>
      <c r="M34" s="22" t="s">
        <v>20</v>
      </c>
      <c r="N34" s="23">
        <f>VLOOKUP(I34,Intervalos!$B$3:$C$8,2,TRUE)</f>
        <v>0.05</v>
      </c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</row>
    <row r="35" spans="1:29" ht="45" x14ac:dyDescent="0.25">
      <c r="A35" s="18">
        <v>30</v>
      </c>
      <c r="B35" s="19" t="s">
        <v>62</v>
      </c>
      <c r="C35" s="11" t="s">
        <v>22</v>
      </c>
      <c r="D35" s="20">
        <v>443832</v>
      </c>
      <c r="E35" s="19" t="s">
        <v>18</v>
      </c>
      <c r="F35" s="19">
        <v>42</v>
      </c>
      <c r="G35" s="10">
        <v>0</v>
      </c>
      <c r="H35" s="10">
        <f t="shared" si="0"/>
        <v>42</v>
      </c>
      <c r="I35" s="21">
        <v>49.42</v>
      </c>
      <c r="J35" s="13">
        <f t="shared" si="1"/>
        <v>2075.64</v>
      </c>
      <c r="K35" s="21" t="s">
        <v>19</v>
      </c>
      <c r="L35" s="35" t="s">
        <v>235</v>
      </c>
      <c r="M35" s="22" t="s">
        <v>20</v>
      </c>
      <c r="N35" s="23">
        <f>VLOOKUP(I35,Intervalos!$B$3:$C$8,2,TRUE)</f>
        <v>0.05</v>
      </c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</row>
    <row r="36" spans="1:29" ht="45" x14ac:dyDescent="0.25">
      <c r="A36" s="18">
        <v>31</v>
      </c>
      <c r="B36" s="19" t="s">
        <v>63</v>
      </c>
      <c r="C36" s="11" t="s">
        <v>22</v>
      </c>
      <c r="D36" s="20">
        <v>443832</v>
      </c>
      <c r="E36" s="19" t="s">
        <v>18</v>
      </c>
      <c r="F36" s="19">
        <v>29</v>
      </c>
      <c r="G36" s="10">
        <v>0</v>
      </c>
      <c r="H36" s="10">
        <f t="shared" si="0"/>
        <v>29</v>
      </c>
      <c r="I36" s="21">
        <v>69</v>
      </c>
      <c r="J36" s="13">
        <f t="shared" si="1"/>
        <v>2001</v>
      </c>
      <c r="K36" s="21" t="s">
        <v>19</v>
      </c>
      <c r="L36" s="35" t="s">
        <v>235</v>
      </c>
      <c r="M36" s="22" t="s">
        <v>20</v>
      </c>
      <c r="N36" s="23">
        <f>VLOOKUP(I36,Intervalos!$B$3:$C$8,2,TRUE)</f>
        <v>0.1</v>
      </c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</row>
    <row r="37" spans="1:29" ht="45" x14ac:dyDescent="0.25">
      <c r="A37" s="18">
        <v>32</v>
      </c>
      <c r="B37" s="19" t="s">
        <v>64</v>
      </c>
      <c r="C37" s="11" t="s">
        <v>22</v>
      </c>
      <c r="D37" s="20">
        <v>443832</v>
      </c>
      <c r="E37" s="19" t="s">
        <v>18</v>
      </c>
      <c r="F37" s="19">
        <v>23</v>
      </c>
      <c r="G37" s="10">
        <v>0</v>
      </c>
      <c r="H37" s="10">
        <f t="shared" si="0"/>
        <v>23</v>
      </c>
      <c r="I37" s="21">
        <v>70</v>
      </c>
      <c r="J37" s="13">
        <f t="shared" si="1"/>
        <v>1610</v>
      </c>
      <c r="K37" s="21" t="s">
        <v>19</v>
      </c>
      <c r="L37" s="35" t="s">
        <v>235</v>
      </c>
      <c r="M37" s="22" t="s">
        <v>20</v>
      </c>
      <c r="N37" s="23">
        <f>VLOOKUP(I37,Intervalos!$B$3:$C$8,2,TRUE)</f>
        <v>0.1</v>
      </c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</row>
    <row r="38" spans="1:29" ht="78.75" x14ac:dyDescent="0.25">
      <c r="A38" s="18">
        <v>33</v>
      </c>
      <c r="B38" s="19" t="s">
        <v>65</v>
      </c>
      <c r="C38" s="11" t="s">
        <v>22</v>
      </c>
      <c r="D38" s="20">
        <v>472773</v>
      </c>
      <c r="E38" s="19" t="s">
        <v>23</v>
      </c>
      <c r="F38" s="19">
        <v>8</v>
      </c>
      <c r="G38" s="10">
        <v>3</v>
      </c>
      <c r="H38" s="10">
        <f t="shared" si="0"/>
        <v>11</v>
      </c>
      <c r="I38" s="21">
        <v>461.77</v>
      </c>
      <c r="J38" s="13">
        <f t="shared" si="1"/>
        <v>5079.4699999999993</v>
      </c>
      <c r="K38" s="21" t="s">
        <v>19</v>
      </c>
      <c r="L38" s="35" t="s">
        <v>235</v>
      </c>
      <c r="M38" s="22" t="s">
        <v>20</v>
      </c>
      <c r="N38" s="23" t="str">
        <f>VLOOKUP(I38,Intervalos!$B$3:$C$8,2,TRUE)</f>
        <v>0,10%</v>
      </c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</row>
    <row r="39" spans="1:29" ht="78.75" x14ac:dyDescent="0.25">
      <c r="A39" s="18">
        <v>34</v>
      </c>
      <c r="B39" s="19" t="s">
        <v>66</v>
      </c>
      <c r="C39" s="11" t="s">
        <v>67</v>
      </c>
      <c r="D39" s="20">
        <v>301510</v>
      </c>
      <c r="E39" s="19" t="s">
        <v>18</v>
      </c>
      <c r="F39" s="19">
        <v>10</v>
      </c>
      <c r="G39" s="10">
        <v>0</v>
      </c>
      <c r="H39" s="10">
        <f t="shared" si="0"/>
        <v>10</v>
      </c>
      <c r="I39" s="21">
        <v>300.89999999999998</v>
      </c>
      <c r="J39" s="13">
        <f t="shared" si="1"/>
        <v>3009</v>
      </c>
      <c r="K39" s="21" t="s">
        <v>19</v>
      </c>
      <c r="L39" s="35" t="s">
        <v>235</v>
      </c>
      <c r="M39" s="22" t="s">
        <v>20</v>
      </c>
      <c r="N39" s="23" t="str">
        <f>VLOOKUP(I39,Intervalos!$B$3:$C$8,2,TRUE)</f>
        <v>0,10%</v>
      </c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</row>
    <row r="40" spans="1:29" ht="112.5" x14ac:dyDescent="0.25">
      <c r="A40" s="18">
        <v>35</v>
      </c>
      <c r="B40" s="19" t="s">
        <v>68</v>
      </c>
      <c r="C40" s="11" t="s">
        <v>32</v>
      </c>
      <c r="D40" s="20">
        <v>419373</v>
      </c>
      <c r="E40" s="19" t="s">
        <v>18</v>
      </c>
      <c r="F40" s="19">
        <f>13*100</f>
        <v>1300</v>
      </c>
      <c r="G40" s="10">
        <v>0</v>
      </c>
      <c r="H40" s="10">
        <f t="shared" si="0"/>
        <v>1300</v>
      </c>
      <c r="I40" s="21">
        <f>489.47/100</f>
        <v>4.8947000000000003</v>
      </c>
      <c r="J40" s="13">
        <f t="shared" si="1"/>
        <v>6357</v>
      </c>
      <c r="K40" s="21" t="s">
        <v>19</v>
      </c>
      <c r="L40" s="35" t="s">
        <v>235</v>
      </c>
      <c r="M40" s="22" t="s">
        <v>20</v>
      </c>
      <c r="N40" s="23">
        <f>VLOOKUP(I40,Intervalos!$B$3:$C$8,2,TRUE)</f>
        <v>0.01</v>
      </c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</row>
    <row r="41" spans="1:29" x14ac:dyDescent="0.25">
      <c r="A41" s="18">
        <v>36</v>
      </c>
      <c r="B41" s="19" t="s">
        <v>69</v>
      </c>
      <c r="C41" s="11" t="s">
        <v>22</v>
      </c>
      <c r="D41" s="20">
        <v>623106</v>
      </c>
      <c r="E41" s="19" t="s">
        <v>23</v>
      </c>
      <c r="F41" s="19">
        <v>438</v>
      </c>
      <c r="G41" s="10">
        <v>50</v>
      </c>
      <c r="H41" s="10">
        <f t="shared" si="0"/>
        <v>488</v>
      </c>
      <c r="I41" s="21">
        <v>7.99</v>
      </c>
      <c r="J41" s="13">
        <f t="shared" si="1"/>
        <v>3899.12</v>
      </c>
      <c r="K41" s="21" t="s">
        <v>19</v>
      </c>
      <c r="L41" s="35" t="s">
        <v>235</v>
      </c>
      <c r="M41" s="22" t="s">
        <v>20</v>
      </c>
      <c r="N41" s="23">
        <f>VLOOKUP(I41,Intervalos!$B$3:$C$8,2,TRUE)</f>
        <v>0.02</v>
      </c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</row>
    <row r="42" spans="1:29" ht="33.75" x14ac:dyDescent="0.25">
      <c r="A42" s="18">
        <v>37</v>
      </c>
      <c r="B42" s="19" t="s">
        <v>70</v>
      </c>
      <c r="C42" s="11" t="s">
        <v>71</v>
      </c>
      <c r="D42" s="20">
        <v>623109</v>
      </c>
      <c r="E42" s="19" t="s">
        <v>23</v>
      </c>
      <c r="F42" s="19">
        <v>1928</v>
      </c>
      <c r="G42" s="10">
        <v>50</v>
      </c>
      <c r="H42" s="10">
        <f t="shared" si="0"/>
        <v>1978</v>
      </c>
      <c r="I42" s="21">
        <v>12.25</v>
      </c>
      <c r="J42" s="13">
        <f t="shared" si="1"/>
        <v>24230.5</v>
      </c>
      <c r="K42" s="21" t="s">
        <v>19</v>
      </c>
      <c r="L42" s="35" t="s">
        <v>235</v>
      </c>
      <c r="M42" s="22" t="s">
        <v>20</v>
      </c>
      <c r="N42" s="23">
        <f>VLOOKUP(I42,Intervalos!$B$3:$C$8,2,TRUE)</f>
        <v>0.03</v>
      </c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</row>
    <row r="43" spans="1:29" ht="33.75" x14ac:dyDescent="0.25">
      <c r="A43" s="18">
        <v>38</v>
      </c>
      <c r="B43" s="19" t="s">
        <v>72</v>
      </c>
      <c r="C43" s="11" t="s">
        <v>71</v>
      </c>
      <c r="D43" s="20">
        <v>623110</v>
      </c>
      <c r="E43" s="19" t="s">
        <v>23</v>
      </c>
      <c r="F43" s="19">
        <v>453</v>
      </c>
      <c r="G43" s="10">
        <v>50</v>
      </c>
      <c r="H43" s="10">
        <f t="shared" si="0"/>
        <v>503</v>
      </c>
      <c r="I43" s="21">
        <v>14.9</v>
      </c>
      <c r="J43" s="13">
        <f t="shared" si="1"/>
        <v>7494.7</v>
      </c>
      <c r="K43" s="21" t="s">
        <v>19</v>
      </c>
      <c r="L43" s="35" t="s">
        <v>235</v>
      </c>
      <c r="M43" s="22" t="s">
        <v>20</v>
      </c>
      <c r="N43" s="23">
        <f>VLOOKUP(I43,Intervalos!$B$3:$C$8,2,TRUE)</f>
        <v>0.03</v>
      </c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</row>
    <row r="44" spans="1:29" ht="33.75" x14ac:dyDescent="0.25">
      <c r="A44" s="18">
        <v>39</v>
      </c>
      <c r="B44" s="19" t="s">
        <v>73</v>
      </c>
      <c r="C44" s="11" t="s">
        <v>71</v>
      </c>
      <c r="D44" s="20">
        <v>623108</v>
      </c>
      <c r="E44" s="19" t="s">
        <v>23</v>
      </c>
      <c r="F44" s="19">
        <v>504</v>
      </c>
      <c r="G44" s="10">
        <v>20</v>
      </c>
      <c r="H44" s="10">
        <f t="shared" si="0"/>
        <v>524</v>
      </c>
      <c r="I44" s="21">
        <v>10</v>
      </c>
      <c r="J44" s="13">
        <f t="shared" si="1"/>
        <v>5240</v>
      </c>
      <c r="K44" s="21" t="s">
        <v>19</v>
      </c>
      <c r="L44" s="35" t="s">
        <v>235</v>
      </c>
      <c r="M44" s="22" t="s">
        <v>20</v>
      </c>
      <c r="N44" s="23">
        <f>VLOOKUP(I44,Intervalos!$B$3:$C$8,2,TRUE)</f>
        <v>0.03</v>
      </c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</row>
    <row r="45" spans="1:29" ht="45" x14ac:dyDescent="0.25">
      <c r="A45" s="18">
        <v>40</v>
      </c>
      <c r="B45" s="19" t="s">
        <v>74</v>
      </c>
      <c r="C45" s="11" t="s">
        <v>75</v>
      </c>
      <c r="D45" s="20">
        <v>623076</v>
      </c>
      <c r="E45" s="19" t="s">
        <v>18</v>
      </c>
      <c r="F45" s="19">
        <v>38</v>
      </c>
      <c r="G45" s="10">
        <v>38</v>
      </c>
      <c r="H45" s="10">
        <f t="shared" si="0"/>
        <v>76</v>
      </c>
      <c r="I45" s="21">
        <v>48.45</v>
      </c>
      <c r="J45" s="13">
        <f t="shared" si="1"/>
        <v>3682.2000000000003</v>
      </c>
      <c r="K45" s="21" t="s">
        <v>19</v>
      </c>
      <c r="L45" s="35" t="s">
        <v>235</v>
      </c>
      <c r="M45" s="22" t="s">
        <v>20</v>
      </c>
      <c r="N45" s="23">
        <f>VLOOKUP(I45,Intervalos!$B$3:$C$8,2,TRUE)</f>
        <v>0.05</v>
      </c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</row>
    <row r="46" spans="1:29" ht="45" x14ac:dyDescent="0.25">
      <c r="A46" s="18">
        <v>41</v>
      </c>
      <c r="B46" s="19" t="s">
        <v>76</v>
      </c>
      <c r="C46" s="11" t="s">
        <v>77</v>
      </c>
      <c r="D46" s="20">
        <v>481352</v>
      </c>
      <c r="E46" s="19" t="s">
        <v>18</v>
      </c>
      <c r="F46" s="19">
        <v>85</v>
      </c>
      <c r="G46" s="10">
        <v>85</v>
      </c>
      <c r="H46" s="10">
        <f t="shared" si="0"/>
        <v>170</v>
      </c>
      <c r="I46" s="21">
        <v>29.9</v>
      </c>
      <c r="J46" s="13">
        <f t="shared" si="1"/>
        <v>5083</v>
      </c>
      <c r="K46" s="21" t="s">
        <v>19</v>
      </c>
      <c r="L46" s="35" t="s">
        <v>235</v>
      </c>
      <c r="M46" s="22" t="s">
        <v>20</v>
      </c>
      <c r="N46" s="23">
        <f>VLOOKUP(I46,Intervalos!$B$3:$C$8,2,TRUE)</f>
        <v>0.05</v>
      </c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</row>
    <row r="47" spans="1:29" ht="45" x14ac:dyDescent="0.25">
      <c r="A47" s="18">
        <v>42</v>
      </c>
      <c r="B47" s="19" t="s">
        <v>78</v>
      </c>
      <c r="C47" s="11" t="s">
        <v>79</v>
      </c>
      <c r="D47" s="20">
        <v>615986</v>
      </c>
      <c r="E47" s="19" t="s">
        <v>18</v>
      </c>
      <c r="F47" s="19">
        <v>1788</v>
      </c>
      <c r="G47" s="10">
        <v>500</v>
      </c>
      <c r="H47" s="10">
        <f t="shared" si="0"/>
        <v>2288</v>
      </c>
      <c r="I47" s="21">
        <v>1.99</v>
      </c>
      <c r="J47" s="13">
        <f t="shared" si="1"/>
        <v>4553.12</v>
      </c>
      <c r="K47" s="21" t="s">
        <v>19</v>
      </c>
      <c r="L47" s="35" t="s">
        <v>235</v>
      </c>
      <c r="M47" s="22" t="s">
        <v>20</v>
      </c>
      <c r="N47" s="23">
        <f>VLOOKUP(I47,Intervalos!$B$3:$C$8,2,TRUE)</f>
        <v>0.01</v>
      </c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</row>
    <row r="48" spans="1:29" ht="45" x14ac:dyDescent="0.25">
      <c r="A48" s="18">
        <v>43</v>
      </c>
      <c r="B48" s="19" t="s">
        <v>80</v>
      </c>
      <c r="C48" s="11" t="s">
        <v>81</v>
      </c>
      <c r="D48" s="20">
        <v>615986</v>
      </c>
      <c r="E48" s="19" t="s">
        <v>18</v>
      </c>
      <c r="F48" s="19">
        <v>935</v>
      </c>
      <c r="G48" s="10">
        <v>25</v>
      </c>
      <c r="H48" s="10">
        <f t="shared" si="0"/>
        <v>960</v>
      </c>
      <c r="I48" s="21">
        <v>43.9</v>
      </c>
      <c r="J48" s="13">
        <f t="shared" si="1"/>
        <v>42144</v>
      </c>
      <c r="K48" s="21" t="s">
        <v>19</v>
      </c>
      <c r="L48" s="35" t="s">
        <v>235</v>
      </c>
      <c r="M48" s="22" t="s">
        <v>20</v>
      </c>
      <c r="N48" s="23">
        <f>VLOOKUP(I48,Intervalos!$B$3:$C$8,2,TRUE)</f>
        <v>0.05</v>
      </c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</row>
    <row r="49" spans="1:29" ht="33.75" x14ac:dyDescent="0.25">
      <c r="A49" s="18">
        <v>44</v>
      </c>
      <c r="B49" s="19" t="s">
        <v>82</v>
      </c>
      <c r="C49" s="11" t="s">
        <v>83</v>
      </c>
      <c r="D49" s="20">
        <v>369204</v>
      </c>
      <c r="E49" s="19" t="s">
        <v>18</v>
      </c>
      <c r="F49" s="19">
        <v>85</v>
      </c>
      <c r="G49" s="10">
        <v>0</v>
      </c>
      <c r="H49" s="10">
        <f t="shared" si="0"/>
        <v>85</v>
      </c>
      <c r="I49" s="21">
        <v>110.16</v>
      </c>
      <c r="J49" s="13">
        <f t="shared" si="1"/>
        <v>9363.6</v>
      </c>
      <c r="K49" s="21" t="s">
        <v>19</v>
      </c>
      <c r="L49" s="35" t="s">
        <v>235</v>
      </c>
      <c r="M49" s="22" t="s">
        <v>20</v>
      </c>
      <c r="N49" s="23" t="str">
        <f>VLOOKUP(I49,Intervalos!$B$3:$C$8,2,TRUE)</f>
        <v>0,10%</v>
      </c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</row>
    <row r="50" spans="1:29" ht="33.75" x14ac:dyDescent="0.25">
      <c r="A50" s="18">
        <v>45</v>
      </c>
      <c r="B50" s="19" t="s">
        <v>84</v>
      </c>
      <c r="C50" s="11" t="s">
        <v>22</v>
      </c>
      <c r="D50" s="20">
        <v>484869</v>
      </c>
      <c r="E50" s="19" t="s">
        <v>18</v>
      </c>
      <c r="F50" s="19">
        <v>7</v>
      </c>
      <c r="G50" s="10">
        <v>0</v>
      </c>
      <c r="H50" s="10">
        <f t="shared" si="0"/>
        <v>7</v>
      </c>
      <c r="I50" s="21">
        <v>81</v>
      </c>
      <c r="J50" s="13">
        <f t="shared" si="1"/>
        <v>567</v>
      </c>
      <c r="K50" s="21" t="s">
        <v>19</v>
      </c>
      <c r="L50" s="35" t="s">
        <v>235</v>
      </c>
      <c r="M50" s="22" t="s">
        <v>20</v>
      </c>
      <c r="N50" s="23">
        <f>VLOOKUP(I50,Intervalos!$B$3:$C$8,2,TRUE)</f>
        <v>0.1</v>
      </c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</row>
    <row r="51" spans="1:29" ht="22.5" x14ac:dyDescent="0.25">
      <c r="A51" s="18">
        <v>46</v>
      </c>
      <c r="B51" s="19" t="s">
        <v>85</v>
      </c>
      <c r="C51" s="11" t="s">
        <v>32</v>
      </c>
      <c r="D51" s="20">
        <v>485057</v>
      </c>
      <c r="E51" s="19" t="s">
        <v>18</v>
      </c>
      <c r="F51" s="19">
        <f>7*10</f>
        <v>70</v>
      </c>
      <c r="G51" s="10">
        <v>0</v>
      </c>
      <c r="H51" s="10">
        <f t="shared" si="0"/>
        <v>70</v>
      </c>
      <c r="I51" s="21">
        <f>283.31/10</f>
        <v>28.331</v>
      </c>
      <c r="J51" s="13">
        <f t="shared" si="1"/>
        <v>1983.1</v>
      </c>
      <c r="K51" s="21" t="s">
        <v>19</v>
      </c>
      <c r="L51" s="35" t="s">
        <v>235</v>
      </c>
      <c r="M51" s="22" t="s">
        <v>20</v>
      </c>
      <c r="N51" s="23">
        <f>VLOOKUP(I51,Intervalos!$B$3:$C$8,2,TRUE)</f>
        <v>0.05</v>
      </c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</row>
    <row r="52" spans="1:29" ht="22.5" x14ac:dyDescent="0.25">
      <c r="A52" s="18">
        <v>47</v>
      </c>
      <c r="B52" s="19" t="s">
        <v>86</v>
      </c>
      <c r="C52" s="11" t="s">
        <v>22</v>
      </c>
      <c r="D52" s="20">
        <v>484851</v>
      </c>
      <c r="E52" s="19" t="s">
        <v>18</v>
      </c>
      <c r="F52" s="19">
        <v>34</v>
      </c>
      <c r="G52" s="10">
        <v>0</v>
      </c>
      <c r="H52" s="10">
        <f t="shared" si="0"/>
        <v>34</v>
      </c>
      <c r="I52" s="21">
        <v>99</v>
      </c>
      <c r="J52" s="13">
        <f t="shared" si="1"/>
        <v>3366</v>
      </c>
      <c r="K52" s="21" t="s">
        <v>19</v>
      </c>
      <c r="L52" s="35" t="s">
        <v>235</v>
      </c>
      <c r="M52" s="22" t="s">
        <v>20</v>
      </c>
      <c r="N52" s="23">
        <f>VLOOKUP(I52,Intervalos!$B$3:$C$8,2,TRUE)</f>
        <v>0.1</v>
      </c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</row>
    <row r="53" spans="1:29" ht="22.5" x14ac:dyDescent="0.25">
      <c r="A53" s="18">
        <v>48</v>
      </c>
      <c r="B53" s="19" t="s">
        <v>87</v>
      </c>
      <c r="C53" s="11" t="s">
        <v>22</v>
      </c>
      <c r="D53" s="20">
        <v>484852</v>
      </c>
      <c r="E53" s="19" t="s">
        <v>18</v>
      </c>
      <c r="F53" s="19">
        <v>34</v>
      </c>
      <c r="G53" s="10">
        <v>0</v>
      </c>
      <c r="H53" s="10">
        <f t="shared" si="0"/>
        <v>34</v>
      </c>
      <c r="I53" s="21">
        <v>154.91999999999999</v>
      </c>
      <c r="J53" s="13">
        <f t="shared" si="1"/>
        <v>5267.28</v>
      </c>
      <c r="K53" s="21" t="s">
        <v>19</v>
      </c>
      <c r="L53" s="35" t="s">
        <v>235</v>
      </c>
      <c r="M53" s="22" t="s">
        <v>20</v>
      </c>
      <c r="N53" s="23" t="str">
        <f>VLOOKUP(I53,Intervalos!$B$3:$C$8,2,TRUE)</f>
        <v>0,10%</v>
      </c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</row>
    <row r="54" spans="1:29" ht="22.5" x14ac:dyDescent="0.25">
      <c r="A54" s="18">
        <v>49</v>
      </c>
      <c r="B54" s="19" t="s">
        <v>88</v>
      </c>
      <c r="C54" s="11" t="s">
        <v>22</v>
      </c>
      <c r="D54" s="20">
        <v>484853</v>
      </c>
      <c r="E54" s="19" t="s">
        <v>18</v>
      </c>
      <c r="F54" s="19">
        <v>34</v>
      </c>
      <c r="G54" s="10">
        <v>0</v>
      </c>
      <c r="H54" s="10">
        <f t="shared" si="0"/>
        <v>34</v>
      </c>
      <c r="I54" s="21">
        <v>59.48</v>
      </c>
      <c r="J54" s="13">
        <f t="shared" si="1"/>
        <v>2022.32</v>
      </c>
      <c r="K54" s="21" t="s">
        <v>19</v>
      </c>
      <c r="L54" s="35" t="s">
        <v>235</v>
      </c>
      <c r="M54" s="22" t="s">
        <v>20</v>
      </c>
      <c r="N54" s="23">
        <f>VLOOKUP(I54,Intervalos!$B$3:$C$8,2,TRUE)</f>
        <v>0.1</v>
      </c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</row>
    <row r="55" spans="1:29" ht="22.5" x14ac:dyDescent="0.25">
      <c r="A55" s="18">
        <v>50</v>
      </c>
      <c r="B55" s="19" t="s">
        <v>89</v>
      </c>
      <c r="C55" s="11" t="s">
        <v>22</v>
      </c>
      <c r="D55" s="20">
        <v>484853</v>
      </c>
      <c r="E55" s="19" t="s">
        <v>18</v>
      </c>
      <c r="F55" s="19">
        <v>13</v>
      </c>
      <c r="G55" s="10">
        <v>0</v>
      </c>
      <c r="H55" s="10">
        <f t="shared" si="0"/>
        <v>13</v>
      </c>
      <c r="I55" s="21">
        <v>181.83</v>
      </c>
      <c r="J55" s="13">
        <f t="shared" si="1"/>
        <v>2363.79</v>
      </c>
      <c r="K55" s="21" t="s">
        <v>19</v>
      </c>
      <c r="L55" s="35" t="s">
        <v>235</v>
      </c>
      <c r="M55" s="22" t="s">
        <v>20</v>
      </c>
      <c r="N55" s="23" t="str">
        <f>VLOOKUP(I55,Intervalos!$B$3:$C$8,2,TRUE)</f>
        <v>0,10%</v>
      </c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</row>
    <row r="56" spans="1:29" x14ac:dyDescent="0.25">
      <c r="A56" s="18">
        <v>51</v>
      </c>
      <c r="B56" s="19" t="s">
        <v>90</v>
      </c>
      <c r="C56" s="11" t="s">
        <v>22</v>
      </c>
      <c r="D56" s="20">
        <v>484920</v>
      </c>
      <c r="E56" s="19" t="s">
        <v>18</v>
      </c>
      <c r="F56" s="19">
        <v>7</v>
      </c>
      <c r="G56" s="10">
        <v>7</v>
      </c>
      <c r="H56" s="10">
        <f t="shared" si="0"/>
        <v>14</v>
      </c>
      <c r="I56" s="21">
        <v>43.58</v>
      </c>
      <c r="J56" s="13">
        <f t="shared" si="1"/>
        <v>610.12</v>
      </c>
      <c r="K56" s="21" t="s">
        <v>19</v>
      </c>
      <c r="L56" s="35" t="s">
        <v>235</v>
      </c>
      <c r="M56" s="22" t="s">
        <v>20</v>
      </c>
      <c r="N56" s="23">
        <f>VLOOKUP(I56,Intervalos!$B$3:$C$8,2,TRUE)</f>
        <v>0.05</v>
      </c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</row>
    <row r="57" spans="1:29" ht="56.25" x14ac:dyDescent="0.25">
      <c r="A57" s="18">
        <v>52</v>
      </c>
      <c r="B57" s="19" t="s">
        <v>91</v>
      </c>
      <c r="C57" s="11" t="s">
        <v>22</v>
      </c>
      <c r="D57" s="20">
        <v>484917</v>
      </c>
      <c r="E57" s="19" t="s">
        <v>18</v>
      </c>
      <c r="F57" s="19">
        <v>13</v>
      </c>
      <c r="G57" s="10">
        <v>13</v>
      </c>
      <c r="H57" s="10">
        <f t="shared" si="0"/>
        <v>26</v>
      </c>
      <c r="I57" s="21">
        <v>52</v>
      </c>
      <c r="J57" s="13">
        <f t="shared" si="1"/>
        <v>1352</v>
      </c>
      <c r="K57" s="21" t="s">
        <v>19</v>
      </c>
      <c r="L57" s="35" t="s">
        <v>235</v>
      </c>
      <c r="M57" s="22" t="s">
        <v>20</v>
      </c>
      <c r="N57" s="23">
        <f>VLOOKUP(I57,Intervalos!$B$3:$C$8,2,TRUE)</f>
        <v>0.1</v>
      </c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</row>
    <row r="58" spans="1:29" ht="33.75" x14ac:dyDescent="0.25">
      <c r="A58" s="18">
        <v>53</v>
      </c>
      <c r="B58" s="19" t="s">
        <v>92</v>
      </c>
      <c r="C58" s="11" t="s">
        <v>93</v>
      </c>
      <c r="D58" s="20">
        <v>444051</v>
      </c>
      <c r="E58" s="19" t="s">
        <v>94</v>
      </c>
      <c r="F58" s="19">
        <v>179</v>
      </c>
      <c r="G58" s="10">
        <v>10</v>
      </c>
      <c r="H58" s="10">
        <f t="shared" si="0"/>
        <v>189</v>
      </c>
      <c r="I58" s="21">
        <v>40.96</v>
      </c>
      <c r="J58" s="13">
        <f t="shared" si="1"/>
        <v>7741.4400000000005</v>
      </c>
      <c r="K58" s="21" t="s">
        <v>19</v>
      </c>
      <c r="L58" s="35" t="s">
        <v>235</v>
      </c>
      <c r="M58" s="22" t="s">
        <v>20</v>
      </c>
      <c r="N58" s="23">
        <f>VLOOKUP(I58,Intervalos!$B$3:$C$8,2,TRUE)</f>
        <v>0.05</v>
      </c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</row>
    <row r="59" spans="1:29" ht="56.25" x14ac:dyDescent="0.25">
      <c r="A59" s="18">
        <v>54</v>
      </c>
      <c r="B59" s="19" t="s">
        <v>95</v>
      </c>
      <c r="C59" s="11" t="s">
        <v>32</v>
      </c>
      <c r="D59" s="20">
        <v>461243</v>
      </c>
      <c r="E59" s="19" t="s">
        <v>18</v>
      </c>
      <c r="F59" s="19">
        <f>158*50</f>
        <v>7900</v>
      </c>
      <c r="G59" s="10">
        <v>0</v>
      </c>
      <c r="H59" s="10">
        <f t="shared" si="0"/>
        <v>7900</v>
      </c>
      <c r="I59" s="21">
        <f>21.25/50</f>
        <v>0.42499999999999999</v>
      </c>
      <c r="J59" s="13">
        <f t="shared" si="1"/>
        <v>3397</v>
      </c>
      <c r="K59" s="21" t="s">
        <v>19</v>
      </c>
      <c r="L59" s="35" t="s">
        <v>235</v>
      </c>
      <c r="M59" s="22" t="s">
        <v>20</v>
      </c>
      <c r="N59" s="23">
        <f>VLOOKUP(I59,Intervalos!$B$3:$C$8,2,TRUE)</f>
        <v>0.01</v>
      </c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</row>
    <row r="60" spans="1:29" ht="56.25" x14ac:dyDescent="0.25">
      <c r="A60" s="18">
        <v>55</v>
      </c>
      <c r="B60" s="19" t="s">
        <v>96</v>
      </c>
      <c r="C60" s="11" t="s">
        <v>32</v>
      </c>
      <c r="D60" s="20">
        <v>461245</v>
      </c>
      <c r="E60" s="19" t="s">
        <v>18</v>
      </c>
      <c r="F60" s="19">
        <f>13*50</f>
        <v>650</v>
      </c>
      <c r="G60" s="10">
        <v>0</v>
      </c>
      <c r="H60" s="10">
        <f t="shared" si="0"/>
        <v>650</v>
      </c>
      <c r="I60" s="21">
        <f>20.5/50</f>
        <v>0.41</v>
      </c>
      <c r="J60" s="13">
        <f t="shared" si="1"/>
        <v>266.5</v>
      </c>
      <c r="K60" s="21" t="s">
        <v>19</v>
      </c>
      <c r="L60" s="35" t="s">
        <v>235</v>
      </c>
      <c r="M60" s="22" t="s">
        <v>20</v>
      </c>
      <c r="N60" s="23">
        <f>VLOOKUP(I60,Intervalos!$B$3:$C$8,2,TRUE)</f>
        <v>0.01</v>
      </c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</row>
    <row r="61" spans="1:29" ht="90" x14ac:dyDescent="0.25">
      <c r="A61" s="18">
        <v>56</v>
      </c>
      <c r="B61" s="19" t="s">
        <v>97</v>
      </c>
      <c r="C61" s="11" t="s">
        <v>98</v>
      </c>
      <c r="D61" s="20">
        <v>442384</v>
      </c>
      <c r="E61" s="19" t="s">
        <v>23</v>
      </c>
      <c r="F61" s="19">
        <v>47</v>
      </c>
      <c r="G61" s="10">
        <v>47</v>
      </c>
      <c r="H61" s="10">
        <f t="shared" si="0"/>
        <v>94</v>
      </c>
      <c r="I61" s="21">
        <v>106.54</v>
      </c>
      <c r="J61" s="13">
        <f t="shared" si="1"/>
        <v>10014.76</v>
      </c>
      <c r="K61" s="21" t="s">
        <v>19</v>
      </c>
      <c r="L61" s="35" t="s">
        <v>235</v>
      </c>
      <c r="M61" s="22" t="s">
        <v>20</v>
      </c>
      <c r="N61" s="23" t="str">
        <f>VLOOKUP(I61,Intervalos!$B$3:$C$8,2,TRUE)</f>
        <v>0,10%</v>
      </c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</row>
    <row r="62" spans="1:29" ht="56.25" x14ac:dyDescent="0.25">
      <c r="A62" s="18">
        <v>57</v>
      </c>
      <c r="B62" s="19" t="s">
        <v>99</v>
      </c>
      <c r="C62" s="11" t="s">
        <v>22</v>
      </c>
      <c r="D62" s="20">
        <v>609779</v>
      </c>
      <c r="E62" s="19" t="s">
        <v>18</v>
      </c>
      <c r="F62" s="19">
        <v>500</v>
      </c>
      <c r="G62" s="10">
        <v>100</v>
      </c>
      <c r="H62" s="10">
        <f t="shared" si="0"/>
        <v>600</v>
      </c>
      <c r="I62" s="21">
        <v>2.8</v>
      </c>
      <c r="J62" s="13">
        <f t="shared" si="1"/>
        <v>1680</v>
      </c>
      <c r="K62" s="21" t="s">
        <v>19</v>
      </c>
      <c r="L62" s="35" t="s">
        <v>235</v>
      </c>
      <c r="M62" s="22" t="s">
        <v>20</v>
      </c>
      <c r="N62" s="23">
        <f>VLOOKUP(I62,Intervalos!$B$3:$C$8,2,TRUE)</f>
        <v>0.01</v>
      </c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</row>
    <row r="63" spans="1:29" ht="56.25" x14ac:dyDescent="0.25">
      <c r="A63" s="18">
        <v>58</v>
      </c>
      <c r="B63" s="19" t="s">
        <v>100</v>
      </c>
      <c r="C63" s="11" t="s">
        <v>32</v>
      </c>
      <c r="D63" s="20">
        <v>610304</v>
      </c>
      <c r="E63" s="19" t="s">
        <v>18</v>
      </c>
      <c r="F63" s="19">
        <f>5*50</f>
        <v>250</v>
      </c>
      <c r="G63" s="10">
        <v>0</v>
      </c>
      <c r="H63" s="10">
        <f t="shared" si="0"/>
        <v>250</v>
      </c>
      <c r="I63" s="21">
        <f>1050/50</f>
        <v>21</v>
      </c>
      <c r="J63" s="13">
        <f t="shared" si="1"/>
        <v>5250</v>
      </c>
      <c r="K63" s="21" t="s">
        <v>19</v>
      </c>
      <c r="L63" s="35" t="s">
        <v>235</v>
      </c>
      <c r="M63" s="22" t="s">
        <v>20</v>
      </c>
      <c r="N63" s="23">
        <f>VLOOKUP(I63,Intervalos!$B$3:$C$8,2,TRUE)</f>
        <v>0.05</v>
      </c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</row>
    <row r="64" spans="1:29" ht="112.5" x14ac:dyDescent="0.25">
      <c r="A64" s="18">
        <v>59</v>
      </c>
      <c r="B64" s="19" t="s">
        <v>101</v>
      </c>
      <c r="C64" s="11" t="s">
        <v>22</v>
      </c>
      <c r="D64" s="20">
        <v>609602</v>
      </c>
      <c r="E64" s="19" t="s">
        <v>18</v>
      </c>
      <c r="F64" s="19">
        <v>4313</v>
      </c>
      <c r="G64" s="10">
        <v>100</v>
      </c>
      <c r="H64" s="10">
        <f t="shared" si="0"/>
        <v>4413</v>
      </c>
      <c r="I64" s="21">
        <v>3.96</v>
      </c>
      <c r="J64" s="13">
        <f t="shared" si="1"/>
        <v>17475.48</v>
      </c>
      <c r="K64" s="21" t="s">
        <v>19</v>
      </c>
      <c r="L64" s="35" t="s">
        <v>235</v>
      </c>
      <c r="M64" s="22" t="s">
        <v>20</v>
      </c>
      <c r="N64" s="23">
        <f>VLOOKUP(I64,Intervalos!$B$3:$C$8,2,TRUE)</f>
        <v>0.01</v>
      </c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</row>
    <row r="65" spans="1:29" ht="67.5" x14ac:dyDescent="0.25">
      <c r="A65" s="18">
        <v>60</v>
      </c>
      <c r="B65" s="19" t="s">
        <v>102</v>
      </c>
      <c r="C65" s="11" t="s">
        <v>22</v>
      </c>
      <c r="D65" s="20">
        <v>609584</v>
      </c>
      <c r="E65" s="19" t="s">
        <v>18</v>
      </c>
      <c r="F65" s="19">
        <v>75</v>
      </c>
      <c r="G65" s="10">
        <v>0</v>
      </c>
      <c r="H65" s="10">
        <f t="shared" si="0"/>
        <v>75</v>
      </c>
      <c r="I65" s="21">
        <v>9</v>
      </c>
      <c r="J65" s="13">
        <f t="shared" si="1"/>
        <v>675</v>
      </c>
      <c r="K65" s="21" t="s">
        <v>19</v>
      </c>
      <c r="L65" s="35" t="s">
        <v>235</v>
      </c>
      <c r="M65" s="22" t="s">
        <v>20</v>
      </c>
      <c r="N65" s="23">
        <f>VLOOKUP(I65,Intervalos!$B$3:$C$8,2,TRUE)</f>
        <v>0.02</v>
      </c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</row>
    <row r="66" spans="1:29" ht="56.25" x14ac:dyDescent="0.25">
      <c r="A66" s="18">
        <v>61</v>
      </c>
      <c r="B66" s="19" t="s">
        <v>103</v>
      </c>
      <c r="C66" s="11" t="s">
        <v>22</v>
      </c>
      <c r="D66" s="20">
        <v>609710</v>
      </c>
      <c r="E66" s="19" t="s">
        <v>18</v>
      </c>
      <c r="F66" s="19">
        <v>563</v>
      </c>
      <c r="G66" s="10">
        <v>0</v>
      </c>
      <c r="H66" s="10">
        <f t="shared" si="0"/>
        <v>563</v>
      </c>
      <c r="I66" s="21">
        <v>5.68</v>
      </c>
      <c r="J66" s="13">
        <f t="shared" si="1"/>
        <v>3197.8399999999997</v>
      </c>
      <c r="K66" s="21" t="s">
        <v>19</v>
      </c>
      <c r="L66" s="35" t="s">
        <v>235</v>
      </c>
      <c r="M66" s="22" t="s">
        <v>20</v>
      </c>
      <c r="N66" s="23">
        <f>VLOOKUP(I66,Intervalos!$B$3:$C$8,2,TRUE)</f>
        <v>0.02</v>
      </c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</row>
    <row r="67" spans="1:29" ht="123.75" x14ac:dyDescent="0.25">
      <c r="A67" s="18">
        <v>62</v>
      </c>
      <c r="B67" s="19" t="s">
        <v>104</v>
      </c>
      <c r="C67" s="11" t="s">
        <v>32</v>
      </c>
      <c r="D67" s="20">
        <v>609502</v>
      </c>
      <c r="E67" s="19" t="s">
        <v>18</v>
      </c>
      <c r="F67" s="19">
        <v>125</v>
      </c>
      <c r="G67" s="10">
        <v>0</v>
      </c>
      <c r="H67" s="10">
        <f t="shared" si="0"/>
        <v>125</v>
      </c>
      <c r="I67" s="21">
        <v>3</v>
      </c>
      <c r="J67" s="13">
        <f t="shared" si="1"/>
        <v>375</v>
      </c>
      <c r="K67" s="21" t="s">
        <v>19</v>
      </c>
      <c r="L67" s="35" t="s">
        <v>235</v>
      </c>
      <c r="M67" s="22" t="s">
        <v>20</v>
      </c>
      <c r="N67" s="23">
        <f>VLOOKUP(I67,Intervalos!$B$3:$C$8,2,TRUE)</f>
        <v>0.01</v>
      </c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</row>
    <row r="68" spans="1:29" ht="112.5" x14ac:dyDescent="0.25">
      <c r="A68" s="18">
        <v>63</v>
      </c>
      <c r="B68" s="19" t="s">
        <v>105</v>
      </c>
      <c r="C68" s="11" t="s">
        <v>22</v>
      </c>
      <c r="D68" s="20">
        <v>609724</v>
      </c>
      <c r="E68" s="19" t="s">
        <v>18</v>
      </c>
      <c r="F68" s="19">
        <v>188</v>
      </c>
      <c r="G68" s="10">
        <v>0</v>
      </c>
      <c r="H68" s="10">
        <f t="shared" si="0"/>
        <v>188</v>
      </c>
      <c r="I68" s="21">
        <v>3.7</v>
      </c>
      <c r="J68" s="13">
        <f t="shared" si="1"/>
        <v>695.6</v>
      </c>
      <c r="K68" s="21" t="s">
        <v>19</v>
      </c>
      <c r="L68" s="35" t="s">
        <v>235</v>
      </c>
      <c r="M68" s="22" t="s">
        <v>20</v>
      </c>
      <c r="N68" s="23">
        <f>VLOOKUP(I68,Intervalos!$B$3:$C$8,2,TRUE)</f>
        <v>0.01</v>
      </c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</row>
    <row r="69" spans="1:29" ht="90" x14ac:dyDescent="0.25">
      <c r="A69" s="18">
        <v>64</v>
      </c>
      <c r="B69" s="19" t="s">
        <v>106</v>
      </c>
      <c r="C69" s="11" t="s">
        <v>22</v>
      </c>
      <c r="D69" s="20">
        <v>609776</v>
      </c>
      <c r="E69" s="19" t="s">
        <v>18</v>
      </c>
      <c r="F69" s="19">
        <v>250</v>
      </c>
      <c r="G69" s="10">
        <v>0</v>
      </c>
      <c r="H69" s="10">
        <f t="shared" si="0"/>
        <v>250</v>
      </c>
      <c r="I69" s="21">
        <v>8.9</v>
      </c>
      <c r="J69" s="13">
        <f t="shared" si="1"/>
        <v>2225</v>
      </c>
      <c r="K69" s="21" t="s">
        <v>19</v>
      </c>
      <c r="L69" s="35" t="s">
        <v>235</v>
      </c>
      <c r="M69" s="22" t="s">
        <v>20</v>
      </c>
      <c r="N69" s="23">
        <f>VLOOKUP(I69,Intervalos!$B$3:$C$8,2,TRUE)</f>
        <v>0.02</v>
      </c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</row>
    <row r="70" spans="1:29" ht="123.75" x14ac:dyDescent="0.25">
      <c r="A70" s="18">
        <v>65</v>
      </c>
      <c r="B70" s="19" t="s">
        <v>107</v>
      </c>
      <c r="C70" s="11" t="s">
        <v>32</v>
      </c>
      <c r="D70" s="20">
        <v>460913</v>
      </c>
      <c r="E70" s="19" t="s">
        <v>18</v>
      </c>
      <c r="F70" s="19">
        <f>13*100</f>
        <v>1300</v>
      </c>
      <c r="G70" s="10">
        <v>0</v>
      </c>
      <c r="H70" s="10">
        <f t="shared" si="0"/>
        <v>1300</v>
      </c>
      <c r="I70" s="21">
        <f>54.6/100</f>
        <v>0.54600000000000004</v>
      </c>
      <c r="J70" s="13">
        <f t="shared" si="1"/>
        <v>715.00000000000011</v>
      </c>
      <c r="K70" s="21" t="s">
        <v>19</v>
      </c>
      <c r="L70" s="35" t="s">
        <v>235</v>
      </c>
      <c r="M70" s="22" t="s">
        <v>20</v>
      </c>
      <c r="N70" s="23">
        <f>VLOOKUP(I70,Intervalos!$B$3:$C$8,2,TRUE)</f>
        <v>0.01</v>
      </c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</row>
    <row r="71" spans="1:29" x14ac:dyDescent="0.25">
      <c r="A71" s="18">
        <v>66</v>
      </c>
      <c r="B71" s="19" t="s">
        <v>108</v>
      </c>
      <c r="C71" s="11" t="s">
        <v>22</v>
      </c>
      <c r="D71" s="20">
        <v>620163</v>
      </c>
      <c r="E71" s="19" t="s">
        <v>23</v>
      </c>
      <c r="F71" s="19">
        <v>1000</v>
      </c>
      <c r="G71" s="10">
        <v>300</v>
      </c>
      <c r="H71" s="10">
        <f t="shared" si="0"/>
        <v>1300</v>
      </c>
      <c r="I71" s="21">
        <v>4.63</v>
      </c>
      <c r="J71" s="13">
        <f t="shared" si="1"/>
        <v>6019</v>
      </c>
      <c r="K71" s="21" t="s">
        <v>19</v>
      </c>
      <c r="L71" s="35" t="s">
        <v>235</v>
      </c>
      <c r="M71" s="22" t="s">
        <v>20</v>
      </c>
      <c r="N71" s="23">
        <f>VLOOKUP(I71,Intervalos!$B$3:$C$8,2,TRUE)</f>
        <v>0.01</v>
      </c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</row>
    <row r="72" spans="1:29" ht="22.5" x14ac:dyDescent="0.25">
      <c r="A72" s="18">
        <v>67</v>
      </c>
      <c r="B72" s="19" t="s">
        <v>109</v>
      </c>
      <c r="C72" s="11" t="s">
        <v>22</v>
      </c>
      <c r="D72" s="20">
        <v>620164</v>
      </c>
      <c r="E72" s="19" t="s">
        <v>23</v>
      </c>
      <c r="F72" s="19">
        <v>438</v>
      </c>
      <c r="G72" s="10">
        <v>300</v>
      </c>
      <c r="H72" s="10">
        <f t="shared" si="0"/>
        <v>738</v>
      </c>
      <c r="I72" s="21">
        <v>4.5199999999999996</v>
      </c>
      <c r="J72" s="13">
        <f t="shared" si="1"/>
        <v>3335.7599999999998</v>
      </c>
      <c r="K72" s="21" t="s">
        <v>19</v>
      </c>
      <c r="L72" s="35" t="s">
        <v>235</v>
      </c>
      <c r="M72" s="22" t="s">
        <v>20</v>
      </c>
      <c r="N72" s="23">
        <f>VLOOKUP(I72,Intervalos!$B$3:$C$8,2,TRUE)</f>
        <v>0.01</v>
      </c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</row>
    <row r="73" spans="1:29" ht="56.25" x14ac:dyDescent="0.25">
      <c r="A73" s="18">
        <v>68</v>
      </c>
      <c r="B73" s="19" t="s">
        <v>110</v>
      </c>
      <c r="C73" s="11" t="s">
        <v>22</v>
      </c>
      <c r="D73" s="20">
        <v>396682</v>
      </c>
      <c r="E73" s="19" t="s">
        <v>23</v>
      </c>
      <c r="F73" s="19">
        <v>15</v>
      </c>
      <c r="G73" s="10">
        <v>0</v>
      </c>
      <c r="H73" s="10">
        <f t="shared" si="0"/>
        <v>15</v>
      </c>
      <c r="I73" s="21">
        <v>45.18</v>
      </c>
      <c r="J73" s="13">
        <f t="shared" si="1"/>
        <v>677.7</v>
      </c>
      <c r="K73" s="21" t="s">
        <v>19</v>
      </c>
      <c r="L73" s="35" t="s">
        <v>235</v>
      </c>
      <c r="M73" s="22" t="s">
        <v>20</v>
      </c>
      <c r="N73" s="23">
        <f>VLOOKUP(I73,Intervalos!$B$3:$C$8,2,TRUE)</f>
        <v>0.05</v>
      </c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</row>
    <row r="74" spans="1:29" ht="22.5" x14ac:dyDescent="0.25">
      <c r="A74" s="18">
        <v>69</v>
      </c>
      <c r="B74" s="19" t="s">
        <v>111</v>
      </c>
      <c r="C74" s="11" t="s">
        <v>22</v>
      </c>
      <c r="D74" s="20">
        <v>437860</v>
      </c>
      <c r="E74" s="19" t="s">
        <v>18</v>
      </c>
      <c r="F74" s="19">
        <v>1000</v>
      </c>
      <c r="G74" s="10">
        <v>100</v>
      </c>
      <c r="H74" s="10">
        <f t="shared" si="0"/>
        <v>1100</v>
      </c>
      <c r="I74" s="21">
        <v>15</v>
      </c>
      <c r="J74" s="13">
        <f t="shared" si="1"/>
        <v>16500</v>
      </c>
      <c r="K74" s="21" t="s">
        <v>19</v>
      </c>
      <c r="L74" s="35" t="s">
        <v>235</v>
      </c>
      <c r="M74" s="22" t="s">
        <v>20</v>
      </c>
      <c r="N74" s="23">
        <f>VLOOKUP(I74,Intervalos!$B$3:$C$8,2,TRUE)</f>
        <v>0.03</v>
      </c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</row>
    <row r="75" spans="1:29" ht="22.5" x14ac:dyDescent="0.25">
      <c r="A75" s="18">
        <v>70</v>
      </c>
      <c r="B75" s="19" t="s">
        <v>112</v>
      </c>
      <c r="C75" s="11" t="s">
        <v>22</v>
      </c>
      <c r="D75" s="20">
        <v>437862</v>
      </c>
      <c r="E75" s="19" t="s">
        <v>18</v>
      </c>
      <c r="F75" s="19">
        <v>932</v>
      </c>
      <c r="G75" s="10">
        <v>100</v>
      </c>
      <c r="H75" s="10">
        <f t="shared" si="0"/>
        <v>1032</v>
      </c>
      <c r="I75" s="21">
        <v>8.91</v>
      </c>
      <c r="J75" s="13">
        <f t="shared" si="1"/>
        <v>9195.1200000000008</v>
      </c>
      <c r="K75" s="21" t="s">
        <v>19</v>
      </c>
      <c r="L75" s="35" t="s">
        <v>235</v>
      </c>
      <c r="M75" s="22" t="s">
        <v>20</v>
      </c>
      <c r="N75" s="23">
        <f>VLOOKUP(I75,Intervalos!$B$3:$C$8,2,TRUE)</f>
        <v>0.02</v>
      </c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</row>
    <row r="76" spans="1:29" ht="56.25" x14ac:dyDescent="0.25">
      <c r="A76" s="18">
        <v>71</v>
      </c>
      <c r="B76" s="19" t="s">
        <v>113</v>
      </c>
      <c r="C76" s="11" t="s">
        <v>114</v>
      </c>
      <c r="D76" s="20">
        <v>460912</v>
      </c>
      <c r="E76" s="19" t="s">
        <v>18</v>
      </c>
      <c r="F76" s="19">
        <v>13</v>
      </c>
      <c r="G76" s="10">
        <v>0</v>
      </c>
      <c r="H76" s="10">
        <f t="shared" si="0"/>
        <v>13</v>
      </c>
      <c r="I76" s="21">
        <v>26.9</v>
      </c>
      <c r="J76" s="13">
        <f t="shared" si="1"/>
        <v>349.7</v>
      </c>
      <c r="K76" s="21" t="s">
        <v>19</v>
      </c>
      <c r="L76" s="35" t="s">
        <v>235</v>
      </c>
      <c r="M76" s="22" t="s">
        <v>20</v>
      </c>
      <c r="N76" s="23">
        <f>VLOOKUP(I76,Intervalos!$B$3:$C$8,2,TRUE)</f>
        <v>0.05</v>
      </c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</row>
    <row r="77" spans="1:29" ht="33.75" x14ac:dyDescent="0.25">
      <c r="A77" s="18">
        <v>72</v>
      </c>
      <c r="B77" s="19" t="s">
        <v>115</v>
      </c>
      <c r="C77" s="11" t="s">
        <v>32</v>
      </c>
      <c r="D77" s="20">
        <v>479744</v>
      </c>
      <c r="E77" s="19" t="s">
        <v>18</v>
      </c>
      <c r="F77" s="19">
        <f t="shared" ref="F77:F78" si="2">7*100</f>
        <v>700</v>
      </c>
      <c r="G77" s="10">
        <v>0</v>
      </c>
      <c r="H77" s="10">
        <f t="shared" si="0"/>
        <v>700</v>
      </c>
      <c r="I77" s="21">
        <f>166.71/100</f>
        <v>1.6671</v>
      </c>
      <c r="J77" s="13">
        <f t="shared" si="1"/>
        <v>1169</v>
      </c>
      <c r="K77" s="21" t="s">
        <v>19</v>
      </c>
      <c r="L77" s="35" t="s">
        <v>235</v>
      </c>
      <c r="M77" s="22" t="s">
        <v>20</v>
      </c>
      <c r="N77" s="23">
        <f>VLOOKUP(I77,Intervalos!$B$3:$C$8,2,TRUE)</f>
        <v>0.01</v>
      </c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</row>
    <row r="78" spans="1:29" ht="33.75" x14ac:dyDescent="0.25">
      <c r="A78" s="18">
        <v>73</v>
      </c>
      <c r="B78" s="19" t="s">
        <v>116</v>
      </c>
      <c r="C78" s="11" t="s">
        <v>32</v>
      </c>
      <c r="D78" s="20">
        <v>479745</v>
      </c>
      <c r="E78" s="19" t="s">
        <v>18</v>
      </c>
      <c r="F78" s="19">
        <f t="shared" si="2"/>
        <v>700</v>
      </c>
      <c r="G78" s="10">
        <v>0</v>
      </c>
      <c r="H78" s="10">
        <f t="shared" si="0"/>
        <v>700</v>
      </c>
      <c r="I78" s="21">
        <f>149.63/100</f>
        <v>1.4963</v>
      </c>
      <c r="J78" s="13">
        <f t="shared" si="1"/>
        <v>1050</v>
      </c>
      <c r="K78" s="21" t="s">
        <v>19</v>
      </c>
      <c r="L78" s="35" t="s">
        <v>235</v>
      </c>
      <c r="M78" s="22" t="s">
        <v>20</v>
      </c>
      <c r="N78" s="23">
        <f>VLOOKUP(I78,Intervalos!$B$3:$C$8,2,TRUE)</f>
        <v>0.01</v>
      </c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</row>
    <row r="79" spans="1:29" ht="33.75" x14ac:dyDescent="0.25">
      <c r="A79" s="18">
        <v>74</v>
      </c>
      <c r="B79" s="19" t="s">
        <v>117</v>
      </c>
      <c r="C79" s="11" t="s">
        <v>118</v>
      </c>
      <c r="D79" s="20">
        <v>431233</v>
      </c>
      <c r="E79" s="19" t="s">
        <v>18</v>
      </c>
      <c r="F79" s="19">
        <v>8</v>
      </c>
      <c r="G79" s="10">
        <v>0</v>
      </c>
      <c r="H79" s="10">
        <f t="shared" si="0"/>
        <v>8</v>
      </c>
      <c r="I79" s="21">
        <v>61.53</v>
      </c>
      <c r="J79" s="13">
        <f t="shared" si="1"/>
        <v>492.24</v>
      </c>
      <c r="K79" s="21" t="s">
        <v>19</v>
      </c>
      <c r="L79" s="35" t="s">
        <v>235</v>
      </c>
      <c r="M79" s="22" t="s">
        <v>20</v>
      </c>
      <c r="N79" s="23">
        <f>VLOOKUP(I79,Intervalos!$B$3:$C$8,2,TRUE)</f>
        <v>0.1</v>
      </c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</row>
    <row r="80" spans="1:29" ht="33.75" x14ac:dyDescent="0.25">
      <c r="A80" s="18">
        <v>75</v>
      </c>
      <c r="B80" s="19" t="s">
        <v>119</v>
      </c>
      <c r="C80" s="11" t="s">
        <v>118</v>
      </c>
      <c r="D80" s="20">
        <v>431262</v>
      </c>
      <c r="E80" s="19" t="s">
        <v>18</v>
      </c>
      <c r="F80" s="19">
        <v>7</v>
      </c>
      <c r="G80" s="10">
        <v>0</v>
      </c>
      <c r="H80" s="10">
        <f t="shared" si="0"/>
        <v>7</v>
      </c>
      <c r="I80" s="21">
        <v>1651</v>
      </c>
      <c r="J80" s="13">
        <f t="shared" si="1"/>
        <v>11557</v>
      </c>
      <c r="K80" s="21" t="s">
        <v>19</v>
      </c>
      <c r="L80" s="35" t="s">
        <v>235</v>
      </c>
      <c r="M80" s="22" t="s">
        <v>20</v>
      </c>
      <c r="N80" s="23" t="str">
        <f>VLOOKUP(I80,Intervalos!$B$3:$C$8,2,TRUE)</f>
        <v>0,10%</v>
      </c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</row>
    <row r="81" spans="1:29" ht="33.75" x14ac:dyDescent="0.25">
      <c r="A81" s="18">
        <v>76</v>
      </c>
      <c r="B81" s="19" t="s">
        <v>120</v>
      </c>
      <c r="C81" s="11" t="s">
        <v>118</v>
      </c>
      <c r="D81" s="20">
        <v>431262</v>
      </c>
      <c r="E81" s="19" t="s">
        <v>18</v>
      </c>
      <c r="F81" s="19">
        <v>7</v>
      </c>
      <c r="G81" s="10">
        <v>0</v>
      </c>
      <c r="H81" s="10">
        <f t="shared" si="0"/>
        <v>7</v>
      </c>
      <c r="I81" s="21">
        <v>1651</v>
      </c>
      <c r="J81" s="13">
        <f t="shared" si="1"/>
        <v>11557</v>
      </c>
      <c r="K81" s="21" t="s">
        <v>19</v>
      </c>
      <c r="L81" s="35" t="s">
        <v>235</v>
      </c>
      <c r="M81" s="22" t="s">
        <v>20</v>
      </c>
      <c r="N81" s="23" t="str">
        <f>VLOOKUP(I81,Intervalos!$B$3:$C$8,2,TRUE)</f>
        <v>0,10%</v>
      </c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</row>
    <row r="82" spans="1:29" ht="33.75" x14ac:dyDescent="0.25">
      <c r="A82" s="18">
        <v>77</v>
      </c>
      <c r="B82" s="19" t="s">
        <v>121</v>
      </c>
      <c r="C82" s="11" t="s">
        <v>118</v>
      </c>
      <c r="D82" s="20">
        <v>431239</v>
      </c>
      <c r="E82" s="19" t="s">
        <v>18</v>
      </c>
      <c r="F82" s="19">
        <v>7</v>
      </c>
      <c r="G82" s="10">
        <v>0</v>
      </c>
      <c r="H82" s="10">
        <f t="shared" si="0"/>
        <v>7</v>
      </c>
      <c r="I82" s="21">
        <v>2002.6</v>
      </c>
      <c r="J82" s="13">
        <f t="shared" si="1"/>
        <v>14018.199999999999</v>
      </c>
      <c r="K82" s="21" t="s">
        <v>19</v>
      </c>
      <c r="L82" s="35" t="s">
        <v>235</v>
      </c>
      <c r="M82" s="22" t="s">
        <v>20</v>
      </c>
      <c r="N82" s="23" t="str">
        <f>VLOOKUP(I82,Intervalos!$B$3:$C$8,2,TRUE)</f>
        <v>0,10%</v>
      </c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</row>
    <row r="83" spans="1:29" ht="22.5" x14ac:dyDescent="0.25">
      <c r="A83" s="18">
        <v>78</v>
      </c>
      <c r="B83" s="19" t="s">
        <v>122</v>
      </c>
      <c r="C83" s="11" t="s">
        <v>22</v>
      </c>
      <c r="D83" s="20">
        <v>431261</v>
      </c>
      <c r="E83" s="19" t="s">
        <v>18</v>
      </c>
      <c r="F83" s="19">
        <v>7</v>
      </c>
      <c r="G83" s="10">
        <v>0</v>
      </c>
      <c r="H83" s="10">
        <f t="shared" si="0"/>
        <v>7</v>
      </c>
      <c r="I83" s="21">
        <v>192.16</v>
      </c>
      <c r="J83" s="13">
        <f t="shared" si="1"/>
        <v>1345.12</v>
      </c>
      <c r="K83" s="21" t="s">
        <v>19</v>
      </c>
      <c r="L83" s="35" t="s">
        <v>235</v>
      </c>
      <c r="M83" s="22" t="s">
        <v>20</v>
      </c>
      <c r="N83" s="23" t="str">
        <f>VLOOKUP(I83,Intervalos!$B$3:$C$8,2,TRUE)</f>
        <v>0,10%</v>
      </c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</row>
    <row r="84" spans="1:29" ht="45" x14ac:dyDescent="0.25">
      <c r="A84" s="18">
        <v>79</v>
      </c>
      <c r="B84" s="19" t="s">
        <v>123</v>
      </c>
      <c r="C84" s="11" t="s">
        <v>32</v>
      </c>
      <c r="D84" s="20">
        <v>359485</v>
      </c>
      <c r="E84" s="19" t="s">
        <v>23</v>
      </c>
      <c r="F84" s="19">
        <f>7*50</f>
        <v>350</v>
      </c>
      <c r="G84" s="10">
        <v>0</v>
      </c>
      <c r="H84" s="10">
        <f t="shared" si="0"/>
        <v>350</v>
      </c>
      <c r="I84" s="21">
        <f>57.5/50</f>
        <v>1.1499999999999999</v>
      </c>
      <c r="J84" s="13">
        <f t="shared" si="1"/>
        <v>402.49999999999994</v>
      </c>
      <c r="K84" s="21" t="s">
        <v>19</v>
      </c>
      <c r="L84" s="35" t="s">
        <v>235</v>
      </c>
      <c r="M84" s="22" t="s">
        <v>20</v>
      </c>
      <c r="N84" s="23">
        <f>VLOOKUP(I84,Intervalos!$B$3:$C$8,2,TRUE)</f>
        <v>0.01</v>
      </c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</row>
    <row r="85" spans="1:29" ht="33.75" x14ac:dyDescent="0.25">
      <c r="A85" s="18">
        <v>80</v>
      </c>
      <c r="B85" s="19" t="s">
        <v>124</v>
      </c>
      <c r="C85" s="11" t="s">
        <v>32</v>
      </c>
      <c r="D85" s="20">
        <v>254416</v>
      </c>
      <c r="E85" s="19" t="s">
        <v>23</v>
      </c>
      <c r="F85" s="19">
        <f>8*50</f>
        <v>400</v>
      </c>
      <c r="G85" s="10">
        <v>0</v>
      </c>
      <c r="H85" s="10">
        <f t="shared" si="0"/>
        <v>400</v>
      </c>
      <c r="I85" s="21">
        <f>162.3/50</f>
        <v>3.2460000000000004</v>
      </c>
      <c r="J85" s="13">
        <f t="shared" si="1"/>
        <v>1300</v>
      </c>
      <c r="K85" s="21" t="s">
        <v>19</v>
      </c>
      <c r="L85" s="35" t="s">
        <v>235</v>
      </c>
      <c r="M85" s="22" t="s">
        <v>20</v>
      </c>
      <c r="N85" s="23">
        <f>VLOOKUP(I85,Intervalos!$B$3:$C$8,2,TRUE)</f>
        <v>0.01</v>
      </c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</row>
    <row r="86" spans="1:29" ht="67.5" x14ac:dyDescent="0.25">
      <c r="A86" s="18">
        <v>81</v>
      </c>
      <c r="B86" s="19" t="s">
        <v>125</v>
      </c>
      <c r="C86" s="11" t="s">
        <v>98</v>
      </c>
      <c r="D86" s="20">
        <v>438974</v>
      </c>
      <c r="E86" s="19" t="s">
        <v>23</v>
      </c>
      <c r="F86" s="19">
        <v>908</v>
      </c>
      <c r="G86" s="10">
        <v>10</v>
      </c>
      <c r="H86" s="10">
        <f t="shared" si="0"/>
        <v>918</v>
      </c>
      <c r="I86" s="21">
        <v>7.9</v>
      </c>
      <c r="J86" s="13">
        <f t="shared" si="1"/>
        <v>7252.2000000000007</v>
      </c>
      <c r="K86" s="21" t="s">
        <v>19</v>
      </c>
      <c r="L86" s="35" t="s">
        <v>235</v>
      </c>
      <c r="M86" s="22" t="s">
        <v>20</v>
      </c>
      <c r="N86" s="23">
        <f>VLOOKUP(I86,Intervalos!$B$3:$C$8,2,TRUE)</f>
        <v>0.02</v>
      </c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</row>
    <row r="87" spans="1:29" ht="45" x14ac:dyDescent="0.25">
      <c r="A87" s="18">
        <v>82</v>
      </c>
      <c r="B87" s="19" t="s">
        <v>126</v>
      </c>
      <c r="C87" s="11" t="s">
        <v>22</v>
      </c>
      <c r="D87" s="20">
        <v>478151</v>
      </c>
      <c r="E87" s="19" t="s">
        <v>18</v>
      </c>
      <c r="F87" s="19">
        <v>38</v>
      </c>
      <c r="G87" s="10">
        <v>25</v>
      </c>
      <c r="H87" s="10">
        <f t="shared" si="0"/>
        <v>63</v>
      </c>
      <c r="I87" s="21">
        <v>35.51</v>
      </c>
      <c r="J87" s="13">
        <f t="shared" si="1"/>
        <v>2237.1299999999997</v>
      </c>
      <c r="K87" s="21" t="s">
        <v>19</v>
      </c>
      <c r="L87" s="35" t="s">
        <v>235</v>
      </c>
      <c r="M87" s="22" t="s">
        <v>20</v>
      </c>
      <c r="N87" s="23">
        <f>VLOOKUP(I87,Intervalos!$B$3:$C$8,2,TRUE)</f>
        <v>0.05</v>
      </c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</row>
    <row r="88" spans="1:29" ht="22.5" x14ac:dyDescent="0.25">
      <c r="A88" s="18">
        <v>83</v>
      </c>
      <c r="B88" s="19" t="s">
        <v>127</v>
      </c>
      <c r="C88" s="11" t="s">
        <v>128</v>
      </c>
      <c r="D88" s="20">
        <v>626170</v>
      </c>
      <c r="E88" s="19" t="s">
        <v>23</v>
      </c>
      <c r="F88" s="19">
        <v>729</v>
      </c>
      <c r="G88" s="10">
        <v>50</v>
      </c>
      <c r="H88" s="10">
        <f t="shared" si="0"/>
        <v>779</v>
      </c>
      <c r="I88" s="21">
        <v>11.13</v>
      </c>
      <c r="J88" s="13">
        <f t="shared" si="1"/>
        <v>8670.27</v>
      </c>
      <c r="K88" s="21" t="s">
        <v>19</v>
      </c>
      <c r="L88" s="35" t="s">
        <v>235</v>
      </c>
      <c r="M88" s="22" t="s">
        <v>20</v>
      </c>
      <c r="N88" s="23">
        <f>VLOOKUP(I88,Intervalos!$B$3:$C$8,2,TRUE)</f>
        <v>0.03</v>
      </c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</row>
    <row r="89" spans="1:29" ht="45" x14ac:dyDescent="0.25">
      <c r="A89" s="18">
        <v>84</v>
      </c>
      <c r="B89" s="19" t="s">
        <v>129</v>
      </c>
      <c r="C89" s="11" t="s">
        <v>22</v>
      </c>
      <c r="D89" s="20">
        <v>437882</v>
      </c>
      <c r="E89" s="19" t="s">
        <v>18</v>
      </c>
      <c r="F89" s="19">
        <v>194</v>
      </c>
      <c r="G89" s="10">
        <v>100</v>
      </c>
      <c r="H89" s="10">
        <f t="shared" si="0"/>
        <v>294</v>
      </c>
      <c r="I89" s="21">
        <v>11.9</v>
      </c>
      <c r="J89" s="13">
        <f t="shared" si="1"/>
        <v>3498.6</v>
      </c>
      <c r="K89" s="21" t="s">
        <v>19</v>
      </c>
      <c r="L89" s="35" t="s">
        <v>235</v>
      </c>
      <c r="M89" s="22" t="s">
        <v>20</v>
      </c>
      <c r="N89" s="23">
        <f>VLOOKUP(I89,Intervalos!$B$3:$C$8,2,TRUE)</f>
        <v>0.03</v>
      </c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</row>
    <row r="90" spans="1:29" ht="45" x14ac:dyDescent="0.25">
      <c r="A90" s="18">
        <v>85</v>
      </c>
      <c r="B90" s="19" t="s">
        <v>130</v>
      </c>
      <c r="C90" s="11" t="s">
        <v>32</v>
      </c>
      <c r="D90" s="20">
        <v>362539</v>
      </c>
      <c r="E90" s="19" t="s">
        <v>18</v>
      </c>
      <c r="F90" s="19">
        <f>75*50</f>
        <v>3750</v>
      </c>
      <c r="G90" s="10">
        <v>20</v>
      </c>
      <c r="H90" s="10">
        <f t="shared" si="0"/>
        <v>3770</v>
      </c>
      <c r="I90" s="21">
        <f>87.57/50</f>
        <v>1.7513999999999998</v>
      </c>
      <c r="J90" s="13">
        <f t="shared" si="1"/>
        <v>6597.5</v>
      </c>
      <c r="K90" s="21" t="s">
        <v>19</v>
      </c>
      <c r="L90" s="35" t="s">
        <v>235</v>
      </c>
      <c r="M90" s="22" t="s">
        <v>20</v>
      </c>
      <c r="N90" s="23">
        <f>VLOOKUP(I90,Intervalos!$B$3:$C$8,2,TRUE)</f>
        <v>0.01</v>
      </c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</row>
    <row r="91" spans="1:29" ht="90" x14ac:dyDescent="0.25">
      <c r="A91" s="18">
        <v>86</v>
      </c>
      <c r="B91" s="19" t="s">
        <v>131</v>
      </c>
      <c r="C91" s="11" t="s">
        <v>132</v>
      </c>
      <c r="D91" s="20">
        <v>362539</v>
      </c>
      <c r="E91" s="19" t="s">
        <v>18</v>
      </c>
      <c r="F91" s="19">
        <f>85*50</f>
        <v>4250</v>
      </c>
      <c r="G91" s="10">
        <v>20</v>
      </c>
      <c r="H91" s="10">
        <f t="shared" si="0"/>
        <v>4270</v>
      </c>
      <c r="I91" s="21">
        <f>79.9/50</f>
        <v>1.5980000000000001</v>
      </c>
      <c r="J91" s="13">
        <f t="shared" si="1"/>
        <v>6832</v>
      </c>
      <c r="K91" s="21" t="s">
        <v>19</v>
      </c>
      <c r="L91" s="35" t="s">
        <v>235</v>
      </c>
      <c r="M91" s="22" t="s">
        <v>20</v>
      </c>
      <c r="N91" s="23">
        <f>VLOOKUP(I91,Intervalos!$B$3:$C$8,2,TRUE)</f>
        <v>0.01</v>
      </c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</row>
    <row r="92" spans="1:29" ht="33.75" x14ac:dyDescent="0.25">
      <c r="A92" s="18">
        <v>87</v>
      </c>
      <c r="B92" s="19" t="s">
        <v>133</v>
      </c>
      <c r="C92" s="11" t="s">
        <v>38</v>
      </c>
      <c r="D92" s="20">
        <v>457197</v>
      </c>
      <c r="E92" s="19" t="s">
        <v>23</v>
      </c>
      <c r="F92" s="19">
        <v>15</v>
      </c>
      <c r="G92" s="10">
        <v>0</v>
      </c>
      <c r="H92" s="10">
        <f t="shared" si="0"/>
        <v>15</v>
      </c>
      <c r="I92" s="21">
        <v>18.66</v>
      </c>
      <c r="J92" s="13">
        <f t="shared" si="1"/>
        <v>279.89999999999998</v>
      </c>
      <c r="K92" s="21" t="s">
        <v>19</v>
      </c>
      <c r="L92" s="35" t="s">
        <v>235</v>
      </c>
      <c r="M92" s="22" t="s">
        <v>20</v>
      </c>
      <c r="N92" s="23">
        <f>VLOOKUP(I92,Intervalos!$B$3:$C$8,2,TRUE)</f>
        <v>0.03</v>
      </c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</row>
    <row r="93" spans="1:29" ht="22.5" x14ac:dyDescent="0.25">
      <c r="A93" s="18">
        <v>88</v>
      </c>
      <c r="B93" s="19" t="s">
        <v>134</v>
      </c>
      <c r="C93" s="11" t="s">
        <v>32</v>
      </c>
      <c r="D93" s="20">
        <v>616013</v>
      </c>
      <c r="E93" s="19" t="s">
        <v>23</v>
      </c>
      <c r="F93" s="19">
        <f>13*16</f>
        <v>208</v>
      </c>
      <c r="G93" s="10">
        <v>0</v>
      </c>
      <c r="H93" s="10">
        <f t="shared" si="0"/>
        <v>208</v>
      </c>
      <c r="I93" s="21">
        <f>61.3/16</f>
        <v>3.8312499999999998</v>
      </c>
      <c r="J93" s="13">
        <f t="shared" si="1"/>
        <v>796.64</v>
      </c>
      <c r="K93" s="21" t="s">
        <v>19</v>
      </c>
      <c r="L93" s="35" t="s">
        <v>235</v>
      </c>
      <c r="M93" s="22" t="s">
        <v>20</v>
      </c>
      <c r="N93" s="23">
        <f>VLOOKUP(I93,Intervalos!$B$3:$C$8,2,TRUE)</f>
        <v>0.01</v>
      </c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</row>
    <row r="94" spans="1:29" ht="33.75" x14ac:dyDescent="0.25">
      <c r="A94" s="18">
        <v>89</v>
      </c>
      <c r="B94" s="19" t="s">
        <v>135</v>
      </c>
      <c r="C94" s="11" t="s">
        <v>136</v>
      </c>
      <c r="D94" s="20">
        <v>616000</v>
      </c>
      <c r="E94" s="19" t="s">
        <v>23</v>
      </c>
      <c r="F94" s="19">
        <v>5</v>
      </c>
      <c r="G94" s="10">
        <v>0</v>
      </c>
      <c r="H94" s="10">
        <f t="shared" si="0"/>
        <v>5</v>
      </c>
      <c r="I94" s="21">
        <v>51.97</v>
      </c>
      <c r="J94" s="13">
        <f t="shared" si="1"/>
        <v>259.85000000000002</v>
      </c>
      <c r="K94" s="21" t="s">
        <v>19</v>
      </c>
      <c r="L94" s="35" t="s">
        <v>235</v>
      </c>
      <c r="M94" s="22" t="s">
        <v>20</v>
      </c>
      <c r="N94" s="23">
        <f>VLOOKUP(I94,Intervalos!$B$3:$C$8,2,TRUE)</f>
        <v>0.1</v>
      </c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</row>
    <row r="95" spans="1:29" ht="56.25" x14ac:dyDescent="0.25">
      <c r="A95" s="18">
        <v>90</v>
      </c>
      <c r="B95" s="19" t="s">
        <v>137</v>
      </c>
      <c r="C95" s="11" t="s">
        <v>32</v>
      </c>
      <c r="D95" s="20">
        <v>616023</v>
      </c>
      <c r="E95" s="19" t="s">
        <v>23</v>
      </c>
      <c r="F95" s="19">
        <f>15*8</f>
        <v>120</v>
      </c>
      <c r="G95" s="10">
        <v>0</v>
      </c>
      <c r="H95" s="10">
        <f t="shared" si="0"/>
        <v>120</v>
      </c>
      <c r="I95" s="21">
        <f>24.9/8</f>
        <v>3.1124999999999998</v>
      </c>
      <c r="J95" s="13">
        <f t="shared" si="1"/>
        <v>373.2</v>
      </c>
      <c r="K95" s="21" t="s">
        <v>19</v>
      </c>
      <c r="L95" s="35" t="s">
        <v>235</v>
      </c>
      <c r="M95" s="22" t="s">
        <v>20</v>
      </c>
      <c r="N95" s="23">
        <f>VLOOKUP(I95,Intervalos!$B$3:$C$8,2,TRUE)</f>
        <v>0.01</v>
      </c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</row>
    <row r="96" spans="1:29" x14ac:dyDescent="0.25">
      <c r="A96" s="18">
        <v>91</v>
      </c>
      <c r="B96" s="19" t="s">
        <v>138</v>
      </c>
      <c r="C96" s="11" t="s">
        <v>139</v>
      </c>
      <c r="D96" s="20">
        <v>438929</v>
      </c>
      <c r="E96" s="19" t="s">
        <v>18</v>
      </c>
      <c r="F96" s="19">
        <v>113</v>
      </c>
      <c r="G96" s="10">
        <v>0</v>
      </c>
      <c r="H96" s="10">
        <f t="shared" si="0"/>
        <v>113</v>
      </c>
      <c r="I96" s="21">
        <v>64</v>
      </c>
      <c r="J96" s="13">
        <f t="shared" si="1"/>
        <v>7232</v>
      </c>
      <c r="K96" s="21" t="s">
        <v>19</v>
      </c>
      <c r="L96" s="35" t="s">
        <v>235</v>
      </c>
      <c r="M96" s="22" t="s">
        <v>20</v>
      </c>
      <c r="N96" s="23">
        <f>VLOOKUP(I96,Intervalos!$B$3:$C$8,2,TRUE)</f>
        <v>0.1</v>
      </c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</row>
    <row r="97" spans="1:29" ht="22.5" x14ac:dyDescent="0.25">
      <c r="A97" s="18">
        <v>92</v>
      </c>
      <c r="B97" s="19" t="s">
        <v>140</v>
      </c>
      <c r="C97" s="11" t="s">
        <v>141</v>
      </c>
      <c r="D97" s="20">
        <v>438929</v>
      </c>
      <c r="E97" s="19" t="s">
        <v>18</v>
      </c>
      <c r="F97" s="19">
        <v>250</v>
      </c>
      <c r="G97" s="10">
        <v>0</v>
      </c>
      <c r="H97" s="10">
        <f t="shared" si="0"/>
        <v>250</v>
      </c>
      <c r="I97" s="21">
        <v>3.55</v>
      </c>
      <c r="J97" s="13">
        <f t="shared" si="1"/>
        <v>887.5</v>
      </c>
      <c r="K97" s="21" t="s">
        <v>19</v>
      </c>
      <c r="L97" s="35" t="s">
        <v>235</v>
      </c>
      <c r="M97" s="22" t="s">
        <v>20</v>
      </c>
      <c r="N97" s="23">
        <f>VLOOKUP(I97,Intervalos!$B$3:$C$8,2,TRUE)</f>
        <v>0.01</v>
      </c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</row>
    <row r="98" spans="1:29" ht="22.5" x14ac:dyDescent="0.25">
      <c r="A98" s="18">
        <v>93</v>
      </c>
      <c r="B98" s="19" t="s">
        <v>142</v>
      </c>
      <c r="C98" s="11" t="s">
        <v>143</v>
      </c>
      <c r="D98" s="20">
        <v>481317</v>
      </c>
      <c r="E98" s="19" t="s">
        <v>23</v>
      </c>
      <c r="F98" s="19">
        <v>63</v>
      </c>
      <c r="G98" s="10">
        <v>10</v>
      </c>
      <c r="H98" s="10">
        <f t="shared" si="0"/>
        <v>73</v>
      </c>
      <c r="I98" s="21">
        <v>6.56</v>
      </c>
      <c r="J98" s="13">
        <f t="shared" si="1"/>
        <v>478.88</v>
      </c>
      <c r="K98" s="21" t="s">
        <v>19</v>
      </c>
      <c r="L98" s="35" t="s">
        <v>235</v>
      </c>
      <c r="M98" s="22" t="s">
        <v>20</v>
      </c>
      <c r="N98" s="23">
        <f>VLOOKUP(I98,Intervalos!$B$3:$C$8,2,TRUE)</f>
        <v>0.02</v>
      </c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</row>
    <row r="99" spans="1:29" ht="56.25" x14ac:dyDescent="0.25">
      <c r="A99" s="18">
        <v>94</v>
      </c>
      <c r="B99" s="19" t="s">
        <v>144</v>
      </c>
      <c r="C99" s="11" t="s">
        <v>22</v>
      </c>
      <c r="D99" s="20">
        <v>439636</v>
      </c>
      <c r="E99" s="19" t="s">
        <v>23</v>
      </c>
      <c r="F99" s="19">
        <v>7</v>
      </c>
      <c r="G99" s="10">
        <v>0</v>
      </c>
      <c r="H99" s="10">
        <f t="shared" si="0"/>
        <v>7</v>
      </c>
      <c r="I99" s="21">
        <v>328</v>
      </c>
      <c r="J99" s="13">
        <f t="shared" si="1"/>
        <v>2296</v>
      </c>
      <c r="K99" s="21" t="s">
        <v>19</v>
      </c>
      <c r="L99" s="35" t="s">
        <v>235</v>
      </c>
      <c r="M99" s="22" t="s">
        <v>20</v>
      </c>
      <c r="N99" s="23" t="str">
        <f>VLOOKUP(I99,Intervalos!$B$3:$C$8,2,TRUE)</f>
        <v>0,10%</v>
      </c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</row>
    <row r="100" spans="1:29" ht="33.75" x14ac:dyDescent="0.25">
      <c r="A100" s="18">
        <v>95</v>
      </c>
      <c r="B100" s="19" t="s">
        <v>145</v>
      </c>
      <c r="C100" s="11" t="s">
        <v>146</v>
      </c>
      <c r="D100" s="20">
        <v>241535</v>
      </c>
      <c r="E100" s="19" t="s">
        <v>23</v>
      </c>
      <c r="F100" s="19">
        <v>413</v>
      </c>
      <c r="G100" s="10">
        <v>100</v>
      </c>
      <c r="H100" s="10">
        <f t="shared" si="0"/>
        <v>513</v>
      </c>
      <c r="I100" s="21">
        <v>3.45</v>
      </c>
      <c r="J100" s="13">
        <f t="shared" si="1"/>
        <v>1769.8500000000001</v>
      </c>
      <c r="K100" s="21" t="s">
        <v>19</v>
      </c>
      <c r="L100" s="35" t="s">
        <v>235</v>
      </c>
      <c r="M100" s="22" t="s">
        <v>20</v>
      </c>
      <c r="N100" s="23">
        <f>VLOOKUP(I100,Intervalos!$B$3:$C$8,2,TRUE)</f>
        <v>0.01</v>
      </c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</row>
    <row r="101" spans="1:29" ht="33.75" x14ac:dyDescent="0.25">
      <c r="A101" s="18">
        <v>96</v>
      </c>
      <c r="B101" s="19" t="s">
        <v>147</v>
      </c>
      <c r="C101" s="11" t="s">
        <v>148</v>
      </c>
      <c r="D101" s="20">
        <v>601018</v>
      </c>
      <c r="E101" s="19" t="s">
        <v>149</v>
      </c>
      <c r="F101" s="19">
        <v>27</v>
      </c>
      <c r="G101" s="10">
        <v>100</v>
      </c>
      <c r="H101" s="10">
        <f t="shared" si="0"/>
        <v>127</v>
      </c>
      <c r="I101" s="21">
        <v>9.09</v>
      </c>
      <c r="J101" s="13">
        <f t="shared" si="1"/>
        <v>1154.43</v>
      </c>
      <c r="K101" s="21" t="s">
        <v>19</v>
      </c>
      <c r="L101" s="35" t="s">
        <v>235</v>
      </c>
      <c r="M101" s="22" t="s">
        <v>20</v>
      </c>
      <c r="N101" s="23">
        <f>VLOOKUP(I101,Intervalos!$B$3:$C$8,2,TRUE)</f>
        <v>0.02</v>
      </c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</row>
    <row r="102" spans="1:29" ht="33.75" x14ac:dyDescent="0.25">
      <c r="A102" s="18">
        <v>97</v>
      </c>
      <c r="B102" s="19" t="s">
        <v>150</v>
      </c>
      <c r="C102" s="11" t="s">
        <v>32</v>
      </c>
      <c r="D102" s="20">
        <v>481791</v>
      </c>
      <c r="E102" s="19" t="s">
        <v>23</v>
      </c>
      <c r="F102" s="19">
        <v>207</v>
      </c>
      <c r="G102" s="10">
        <v>207</v>
      </c>
      <c r="H102" s="10">
        <f t="shared" si="0"/>
        <v>414</v>
      </c>
      <c r="I102" s="21">
        <v>22.9</v>
      </c>
      <c r="J102" s="13">
        <f t="shared" si="1"/>
        <v>9480.5999999999985</v>
      </c>
      <c r="K102" s="21" t="s">
        <v>19</v>
      </c>
      <c r="L102" s="35" t="s">
        <v>235</v>
      </c>
      <c r="M102" s="22" t="s">
        <v>20</v>
      </c>
      <c r="N102" s="23">
        <f>VLOOKUP(I102,Intervalos!$B$3:$C$8,2,TRUE)</f>
        <v>0.05</v>
      </c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</row>
    <row r="103" spans="1:29" ht="22.5" x14ac:dyDescent="0.25">
      <c r="A103" s="18">
        <v>98</v>
      </c>
      <c r="B103" s="19" t="s">
        <v>151</v>
      </c>
      <c r="C103" s="11" t="s">
        <v>32</v>
      </c>
      <c r="D103" s="20">
        <v>481790</v>
      </c>
      <c r="E103" s="19" t="s">
        <v>23</v>
      </c>
      <c r="F103" s="19">
        <v>45</v>
      </c>
      <c r="G103" s="10">
        <v>45</v>
      </c>
      <c r="H103" s="10">
        <f t="shared" si="0"/>
        <v>90</v>
      </c>
      <c r="I103" s="21">
        <v>16.899999999999999</v>
      </c>
      <c r="J103" s="13">
        <f t="shared" si="1"/>
        <v>1520.9999999999998</v>
      </c>
      <c r="K103" s="21" t="s">
        <v>19</v>
      </c>
      <c r="L103" s="35" t="s">
        <v>235</v>
      </c>
      <c r="M103" s="22" t="s">
        <v>20</v>
      </c>
      <c r="N103" s="23">
        <f>VLOOKUP(I103,Intervalos!$B$3:$C$8,2,TRUE)</f>
        <v>0.03</v>
      </c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</row>
    <row r="104" spans="1:29" ht="22.5" x14ac:dyDescent="0.25">
      <c r="A104" s="18">
        <v>99</v>
      </c>
      <c r="B104" s="19" t="s">
        <v>152</v>
      </c>
      <c r="C104" s="11" t="s">
        <v>22</v>
      </c>
      <c r="D104" s="20">
        <v>623431</v>
      </c>
      <c r="E104" s="19" t="s">
        <v>23</v>
      </c>
      <c r="F104" s="19">
        <v>13</v>
      </c>
      <c r="G104" s="10">
        <v>0</v>
      </c>
      <c r="H104" s="10">
        <f t="shared" si="0"/>
        <v>13</v>
      </c>
      <c r="I104" s="21">
        <v>36.9</v>
      </c>
      <c r="J104" s="13">
        <f t="shared" si="1"/>
        <v>479.7</v>
      </c>
      <c r="K104" s="21" t="s">
        <v>19</v>
      </c>
      <c r="L104" s="35" t="s">
        <v>235</v>
      </c>
      <c r="M104" s="22" t="s">
        <v>20</v>
      </c>
      <c r="N104" s="23">
        <f>VLOOKUP(I104,Intervalos!$B$3:$C$8,2,TRUE)</f>
        <v>0.05</v>
      </c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</row>
    <row r="105" spans="1:29" ht="33.75" x14ac:dyDescent="0.25">
      <c r="A105" s="18">
        <v>100</v>
      </c>
      <c r="B105" s="19" t="s">
        <v>153</v>
      </c>
      <c r="C105" s="11" t="s">
        <v>22</v>
      </c>
      <c r="D105" s="20">
        <v>459622</v>
      </c>
      <c r="E105" s="19" t="s">
        <v>23</v>
      </c>
      <c r="F105" s="19">
        <v>13</v>
      </c>
      <c r="G105" s="10">
        <v>0</v>
      </c>
      <c r="H105" s="10">
        <f t="shared" si="0"/>
        <v>13</v>
      </c>
      <c r="I105" s="21">
        <v>40.93</v>
      </c>
      <c r="J105" s="13">
        <f t="shared" si="1"/>
        <v>532.09</v>
      </c>
      <c r="K105" s="21" t="s">
        <v>19</v>
      </c>
      <c r="L105" s="35" t="s">
        <v>235</v>
      </c>
      <c r="M105" s="22" t="s">
        <v>20</v>
      </c>
      <c r="N105" s="23">
        <f>VLOOKUP(I105,Intervalos!$B$3:$C$8,2,TRUE)</f>
        <v>0.05</v>
      </c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</row>
    <row r="106" spans="1:29" ht="45" x14ac:dyDescent="0.25">
      <c r="A106" s="18">
        <v>101</v>
      </c>
      <c r="B106" s="19" t="s">
        <v>154</v>
      </c>
      <c r="C106" s="11" t="s">
        <v>155</v>
      </c>
      <c r="D106" s="20">
        <v>619861</v>
      </c>
      <c r="E106" s="19" t="s">
        <v>23</v>
      </c>
      <c r="F106" s="19">
        <v>400</v>
      </c>
      <c r="G106" s="10">
        <v>0</v>
      </c>
      <c r="H106" s="10">
        <f t="shared" si="0"/>
        <v>400</v>
      </c>
      <c r="I106" s="21">
        <v>80</v>
      </c>
      <c r="J106" s="13">
        <f t="shared" si="1"/>
        <v>32000</v>
      </c>
      <c r="K106" s="21" t="s">
        <v>19</v>
      </c>
      <c r="L106" s="35" t="s">
        <v>235</v>
      </c>
      <c r="M106" s="22" t="s">
        <v>20</v>
      </c>
      <c r="N106" s="23">
        <f>VLOOKUP(I106,Intervalos!$B$3:$C$8,2,TRUE)</f>
        <v>0.1</v>
      </c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</row>
    <row r="107" spans="1:29" ht="56.25" x14ac:dyDescent="0.25">
      <c r="A107" s="18">
        <v>102</v>
      </c>
      <c r="B107" s="19" t="s">
        <v>156</v>
      </c>
      <c r="C107" s="11" t="s">
        <v>22</v>
      </c>
      <c r="D107" s="20">
        <v>475106</v>
      </c>
      <c r="E107" s="19" t="s">
        <v>23</v>
      </c>
      <c r="F107" s="19">
        <v>50</v>
      </c>
      <c r="G107" s="10">
        <v>0</v>
      </c>
      <c r="H107" s="10">
        <f t="shared" si="0"/>
        <v>50</v>
      </c>
      <c r="I107" s="21">
        <v>15.77</v>
      </c>
      <c r="J107" s="13">
        <f t="shared" si="1"/>
        <v>788.5</v>
      </c>
      <c r="K107" s="21" t="s">
        <v>19</v>
      </c>
      <c r="L107" s="35" t="s">
        <v>235</v>
      </c>
      <c r="M107" s="22" t="s">
        <v>20</v>
      </c>
      <c r="N107" s="23">
        <f>VLOOKUP(I107,Intervalos!$B$3:$C$8,2,TRUE)</f>
        <v>0.03</v>
      </c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</row>
    <row r="108" spans="1:29" ht="33.75" x14ac:dyDescent="0.25">
      <c r="A108" s="18">
        <v>103</v>
      </c>
      <c r="B108" s="19" t="s">
        <v>157</v>
      </c>
      <c r="C108" s="11" t="s">
        <v>32</v>
      </c>
      <c r="D108" s="20">
        <v>304804</v>
      </c>
      <c r="E108" s="19" t="s">
        <v>23</v>
      </c>
      <c r="F108" s="19">
        <v>13</v>
      </c>
      <c r="G108" s="10">
        <v>0</v>
      </c>
      <c r="H108" s="10">
        <f t="shared" si="0"/>
        <v>13</v>
      </c>
      <c r="I108" s="21">
        <v>752.57</v>
      </c>
      <c r="J108" s="13">
        <f t="shared" si="1"/>
        <v>9783.41</v>
      </c>
      <c r="K108" s="21" t="s">
        <v>19</v>
      </c>
      <c r="L108" s="35" t="s">
        <v>235</v>
      </c>
      <c r="M108" s="22" t="s">
        <v>20</v>
      </c>
      <c r="N108" s="23" t="str">
        <f>VLOOKUP(I108,Intervalos!$B$3:$C$8,2,TRUE)</f>
        <v>0,10%</v>
      </c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</row>
    <row r="109" spans="1:29" ht="56.25" x14ac:dyDescent="0.25">
      <c r="A109" s="18">
        <v>104</v>
      </c>
      <c r="B109" s="19" t="s">
        <v>158</v>
      </c>
      <c r="C109" s="11" t="s">
        <v>159</v>
      </c>
      <c r="D109" s="20">
        <v>320700</v>
      </c>
      <c r="E109" s="19" t="s">
        <v>160</v>
      </c>
      <c r="F109" s="19">
        <v>409</v>
      </c>
      <c r="G109" s="10">
        <v>100</v>
      </c>
      <c r="H109" s="10">
        <f t="shared" si="0"/>
        <v>509</v>
      </c>
      <c r="I109" s="21">
        <v>57.88</v>
      </c>
      <c r="J109" s="13">
        <f t="shared" si="1"/>
        <v>29460.920000000002</v>
      </c>
      <c r="K109" s="21" t="s">
        <v>19</v>
      </c>
      <c r="L109" s="35" t="s">
        <v>235</v>
      </c>
      <c r="M109" s="22" t="s">
        <v>20</v>
      </c>
      <c r="N109" s="23">
        <f>VLOOKUP(I109,Intervalos!$B$3:$C$8,2,TRUE)</f>
        <v>0.1</v>
      </c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</row>
    <row r="110" spans="1:29" ht="67.5" x14ac:dyDescent="0.25">
      <c r="A110" s="18">
        <v>105</v>
      </c>
      <c r="B110" s="19" t="s">
        <v>161</v>
      </c>
      <c r="C110" s="11" t="s">
        <v>22</v>
      </c>
      <c r="D110" s="20">
        <v>459346</v>
      </c>
      <c r="E110" s="19" t="s">
        <v>23</v>
      </c>
      <c r="F110" s="19">
        <v>3</v>
      </c>
      <c r="G110" s="10">
        <v>0</v>
      </c>
      <c r="H110" s="10">
        <f t="shared" si="0"/>
        <v>3</v>
      </c>
      <c r="I110" s="21">
        <v>365.2</v>
      </c>
      <c r="J110" s="13">
        <f t="shared" si="1"/>
        <v>1095.5999999999999</v>
      </c>
      <c r="K110" s="21" t="s">
        <v>19</v>
      </c>
      <c r="L110" s="35" t="s">
        <v>235</v>
      </c>
      <c r="M110" s="22" t="s">
        <v>20</v>
      </c>
      <c r="N110" s="23" t="str">
        <f>VLOOKUP(I110,Intervalos!$B$3:$C$8,2,TRUE)</f>
        <v>0,10%</v>
      </c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</row>
    <row r="111" spans="1:29" ht="56.25" x14ac:dyDescent="0.25">
      <c r="A111" s="18">
        <v>106</v>
      </c>
      <c r="B111" s="19" t="s">
        <v>162</v>
      </c>
      <c r="C111" s="11" t="s">
        <v>22</v>
      </c>
      <c r="D111" s="20">
        <v>369230</v>
      </c>
      <c r="E111" s="19" t="s">
        <v>23</v>
      </c>
      <c r="F111" s="19">
        <v>25</v>
      </c>
      <c r="G111" s="10">
        <v>20</v>
      </c>
      <c r="H111" s="10">
        <f t="shared" si="0"/>
        <v>45</v>
      </c>
      <c r="I111" s="21">
        <v>10.85</v>
      </c>
      <c r="J111" s="13">
        <f t="shared" si="1"/>
        <v>488.25</v>
      </c>
      <c r="K111" s="21" t="s">
        <v>19</v>
      </c>
      <c r="L111" s="35" t="s">
        <v>235</v>
      </c>
      <c r="M111" s="22" t="s">
        <v>20</v>
      </c>
      <c r="N111" s="23">
        <f>VLOOKUP(I111,Intervalos!$B$3:$C$8,2,TRUE)</f>
        <v>0.03</v>
      </c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</row>
    <row r="112" spans="1:29" ht="22.5" x14ac:dyDescent="0.25">
      <c r="A112" s="18">
        <v>107</v>
      </c>
      <c r="B112" s="19" t="s">
        <v>163</v>
      </c>
      <c r="C112" s="11" t="s">
        <v>22</v>
      </c>
      <c r="D112" s="20">
        <v>451531</v>
      </c>
      <c r="E112" s="19" t="s">
        <v>23</v>
      </c>
      <c r="F112" s="19">
        <v>144</v>
      </c>
      <c r="G112" s="10">
        <v>10</v>
      </c>
      <c r="H112" s="10">
        <f t="shared" si="0"/>
        <v>154</v>
      </c>
      <c r="I112" s="21">
        <v>35.24</v>
      </c>
      <c r="J112" s="13">
        <f t="shared" si="1"/>
        <v>5426.96</v>
      </c>
      <c r="K112" s="21" t="s">
        <v>19</v>
      </c>
      <c r="L112" s="35" t="s">
        <v>235</v>
      </c>
      <c r="M112" s="22" t="s">
        <v>20</v>
      </c>
      <c r="N112" s="23">
        <f>VLOOKUP(I112,Intervalos!$B$3:$C$8,2,TRUE)</f>
        <v>0.05</v>
      </c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</row>
    <row r="113" spans="1:29" ht="56.25" x14ac:dyDescent="0.25">
      <c r="A113" s="18">
        <v>108</v>
      </c>
      <c r="B113" s="19" t="s">
        <v>164</v>
      </c>
      <c r="C113" s="11" t="s">
        <v>32</v>
      </c>
      <c r="D113" s="20">
        <v>406274</v>
      </c>
      <c r="E113" s="19" t="s">
        <v>18</v>
      </c>
      <c r="F113" s="19">
        <v>125</v>
      </c>
      <c r="G113" s="10">
        <v>0</v>
      </c>
      <c r="H113" s="10">
        <f t="shared" si="0"/>
        <v>125</v>
      </c>
      <c r="I113" s="21">
        <v>8.64</v>
      </c>
      <c r="J113" s="13">
        <f t="shared" si="1"/>
        <v>1080</v>
      </c>
      <c r="K113" s="21" t="s">
        <v>19</v>
      </c>
      <c r="L113" s="35" t="s">
        <v>235</v>
      </c>
      <c r="M113" s="22" t="s">
        <v>20</v>
      </c>
      <c r="N113" s="23">
        <f>VLOOKUP(I113,Intervalos!$B$3:$C$8,2,TRUE)</f>
        <v>0.02</v>
      </c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</row>
    <row r="114" spans="1:29" ht="56.25" x14ac:dyDescent="0.25">
      <c r="A114" s="18">
        <v>109</v>
      </c>
      <c r="B114" s="19" t="s">
        <v>165</v>
      </c>
      <c r="C114" s="11" t="s">
        <v>32</v>
      </c>
      <c r="D114" s="20">
        <v>406273</v>
      </c>
      <c r="E114" s="19" t="s">
        <v>18</v>
      </c>
      <c r="F114" s="19">
        <v>375</v>
      </c>
      <c r="G114" s="10">
        <v>0</v>
      </c>
      <c r="H114" s="10">
        <f t="shared" si="0"/>
        <v>375</v>
      </c>
      <c r="I114" s="21">
        <v>8.26</v>
      </c>
      <c r="J114" s="13">
        <f t="shared" si="1"/>
        <v>3097.5</v>
      </c>
      <c r="K114" s="21" t="s">
        <v>19</v>
      </c>
      <c r="L114" s="35" t="s">
        <v>235</v>
      </c>
      <c r="M114" s="22" t="s">
        <v>20</v>
      </c>
      <c r="N114" s="23">
        <f>VLOOKUP(I114,Intervalos!$B$3:$C$8,2,TRUE)</f>
        <v>0.02</v>
      </c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</row>
    <row r="115" spans="1:29" ht="56.25" x14ac:dyDescent="0.25">
      <c r="A115" s="18">
        <v>110</v>
      </c>
      <c r="B115" s="19" t="s">
        <v>166</v>
      </c>
      <c r="C115" s="11" t="s">
        <v>32</v>
      </c>
      <c r="D115" s="20">
        <v>406272</v>
      </c>
      <c r="E115" s="19" t="s">
        <v>18</v>
      </c>
      <c r="F115" s="19">
        <v>375</v>
      </c>
      <c r="G115" s="10">
        <v>0</v>
      </c>
      <c r="H115" s="10">
        <f t="shared" si="0"/>
        <v>375</v>
      </c>
      <c r="I115" s="21">
        <v>7.9</v>
      </c>
      <c r="J115" s="13">
        <f t="shared" si="1"/>
        <v>2962.5</v>
      </c>
      <c r="K115" s="21" t="s">
        <v>19</v>
      </c>
      <c r="L115" s="35" t="s">
        <v>235</v>
      </c>
      <c r="M115" s="22" t="s">
        <v>20</v>
      </c>
      <c r="N115" s="23">
        <f>VLOOKUP(I115,Intervalos!$B$3:$C$8,2,TRUE)</f>
        <v>0.02</v>
      </c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</row>
    <row r="116" spans="1:29" ht="90" x14ac:dyDescent="0.25">
      <c r="A116" s="18">
        <v>111</v>
      </c>
      <c r="B116" s="19" t="s">
        <v>167</v>
      </c>
      <c r="C116" s="11" t="s">
        <v>98</v>
      </c>
      <c r="D116" s="20">
        <v>442385</v>
      </c>
      <c r="E116" s="19" t="s">
        <v>23</v>
      </c>
      <c r="F116" s="19">
        <v>4</v>
      </c>
      <c r="G116" s="10">
        <v>4</v>
      </c>
      <c r="H116" s="10">
        <f t="shared" si="0"/>
        <v>8</v>
      </c>
      <c r="I116" s="21">
        <v>100.9</v>
      </c>
      <c r="J116" s="13">
        <f t="shared" si="1"/>
        <v>807.2</v>
      </c>
      <c r="K116" s="21" t="s">
        <v>19</v>
      </c>
      <c r="L116" s="35" t="s">
        <v>235</v>
      </c>
      <c r="M116" s="22" t="s">
        <v>20</v>
      </c>
      <c r="N116" s="23" t="str">
        <f>VLOOKUP(I116,Intervalos!$B$3:$C$8,2,TRUE)</f>
        <v>0,10%</v>
      </c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</row>
    <row r="117" spans="1:29" ht="67.5" x14ac:dyDescent="0.25">
      <c r="A117" s="18">
        <v>112</v>
      </c>
      <c r="B117" s="19" t="s">
        <v>168</v>
      </c>
      <c r="C117" s="11" t="s">
        <v>169</v>
      </c>
      <c r="D117" s="20">
        <v>463243</v>
      </c>
      <c r="E117" s="19" t="s">
        <v>18</v>
      </c>
      <c r="F117" s="19">
        <v>7</v>
      </c>
      <c r="G117" s="10">
        <v>0</v>
      </c>
      <c r="H117" s="10">
        <f t="shared" si="0"/>
        <v>7</v>
      </c>
      <c r="I117" s="21">
        <v>133.97</v>
      </c>
      <c r="J117" s="13">
        <f t="shared" si="1"/>
        <v>937.79</v>
      </c>
      <c r="K117" s="21" t="s">
        <v>19</v>
      </c>
      <c r="L117" s="35" t="s">
        <v>235</v>
      </c>
      <c r="M117" s="22" t="s">
        <v>20</v>
      </c>
      <c r="N117" s="23" t="str">
        <f>VLOOKUP(I117,Intervalos!$B$3:$C$8,2,TRUE)</f>
        <v>0,10%</v>
      </c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</row>
    <row r="118" spans="1:29" x14ac:dyDescent="0.25">
      <c r="A118" s="18">
        <v>113</v>
      </c>
      <c r="B118" s="19" t="s">
        <v>170</v>
      </c>
      <c r="C118" s="11" t="s">
        <v>71</v>
      </c>
      <c r="D118" s="20">
        <v>467747</v>
      </c>
      <c r="E118" s="19" t="s">
        <v>18</v>
      </c>
      <c r="F118" s="19">
        <v>100</v>
      </c>
      <c r="G118" s="10">
        <v>10</v>
      </c>
      <c r="H118" s="10">
        <f t="shared" si="0"/>
        <v>110</v>
      </c>
      <c r="I118" s="21">
        <v>40</v>
      </c>
      <c r="J118" s="13">
        <f t="shared" si="1"/>
        <v>4400</v>
      </c>
      <c r="K118" s="21" t="s">
        <v>19</v>
      </c>
      <c r="L118" s="35" t="s">
        <v>235</v>
      </c>
      <c r="M118" s="22" t="s">
        <v>20</v>
      </c>
      <c r="N118" s="23">
        <f>VLOOKUP(I118,Intervalos!$B$3:$C$8,2,TRUE)</f>
        <v>0.05</v>
      </c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</row>
    <row r="119" spans="1:29" x14ac:dyDescent="0.25">
      <c r="A119" s="18">
        <v>114</v>
      </c>
      <c r="B119" s="19" t="s">
        <v>171</v>
      </c>
      <c r="C119" s="11" t="s">
        <v>22</v>
      </c>
      <c r="D119" s="20">
        <v>470778</v>
      </c>
      <c r="E119" s="19" t="s">
        <v>23</v>
      </c>
      <c r="F119" s="19">
        <v>34</v>
      </c>
      <c r="G119" s="10">
        <v>0</v>
      </c>
      <c r="H119" s="10">
        <f t="shared" si="0"/>
        <v>34</v>
      </c>
      <c r="I119" s="21">
        <v>48.63</v>
      </c>
      <c r="J119" s="13">
        <f t="shared" si="1"/>
        <v>1653.42</v>
      </c>
      <c r="K119" s="21" t="s">
        <v>19</v>
      </c>
      <c r="L119" s="35" t="s">
        <v>235</v>
      </c>
      <c r="M119" s="22" t="s">
        <v>20</v>
      </c>
      <c r="N119" s="23">
        <f>VLOOKUP(I119,Intervalos!$B$3:$C$8,2,TRUE)</f>
        <v>0.05</v>
      </c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</row>
    <row r="120" spans="1:29" x14ac:dyDescent="0.25">
      <c r="A120" s="18">
        <v>115</v>
      </c>
      <c r="B120" s="19" t="s">
        <v>172</v>
      </c>
      <c r="C120" s="11" t="s">
        <v>22</v>
      </c>
      <c r="D120" s="20">
        <v>467996</v>
      </c>
      <c r="E120" s="19" t="s">
        <v>18</v>
      </c>
      <c r="F120" s="19">
        <v>25</v>
      </c>
      <c r="G120" s="10">
        <v>10</v>
      </c>
      <c r="H120" s="10">
        <f t="shared" si="0"/>
        <v>35</v>
      </c>
      <c r="I120" s="21">
        <v>32.270000000000003</v>
      </c>
      <c r="J120" s="13">
        <f t="shared" si="1"/>
        <v>1129.45</v>
      </c>
      <c r="K120" s="21" t="s">
        <v>19</v>
      </c>
      <c r="L120" s="35" t="s">
        <v>235</v>
      </c>
      <c r="M120" s="22" t="s">
        <v>20</v>
      </c>
      <c r="N120" s="23">
        <f>VLOOKUP(I120,Intervalos!$B$3:$C$8,2,TRUE)</f>
        <v>0.05</v>
      </c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</row>
    <row r="121" spans="1:29" x14ac:dyDescent="0.25">
      <c r="A121" s="18">
        <v>116</v>
      </c>
      <c r="B121" s="19" t="s">
        <v>173</v>
      </c>
      <c r="C121" s="11" t="s">
        <v>71</v>
      </c>
      <c r="D121" s="20">
        <v>467999</v>
      </c>
      <c r="E121" s="19" t="s">
        <v>18</v>
      </c>
      <c r="F121" s="19">
        <v>25</v>
      </c>
      <c r="G121" s="10">
        <v>10</v>
      </c>
      <c r="H121" s="10">
        <f t="shared" si="0"/>
        <v>35</v>
      </c>
      <c r="I121" s="21">
        <v>62.49</v>
      </c>
      <c r="J121" s="13">
        <f t="shared" si="1"/>
        <v>2187.15</v>
      </c>
      <c r="K121" s="21" t="s">
        <v>19</v>
      </c>
      <c r="L121" s="35" t="s">
        <v>235</v>
      </c>
      <c r="M121" s="22" t="s">
        <v>20</v>
      </c>
      <c r="N121" s="23">
        <f>VLOOKUP(I121,Intervalos!$B$3:$C$8,2,TRUE)</f>
        <v>0.1</v>
      </c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</row>
    <row r="122" spans="1:29" x14ac:dyDescent="0.25">
      <c r="A122" s="18">
        <v>117</v>
      </c>
      <c r="B122" s="19" t="s">
        <v>174</v>
      </c>
      <c r="C122" s="11" t="s">
        <v>22</v>
      </c>
      <c r="D122" s="20">
        <v>467856</v>
      </c>
      <c r="E122" s="19" t="s">
        <v>18</v>
      </c>
      <c r="F122" s="19">
        <v>10</v>
      </c>
      <c r="G122" s="10">
        <v>10</v>
      </c>
      <c r="H122" s="10">
        <f t="shared" si="0"/>
        <v>20</v>
      </c>
      <c r="I122" s="21">
        <v>125.64</v>
      </c>
      <c r="J122" s="13">
        <f t="shared" si="1"/>
        <v>2512.8000000000002</v>
      </c>
      <c r="K122" s="21" t="s">
        <v>19</v>
      </c>
      <c r="L122" s="35" t="s">
        <v>235</v>
      </c>
      <c r="M122" s="22" t="s">
        <v>20</v>
      </c>
      <c r="N122" s="23" t="str">
        <f>VLOOKUP(I122,Intervalos!$B$3:$C$8,2,TRUE)</f>
        <v>0,10%</v>
      </c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</row>
    <row r="123" spans="1:29" x14ac:dyDescent="0.25">
      <c r="A123" s="18">
        <v>118</v>
      </c>
      <c r="B123" s="19" t="s">
        <v>175</v>
      </c>
      <c r="C123" s="11" t="s">
        <v>22</v>
      </c>
      <c r="D123" s="20">
        <v>625197</v>
      </c>
      <c r="E123" s="19" t="s">
        <v>18</v>
      </c>
      <c r="F123" s="19">
        <v>15</v>
      </c>
      <c r="G123" s="10">
        <v>0</v>
      </c>
      <c r="H123" s="10">
        <f t="shared" si="0"/>
        <v>15</v>
      </c>
      <c r="I123" s="21">
        <v>127.14</v>
      </c>
      <c r="J123" s="13">
        <f t="shared" si="1"/>
        <v>1907.1</v>
      </c>
      <c r="K123" s="21" t="s">
        <v>19</v>
      </c>
      <c r="L123" s="35" t="s">
        <v>235</v>
      </c>
      <c r="M123" s="22" t="s">
        <v>20</v>
      </c>
      <c r="N123" s="23" t="str">
        <f>VLOOKUP(I123,Intervalos!$B$3:$C$8,2,TRUE)</f>
        <v>0,10%</v>
      </c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</row>
    <row r="124" spans="1:29" x14ac:dyDescent="0.25">
      <c r="A124" s="18">
        <v>119</v>
      </c>
      <c r="B124" s="19" t="s">
        <v>176</v>
      </c>
      <c r="C124" s="11" t="s">
        <v>22</v>
      </c>
      <c r="D124" s="20">
        <v>625202</v>
      </c>
      <c r="E124" s="19" t="s">
        <v>18</v>
      </c>
      <c r="F124" s="19">
        <v>15</v>
      </c>
      <c r="G124" s="10">
        <v>0</v>
      </c>
      <c r="H124" s="10">
        <f t="shared" si="0"/>
        <v>15</v>
      </c>
      <c r="I124" s="21">
        <v>88.95</v>
      </c>
      <c r="J124" s="13">
        <f t="shared" si="1"/>
        <v>1334.25</v>
      </c>
      <c r="K124" s="21" t="s">
        <v>19</v>
      </c>
      <c r="L124" s="35" t="s">
        <v>235</v>
      </c>
      <c r="M124" s="22" t="s">
        <v>20</v>
      </c>
      <c r="N124" s="23">
        <f>VLOOKUP(I124,Intervalos!$B$3:$C$8,2,TRUE)</f>
        <v>0.1</v>
      </c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</row>
    <row r="125" spans="1:29" ht="78.75" x14ac:dyDescent="0.25">
      <c r="A125" s="18">
        <v>120</v>
      </c>
      <c r="B125" s="19" t="s">
        <v>177</v>
      </c>
      <c r="C125" s="11" t="s">
        <v>178</v>
      </c>
      <c r="D125" s="20">
        <v>269023</v>
      </c>
      <c r="E125" s="19" t="s">
        <v>160</v>
      </c>
      <c r="F125" s="19">
        <v>339</v>
      </c>
      <c r="G125" s="10">
        <v>100</v>
      </c>
      <c r="H125" s="10">
        <f t="shared" si="0"/>
        <v>439</v>
      </c>
      <c r="I125" s="21">
        <v>50</v>
      </c>
      <c r="J125" s="13">
        <f t="shared" si="1"/>
        <v>21950</v>
      </c>
      <c r="K125" s="21" t="s">
        <v>19</v>
      </c>
      <c r="L125" s="35" t="s">
        <v>235</v>
      </c>
      <c r="M125" s="22" t="s">
        <v>20</v>
      </c>
      <c r="N125" s="23">
        <f>VLOOKUP(I125,Intervalos!$B$3:$C$8,2,TRUE)</f>
        <v>0.1</v>
      </c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</row>
    <row r="126" spans="1:29" ht="78.75" x14ac:dyDescent="0.25">
      <c r="A126" s="18">
        <v>121</v>
      </c>
      <c r="B126" s="19" t="s">
        <v>179</v>
      </c>
      <c r="C126" s="11" t="s">
        <v>178</v>
      </c>
      <c r="D126" s="20">
        <v>230570</v>
      </c>
      <c r="E126" s="19" t="s">
        <v>160</v>
      </c>
      <c r="F126" s="19">
        <v>244</v>
      </c>
      <c r="G126" s="10">
        <v>100</v>
      </c>
      <c r="H126" s="10">
        <f t="shared" si="0"/>
        <v>344</v>
      </c>
      <c r="I126" s="21">
        <v>35.99</v>
      </c>
      <c r="J126" s="13">
        <f t="shared" si="1"/>
        <v>12380.560000000001</v>
      </c>
      <c r="K126" s="21" t="s">
        <v>19</v>
      </c>
      <c r="L126" s="35" t="s">
        <v>235</v>
      </c>
      <c r="M126" s="22" t="s">
        <v>20</v>
      </c>
      <c r="N126" s="23">
        <f>VLOOKUP(I126,Intervalos!$B$3:$C$8,2,TRUE)</f>
        <v>0.05</v>
      </c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</row>
    <row r="127" spans="1:29" ht="78.75" x14ac:dyDescent="0.25">
      <c r="A127" s="18">
        <v>122</v>
      </c>
      <c r="B127" s="19" t="s">
        <v>180</v>
      </c>
      <c r="C127" s="11" t="s">
        <v>178</v>
      </c>
      <c r="D127" s="20">
        <v>394449</v>
      </c>
      <c r="E127" s="19" t="s">
        <v>160</v>
      </c>
      <c r="F127" s="19">
        <v>438</v>
      </c>
      <c r="G127" s="10">
        <v>100</v>
      </c>
      <c r="H127" s="10">
        <f t="shared" si="0"/>
        <v>538</v>
      </c>
      <c r="I127" s="21">
        <v>51.9</v>
      </c>
      <c r="J127" s="13">
        <f t="shared" si="1"/>
        <v>27922.2</v>
      </c>
      <c r="K127" s="21" t="s">
        <v>19</v>
      </c>
      <c r="L127" s="35" t="s">
        <v>235</v>
      </c>
      <c r="M127" s="22" t="s">
        <v>20</v>
      </c>
      <c r="N127" s="23">
        <f>VLOOKUP(I127,Intervalos!$B$3:$C$8,2,TRUE)</f>
        <v>0.1</v>
      </c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</row>
    <row r="128" spans="1:29" ht="123.75" x14ac:dyDescent="0.25">
      <c r="A128" s="18">
        <v>123</v>
      </c>
      <c r="B128" s="19" t="s">
        <v>181</v>
      </c>
      <c r="C128" s="11" t="s">
        <v>32</v>
      </c>
      <c r="D128" s="20">
        <v>443869</v>
      </c>
      <c r="E128" s="19" t="s">
        <v>23</v>
      </c>
      <c r="F128" s="19">
        <f>144*20</f>
        <v>2880</v>
      </c>
      <c r="G128" s="10">
        <v>50</v>
      </c>
      <c r="H128" s="10">
        <f t="shared" si="0"/>
        <v>2930</v>
      </c>
      <c r="I128" s="21">
        <f>97.96/20</f>
        <v>4.8979999999999997</v>
      </c>
      <c r="J128" s="13">
        <f t="shared" si="1"/>
        <v>14357.000000000002</v>
      </c>
      <c r="K128" s="21" t="s">
        <v>19</v>
      </c>
      <c r="L128" s="35" t="s">
        <v>235</v>
      </c>
      <c r="M128" s="22" t="s">
        <v>20</v>
      </c>
      <c r="N128" s="23">
        <f>VLOOKUP(I128,Intervalos!$B$3:$C$8,2,TRUE)</f>
        <v>0.01</v>
      </c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</row>
    <row r="129" spans="1:29" ht="22.5" x14ac:dyDescent="0.25">
      <c r="A129" s="18">
        <v>124</v>
      </c>
      <c r="B129" s="19" t="s">
        <v>182</v>
      </c>
      <c r="C129" s="11" t="s">
        <v>32</v>
      </c>
      <c r="D129" s="20">
        <v>487321</v>
      </c>
      <c r="E129" s="19" t="s">
        <v>23</v>
      </c>
      <c r="F129" s="19">
        <v>13</v>
      </c>
      <c r="G129" s="10">
        <v>10</v>
      </c>
      <c r="H129" s="10">
        <f t="shared" si="0"/>
        <v>23</v>
      </c>
      <c r="I129" s="21">
        <v>300</v>
      </c>
      <c r="J129" s="13">
        <f t="shared" si="1"/>
        <v>6900</v>
      </c>
      <c r="K129" s="21" t="s">
        <v>19</v>
      </c>
      <c r="L129" s="35" t="s">
        <v>235</v>
      </c>
      <c r="M129" s="22" t="s">
        <v>20</v>
      </c>
      <c r="N129" s="23" t="str">
        <f>VLOOKUP(I129,Intervalos!$B$3:$C$8,2,TRUE)</f>
        <v>0,10%</v>
      </c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</row>
    <row r="130" spans="1:29" ht="45" x14ac:dyDescent="0.25">
      <c r="A130" s="18">
        <v>125</v>
      </c>
      <c r="B130" s="19" t="s">
        <v>183</v>
      </c>
      <c r="C130" s="11" t="s">
        <v>184</v>
      </c>
      <c r="D130" s="20">
        <v>615404</v>
      </c>
      <c r="E130" s="19" t="s">
        <v>28</v>
      </c>
      <c r="F130" s="19">
        <v>7</v>
      </c>
      <c r="G130" s="10">
        <v>7</v>
      </c>
      <c r="H130" s="10">
        <f t="shared" si="0"/>
        <v>14</v>
      </c>
      <c r="I130" s="21">
        <v>68.13</v>
      </c>
      <c r="J130" s="13">
        <f t="shared" si="1"/>
        <v>953.81999999999994</v>
      </c>
      <c r="K130" s="21" t="s">
        <v>19</v>
      </c>
      <c r="L130" s="35" t="s">
        <v>235</v>
      </c>
      <c r="M130" s="22" t="s">
        <v>20</v>
      </c>
      <c r="N130" s="23">
        <f>VLOOKUP(I130,Intervalos!$B$3:$C$8,2,TRUE)</f>
        <v>0.1</v>
      </c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</row>
    <row r="131" spans="1:29" ht="33.75" x14ac:dyDescent="0.25">
      <c r="A131" s="18">
        <v>126</v>
      </c>
      <c r="B131" s="19" t="s">
        <v>185</v>
      </c>
      <c r="C131" s="11" t="s">
        <v>186</v>
      </c>
      <c r="D131" s="20">
        <v>452796</v>
      </c>
      <c r="E131" s="19" t="s">
        <v>94</v>
      </c>
      <c r="F131" s="19">
        <v>1073</v>
      </c>
      <c r="G131" s="10">
        <v>200</v>
      </c>
      <c r="H131" s="10">
        <f t="shared" si="0"/>
        <v>1273</v>
      </c>
      <c r="I131" s="21">
        <v>7.75</v>
      </c>
      <c r="J131" s="13">
        <f t="shared" si="1"/>
        <v>9865.75</v>
      </c>
      <c r="K131" s="21" t="s">
        <v>19</v>
      </c>
      <c r="L131" s="35" t="s">
        <v>235</v>
      </c>
      <c r="M131" s="22" t="s">
        <v>20</v>
      </c>
      <c r="N131" s="23">
        <f>VLOOKUP(I131,Intervalos!$B$3:$C$8,2,TRUE)</f>
        <v>0.02</v>
      </c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</row>
    <row r="132" spans="1:29" ht="33.75" x14ac:dyDescent="0.25">
      <c r="A132" s="18">
        <v>127</v>
      </c>
      <c r="B132" s="19" t="s">
        <v>187</v>
      </c>
      <c r="C132" s="11" t="s">
        <v>188</v>
      </c>
      <c r="D132" s="20">
        <v>448699</v>
      </c>
      <c r="E132" s="19" t="s">
        <v>94</v>
      </c>
      <c r="F132" s="19">
        <v>1694</v>
      </c>
      <c r="G132" s="10">
        <v>200</v>
      </c>
      <c r="H132" s="10">
        <f t="shared" si="0"/>
        <v>1894</v>
      </c>
      <c r="I132" s="21">
        <v>0.48</v>
      </c>
      <c r="J132" s="13">
        <f t="shared" si="1"/>
        <v>909.12</v>
      </c>
      <c r="K132" s="21" t="s">
        <v>19</v>
      </c>
      <c r="L132" s="35" t="s">
        <v>235</v>
      </c>
      <c r="M132" s="22" t="s">
        <v>20</v>
      </c>
      <c r="N132" s="23">
        <f>VLOOKUP(I132,Intervalos!$B$3:$C$8,2,TRUE)</f>
        <v>0.01</v>
      </c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</row>
    <row r="133" spans="1:29" ht="33.75" x14ac:dyDescent="0.25">
      <c r="A133" s="18">
        <v>128</v>
      </c>
      <c r="B133" s="19" t="s">
        <v>189</v>
      </c>
      <c r="C133" s="11" t="s">
        <v>190</v>
      </c>
      <c r="D133" s="20">
        <v>452796</v>
      </c>
      <c r="E133" s="19" t="s">
        <v>94</v>
      </c>
      <c r="F133" s="19">
        <v>1232</v>
      </c>
      <c r="G133" s="10">
        <v>200</v>
      </c>
      <c r="H133" s="10">
        <f t="shared" si="0"/>
        <v>1432</v>
      </c>
      <c r="I133" s="21">
        <v>6.98</v>
      </c>
      <c r="J133" s="13">
        <f t="shared" si="1"/>
        <v>9995.36</v>
      </c>
      <c r="K133" s="21" t="s">
        <v>19</v>
      </c>
      <c r="L133" s="35" t="s">
        <v>235</v>
      </c>
      <c r="M133" s="22" t="s">
        <v>20</v>
      </c>
      <c r="N133" s="23">
        <f>VLOOKUP(I133,Intervalos!$B$3:$C$8,2,TRUE)</f>
        <v>0.02</v>
      </c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</row>
    <row r="134" spans="1:29" ht="33.75" x14ac:dyDescent="0.25">
      <c r="A134" s="18">
        <v>129</v>
      </c>
      <c r="B134" s="19" t="s">
        <v>191</v>
      </c>
      <c r="C134" s="11" t="s">
        <v>192</v>
      </c>
      <c r="D134" s="20">
        <v>452796</v>
      </c>
      <c r="E134" s="19" t="s">
        <v>94</v>
      </c>
      <c r="F134" s="19">
        <v>1280</v>
      </c>
      <c r="G134" s="10">
        <v>500</v>
      </c>
      <c r="H134" s="10">
        <f t="shared" si="0"/>
        <v>1780</v>
      </c>
      <c r="I134" s="21">
        <v>11.39</v>
      </c>
      <c r="J134" s="13">
        <f t="shared" si="1"/>
        <v>20274.2</v>
      </c>
      <c r="K134" s="21" t="s">
        <v>19</v>
      </c>
      <c r="L134" s="35" t="s">
        <v>235</v>
      </c>
      <c r="M134" s="22" t="s">
        <v>20</v>
      </c>
      <c r="N134" s="23">
        <f>VLOOKUP(I134,Intervalos!$B$3:$C$8,2,TRUE)</f>
        <v>0.03</v>
      </c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</row>
    <row r="135" spans="1:29" ht="33.75" x14ac:dyDescent="0.25">
      <c r="A135" s="18">
        <v>130</v>
      </c>
      <c r="B135" s="19" t="s">
        <v>193</v>
      </c>
      <c r="C135" s="11" t="s">
        <v>194</v>
      </c>
      <c r="D135" s="20">
        <v>448699</v>
      </c>
      <c r="E135" s="19" t="s">
        <v>94</v>
      </c>
      <c r="F135" s="19">
        <v>250</v>
      </c>
      <c r="G135" s="10">
        <v>0</v>
      </c>
      <c r="H135" s="10">
        <f t="shared" si="0"/>
        <v>250</v>
      </c>
      <c r="I135" s="21">
        <v>1.6</v>
      </c>
      <c r="J135" s="13">
        <f t="shared" si="1"/>
        <v>400</v>
      </c>
      <c r="K135" s="21" t="s">
        <v>19</v>
      </c>
      <c r="L135" s="35" t="s">
        <v>235</v>
      </c>
      <c r="M135" s="22" t="s">
        <v>20</v>
      </c>
      <c r="N135" s="23">
        <f>VLOOKUP(I135,Intervalos!$B$3:$C$8,2,TRUE)</f>
        <v>0.01</v>
      </c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</row>
    <row r="136" spans="1:29" ht="45" x14ac:dyDescent="0.25">
      <c r="A136" s="18">
        <v>131</v>
      </c>
      <c r="B136" s="19" t="s">
        <v>195</v>
      </c>
      <c r="C136" s="11" t="s">
        <v>196</v>
      </c>
      <c r="D136" s="20">
        <v>357880</v>
      </c>
      <c r="E136" s="19" t="s">
        <v>94</v>
      </c>
      <c r="F136" s="19">
        <v>375</v>
      </c>
      <c r="G136" s="10">
        <v>50</v>
      </c>
      <c r="H136" s="10">
        <f t="shared" si="0"/>
        <v>425</v>
      </c>
      <c r="I136" s="21">
        <v>11.5</v>
      </c>
      <c r="J136" s="13">
        <f t="shared" si="1"/>
        <v>4887.5</v>
      </c>
      <c r="K136" s="21" t="s">
        <v>19</v>
      </c>
      <c r="L136" s="13" t="s">
        <v>234</v>
      </c>
      <c r="M136" s="22" t="s">
        <v>20</v>
      </c>
      <c r="N136" s="23">
        <f>VLOOKUP(I136,Intervalos!$B$3:$C$8,2,TRUE)</f>
        <v>0.03</v>
      </c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</row>
    <row r="137" spans="1:29" ht="33.75" x14ac:dyDescent="0.25">
      <c r="A137" s="18">
        <v>132</v>
      </c>
      <c r="B137" s="19" t="s">
        <v>197</v>
      </c>
      <c r="C137" s="11" t="s">
        <v>198</v>
      </c>
      <c r="D137" s="20">
        <v>303292</v>
      </c>
      <c r="E137" s="19" t="s">
        <v>94</v>
      </c>
      <c r="F137" s="19">
        <v>1625</v>
      </c>
      <c r="G137" s="10">
        <v>0</v>
      </c>
      <c r="H137" s="10">
        <f t="shared" si="0"/>
        <v>1625</v>
      </c>
      <c r="I137" s="21">
        <v>13.1</v>
      </c>
      <c r="J137" s="13">
        <f t="shared" si="1"/>
        <v>21287.5</v>
      </c>
      <c r="K137" s="21" t="s">
        <v>19</v>
      </c>
      <c r="L137" s="35" t="s">
        <v>235</v>
      </c>
      <c r="M137" s="22" t="s">
        <v>20</v>
      </c>
      <c r="N137" s="23">
        <f>VLOOKUP(I137,Intervalos!$B$3:$C$8,2,TRUE)</f>
        <v>0.03</v>
      </c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</row>
    <row r="138" spans="1:29" ht="33.75" x14ac:dyDescent="0.25">
      <c r="A138" s="18">
        <v>133</v>
      </c>
      <c r="B138" s="19" t="s">
        <v>199</v>
      </c>
      <c r="C138" s="11" t="s">
        <v>196</v>
      </c>
      <c r="D138" s="20">
        <v>352192</v>
      </c>
      <c r="E138" s="19" t="s">
        <v>94</v>
      </c>
      <c r="F138" s="19">
        <v>788</v>
      </c>
      <c r="G138" s="10">
        <v>100</v>
      </c>
      <c r="H138" s="10">
        <f t="shared" si="0"/>
        <v>888</v>
      </c>
      <c r="I138" s="21">
        <v>18.89</v>
      </c>
      <c r="J138" s="13">
        <f t="shared" si="1"/>
        <v>16774.32</v>
      </c>
      <c r="K138" s="21" t="s">
        <v>19</v>
      </c>
      <c r="L138" s="35" t="s">
        <v>235</v>
      </c>
      <c r="M138" s="22" t="s">
        <v>20</v>
      </c>
      <c r="N138" s="23">
        <f>VLOOKUP(I138,Intervalos!$B$3:$C$8,2,TRUE)</f>
        <v>0.03</v>
      </c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</row>
    <row r="139" spans="1:29" ht="45" x14ac:dyDescent="0.25">
      <c r="A139" s="18">
        <v>134</v>
      </c>
      <c r="B139" s="19" t="s">
        <v>200</v>
      </c>
      <c r="C139" s="11" t="s">
        <v>32</v>
      </c>
      <c r="D139" s="20">
        <v>479783</v>
      </c>
      <c r="E139" s="19" t="s">
        <v>18</v>
      </c>
      <c r="F139" s="19">
        <f>2*250</f>
        <v>500</v>
      </c>
      <c r="G139" s="10">
        <v>0</v>
      </c>
      <c r="H139" s="10">
        <f t="shared" si="0"/>
        <v>500</v>
      </c>
      <c r="I139" s="21">
        <f>259.59/250</f>
        <v>1.0383599999999999</v>
      </c>
      <c r="J139" s="13">
        <f t="shared" si="1"/>
        <v>520</v>
      </c>
      <c r="K139" s="21" t="s">
        <v>19</v>
      </c>
      <c r="L139" s="35" t="s">
        <v>235</v>
      </c>
      <c r="M139" s="22" t="s">
        <v>20</v>
      </c>
      <c r="N139" s="23">
        <f>VLOOKUP(I139,Intervalos!$B$3:$C$8,2,TRUE)</f>
        <v>0.01</v>
      </c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</row>
    <row r="140" spans="1:29" ht="33.75" x14ac:dyDescent="0.25">
      <c r="A140" s="18">
        <v>135</v>
      </c>
      <c r="B140" s="19" t="s">
        <v>201</v>
      </c>
      <c r="C140" s="11" t="s">
        <v>32</v>
      </c>
      <c r="D140" s="20">
        <v>396145</v>
      </c>
      <c r="E140" s="19" t="s">
        <v>18</v>
      </c>
      <c r="F140" s="19">
        <f>10*100</f>
        <v>1000</v>
      </c>
      <c r="G140" s="10">
        <v>0</v>
      </c>
      <c r="H140" s="10">
        <f t="shared" si="0"/>
        <v>1000</v>
      </c>
      <c r="I140" s="21">
        <f>301.02/100</f>
        <v>3.0101999999999998</v>
      </c>
      <c r="J140" s="13">
        <f t="shared" si="1"/>
        <v>3010</v>
      </c>
      <c r="K140" s="21" t="s">
        <v>19</v>
      </c>
      <c r="L140" s="35" t="s">
        <v>235</v>
      </c>
      <c r="M140" s="22" t="s">
        <v>20</v>
      </c>
      <c r="N140" s="23">
        <f>VLOOKUP(I140,Intervalos!$B$3:$C$8,2,TRUE)</f>
        <v>0.01</v>
      </c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</row>
    <row r="141" spans="1:29" ht="33.75" x14ac:dyDescent="0.25">
      <c r="A141" s="18">
        <v>136</v>
      </c>
      <c r="B141" s="19" t="s">
        <v>202</v>
      </c>
      <c r="C141" s="11" t="s">
        <v>32</v>
      </c>
      <c r="D141" s="20">
        <v>396144</v>
      </c>
      <c r="E141" s="19" t="s">
        <v>18</v>
      </c>
      <c r="F141" s="19">
        <f>40*100</f>
        <v>4000</v>
      </c>
      <c r="G141" s="10">
        <v>0</v>
      </c>
      <c r="H141" s="10">
        <f t="shared" si="0"/>
        <v>4000</v>
      </c>
      <c r="I141" s="21">
        <f>59/100</f>
        <v>0.59</v>
      </c>
      <c r="J141" s="13">
        <f t="shared" si="1"/>
        <v>2360</v>
      </c>
      <c r="K141" s="21" t="s">
        <v>19</v>
      </c>
      <c r="L141" s="35" t="s">
        <v>235</v>
      </c>
      <c r="M141" s="22" t="s">
        <v>20</v>
      </c>
      <c r="N141" s="23">
        <f>VLOOKUP(I141,Intervalos!$B$3:$C$8,2,TRUE)</f>
        <v>0.01</v>
      </c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</row>
    <row r="142" spans="1:29" ht="22.5" x14ac:dyDescent="0.25">
      <c r="A142" s="18">
        <v>137</v>
      </c>
      <c r="B142" s="19" t="s">
        <v>203</v>
      </c>
      <c r="C142" s="11" t="s">
        <v>22</v>
      </c>
      <c r="D142" s="20">
        <v>437860</v>
      </c>
      <c r="E142" s="19" t="s">
        <v>18</v>
      </c>
      <c r="F142" s="19">
        <v>382</v>
      </c>
      <c r="G142" s="10">
        <v>100</v>
      </c>
      <c r="H142" s="10">
        <f t="shared" si="0"/>
        <v>482</v>
      </c>
      <c r="I142" s="21">
        <v>8.9</v>
      </c>
      <c r="J142" s="13">
        <f t="shared" si="1"/>
        <v>4289.8</v>
      </c>
      <c r="K142" s="21" t="s">
        <v>19</v>
      </c>
      <c r="L142" s="35" t="s">
        <v>235</v>
      </c>
      <c r="M142" s="22" t="s">
        <v>20</v>
      </c>
      <c r="N142" s="23">
        <f>VLOOKUP(I142,Intervalos!$B$3:$C$8,2,TRUE)</f>
        <v>0.02</v>
      </c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</row>
    <row r="143" spans="1:29" x14ac:dyDescent="0.25">
      <c r="A143" s="18">
        <v>138</v>
      </c>
      <c r="B143" s="19" t="s">
        <v>204</v>
      </c>
      <c r="C143" s="11" t="s">
        <v>22</v>
      </c>
      <c r="D143" s="20">
        <v>600261</v>
      </c>
      <c r="E143" s="19" t="s">
        <v>18</v>
      </c>
      <c r="F143" s="19">
        <v>69</v>
      </c>
      <c r="G143" s="10">
        <v>10</v>
      </c>
      <c r="H143" s="10">
        <f t="shared" si="0"/>
        <v>79</v>
      </c>
      <c r="I143" s="21">
        <v>18.95</v>
      </c>
      <c r="J143" s="13">
        <f t="shared" si="1"/>
        <v>1497.05</v>
      </c>
      <c r="K143" s="21" t="s">
        <v>19</v>
      </c>
      <c r="L143" s="35" t="s">
        <v>235</v>
      </c>
      <c r="M143" s="22" t="s">
        <v>20</v>
      </c>
      <c r="N143" s="23">
        <f>VLOOKUP(I143,Intervalos!$B$3:$C$8,2,TRUE)</f>
        <v>0.03</v>
      </c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</row>
    <row r="144" spans="1:29" ht="33.75" x14ac:dyDescent="0.25">
      <c r="A144" s="18">
        <v>139</v>
      </c>
      <c r="B144" s="19" t="s">
        <v>205</v>
      </c>
      <c r="C144" s="11" t="s">
        <v>32</v>
      </c>
      <c r="D144" s="20">
        <v>440286</v>
      </c>
      <c r="E144" s="19" t="s">
        <v>18</v>
      </c>
      <c r="F144" s="19">
        <f>35*50</f>
        <v>1750</v>
      </c>
      <c r="G144" s="10">
        <v>0</v>
      </c>
      <c r="H144" s="10">
        <f t="shared" si="0"/>
        <v>1750</v>
      </c>
      <c r="I144" s="21">
        <f>125/50</f>
        <v>2.5</v>
      </c>
      <c r="J144" s="13">
        <f t="shared" si="1"/>
        <v>4375</v>
      </c>
      <c r="K144" s="21" t="s">
        <v>19</v>
      </c>
      <c r="L144" s="35" t="s">
        <v>235</v>
      </c>
      <c r="M144" s="22" t="s">
        <v>20</v>
      </c>
      <c r="N144" s="23">
        <f>VLOOKUP(I144,Intervalos!$B$3:$C$8,2,TRUE)</f>
        <v>0.01</v>
      </c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</row>
    <row r="145" spans="1:29" ht="45" x14ac:dyDescent="0.25">
      <c r="A145" s="18">
        <v>140</v>
      </c>
      <c r="B145" s="19" t="s">
        <v>206</v>
      </c>
      <c r="C145" s="11" t="s">
        <v>22</v>
      </c>
      <c r="D145" s="20">
        <v>321822</v>
      </c>
      <c r="E145" s="19" t="s">
        <v>23</v>
      </c>
      <c r="F145" s="19">
        <v>8</v>
      </c>
      <c r="G145" s="10">
        <v>2</v>
      </c>
      <c r="H145" s="10">
        <f t="shared" si="0"/>
        <v>10</v>
      </c>
      <c r="I145" s="21">
        <v>74.900000000000006</v>
      </c>
      <c r="J145" s="13">
        <f t="shared" si="1"/>
        <v>749</v>
      </c>
      <c r="K145" s="21" t="s">
        <v>19</v>
      </c>
      <c r="L145" s="35" t="s">
        <v>235</v>
      </c>
      <c r="M145" s="22" t="s">
        <v>20</v>
      </c>
      <c r="N145" s="23">
        <f>VLOOKUP(I145,Intervalos!$B$3:$C$8,2,TRUE)</f>
        <v>0.1</v>
      </c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</row>
    <row r="146" spans="1:29" ht="33.75" x14ac:dyDescent="0.25">
      <c r="A146" s="18">
        <v>141</v>
      </c>
      <c r="B146" s="19" t="s">
        <v>207</v>
      </c>
      <c r="C146" s="11" t="s">
        <v>32</v>
      </c>
      <c r="D146" s="20">
        <v>467008</v>
      </c>
      <c r="E146" s="19" t="s">
        <v>23</v>
      </c>
      <c r="F146" s="19">
        <f>7*500</f>
        <v>3500</v>
      </c>
      <c r="G146" s="10">
        <v>0</v>
      </c>
      <c r="H146" s="10">
        <f t="shared" si="0"/>
        <v>3500</v>
      </c>
      <c r="I146" s="21">
        <f>42.9/500</f>
        <v>8.5800000000000001E-2</v>
      </c>
      <c r="J146" s="13">
        <f t="shared" si="1"/>
        <v>315</v>
      </c>
      <c r="K146" s="21" t="s">
        <v>19</v>
      </c>
      <c r="L146" s="35" t="s">
        <v>235</v>
      </c>
      <c r="M146" s="22" t="s">
        <v>20</v>
      </c>
      <c r="N146" s="23">
        <f>VLOOKUP(I146,Intervalos!$B$3:$C$8,2,TRUE)</f>
        <v>0.01</v>
      </c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</row>
    <row r="147" spans="1:29" ht="56.25" x14ac:dyDescent="0.25">
      <c r="A147" s="18">
        <v>142</v>
      </c>
      <c r="B147" s="19" t="s">
        <v>208</v>
      </c>
      <c r="C147" s="11" t="s">
        <v>22</v>
      </c>
      <c r="D147" s="20">
        <v>600690</v>
      </c>
      <c r="E147" s="19" t="s">
        <v>18</v>
      </c>
      <c r="F147" s="19">
        <v>250</v>
      </c>
      <c r="G147" s="10">
        <v>0</v>
      </c>
      <c r="H147" s="10">
        <f t="shared" si="0"/>
        <v>250</v>
      </c>
      <c r="I147" s="21">
        <v>1.07</v>
      </c>
      <c r="J147" s="13">
        <f t="shared" si="1"/>
        <v>267.5</v>
      </c>
      <c r="K147" s="21" t="s">
        <v>19</v>
      </c>
      <c r="L147" s="35" t="s">
        <v>235</v>
      </c>
      <c r="M147" s="22" t="s">
        <v>20</v>
      </c>
      <c r="N147" s="23">
        <f>VLOOKUP(I147,Intervalos!$B$3:$C$8,2,TRUE)</f>
        <v>0.01</v>
      </c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</row>
    <row r="148" spans="1:29" ht="22.5" x14ac:dyDescent="0.25">
      <c r="A148" s="18">
        <v>143</v>
      </c>
      <c r="B148" s="19" t="s">
        <v>209</v>
      </c>
      <c r="C148" s="11" t="s">
        <v>32</v>
      </c>
      <c r="D148" s="20">
        <v>432071</v>
      </c>
      <c r="E148" s="19" t="s">
        <v>18</v>
      </c>
      <c r="F148" s="19">
        <f>134*100</f>
        <v>13400</v>
      </c>
      <c r="G148" s="10">
        <v>0</v>
      </c>
      <c r="H148" s="10">
        <f t="shared" si="0"/>
        <v>13400</v>
      </c>
      <c r="I148" s="21">
        <f>96.3/100</f>
        <v>0.96299999999999997</v>
      </c>
      <c r="J148" s="13">
        <f t="shared" si="1"/>
        <v>12864</v>
      </c>
      <c r="K148" s="21" t="s">
        <v>19</v>
      </c>
      <c r="L148" s="35" t="s">
        <v>235</v>
      </c>
      <c r="M148" s="22" t="s">
        <v>20</v>
      </c>
      <c r="N148" s="23">
        <f>VLOOKUP(I148,Intervalos!$B$3:$C$8,2,TRUE)</f>
        <v>0.01</v>
      </c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</row>
    <row r="149" spans="1:29" ht="22.5" x14ac:dyDescent="0.25">
      <c r="A149" s="18">
        <v>144</v>
      </c>
      <c r="B149" s="19" t="s">
        <v>210</v>
      </c>
      <c r="C149" s="11" t="s">
        <v>32</v>
      </c>
      <c r="D149" s="20">
        <v>377427</v>
      </c>
      <c r="E149" s="19" t="s">
        <v>18</v>
      </c>
      <c r="F149" s="19">
        <f>94*100</f>
        <v>9400</v>
      </c>
      <c r="G149" s="10">
        <v>0</v>
      </c>
      <c r="H149" s="10">
        <f t="shared" si="0"/>
        <v>9400</v>
      </c>
      <c r="I149" s="21">
        <f>113.49/100</f>
        <v>1.1349</v>
      </c>
      <c r="J149" s="13">
        <f t="shared" si="1"/>
        <v>10621.999999999998</v>
      </c>
      <c r="K149" s="21" t="s">
        <v>19</v>
      </c>
      <c r="L149" s="35" t="s">
        <v>235</v>
      </c>
      <c r="M149" s="22" t="s">
        <v>20</v>
      </c>
      <c r="N149" s="23">
        <f>VLOOKUP(I149,Intervalos!$B$3:$C$8,2,TRUE)</f>
        <v>0.01</v>
      </c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</row>
    <row r="150" spans="1:29" ht="22.5" x14ac:dyDescent="0.25">
      <c r="A150" s="18">
        <v>145</v>
      </c>
      <c r="B150" s="19" t="s">
        <v>211</v>
      </c>
      <c r="C150" s="11" t="s">
        <v>32</v>
      </c>
      <c r="D150" s="20">
        <v>417070</v>
      </c>
      <c r="E150" s="19" t="s">
        <v>18</v>
      </c>
      <c r="F150" s="19">
        <f>14*100</f>
        <v>1400</v>
      </c>
      <c r="G150" s="10">
        <v>0</v>
      </c>
      <c r="H150" s="10">
        <f t="shared" si="0"/>
        <v>1400</v>
      </c>
      <c r="I150" s="21">
        <f>110.54/100</f>
        <v>1.1054000000000002</v>
      </c>
      <c r="J150" s="13">
        <f t="shared" si="1"/>
        <v>1554.0000000000002</v>
      </c>
      <c r="K150" s="21" t="s">
        <v>19</v>
      </c>
      <c r="L150" s="35" t="s">
        <v>235</v>
      </c>
      <c r="M150" s="22" t="s">
        <v>20</v>
      </c>
      <c r="N150" s="23">
        <f>VLOOKUP(I150,Intervalos!$B$3:$C$8,2,TRUE)</f>
        <v>0.01</v>
      </c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</row>
    <row r="151" spans="1:29" ht="33.75" x14ac:dyDescent="0.25">
      <c r="A151" s="18">
        <v>146</v>
      </c>
      <c r="B151" s="19" t="s">
        <v>212</v>
      </c>
      <c r="C151" s="11" t="s">
        <v>32</v>
      </c>
      <c r="D151" s="20">
        <v>378082</v>
      </c>
      <c r="E151" s="19" t="s">
        <v>18</v>
      </c>
      <c r="F151" s="19">
        <f>15*100</f>
        <v>1500</v>
      </c>
      <c r="G151" s="10">
        <v>0</v>
      </c>
      <c r="H151" s="10">
        <f t="shared" si="0"/>
        <v>1500</v>
      </c>
      <c r="I151" s="21">
        <f>109.42/100</f>
        <v>1.0942000000000001</v>
      </c>
      <c r="J151" s="13">
        <f t="shared" si="1"/>
        <v>1635.0000000000002</v>
      </c>
      <c r="K151" s="21" t="s">
        <v>19</v>
      </c>
      <c r="L151" s="35" t="s">
        <v>235</v>
      </c>
      <c r="M151" s="22" t="s">
        <v>20</v>
      </c>
      <c r="N151" s="23">
        <f>VLOOKUP(I151,Intervalos!$B$3:$C$8,2,TRUE)</f>
        <v>0.01</v>
      </c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</row>
    <row r="152" spans="1:29" ht="33.75" x14ac:dyDescent="0.25">
      <c r="A152" s="18">
        <v>147</v>
      </c>
      <c r="B152" s="19" t="s">
        <v>213</v>
      </c>
      <c r="C152" s="11" t="s">
        <v>32</v>
      </c>
      <c r="D152" s="20">
        <v>377536</v>
      </c>
      <c r="E152" s="19" t="s">
        <v>18</v>
      </c>
      <c r="F152" s="19">
        <f>9*100</f>
        <v>900</v>
      </c>
      <c r="G152" s="10">
        <v>0</v>
      </c>
      <c r="H152" s="10">
        <f t="shared" si="0"/>
        <v>900</v>
      </c>
      <c r="I152" s="21">
        <f>81/100</f>
        <v>0.81</v>
      </c>
      <c r="J152" s="13">
        <f t="shared" si="1"/>
        <v>729</v>
      </c>
      <c r="K152" s="21" t="s">
        <v>19</v>
      </c>
      <c r="L152" s="35" t="s">
        <v>235</v>
      </c>
      <c r="M152" s="22" t="s">
        <v>20</v>
      </c>
      <c r="N152" s="23">
        <f>VLOOKUP(I152,Intervalos!$B$3:$C$8,2,TRUE)</f>
        <v>0.01</v>
      </c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</row>
    <row r="153" spans="1:29" ht="22.5" x14ac:dyDescent="0.25">
      <c r="A153" s="18">
        <v>148</v>
      </c>
      <c r="B153" s="19" t="s">
        <v>214</v>
      </c>
      <c r="C153" s="11" t="s">
        <v>32</v>
      </c>
      <c r="D153" s="20">
        <v>372337</v>
      </c>
      <c r="E153" s="19" t="s">
        <v>18</v>
      </c>
      <c r="F153" s="19">
        <f>163*50</f>
        <v>8150</v>
      </c>
      <c r="G153" s="10">
        <v>0</v>
      </c>
      <c r="H153" s="10">
        <f t="shared" si="0"/>
        <v>8150</v>
      </c>
      <c r="I153" s="21">
        <f>76.86/50</f>
        <v>1.5371999999999999</v>
      </c>
      <c r="J153" s="13">
        <f t="shared" si="1"/>
        <v>12551</v>
      </c>
      <c r="K153" s="21" t="s">
        <v>19</v>
      </c>
      <c r="L153" s="35" t="s">
        <v>235</v>
      </c>
      <c r="M153" s="22" t="s">
        <v>20</v>
      </c>
      <c r="N153" s="23">
        <f>VLOOKUP(I153,Intervalos!$B$3:$C$8,2,TRUE)</f>
        <v>0.01</v>
      </c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</row>
    <row r="154" spans="1:29" ht="22.5" x14ac:dyDescent="0.25">
      <c r="A154" s="18">
        <v>149</v>
      </c>
      <c r="B154" s="19" t="s">
        <v>215</v>
      </c>
      <c r="C154" s="11" t="s">
        <v>22</v>
      </c>
      <c r="D154" s="20">
        <v>377426</v>
      </c>
      <c r="E154" s="19" t="s">
        <v>18</v>
      </c>
      <c r="F154" s="19">
        <v>7570</v>
      </c>
      <c r="G154" s="10">
        <v>0</v>
      </c>
      <c r="H154" s="10">
        <f t="shared" si="0"/>
        <v>7570</v>
      </c>
      <c r="I154" s="21">
        <v>0.71</v>
      </c>
      <c r="J154" s="13">
        <f t="shared" si="1"/>
        <v>5374.7</v>
      </c>
      <c r="K154" s="21" t="s">
        <v>19</v>
      </c>
      <c r="L154" s="35" t="s">
        <v>235</v>
      </c>
      <c r="M154" s="22" t="s">
        <v>20</v>
      </c>
      <c r="N154" s="23">
        <f>VLOOKUP(I154,Intervalos!$B$3:$C$8,2,TRUE)</f>
        <v>0.01</v>
      </c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</row>
    <row r="155" spans="1:29" ht="22.5" x14ac:dyDescent="0.25">
      <c r="A155" s="18">
        <v>150</v>
      </c>
      <c r="B155" s="19" t="s">
        <v>216</v>
      </c>
      <c r="C155" s="11" t="s">
        <v>32</v>
      </c>
      <c r="D155" s="20">
        <v>377598</v>
      </c>
      <c r="E155" s="19" t="s">
        <v>18</v>
      </c>
      <c r="F155" s="19">
        <f>40*100</f>
        <v>4000</v>
      </c>
      <c r="G155" s="10">
        <v>0</v>
      </c>
      <c r="H155" s="10">
        <f t="shared" si="0"/>
        <v>4000</v>
      </c>
      <c r="I155" s="21">
        <f>65.03/100</f>
        <v>0.65029999999999999</v>
      </c>
      <c r="J155" s="13">
        <f t="shared" si="1"/>
        <v>2600</v>
      </c>
      <c r="K155" s="21" t="s">
        <v>19</v>
      </c>
      <c r="L155" s="35" t="s">
        <v>235</v>
      </c>
      <c r="M155" s="22" t="s">
        <v>20</v>
      </c>
      <c r="N155" s="23">
        <f>VLOOKUP(I155,Intervalos!$B$3:$C$8,2,TRUE)</f>
        <v>0.01</v>
      </c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</row>
    <row r="156" spans="1:29" ht="22.5" x14ac:dyDescent="0.25">
      <c r="A156" s="18">
        <v>151</v>
      </c>
      <c r="B156" s="19" t="s">
        <v>217</v>
      </c>
      <c r="C156" s="11" t="s">
        <v>32</v>
      </c>
      <c r="D156" s="20">
        <v>372350</v>
      </c>
      <c r="E156" s="19" t="s">
        <v>18</v>
      </c>
      <c r="F156" s="19">
        <f>163*100</f>
        <v>16300</v>
      </c>
      <c r="G156" s="10">
        <v>0</v>
      </c>
      <c r="H156" s="10">
        <f t="shared" si="0"/>
        <v>16300</v>
      </c>
      <c r="I156" s="21">
        <f>56.42/100</f>
        <v>0.56420000000000003</v>
      </c>
      <c r="J156" s="13">
        <f t="shared" si="1"/>
        <v>9128</v>
      </c>
      <c r="K156" s="21" t="s">
        <v>19</v>
      </c>
      <c r="L156" s="35" t="s">
        <v>235</v>
      </c>
      <c r="M156" s="22" t="s">
        <v>20</v>
      </c>
      <c r="N156" s="23">
        <f>VLOOKUP(I156,Intervalos!$B$3:$C$8,2,TRUE)</f>
        <v>0.01</v>
      </c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</row>
    <row r="157" spans="1:29" ht="33.75" x14ac:dyDescent="0.25">
      <c r="A157" s="18">
        <v>152</v>
      </c>
      <c r="B157" s="19" t="s">
        <v>218</v>
      </c>
      <c r="C157" s="11" t="s">
        <v>32</v>
      </c>
      <c r="D157" s="20">
        <v>618843</v>
      </c>
      <c r="E157" s="19" t="s">
        <v>18</v>
      </c>
      <c r="F157" s="19">
        <f>82*50</f>
        <v>4100</v>
      </c>
      <c r="G157" s="10">
        <v>0</v>
      </c>
      <c r="H157" s="10">
        <f t="shared" si="0"/>
        <v>4100</v>
      </c>
      <c r="I157" s="21">
        <f>45.53/50</f>
        <v>0.91060000000000008</v>
      </c>
      <c r="J157" s="13">
        <f t="shared" si="1"/>
        <v>3731</v>
      </c>
      <c r="K157" s="21" t="s">
        <v>19</v>
      </c>
      <c r="L157" s="35" t="s">
        <v>235</v>
      </c>
      <c r="M157" s="22" t="s">
        <v>20</v>
      </c>
      <c r="N157" s="23">
        <f>VLOOKUP(I157,Intervalos!$B$3:$C$8,2,TRUE)</f>
        <v>0.01</v>
      </c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</row>
    <row r="158" spans="1:29" ht="22.5" x14ac:dyDescent="0.25">
      <c r="A158" s="18">
        <v>153</v>
      </c>
      <c r="B158" s="19" t="s">
        <v>219</v>
      </c>
      <c r="C158" s="11" t="s">
        <v>32</v>
      </c>
      <c r="D158" s="20">
        <v>374414</v>
      </c>
      <c r="E158" s="19" t="s">
        <v>18</v>
      </c>
      <c r="F158" s="19">
        <f>4*100</f>
        <v>400</v>
      </c>
      <c r="G158" s="10">
        <v>0</v>
      </c>
      <c r="H158" s="10">
        <f t="shared" si="0"/>
        <v>400</v>
      </c>
      <c r="I158" s="21">
        <f>80.07/100</f>
        <v>0.80069999999999997</v>
      </c>
      <c r="J158" s="13">
        <f t="shared" si="1"/>
        <v>320</v>
      </c>
      <c r="K158" s="21" t="s">
        <v>19</v>
      </c>
      <c r="L158" s="35" t="s">
        <v>235</v>
      </c>
      <c r="M158" s="22" t="s">
        <v>20</v>
      </c>
      <c r="N158" s="23">
        <f>VLOOKUP(I158,Intervalos!$B$3:$C$8,2,TRUE)</f>
        <v>0.01</v>
      </c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</row>
    <row r="159" spans="1:29" ht="33.75" x14ac:dyDescent="0.25">
      <c r="A159" s="18">
        <v>154</v>
      </c>
      <c r="B159" s="19" t="s">
        <v>220</v>
      </c>
      <c r="C159" s="11" t="s">
        <v>22</v>
      </c>
      <c r="D159" s="20">
        <v>617975</v>
      </c>
      <c r="E159" s="19" t="s">
        <v>23</v>
      </c>
      <c r="F159" s="19">
        <v>188</v>
      </c>
      <c r="G159" s="10">
        <v>0</v>
      </c>
      <c r="H159" s="10">
        <f t="shared" si="0"/>
        <v>188</v>
      </c>
      <c r="I159" s="21">
        <v>28.05</v>
      </c>
      <c r="J159" s="13">
        <f t="shared" si="1"/>
        <v>5273.4000000000005</v>
      </c>
      <c r="K159" s="21" t="s">
        <v>19</v>
      </c>
      <c r="L159" s="35" t="s">
        <v>235</v>
      </c>
      <c r="M159" s="22" t="s">
        <v>20</v>
      </c>
      <c r="N159" s="23">
        <f>VLOOKUP(I159,Intervalos!$B$3:$C$8,2,TRUE)</f>
        <v>0.05</v>
      </c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</row>
    <row r="160" spans="1:29" ht="22.5" x14ac:dyDescent="0.25">
      <c r="A160" s="18">
        <v>155</v>
      </c>
      <c r="B160" s="19" t="s">
        <v>221</v>
      </c>
      <c r="C160" s="11" t="s">
        <v>222</v>
      </c>
      <c r="D160" s="20">
        <v>459171</v>
      </c>
      <c r="E160" s="19" t="s">
        <v>18</v>
      </c>
      <c r="F160" s="19">
        <v>4</v>
      </c>
      <c r="G160" s="10">
        <v>0</v>
      </c>
      <c r="H160" s="10">
        <f t="shared" si="0"/>
        <v>4</v>
      </c>
      <c r="I160" s="21">
        <v>234</v>
      </c>
      <c r="J160" s="13">
        <f t="shared" si="1"/>
        <v>936</v>
      </c>
      <c r="K160" s="21" t="s">
        <v>19</v>
      </c>
      <c r="L160" s="35" t="s">
        <v>235</v>
      </c>
      <c r="M160" s="22" t="s">
        <v>20</v>
      </c>
      <c r="N160" s="23" t="str">
        <f>VLOOKUP(I160,Intervalos!$B$3:$C$8,2,TRUE)</f>
        <v>0,10%</v>
      </c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</row>
    <row r="161" spans="1:29" ht="22.5" x14ac:dyDescent="0.25">
      <c r="A161" s="2"/>
      <c r="B161" s="2"/>
      <c r="C161" s="2"/>
      <c r="D161" s="2"/>
      <c r="E161" s="3"/>
      <c r="F161" s="4"/>
      <c r="G161" s="26"/>
      <c r="H161" s="26"/>
      <c r="I161" s="7" t="s">
        <v>12</v>
      </c>
      <c r="J161" s="27">
        <f>SUM(J6:J160)</f>
        <v>763449.28999999992</v>
      </c>
      <c r="K161" s="4"/>
      <c r="L161" s="4"/>
      <c r="M161" s="5"/>
      <c r="N161" s="4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</row>
    <row r="162" spans="1:29" x14ac:dyDescent="0.25">
      <c r="A162" s="2"/>
      <c r="B162" s="2"/>
      <c r="C162" s="2"/>
      <c r="D162" s="2"/>
      <c r="E162" s="3"/>
      <c r="F162" s="4"/>
      <c r="G162" s="4"/>
      <c r="H162" s="4"/>
      <c r="I162" s="4"/>
      <c r="J162" s="4"/>
      <c r="K162" s="4"/>
      <c r="L162" s="4"/>
      <c r="M162" s="5"/>
      <c r="N162" s="4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</row>
    <row r="163" spans="1:29" x14ac:dyDescent="0.25">
      <c r="A163" s="2"/>
      <c r="B163" s="2"/>
      <c r="C163" s="2"/>
      <c r="D163" s="2"/>
      <c r="E163" s="3"/>
      <c r="F163" s="4"/>
      <c r="G163" s="4"/>
      <c r="H163" s="4"/>
      <c r="I163" s="4"/>
      <c r="J163" s="4"/>
      <c r="K163" s="4"/>
      <c r="L163" s="4"/>
      <c r="M163" s="5"/>
      <c r="N163" s="4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</row>
    <row r="164" spans="1:29" x14ac:dyDescent="0.25">
      <c r="A164" s="2"/>
      <c r="B164" s="2"/>
      <c r="C164" s="2"/>
      <c r="D164" s="2"/>
      <c r="E164" s="3"/>
      <c r="F164" s="4"/>
      <c r="G164" s="4"/>
      <c r="H164" s="4"/>
      <c r="I164" s="4"/>
      <c r="J164" s="4"/>
      <c r="K164" s="4"/>
      <c r="L164" s="4"/>
      <c r="M164" s="5"/>
      <c r="N164" s="4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</row>
    <row r="165" spans="1:29" x14ac:dyDescent="0.25">
      <c r="A165" s="2"/>
      <c r="B165" s="2"/>
      <c r="C165" s="2"/>
      <c r="D165" s="2"/>
      <c r="E165" s="3"/>
      <c r="F165" s="4"/>
      <c r="G165" s="4"/>
      <c r="H165" s="4"/>
      <c r="I165" s="4"/>
      <c r="J165" s="4"/>
      <c r="K165" s="4"/>
      <c r="L165" s="4"/>
      <c r="M165" s="5"/>
      <c r="N165" s="4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</row>
    <row r="166" spans="1:29" x14ac:dyDescent="0.25">
      <c r="A166" s="2"/>
      <c r="B166" s="2"/>
      <c r="C166" s="2"/>
      <c r="D166" s="2"/>
      <c r="E166" s="3"/>
      <c r="F166" s="4"/>
      <c r="G166" s="4"/>
      <c r="H166" s="4"/>
      <c r="I166" s="4"/>
      <c r="J166" s="4"/>
      <c r="K166" s="4"/>
      <c r="L166" s="4"/>
      <c r="M166" s="5"/>
      <c r="N166" s="4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</row>
    <row r="167" spans="1:29" x14ac:dyDescent="0.25">
      <c r="A167" s="2"/>
      <c r="B167" s="2"/>
      <c r="C167" s="2"/>
      <c r="D167" s="2"/>
      <c r="E167" s="3"/>
      <c r="F167" s="4"/>
      <c r="G167" s="4"/>
      <c r="H167" s="4"/>
      <c r="I167" s="4"/>
      <c r="J167" s="4"/>
      <c r="K167" s="4"/>
      <c r="L167" s="4"/>
      <c r="M167" s="5"/>
      <c r="N167" s="4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</row>
    <row r="168" spans="1:29" x14ac:dyDescent="0.25">
      <c r="A168" s="2"/>
      <c r="B168" s="2"/>
      <c r="C168" s="2"/>
      <c r="D168" s="2"/>
      <c r="E168" s="3"/>
      <c r="F168" s="4"/>
      <c r="G168" s="4"/>
      <c r="H168" s="4"/>
      <c r="I168" s="4"/>
      <c r="J168" s="4"/>
      <c r="K168" s="4"/>
      <c r="L168" s="4"/>
      <c r="M168" s="5"/>
      <c r="N168" s="4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</row>
    <row r="169" spans="1:29" x14ac:dyDescent="0.25">
      <c r="A169" s="2"/>
      <c r="B169" s="2"/>
      <c r="C169" s="2"/>
      <c r="D169" s="2"/>
      <c r="E169" s="3"/>
      <c r="F169" s="4"/>
      <c r="G169" s="4"/>
      <c r="H169" s="4"/>
      <c r="I169" s="4"/>
      <c r="J169" s="4"/>
      <c r="K169" s="4"/>
      <c r="L169" s="4"/>
      <c r="M169" s="5"/>
      <c r="N169" s="4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</row>
    <row r="170" spans="1:29" x14ac:dyDescent="0.25">
      <c r="A170" s="2"/>
      <c r="B170" s="2"/>
      <c r="C170" s="2"/>
      <c r="D170" s="2"/>
      <c r="E170" s="3"/>
      <c r="F170" s="4"/>
      <c r="G170" s="4"/>
      <c r="H170" s="4"/>
      <c r="I170" s="4"/>
      <c r="J170" s="4"/>
      <c r="K170" s="4"/>
      <c r="L170" s="4"/>
      <c r="M170" s="5"/>
      <c r="N170" s="4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</row>
    <row r="171" spans="1:29" x14ac:dyDescent="0.25">
      <c r="A171" s="2"/>
      <c r="B171" s="2"/>
      <c r="C171" s="2"/>
      <c r="D171" s="2"/>
      <c r="E171" s="3"/>
      <c r="F171" s="4"/>
      <c r="G171" s="4"/>
      <c r="H171" s="4"/>
      <c r="I171" s="4"/>
      <c r="J171" s="4"/>
      <c r="K171" s="4"/>
      <c r="L171" s="4"/>
      <c r="M171" s="5"/>
      <c r="N171" s="4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</row>
    <row r="172" spans="1:29" x14ac:dyDescent="0.25">
      <c r="A172" s="2"/>
      <c r="B172" s="2"/>
      <c r="C172" s="2"/>
      <c r="D172" s="2"/>
      <c r="E172" s="3"/>
      <c r="F172" s="4"/>
      <c r="G172" s="4"/>
      <c r="H172" s="4"/>
      <c r="I172" s="4"/>
      <c r="J172" s="4"/>
      <c r="K172" s="4"/>
      <c r="L172" s="4"/>
      <c r="M172" s="5"/>
      <c r="N172" s="4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</row>
    <row r="173" spans="1:29" x14ac:dyDescent="0.25">
      <c r="A173" s="2"/>
      <c r="B173" s="2"/>
      <c r="C173" s="2"/>
      <c r="D173" s="2"/>
      <c r="E173" s="3"/>
      <c r="F173" s="4"/>
      <c r="G173" s="4"/>
      <c r="H173" s="4"/>
      <c r="I173" s="4"/>
      <c r="J173" s="4"/>
      <c r="K173" s="4"/>
      <c r="L173" s="4"/>
      <c r="M173" s="5"/>
      <c r="N173" s="4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</row>
    <row r="174" spans="1:29" x14ac:dyDescent="0.25">
      <c r="A174" s="2"/>
      <c r="B174" s="2"/>
      <c r="C174" s="2"/>
      <c r="D174" s="2"/>
      <c r="E174" s="3"/>
      <c r="F174" s="4"/>
      <c r="G174" s="4"/>
      <c r="H174" s="4"/>
      <c r="I174" s="4"/>
      <c r="J174" s="4"/>
      <c r="K174" s="4"/>
      <c r="L174" s="4"/>
      <c r="M174" s="5"/>
      <c r="N174" s="4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</row>
    <row r="175" spans="1:29" x14ac:dyDescent="0.25">
      <c r="A175" s="2"/>
      <c r="B175" s="2"/>
      <c r="C175" s="2"/>
      <c r="D175" s="2"/>
      <c r="E175" s="3"/>
      <c r="F175" s="4"/>
      <c r="G175" s="4"/>
      <c r="H175" s="4"/>
      <c r="I175" s="4"/>
      <c r="J175" s="4"/>
      <c r="K175" s="4"/>
      <c r="L175" s="4"/>
      <c r="M175" s="5"/>
      <c r="N175" s="4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</row>
    <row r="176" spans="1:29" x14ac:dyDescent="0.25">
      <c r="A176" s="2"/>
      <c r="B176" s="2"/>
      <c r="C176" s="2"/>
      <c r="D176" s="2"/>
      <c r="E176" s="3"/>
      <c r="F176" s="4"/>
      <c r="G176" s="4"/>
      <c r="H176" s="4"/>
      <c r="I176" s="4"/>
      <c r="J176" s="4"/>
      <c r="K176" s="4"/>
      <c r="L176" s="4"/>
      <c r="M176" s="5"/>
      <c r="N176" s="4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</row>
    <row r="177" spans="1:29" x14ac:dyDescent="0.25">
      <c r="A177" s="2"/>
      <c r="B177" s="2"/>
      <c r="C177" s="2"/>
      <c r="D177" s="2"/>
      <c r="E177" s="3"/>
      <c r="F177" s="4"/>
      <c r="G177" s="4"/>
      <c r="H177" s="4"/>
      <c r="I177" s="4"/>
      <c r="J177" s="4"/>
      <c r="K177" s="4"/>
      <c r="L177" s="4"/>
      <c r="M177" s="5"/>
      <c r="N177" s="4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</row>
    <row r="178" spans="1:29" x14ac:dyDescent="0.25">
      <c r="A178" s="2"/>
      <c r="B178" s="2"/>
      <c r="C178" s="2"/>
      <c r="D178" s="2"/>
      <c r="E178" s="3"/>
      <c r="F178" s="4"/>
      <c r="G178" s="4"/>
      <c r="H178" s="4"/>
      <c r="I178" s="4"/>
      <c r="J178" s="4"/>
      <c r="K178" s="4"/>
      <c r="L178" s="4"/>
      <c r="M178" s="5"/>
      <c r="N178" s="4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</row>
    <row r="179" spans="1:29" x14ac:dyDescent="0.25">
      <c r="A179" s="2"/>
      <c r="B179" s="2"/>
      <c r="C179" s="2"/>
      <c r="D179" s="2"/>
      <c r="E179" s="3"/>
      <c r="F179" s="4"/>
      <c r="G179" s="4"/>
      <c r="H179" s="4"/>
      <c r="I179" s="4"/>
      <c r="J179" s="4"/>
      <c r="K179" s="4"/>
      <c r="L179" s="4"/>
      <c r="M179" s="5"/>
      <c r="N179" s="4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</row>
    <row r="180" spans="1:29" x14ac:dyDescent="0.25">
      <c r="A180" s="2"/>
      <c r="B180" s="2"/>
      <c r="C180" s="2"/>
      <c r="D180" s="2"/>
      <c r="E180" s="3"/>
      <c r="F180" s="4"/>
      <c r="G180" s="4"/>
      <c r="H180" s="4"/>
      <c r="I180" s="4"/>
      <c r="J180" s="4"/>
      <c r="K180" s="4"/>
      <c r="L180" s="4"/>
      <c r="M180" s="5"/>
      <c r="N180" s="4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</row>
    <row r="181" spans="1:29" x14ac:dyDescent="0.25">
      <c r="A181" s="2"/>
      <c r="B181" s="2"/>
      <c r="C181" s="2"/>
      <c r="D181" s="2"/>
      <c r="E181" s="3"/>
      <c r="F181" s="4"/>
      <c r="G181" s="4"/>
      <c r="H181" s="4"/>
      <c r="I181" s="4"/>
      <c r="J181" s="4"/>
      <c r="K181" s="4"/>
      <c r="L181" s="4"/>
      <c r="M181" s="5"/>
      <c r="N181" s="4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</row>
    <row r="182" spans="1:29" x14ac:dyDescent="0.25">
      <c r="A182" s="2"/>
      <c r="B182" s="2"/>
      <c r="C182" s="2"/>
      <c r="D182" s="2"/>
      <c r="E182" s="3"/>
      <c r="F182" s="4"/>
      <c r="G182" s="4"/>
      <c r="H182" s="4"/>
      <c r="I182" s="4"/>
      <c r="J182" s="4"/>
      <c r="K182" s="4"/>
      <c r="L182" s="4"/>
      <c r="M182" s="5"/>
      <c r="N182" s="4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</row>
    <row r="183" spans="1:29" x14ac:dyDescent="0.25">
      <c r="A183" s="2"/>
      <c r="B183" s="2"/>
      <c r="C183" s="2"/>
      <c r="D183" s="2"/>
      <c r="E183" s="3"/>
      <c r="F183" s="4"/>
      <c r="G183" s="4"/>
      <c r="H183" s="4"/>
      <c r="I183" s="4"/>
      <c r="J183" s="4"/>
      <c r="K183" s="4"/>
      <c r="L183" s="4"/>
      <c r="M183" s="5"/>
      <c r="N183" s="4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</row>
    <row r="184" spans="1:29" x14ac:dyDescent="0.25">
      <c r="A184" s="2"/>
      <c r="B184" s="2"/>
      <c r="C184" s="2"/>
      <c r="D184" s="2"/>
      <c r="E184" s="3"/>
      <c r="F184" s="4"/>
      <c r="G184" s="4"/>
      <c r="H184" s="4"/>
      <c r="I184" s="4"/>
      <c r="J184" s="4"/>
      <c r="K184" s="4"/>
      <c r="L184" s="4"/>
      <c r="M184" s="5"/>
      <c r="N184" s="4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</row>
    <row r="185" spans="1:29" x14ac:dyDescent="0.25">
      <c r="A185" s="2"/>
      <c r="B185" s="2"/>
      <c r="C185" s="2"/>
      <c r="D185" s="2"/>
      <c r="E185" s="3"/>
      <c r="F185" s="4"/>
      <c r="G185" s="4"/>
      <c r="H185" s="4"/>
      <c r="I185" s="4"/>
      <c r="J185" s="4"/>
      <c r="K185" s="4"/>
      <c r="L185" s="4"/>
      <c r="M185" s="5"/>
      <c r="N185" s="4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</row>
    <row r="186" spans="1:29" x14ac:dyDescent="0.25">
      <c r="A186" s="2"/>
      <c r="B186" s="2"/>
      <c r="C186" s="2"/>
      <c r="D186" s="2"/>
      <c r="E186" s="3"/>
      <c r="F186" s="4"/>
      <c r="G186" s="4"/>
      <c r="H186" s="4"/>
      <c r="I186" s="4"/>
      <c r="J186" s="4"/>
      <c r="K186" s="4"/>
      <c r="L186" s="4"/>
      <c r="M186" s="5"/>
      <c r="N186" s="4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</row>
    <row r="187" spans="1:29" x14ac:dyDescent="0.25">
      <c r="A187" s="2"/>
      <c r="B187" s="2"/>
      <c r="C187" s="2"/>
      <c r="D187" s="2"/>
      <c r="E187" s="3"/>
      <c r="F187" s="4"/>
      <c r="G187" s="4"/>
      <c r="H187" s="4"/>
      <c r="I187" s="4"/>
      <c r="J187" s="4"/>
      <c r="K187" s="4"/>
      <c r="L187" s="4"/>
      <c r="M187" s="5"/>
      <c r="N187" s="4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</row>
    <row r="188" spans="1:29" x14ac:dyDescent="0.25">
      <c r="A188" s="2"/>
      <c r="B188" s="2"/>
      <c r="C188" s="2"/>
      <c r="D188" s="2"/>
      <c r="E188" s="3"/>
      <c r="F188" s="4"/>
      <c r="G188" s="4"/>
      <c r="H188" s="4"/>
      <c r="I188" s="4"/>
      <c r="J188" s="4"/>
      <c r="K188" s="4"/>
      <c r="L188" s="4"/>
      <c r="M188" s="5"/>
      <c r="N188" s="4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</row>
    <row r="189" spans="1:29" x14ac:dyDescent="0.25">
      <c r="A189" s="2"/>
      <c r="B189" s="2"/>
      <c r="C189" s="2"/>
      <c r="D189" s="2"/>
      <c r="E189" s="3"/>
      <c r="F189" s="4"/>
      <c r="G189" s="4"/>
      <c r="H189" s="4"/>
      <c r="I189" s="4"/>
      <c r="J189" s="4"/>
      <c r="K189" s="4"/>
      <c r="L189" s="4"/>
      <c r="M189" s="5"/>
      <c r="N189" s="4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</row>
    <row r="190" spans="1:29" x14ac:dyDescent="0.25">
      <c r="A190" s="2"/>
      <c r="B190" s="2"/>
      <c r="C190" s="2"/>
      <c r="D190" s="2"/>
      <c r="E190" s="3"/>
      <c r="F190" s="4"/>
      <c r="G190" s="4"/>
      <c r="H190" s="4"/>
      <c r="I190" s="4"/>
      <c r="J190" s="4"/>
      <c r="K190" s="4"/>
      <c r="L190" s="4"/>
      <c r="M190" s="5"/>
      <c r="N190" s="4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</row>
    <row r="191" spans="1:29" x14ac:dyDescent="0.25">
      <c r="A191" s="2"/>
      <c r="B191" s="2"/>
      <c r="C191" s="2"/>
      <c r="D191" s="2"/>
      <c r="E191" s="3"/>
      <c r="F191" s="4"/>
      <c r="G191" s="4"/>
      <c r="H191" s="4"/>
      <c r="I191" s="4"/>
      <c r="J191" s="4"/>
      <c r="K191" s="4"/>
      <c r="L191" s="4"/>
      <c r="M191" s="5"/>
      <c r="N191" s="4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</row>
    <row r="192" spans="1:29" x14ac:dyDescent="0.25">
      <c r="A192" s="2"/>
      <c r="B192" s="2"/>
      <c r="C192" s="2"/>
      <c r="D192" s="2"/>
      <c r="E192" s="3"/>
      <c r="F192" s="4"/>
      <c r="G192" s="4"/>
      <c r="H192" s="4"/>
      <c r="I192" s="4"/>
      <c r="J192" s="4"/>
      <c r="K192" s="4"/>
      <c r="L192" s="4"/>
      <c r="M192" s="5"/>
      <c r="N192" s="4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</row>
    <row r="193" spans="1:29" x14ac:dyDescent="0.25">
      <c r="A193" s="2"/>
      <c r="B193" s="2"/>
      <c r="C193" s="2"/>
      <c r="D193" s="2"/>
      <c r="E193" s="3"/>
      <c r="F193" s="4"/>
      <c r="G193" s="4"/>
      <c r="H193" s="4"/>
      <c r="I193" s="4"/>
      <c r="J193" s="4"/>
      <c r="K193" s="4"/>
      <c r="L193" s="4"/>
      <c r="M193" s="5"/>
      <c r="N193" s="4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</row>
    <row r="194" spans="1:29" x14ac:dyDescent="0.25">
      <c r="A194" s="2"/>
      <c r="B194" s="2"/>
      <c r="C194" s="2"/>
      <c r="D194" s="2"/>
      <c r="E194" s="3"/>
      <c r="F194" s="4"/>
      <c r="G194" s="4"/>
      <c r="H194" s="4"/>
      <c r="I194" s="4"/>
      <c r="J194" s="4"/>
      <c r="K194" s="4"/>
      <c r="L194" s="4"/>
      <c r="M194" s="5"/>
      <c r="N194" s="4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</row>
    <row r="195" spans="1:29" x14ac:dyDescent="0.25">
      <c r="A195" s="2"/>
      <c r="B195" s="2"/>
      <c r="C195" s="2"/>
      <c r="D195" s="2"/>
      <c r="E195" s="3"/>
      <c r="F195" s="4"/>
      <c r="G195" s="4"/>
      <c r="H195" s="4"/>
      <c r="I195" s="4"/>
      <c r="J195" s="4"/>
      <c r="K195" s="4"/>
      <c r="L195" s="4"/>
      <c r="M195" s="5"/>
      <c r="N195" s="4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</row>
    <row r="196" spans="1:29" x14ac:dyDescent="0.25">
      <c r="A196" s="2"/>
      <c r="B196" s="2"/>
      <c r="C196" s="2"/>
      <c r="D196" s="2"/>
      <c r="E196" s="3"/>
      <c r="F196" s="4"/>
      <c r="G196" s="4"/>
      <c r="H196" s="4"/>
      <c r="I196" s="4"/>
      <c r="J196" s="4"/>
      <c r="K196" s="4"/>
      <c r="L196" s="4"/>
      <c r="M196" s="5"/>
      <c r="N196" s="4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</row>
    <row r="197" spans="1:29" x14ac:dyDescent="0.25">
      <c r="A197" s="2"/>
      <c r="B197" s="2"/>
      <c r="C197" s="2"/>
      <c r="D197" s="2"/>
      <c r="E197" s="3"/>
      <c r="F197" s="4"/>
      <c r="G197" s="4"/>
      <c r="H197" s="4"/>
      <c r="I197" s="4"/>
      <c r="J197" s="4"/>
      <c r="K197" s="4"/>
      <c r="L197" s="4"/>
      <c r="M197" s="5"/>
      <c r="N197" s="4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</row>
    <row r="198" spans="1:29" x14ac:dyDescent="0.25">
      <c r="A198" s="2"/>
      <c r="B198" s="2"/>
      <c r="C198" s="2"/>
      <c r="D198" s="2"/>
      <c r="E198" s="3"/>
      <c r="F198" s="4"/>
      <c r="G198" s="4"/>
      <c r="H198" s="4"/>
      <c r="I198" s="4"/>
      <c r="J198" s="4"/>
      <c r="K198" s="4"/>
      <c r="L198" s="4"/>
      <c r="M198" s="5"/>
      <c r="N198" s="4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</row>
    <row r="199" spans="1:29" x14ac:dyDescent="0.25">
      <c r="A199" s="2"/>
      <c r="B199" s="2"/>
      <c r="C199" s="2"/>
      <c r="D199" s="2"/>
      <c r="E199" s="3"/>
      <c r="F199" s="4"/>
      <c r="G199" s="4"/>
      <c r="H199" s="4"/>
      <c r="I199" s="4"/>
      <c r="J199" s="4"/>
      <c r="K199" s="4"/>
      <c r="L199" s="4"/>
      <c r="M199" s="5"/>
      <c r="N199" s="4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</row>
    <row r="200" spans="1:29" x14ac:dyDescent="0.25">
      <c r="A200" s="2"/>
      <c r="B200" s="2"/>
      <c r="C200" s="2"/>
      <c r="D200" s="2"/>
      <c r="E200" s="3"/>
      <c r="F200" s="4"/>
      <c r="G200" s="4"/>
      <c r="H200" s="4"/>
      <c r="I200" s="4"/>
      <c r="J200" s="4"/>
      <c r="K200" s="4"/>
      <c r="L200" s="4"/>
      <c r="M200" s="5"/>
      <c r="N200" s="4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</row>
    <row r="201" spans="1:29" x14ac:dyDescent="0.25">
      <c r="A201" s="2"/>
      <c r="B201" s="2"/>
      <c r="C201" s="2"/>
      <c r="D201" s="2"/>
      <c r="E201" s="3"/>
      <c r="F201" s="4"/>
      <c r="G201" s="4"/>
      <c r="H201" s="4"/>
      <c r="I201" s="4"/>
      <c r="J201" s="4"/>
      <c r="K201" s="4"/>
      <c r="L201" s="4"/>
      <c r="M201" s="5"/>
      <c r="N201" s="4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</row>
    <row r="202" spans="1:29" x14ac:dyDescent="0.25">
      <c r="A202" s="2"/>
      <c r="B202" s="2"/>
      <c r="C202" s="2"/>
      <c r="D202" s="2"/>
      <c r="E202" s="3"/>
      <c r="F202" s="4"/>
      <c r="G202" s="4"/>
      <c r="H202" s="4"/>
      <c r="I202" s="4"/>
      <c r="J202" s="4"/>
      <c r="K202" s="4"/>
      <c r="L202" s="4"/>
      <c r="M202" s="5"/>
      <c r="N202" s="4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</row>
    <row r="203" spans="1:29" x14ac:dyDescent="0.25">
      <c r="A203" s="2"/>
      <c r="B203" s="2"/>
      <c r="C203" s="2"/>
      <c r="D203" s="2"/>
      <c r="E203" s="3"/>
      <c r="F203" s="4"/>
      <c r="G203" s="4"/>
      <c r="H203" s="4"/>
      <c r="I203" s="4"/>
      <c r="J203" s="4"/>
      <c r="K203" s="4"/>
      <c r="L203" s="4"/>
      <c r="M203" s="5"/>
      <c r="N203" s="4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</row>
    <row r="204" spans="1:29" x14ac:dyDescent="0.25">
      <c r="A204" s="2"/>
      <c r="B204" s="2"/>
      <c r="C204" s="2"/>
      <c r="D204" s="2"/>
      <c r="E204" s="3"/>
      <c r="F204" s="4"/>
      <c r="G204" s="4"/>
      <c r="H204" s="4"/>
      <c r="I204" s="4"/>
      <c r="J204" s="4"/>
      <c r="K204" s="4"/>
      <c r="L204" s="4"/>
      <c r="M204" s="5"/>
      <c r="N204" s="4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</row>
    <row r="205" spans="1:29" x14ac:dyDescent="0.25">
      <c r="A205" s="2"/>
      <c r="B205" s="2"/>
      <c r="C205" s="2"/>
      <c r="D205" s="2"/>
      <c r="E205" s="3"/>
      <c r="F205" s="4"/>
      <c r="G205" s="4"/>
      <c r="H205" s="4"/>
      <c r="I205" s="4"/>
      <c r="J205" s="4"/>
      <c r="K205" s="4"/>
      <c r="L205" s="4"/>
      <c r="M205" s="5"/>
      <c r="N205" s="4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</row>
    <row r="206" spans="1:29" x14ac:dyDescent="0.25">
      <c r="A206" s="2"/>
      <c r="B206" s="2"/>
      <c r="C206" s="2"/>
      <c r="D206" s="2"/>
      <c r="E206" s="3"/>
      <c r="F206" s="4"/>
      <c r="G206" s="4"/>
      <c r="H206" s="4"/>
      <c r="I206" s="4"/>
      <c r="J206" s="4"/>
      <c r="K206" s="4"/>
      <c r="L206" s="4"/>
      <c r="M206" s="5"/>
      <c r="N206" s="4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</row>
    <row r="207" spans="1:29" x14ac:dyDescent="0.25">
      <c r="A207" s="2"/>
      <c r="B207" s="2"/>
      <c r="C207" s="2"/>
      <c r="D207" s="2"/>
      <c r="E207" s="3"/>
      <c r="F207" s="4"/>
      <c r="G207" s="4"/>
      <c r="H207" s="4"/>
      <c r="I207" s="4"/>
      <c r="J207" s="4"/>
      <c r="K207" s="4"/>
      <c r="L207" s="4"/>
      <c r="M207" s="5"/>
      <c r="N207" s="4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</row>
    <row r="208" spans="1:29" x14ac:dyDescent="0.25">
      <c r="A208" s="2"/>
      <c r="B208" s="2"/>
      <c r="C208" s="2"/>
      <c r="D208" s="2"/>
      <c r="E208" s="3"/>
      <c r="F208" s="4"/>
      <c r="G208" s="4"/>
      <c r="H208" s="4"/>
      <c r="I208" s="4"/>
      <c r="J208" s="4"/>
      <c r="K208" s="4"/>
      <c r="L208" s="4"/>
      <c r="M208" s="5"/>
      <c r="N208" s="4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</row>
    <row r="209" spans="1:29" x14ac:dyDescent="0.25">
      <c r="A209" s="2"/>
      <c r="B209" s="2"/>
      <c r="C209" s="2"/>
      <c r="D209" s="2"/>
      <c r="E209" s="3"/>
      <c r="F209" s="4"/>
      <c r="G209" s="4"/>
      <c r="H209" s="4"/>
      <c r="I209" s="4"/>
      <c r="J209" s="4"/>
      <c r="K209" s="4"/>
      <c r="L209" s="4"/>
      <c r="M209" s="5"/>
      <c r="N209" s="4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</row>
    <row r="210" spans="1:29" x14ac:dyDescent="0.25">
      <c r="A210" s="2"/>
      <c r="B210" s="2"/>
      <c r="C210" s="2"/>
      <c r="D210" s="2"/>
      <c r="E210" s="3"/>
      <c r="F210" s="4"/>
      <c r="G210" s="4"/>
      <c r="H210" s="4"/>
      <c r="I210" s="4"/>
      <c r="J210" s="4"/>
      <c r="K210" s="4"/>
      <c r="L210" s="4"/>
      <c r="M210" s="5"/>
      <c r="N210" s="4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</row>
    <row r="211" spans="1:29" x14ac:dyDescent="0.25">
      <c r="A211" s="2"/>
      <c r="B211" s="2"/>
      <c r="C211" s="2"/>
      <c r="D211" s="2"/>
      <c r="E211" s="3"/>
      <c r="F211" s="4"/>
      <c r="G211" s="4"/>
      <c r="H211" s="4"/>
      <c r="I211" s="4"/>
      <c r="J211" s="4"/>
      <c r="K211" s="4"/>
      <c r="L211" s="4"/>
      <c r="M211" s="5"/>
      <c r="N211" s="4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</row>
    <row r="212" spans="1:29" x14ac:dyDescent="0.25">
      <c r="A212" s="2"/>
      <c r="B212" s="2"/>
      <c r="C212" s="2"/>
      <c r="D212" s="2"/>
      <c r="E212" s="3"/>
      <c r="F212" s="4"/>
      <c r="G212" s="4"/>
      <c r="H212" s="4"/>
      <c r="I212" s="4"/>
      <c r="J212" s="4"/>
      <c r="K212" s="4"/>
      <c r="L212" s="4"/>
      <c r="M212" s="5"/>
      <c r="N212" s="4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</row>
    <row r="213" spans="1:29" x14ac:dyDescent="0.25">
      <c r="A213" s="2"/>
      <c r="B213" s="2"/>
      <c r="C213" s="2"/>
      <c r="D213" s="2"/>
      <c r="E213" s="3"/>
      <c r="F213" s="4"/>
      <c r="G213" s="4"/>
      <c r="H213" s="4"/>
      <c r="I213" s="4"/>
      <c r="J213" s="4"/>
      <c r="K213" s="4"/>
      <c r="L213" s="4"/>
      <c r="M213" s="5"/>
      <c r="N213" s="4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</row>
    <row r="214" spans="1:29" x14ac:dyDescent="0.25">
      <c r="A214" s="2"/>
      <c r="B214" s="2"/>
      <c r="C214" s="2"/>
      <c r="D214" s="2"/>
      <c r="E214" s="3"/>
      <c r="F214" s="4"/>
      <c r="G214" s="4"/>
      <c r="H214" s="4"/>
      <c r="I214" s="4"/>
      <c r="J214" s="4"/>
      <c r="K214" s="4"/>
      <c r="L214" s="4"/>
      <c r="M214" s="5"/>
      <c r="N214" s="4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</row>
    <row r="215" spans="1:29" x14ac:dyDescent="0.25">
      <c r="A215" s="2"/>
      <c r="B215" s="2"/>
      <c r="C215" s="2"/>
      <c r="D215" s="2"/>
      <c r="E215" s="3"/>
      <c r="F215" s="4"/>
      <c r="G215" s="4"/>
      <c r="H215" s="4"/>
      <c r="I215" s="4"/>
      <c r="J215" s="4"/>
      <c r="K215" s="4"/>
      <c r="L215" s="4"/>
      <c r="M215" s="5"/>
      <c r="N215" s="4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</row>
    <row r="216" spans="1:29" x14ac:dyDescent="0.25">
      <c r="A216" s="2"/>
      <c r="B216" s="2"/>
      <c r="C216" s="2"/>
      <c r="D216" s="2"/>
      <c r="E216" s="3"/>
      <c r="F216" s="4"/>
      <c r="G216" s="4"/>
      <c r="H216" s="4"/>
      <c r="I216" s="4"/>
      <c r="J216" s="4"/>
      <c r="K216" s="4"/>
      <c r="L216" s="4"/>
      <c r="M216" s="5"/>
      <c r="N216" s="4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</row>
    <row r="217" spans="1:29" x14ac:dyDescent="0.25">
      <c r="A217" s="2"/>
      <c r="B217" s="2"/>
      <c r="C217" s="2"/>
      <c r="D217" s="2"/>
      <c r="E217" s="3"/>
      <c r="F217" s="4"/>
      <c r="G217" s="4"/>
      <c r="H217" s="4"/>
      <c r="I217" s="4"/>
      <c r="J217" s="4"/>
      <c r="K217" s="4"/>
      <c r="L217" s="4"/>
      <c r="M217" s="5"/>
      <c r="N217" s="4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</row>
    <row r="218" spans="1:29" x14ac:dyDescent="0.25">
      <c r="A218" s="2"/>
      <c r="B218" s="2"/>
      <c r="C218" s="2"/>
      <c r="D218" s="2"/>
      <c r="E218" s="3"/>
      <c r="F218" s="4"/>
      <c r="G218" s="4"/>
      <c r="H218" s="4"/>
      <c r="I218" s="4"/>
      <c r="J218" s="4"/>
      <c r="K218" s="4"/>
      <c r="L218" s="4"/>
      <c r="M218" s="5"/>
      <c r="N218" s="4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</row>
    <row r="219" spans="1:29" x14ac:dyDescent="0.25">
      <c r="A219" s="2"/>
      <c r="B219" s="2"/>
      <c r="C219" s="2"/>
      <c r="D219" s="2"/>
      <c r="E219" s="3"/>
      <c r="F219" s="4"/>
      <c r="G219" s="4"/>
      <c r="H219" s="4"/>
      <c r="I219" s="4"/>
      <c r="J219" s="4"/>
      <c r="K219" s="4"/>
      <c r="L219" s="4"/>
      <c r="M219" s="5"/>
      <c r="N219" s="4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</row>
    <row r="220" spans="1:29" x14ac:dyDescent="0.25">
      <c r="A220" s="2"/>
      <c r="B220" s="2"/>
      <c r="C220" s="2"/>
      <c r="D220" s="2"/>
      <c r="E220" s="3"/>
      <c r="F220" s="4"/>
      <c r="G220" s="4"/>
      <c r="H220" s="4"/>
      <c r="I220" s="4"/>
      <c r="J220" s="4"/>
      <c r="K220" s="4"/>
      <c r="L220" s="4"/>
      <c r="M220" s="5"/>
      <c r="N220" s="4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</row>
    <row r="221" spans="1:29" x14ac:dyDescent="0.25">
      <c r="A221" s="2"/>
      <c r="B221" s="2"/>
      <c r="C221" s="2"/>
      <c r="D221" s="2"/>
      <c r="E221" s="3"/>
      <c r="F221" s="4"/>
      <c r="G221" s="4"/>
      <c r="H221" s="4"/>
      <c r="I221" s="4"/>
      <c r="J221" s="4"/>
      <c r="K221" s="4"/>
      <c r="L221" s="4"/>
      <c r="M221" s="5"/>
      <c r="N221" s="4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</row>
    <row r="222" spans="1:29" x14ac:dyDescent="0.25">
      <c r="A222" s="2"/>
      <c r="B222" s="2"/>
      <c r="C222" s="2"/>
      <c r="D222" s="2"/>
      <c r="E222" s="3"/>
      <c r="F222" s="4"/>
      <c r="G222" s="4"/>
      <c r="H222" s="4"/>
      <c r="I222" s="4"/>
      <c r="J222" s="4"/>
      <c r="K222" s="4"/>
      <c r="L222" s="4"/>
      <c r="M222" s="5"/>
      <c r="N222" s="4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</row>
    <row r="223" spans="1:29" x14ac:dyDescent="0.25">
      <c r="A223" s="2"/>
      <c r="B223" s="2"/>
      <c r="C223" s="2"/>
      <c r="D223" s="2"/>
      <c r="E223" s="3"/>
      <c r="F223" s="4"/>
      <c r="G223" s="4"/>
      <c r="H223" s="4"/>
      <c r="I223" s="4"/>
      <c r="J223" s="4"/>
      <c r="K223" s="4"/>
      <c r="L223" s="4"/>
      <c r="M223" s="5"/>
      <c r="N223" s="4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</row>
    <row r="224" spans="1:29" x14ac:dyDescent="0.25">
      <c r="A224" s="2"/>
      <c r="B224" s="2"/>
      <c r="C224" s="2"/>
      <c r="D224" s="2"/>
      <c r="E224" s="3"/>
      <c r="F224" s="4"/>
      <c r="G224" s="4"/>
      <c r="H224" s="4"/>
      <c r="I224" s="4"/>
      <c r="J224" s="4"/>
      <c r="K224" s="4"/>
      <c r="L224" s="4"/>
      <c r="M224" s="5"/>
      <c r="N224" s="4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</row>
    <row r="225" spans="1:29" x14ac:dyDescent="0.25">
      <c r="A225" s="2"/>
      <c r="B225" s="2"/>
      <c r="C225" s="2"/>
      <c r="D225" s="2"/>
      <c r="E225" s="3"/>
      <c r="F225" s="4"/>
      <c r="G225" s="4"/>
      <c r="H225" s="4"/>
      <c r="I225" s="4"/>
      <c r="J225" s="4"/>
      <c r="K225" s="4"/>
      <c r="L225" s="4"/>
      <c r="M225" s="5"/>
      <c r="N225" s="4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1:29" x14ac:dyDescent="0.25">
      <c r="A226" s="2"/>
      <c r="B226" s="2"/>
      <c r="C226" s="2"/>
      <c r="D226" s="2"/>
      <c r="E226" s="3"/>
      <c r="F226" s="4"/>
      <c r="G226" s="4"/>
      <c r="H226" s="4"/>
      <c r="I226" s="4"/>
      <c r="J226" s="4"/>
      <c r="K226" s="4"/>
      <c r="L226" s="4"/>
      <c r="M226" s="5"/>
      <c r="N226" s="4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1:29" x14ac:dyDescent="0.25">
      <c r="A227" s="2"/>
      <c r="B227" s="2"/>
      <c r="C227" s="2"/>
      <c r="D227" s="2"/>
      <c r="E227" s="3"/>
      <c r="F227" s="4"/>
      <c r="G227" s="4"/>
      <c r="H227" s="4"/>
      <c r="I227" s="4"/>
      <c r="J227" s="4"/>
      <c r="K227" s="4"/>
      <c r="L227" s="4"/>
      <c r="M227" s="5"/>
      <c r="N227" s="4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</row>
    <row r="228" spans="1:29" x14ac:dyDescent="0.25">
      <c r="A228" s="2"/>
      <c r="B228" s="2"/>
      <c r="C228" s="2"/>
      <c r="D228" s="2"/>
      <c r="E228" s="3"/>
      <c r="F228" s="4"/>
      <c r="G228" s="4"/>
      <c r="H228" s="4"/>
      <c r="I228" s="4"/>
      <c r="J228" s="4"/>
      <c r="K228" s="4"/>
      <c r="L228" s="4"/>
      <c r="M228" s="5"/>
      <c r="N228" s="4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</row>
    <row r="229" spans="1:29" x14ac:dyDescent="0.25">
      <c r="A229" s="2"/>
      <c r="B229" s="2"/>
      <c r="C229" s="2"/>
      <c r="D229" s="2"/>
      <c r="E229" s="3"/>
      <c r="F229" s="4"/>
      <c r="G229" s="4"/>
      <c r="H229" s="4"/>
      <c r="I229" s="4"/>
      <c r="J229" s="4"/>
      <c r="K229" s="4"/>
      <c r="L229" s="4"/>
      <c r="M229" s="5"/>
      <c r="N229" s="4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</row>
    <row r="230" spans="1:29" x14ac:dyDescent="0.25">
      <c r="A230" s="2"/>
      <c r="B230" s="2"/>
      <c r="C230" s="2"/>
      <c r="D230" s="2"/>
      <c r="E230" s="3"/>
      <c r="F230" s="4"/>
      <c r="G230" s="4"/>
      <c r="H230" s="4"/>
      <c r="I230" s="4"/>
      <c r="J230" s="4"/>
      <c r="K230" s="4"/>
      <c r="L230" s="4"/>
      <c r="M230" s="5"/>
      <c r="N230" s="4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</row>
    <row r="231" spans="1:29" x14ac:dyDescent="0.25">
      <c r="A231" s="2"/>
      <c r="B231" s="2"/>
      <c r="C231" s="2"/>
      <c r="D231" s="2"/>
      <c r="E231" s="3"/>
      <c r="F231" s="4"/>
      <c r="G231" s="4"/>
      <c r="H231" s="4"/>
      <c r="I231" s="4"/>
      <c r="J231" s="4"/>
      <c r="K231" s="4"/>
      <c r="L231" s="4"/>
      <c r="M231" s="5"/>
      <c r="N231" s="4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</row>
    <row r="232" spans="1:29" x14ac:dyDescent="0.25">
      <c r="A232" s="2"/>
      <c r="B232" s="2"/>
      <c r="C232" s="2"/>
      <c r="D232" s="2"/>
      <c r="E232" s="3"/>
      <c r="F232" s="4"/>
      <c r="G232" s="4"/>
      <c r="H232" s="4"/>
      <c r="I232" s="4"/>
      <c r="J232" s="4"/>
      <c r="K232" s="4"/>
      <c r="L232" s="4"/>
      <c r="M232" s="5"/>
      <c r="N232" s="4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</row>
    <row r="233" spans="1:29" x14ac:dyDescent="0.25">
      <c r="A233" s="2"/>
      <c r="B233" s="2"/>
      <c r="C233" s="2"/>
      <c r="D233" s="2"/>
      <c r="E233" s="3"/>
      <c r="F233" s="4"/>
      <c r="G233" s="4"/>
      <c r="H233" s="4"/>
      <c r="I233" s="4"/>
      <c r="J233" s="4"/>
      <c r="K233" s="4"/>
      <c r="L233" s="4"/>
      <c r="M233" s="5"/>
      <c r="N233" s="4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</row>
    <row r="234" spans="1:29" x14ac:dyDescent="0.25">
      <c r="A234" s="2"/>
      <c r="B234" s="2"/>
      <c r="C234" s="2"/>
      <c r="D234" s="2"/>
      <c r="E234" s="3"/>
      <c r="F234" s="4"/>
      <c r="G234" s="4"/>
      <c r="H234" s="4"/>
      <c r="I234" s="4"/>
      <c r="J234" s="4"/>
      <c r="K234" s="4"/>
      <c r="L234" s="4"/>
      <c r="M234" s="5"/>
      <c r="N234" s="4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</row>
    <row r="235" spans="1:29" x14ac:dyDescent="0.25">
      <c r="A235" s="2"/>
      <c r="B235" s="2"/>
      <c r="C235" s="2"/>
      <c r="D235" s="2"/>
      <c r="E235" s="3"/>
      <c r="F235" s="4"/>
      <c r="G235" s="4"/>
      <c r="H235" s="4"/>
      <c r="I235" s="4"/>
      <c r="J235" s="4"/>
      <c r="K235" s="4"/>
      <c r="L235" s="4"/>
      <c r="M235" s="5"/>
      <c r="N235" s="4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</row>
    <row r="236" spans="1:29" x14ac:dyDescent="0.25">
      <c r="A236" s="2"/>
      <c r="B236" s="2"/>
      <c r="C236" s="2"/>
      <c r="D236" s="2"/>
      <c r="E236" s="3"/>
      <c r="F236" s="4"/>
      <c r="G236" s="4"/>
      <c r="H236" s="4"/>
      <c r="I236" s="4"/>
      <c r="J236" s="4"/>
      <c r="K236" s="4"/>
      <c r="L236" s="4"/>
      <c r="M236" s="5"/>
      <c r="N236" s="4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</row>
    <row r="237" spans="1:29" x14ac:dyDescent="0.25">
      <c r="A237" s="2"/>
      <c r="B237" s="2"/>
      <c r="C237" s="2"/>
      <c r="D237" s="2"/>
      <c r="E237" s="3"/>
      <c r="F237" s="4"/>
      <c r="G237" s="4"/>
      <c r="H237" s="4"/>
      <c r="I237" s="4"/>
      <c r="J237" s="4"/>
      <c r="K237" s="4"/>
      <c r="L237" s="4"/>
      <c r="M237" s="5"/>
      <c r="N237" s="4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</row>
    <row r="238" spans="1:29" x14ac:dyDescent="0.25">
      <c r="A238" s="2"/>
      <c r="B238" s="2"/>
      <c r="C238" s="2"/>
      <c r="D238" s="2"/>
      <c r="E238" s="3"/>
      <c r="F238" s="4"/>
      <c r="G238" s="4"/>
      <c r="H238" s="4"/>
      <c r="I238" s="4"/>
      <c r="J238" s="4"/>
      <c r="K238" s="4"/>
      <c r="L238" s="4"/>
      <c r="M238" s="5"/>
      <c r="N238" s="4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</row>
    <row r="239" spans="1:29" x14ac:dyDescent="0.25">
      <c r="A239" s="2"/>
      <c r="B239" s="2"/>
      <c r="C239" s="2"/>
      <c r="D239" s="2"/>
      <c r="E239" s="3"/>
      <c r="F239" s="4"/>
      <c r="G239" s="4"/>
      <c r="H239" s="4"/>
      <c r="I239" s="4"/>
      <c r="J239" s="4"/>
      <c r="K239" s="4"/>
      <c r="L239" s="4"/>
      <c r="M239" s="5"/>
      <c r="N239" s="4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</row>
    <row r="240" spans="1:29" x14ac:dyDescent="0.25">
      <c r="A240" s="2"/>
      <c r="B240" s="2"/>
      <c r="C240" s="2"/>
      <c r="D240" s="2"/>
      <c r="E240" s="3"/>
      <c r="F240" s="4"/>
      <c r="G240" s="4"/>
      <c r="H240" s="4"/>
      <c r="I240" s="4"/>
      <c r="J240" s="4"/>
      <c r="K240" s="4"/>
      <c r="L240" s="4"/>
      <c r="M240" s="5"/>
      <c r="N240" s="4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</row>
    <row r="241" spans="1:29" x14ac:dyDescent="0.25">
      <c r="A241" s="2"/>
      <c r="B241" s="2"/>
      <c r="C241" s="2"/>
      <c r="D241" s="2"/>
      <c r="E241" s="3"/>
      <c r="F241" s="4"/>
      <c r="G241" s="4"/>
      <c r="H241" s="4"/>
      <c r="I241" s="4"/>
      <c r="J241" s="4"/>
      <c r="K241" s="4"/>
      <c r="L241" s="4"/>
      <c r="M241" s="5"/>
      <c r="N241" s="4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</row>
    <row r="242" spans="1:29" x14ac:dyDescent="0.25">
      <c r="A242" s="2"/>
      <c r="B242" s="2"/>
      <c r="C242" s="2"/>
      <c r="D242" s="2"/>
      <c r="E242" s="3"/>
      <c r="F242" s="4"/>
      <c r="G242" s="4"/>
      <c r="H242" s="4"/>
      <c r="I242" s="4"/>
      <c r="J242" s="4"/>
      <c r="K242" s="4"/>
      <c r="L242" s="4"/>
      <c r="M242" s="5"/>
      <c r="N242" s="4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</row>
    <row r="243" spans="1:29" x14ac:dyDescent="0.25">
      <c r="A243" s="2"/>
      <c r="B243" s="2"/>
      <c r="C243" s="2"/>
      <c r="D243" s="2"/>
      <c r="E243" s="3"/>
      <c r="F243" s="4"/>
      <c r="G243" s="4"/>
      <c r="H243" s="4"/>
      <c r="I243" s="4"/>
      <c r="J243" s="4"/>
      <c r="K243" s="4"/>
      <c r="L243" s="4"/>
      <c r="M243" s="5"/>
      <c r="N243" s="4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</row>
    <row r="244" spans="1:29" x14ac:dyDescent="0.25">
      <c r="A244" s="2"/>
      <c r="B244" s="2"/>
      <c r="C244" s="2"/>
      <c r="D244" s="2"/>
      <c r="E244" s="3"/>
      <c r="F244" s="4"/>
      <c r="G244" s="4"/>
      <c r="H244" s="4"/>
      <c r="I244" s="4"/>
      <c r="J244" s="4"/>
      <c r="K244" s="4"/>
      <c r="L244" s="4"/>
      <c r="M244" s="5"/>
      <c r="N244" s="4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</row>
    <row r="245" spans="1:29" x14ac:dyDescent="0.25">
      <c r="A245" s="2"/>
      <c r="B245" s="2"/>
      <c r="C245" s="2"/>
      <c r="D245" s="2"/>
      <c r="E245" s="3"/>
      <c r="F245" s="4"/>
      <c r="G245" s="4"/>
      <c r="H245" s="4"/>
      <c r="I245" s="4"/>
      <c r="J245" s="4"/>
      <c r="K245" s="4"/>
      <c r="L245" s="4"/>
      <c r="M245" s="5"/>
      <c r="N245" s="4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</row>
    <row r="246" spans="1:29" x14ac:dyDescent="0.25">
      <c r="A246" s="2"/>
      <c r="B246" s="2"/>
      <c r="C246" s="2"/>
      <c r="D246" s="2"/>
      <c r="E246" s="3"/>
      <c r="F246" s="4"/>
      <c r="G246" s="4"/>
      <c r="H246" s="4"/>
      <c r="I246" s="4"/>
      <c r="J246" s="4"/>
      <c r="K246" s="4"/>
      <c r="L246" s="4"/>
      <c r="M246" s="5"/>
      <c r="N246" s="4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</row>
    <row r="247" spans="1:29" x14ac:dyDescent="0.25">
      <c r="A247" s="2"/>
      <c r="B247" s="2"/>
      <c r="C247" s="2"/>
      <c r="D247" s="2"/>
      <c r="E247" s="3"/>
      <c r="F247" s="4"/>
      <c r="G247" s="4"/>
      <c r="H247" s="4"/>
      <c r="I247" s="4"/>
      <c r="J247" s="4"/>
      <c r="K247" s="4"/>
      <c r="L247" s="4"/>
      <c r="M247" s="5"/>
      <c r="N247" s="4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</row>
    <row r="248" spans="1:29" x14ac:dyDescent="0.25">
      <c r="A248" s="2"/>
      <c r="B248" s="2"/>
      <c r="C248" s="2"/>
      <c r="D248" s="2"/>
      <c r="E248" s="3"/>
      <c r="F248" s="4"/>
      <c r="G248" s="4"/>
      <c r="H248" s="4"/>
      <c r="I248" s="4"/>
      <c r="J248" s="4"/>
      <c r="K248" s="4"/>
      <c r="L248" s="4"/>
      <c r="M248" s="5"/>
      <c r="N248" s="4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</row>
    <row r="249" spans="1:29" x14ac:dyDescent="0.25">
      <c r="A249" s="2"/>
      <c r="B249" s="2"/>
      <c r="C249" s="2"/>
      <c r="D249" s="2"/>
      <c r="E249" s="3"/>
      <c r="F249" s="4"/>
      <c r="G249" s="4"/>
      <c r="H249" s="4"/>
      <c r="I249" s="4"/>
      <c r="J249" s="4"/>
      <c r="K249" s="4"/>
      <c r="L249" s="4"/>
      <c r="M249" s="5"/>
      <c r="N249" s="4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</row>
    <row r="250" spans="1:29" x14ac:dyDescent="0.25">
      <c r="A250" s="2"/>
      <c r="B250" s="2"/>
      <c r="C250" s="2"/>
      <c r="D250" s="2"/>
      <c r="E250" s="3"/>
      <c r="F250" s="4"/>
      <c r="G250" s="4"/>
      <c r="H250" s="4"/>
      <c r="I250" s="4"/>
      <c r="J250" s="4"/>
      <c r="K250" s="4"/>
      <c r="L250" s="4"/>
      <c r="M250" s="5"/>
      <c r="N250" s="4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</row>
    <row r="251" spans="1:29" x14ac:dyDescent="0.25">
      <c r="A251" s="2"/>
      <c r="B251" s="2"/>
      <c r="C251" s="2"/>
      <c r="D251" s="2"/>
      <c r="E251" s="3"/>
      <c r="F251" s="4"/>
      <c r="G251" s="4"/>
      <c r="H251" s="4"/>
      <c r="I251" s="4"/>
      <c r="J251" s="4"/>
      <c r="K251" s="4"/>
      <c r="L251" s="4"/>
      <c r="M251" s="5"/>
      <c r="N251" s="4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</row>
    <row r="252" spans="1:29" x14ac:dyDescent="0.25">
      <c r="A252" s="2"/>
      <c r="B252" s="2"/>
      <c r="C252" s="2"/>
      <c r="D252" s="2"/>
      <c r="E252" s="3"/>
      <c r="F252" s="4"/>
      <c r="G252" s="4"/>
      <c r="H252" s="4"/>
      <c r="I252" s="4"/>
      <c r="J252" s="4"/>
      <c r="K252" s="4"/>
      <c r="L252" s="4"/>
      <c r="M252" s="5"/>
      <c r="N252" s="4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</row>
    <row r="253" spans="1:29" x14ac:dyDescent="0.25">
      <c r="A253" s="2"/>
      <c r="B253" s="2"/>
      <c r="C253" s="2"/>
      <c r="D253" s="2"/>
      <c r="E253" s="3"/>
      <c r="F253" s="4"/>
      <c r="G253" s="4"/>
      <c r="H253" s="4"/>
      <c r="I253" s="4"/>
      <c r="J253" s="4"/>
      <c r="K253" s="4"/>
      <c r="L253" s="4"/>
      <c r="M253" s="5"/>
      <c r="N253" s="4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</row>
    <row r="254" spans="1:29" x14ac:dyDescent="0.25">
      <c r="A254" s="2"/>
      <c r="B254" s="2"/>
      <c r="C254" s="2"/>
      <c r="D254" s="2"/>
      <c r="E254" s="3"/>
      <c r="F254" s="4"/>
      <c r="G254" s="4"/>
      <c r="H254" s="4"/>
      <c r="I254" s="4"/>
      <c r="J254" s="4"/>
      <c r="K254" s="4"/>
      <c r="L254" s="4"/>
      <c r="M254" s="5"/>
      <c r="N254" s="4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</row>
    <row r="255" spans="1:29" x14ac:dyDescent="0.25">
      <c r="A255" s="2"/>
      <c r="B255" s="2"/>
      <c r="C255" s="2"/>
      <c r="D255" s="2"/>
      <c r="E255" s="3"/>
      <c r="F255" s="4"/>
      <c r="G255" s="4"/>
      <c r="H255" s="4"/>
      <c r="I255" s="4"/>
      <c r="J255" s="4"/>
      <c r="K255" s="4"/>
      <c r="L255" s="4"/>
      <c r="M255" s="5"/>
      <c r="N255" s="4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</row>
    <row r="256" spans="1:29" x14ac:dyDescent="0.25">
      <c r="A256" s="2"/>
      <c r="B256" s="2"/>
      <c r="C256" s="2"/>
      <c r="D256" s="2"/>
      <c r="E256" s="3"/>
      <c r="F256" s="4"/>
      <c r="G256" s="4"/>
      <c r="H256" s="4"/>
      <c r="I256" s="4"/>
      <c r="J256" s="4"/>
      <c r="K256" s="4"/>
      <c r="L256" s="4"/>
      <c r="M256" s="5"/>
      <c r="N256" s="4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</row>
    <row r="257" spans="1:29" x14ac:dyDescent="0.25">
      <c r="A257" s="2"/>
      <c r="B257" s="2"/>
      <c r="C257" s="2"/>
      <c r="D257" s="2"/>
      <c r="E257" s="3"/>
      <c r="F257" s="4"/>
      <c r="G257" s="4"/>
      <c r="H257" s="4"/>
      <c r="I257" s="4"/>
      <c r="J257" s="4"/>
      <c r="K257" s="4"/>
      <c r="L257" s="4"/>
      <c r="M257" s="5"/>
      <c r="N257" s="4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</row>
    <row r="258" spans="1:29" x14ac:dyDescent="0.25">
      <c r="A258" s="2"/>
      <c r="B258" s="2"/>
      <c r="C258" s="2"/>
      <c r="D258" s="2"/>
      <c r="E258" s="3"/>
      <c r="F258" s="4"/>
      <c r="G258" s="4"/>
      <c r="H258" s="4"/>
      <c r="I258" s="4"/>
      <c r="J258" s="4"/>
      <c r="K258" s="4"/>
      <c r="L258" s="4"/>
      <c r="M258" s="5"/>
      <c r="N258" s="4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</row>
    <row r="259" spans="1:29" x14ac:dyDescent="0.25">
      <c r="A259" s="2"/>
      <c r="B259" s="2"/>
      <c r="C259" s="2"/>
      <c r="D259" s="2"/>
      <c r="E259" s="3"/>
      <c r="F259" s="4"/>
      <c r="G259" s="4"/>
      <c r="H259" s="4"/>
      <c r="I259" s="4"/>
      <c r="J259" s="4"/>
      <c r="K259" s="4"/>
      <c r="L259" s="4"/>
      <c r="M259" s="5"/>
      <c r="N259" s="4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</row>
    <row r="260" spans="1:29" x14ac:dyDescent="0.25">
      <c r="A260" s="2"/>
      <c r="B260" s="2"/>
      <c r="C260" s="2"/>
      <c r="D260" s="2"/>
      <c r="E260" s="3"/>
      <c r="F260" s="4"/>
      <c r="G260" s="4"/>
      <c r="H260" s="4"/>
      <c r="I260" s="4"/>
      <c r="J260" s="4"/>
      <c r="K260" s="4"/>
      <c r="L260" s="4"/>
      <c r="M260" s="5"/>
      <c r="N260" s="4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</row>
    <row r="261" spans="1:29" x14ac:dyDescent="0.25">
      <c r="A261" s="2"/>
      <c r="B261" s="2"/>
      <c r="C261" s="2"/>
      <c r="D261" s="2"/>
      <c r="E261" s="3"/>
      <c r="F261" s="4"/>
      <c r="G261" s="4"/>
      <c r="H261" s="4"/>
      <c r="I261" s="4"/>
      <c r="J261" s="4"/>
      <c r="K261" s="4"/>
      <c r="L261" s="4"/>
      <c r="M261" s="5"/>
      <c r="N261" s="4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</row>
    <row r="262" spans="1:29" x14ac:dyDescent="0.25">
      <c r="A262" s="2"/>
      <c r="B262" s="2"/>
      <c r="C262" s="2"/>
      <c r="D262" s="2"/>
      <c r="E262" s="3"/>
      <c r="F262" s="4"/>
      <c r="G262" s="4"/>
      <c r="H262" s="4"/>
      <c r="I262" s="4"/>
      <c r="J262" s="4"/>
      <c r="K262" s="4"/>
      <c r="L262" s="4"/>
      <c r="M262" s="5"/>
      <c r="N262" s="4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</row>
    <row r="263" spans="1:29" x14ac:dyDescent="0.25">
      <c r="A263" s="2"/>
      <c r="B263" s="2"/>
      <c r="C263" s="2"/>
      <c r="D263" s="2"/>
      <c r="E263" s="3"/>
      <c r="F263" s="4"/>
      <c r="G263" s="4"/>
      <c r="H263" s="4"/>
      <c r="I263" s="4"/>
      <c r="J263" s="4"/>
      <c r="K263" s="4"/>
      <c r="L263" s="4"/>
      <c r="M263" s="5"/>
      <c r="N263" s="4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</row>
    <row r="264" spans="1:29" x14ac:dyDescent="0.25">
      <c r="A264" s="2"/>
      <c r="B264" s="2"/>
      <c r="C264" s="2"/>
      <c r="D264" s="2"/>
      <c r="E264" s="3"/>
      <c r="F264" s="4"/>
      <c r="G264" s="4"/>
      <c r="H264" s="4"/>
      <c r="I264" s="4"/>
      <c r="J264" s="4"/>
      <c r="K264" s="4"/>
      <c r="L264" s="4"/>
      <c r="M264" s="5"/>
      <c r="N264" s="4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</row>
    <row r="265" spans="1:29" x14ac:dyDescent="0.25">
      <c r="A265" s="2"/>
      <c r="B265" s="2"/>
      <c r="C265" s="2"/>
      <c r="D265" s="2"/>
      <c r="E265" s="3"/>
      <c r="F265" s="4"/>
      <c r="G265" s="4"/>
      <c r="H265" s="4"/>
      <c r="I265" s="4"/>
      <c r="J265" s="4"/>
      <c r="K265" s="4"/>
      <c r="L265" s="4"/>
      <c r="M265" s="5"/>
      <c r="N265" s="4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</row>
    <row r="266" spans="1:29" x14ac:dyDescent="0.25">
      <c r="A266" s="2"/>
      <c r="B266" s="2"/>
      <c r="C266" s="2"/>
      <c r="D266" s="2"/>
      <c r="E266" s="3"/>
      <c r="F266" s="4"/>
      <c r="G266" s="4"/>
      <c r="H266" s="4"/>
      <c r="I266" s="4"/>
      <c r="J266" s="4"/>
      <c r="K266" s="4"/>
      <c r="L266" s="4"/>
      <c r="M266" s="5"/>
      <c r="N266" s="4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</row>
    <row r="267" spans="1:29" x14ac:dyDescent="0.25">
      <c r="A267" s="2"/>
      <c r="B267" s="2"/>
      <c r="C267" s="2"/>
      <c r="D267" s="2"/>
      <c r="E267" s="3"/>
      <c r="F267" s="4"/>
      <c r="G267" s="4"/>
      <c r="H267" s="4"/>
      <c r="I267" s="4"/>
      <c r="J267" s="4"/>
      <c r="K267" s="4"/>
      <c r="L267" s="4"/>
      <c r="M267" s="5"/>
      <c r="N267" s="4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</row>
    <row r="268" spans="1:29" x14ac:dyDescent="0.25">
      <c r="A268" s="2"/>
      <c r="B268" s="2"/>
      <c r="C268" s="2"/>
      <c r="D268" s="2"/>
      <c r="E268" s="3"/>
      <c r="F268" s="4"/>
      <c r="G268" s="4"/>
      <c r="H268" s="4"/>
      <c r="I268" s="4"/>
      <c r="J268" s="4"/>
      <c r="K268" s="4"/>
      <c r="L268" s="4"/>
      <c r="M268" s="5"/>
      <c r="N268" s="4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</row>
    <row r="269" spans="1:29" x14ac:dyDescent="0.25">
      <c r="A269" s="2"/>
      <c r="B269" s="2"/>
      <c r="C269" s="2"/>
      <c r="D269" s="2"/>
      <c r="E269" s="3"/>
      <c r="F269" s="4"/>
      <c r="G269" s="4"/>
      <c r="H269" s="4"/>
      <c r="I269" s="4"/>
      <c r="J269" s="4"/>
      <c r="K269" s="4"/>
      <c r="L269" s="4"/>
      <c r="M269" s="5"/>
      <c r="N269" s="4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</row>
    <row r="270" spans="1:29" x14ac:dyDescent="0.25">
      <c r="A270" s="2"/>
      <c r="B270" s="2"/>
      <c r="C270" s="2"/>
      <c r="D270" s="2"/>
      <c r="E270" s="3"/>
      <c r="F270" s="4"/>
      <c r="G270" s="4"/>
      <c r="H270" s="4"/>
      <c r="I270" s="4"/>
      <c r="J270" s="4"/>
      <c r="K270" s="4"/>
      <c r="L270" s="4"/>
      <c r="M270" s="5"/>
      <c r="N270" s="4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</row>
    <row r="271" spans="1:29" x14ac:dyDescent="0.25">
      <c r="A271" s="2"/>
      <c r="B271" s="2"/>
      <c r="C271" s="2"/>
      <c r="D271" s="2"/>
      <c r="E271" s="3"/>
      <c r="F271" s="4"/>
      <c r="G271" s="4"/>
      <c r="H271" s="4"/>
      <c r="I271" s="4"/>
      <c r="J271" s="4"/>
      <c r="K271" s="4"/>
      <c r="L271" s="4"/>
      <c r="M271" s="5"/>
      <c r="N271" s="4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</row>
    <row r="272" spans="1:29" x14ac:dyDescent="0.25">
      <c r="A272" s="2"/>
      <c r="B272" s="2"/>
      <c r="C272" s="2"/>
      <c r="D272" s="2"/>
      <c r="E272" s="3"/>
      <c r="F272" s="4"/>
      <c r="G272" s="4"/>
      <c r="H272" s="4"/>
      <c r="I272" s="4"/>
      <c r="J272" s="4"/>
      <c r="K272" s="4"/>
      <c r="L272" s="4"/>
      <c r="M272" s="5"/>
      <c r="N272" s="4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</row>
    <row r="273" spans="1:29" x14ac:dyDescent="0.25">
      <c r="A273" s="2"/>
      <c r="B273" s="2"/>
      <c r="C273" s="2"/>
      <c r="D273" s="2"/>
      <c r="E273" s="3"/>
      <c r="F273" s="4"/>
      <c r="G273" s="4"/>
      <c r="H273" s="4"/>
      <c r="I273" s="4"/>
      <c r="J273" s="4"/>
      <c r="K273" s="4"/>
      <c r="L273" s="4"/>
      <c r="M273" s="5"/>
      <c r="N273" s="4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</row>
    <row r="274" spans="1:29" x14ac:dyDescent="0.25">
      <c r="A274" s="2"/>
      <c r="B274" s="2"/>
      <c r="C274" s="2"/>
      <c r="D274" s="2"/>
      <c r="E274" s="3"/>
      <c r="F274" s="4"/>
      <c r="G274" s="4"/>
      <c r="H274" s="4"/>
      <c r="I274" s="4"/>
      <c r="J274" s="4"/>
      <c r="K274" s="4"/>
      <c r="L274" s="4"/>
      <c r="M274" s="5"/>
      <c r="N274" s="4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</row>
    <row r="275" spans="1:29" x14ac:dyDescent="0.25">
      <c r="A275" s="2"/>
      <c r="B275" s="2"/>
      <c r="C275" s="2"/>
      <c r="D275" s="2"/>
      <c r="E275" s="3"/>
      <c r="F275" s="4"/>
      <c r="G275" s="4"/>
      <c r="H275" s="4"/>
      <c r="I275" s="4"/>
      <c r="J275" s="4"/>
      <c r="K275" s="4"/>
      <c r="L275" s="4"/>
      <c r="M275" s="5"/>
      <c r="N275" s="4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</row>
    <row r="276" spans="1:29" x14ac:dyDescent="0.25">
      <c r="A276" s="2"/>
      <c r="B276" s="2"/>
      <c r="C276" s="2"/>
      <c r="D276" s="2"/>
      <c r="E276" s="3"/>
      <c r="F276" s="4"/>
      <c r="G276" s="4"/>
      <c r="H276" s="4"/>
      <c r="I276" s="4"/>
      <c r="J276" s="4"/>
      <c r="K276" s="4"/>
      <c r="L276" s="4"/>
      <c r="M276" s="5"/>
      <c r="N276" s="4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</row>
    <row r="277" spans="1:29" x14ac:dyDescent="0.25">
      <c r="A277" s="2"/>
      <c r="B277" s="2"/>
      <c r="C277" s="2"/>
      <c r="D277" s="2"/>
      <c r="E277" s="3"/>
      <c r="F277" s="4"/>
      <c r="G277" s="4"/>
      <c r="H277" s="4"/>
      <c r="I277" s="4"/>
      <c r="J277" s="4"/>
      <c r="K277" s="4"/>
      <c r="L277" s="4"/>
      <c r="M277" s="5"/>
      <c r="N277" s="4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</row>
    <row r="278" spans="1:29" x14ac:dyDescent="0.25">
      <c r="A278" s="2"/>
      <c r="B278" s="2"/>
      <c r="C278" s="2"/>
      <c r="D278" s="2"/>
      <c r="E278" s="3"/>
      <c r="F278" s="4"/>
      <c r="G278" s="4"/>
      <c r="H278" s="4"/>
      <c r="I278" s="4"/>
      <c r="J278" s="4"/>
      <c r="K278" s="4"/>
      <c r="L278" s="4"/>
      <c r="M278" s="5"/>
      <c r="N278" s="4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</row>
    <row r="279" spans="1:29" x14ac:dyDescent="0.25">
      <c r="A279" s="2"/>
      <c r="B279" s="2"/>
      <c r="C279" s="2"/>
      <c r="D279" s="2"/>
      <c r="E279" s="3"/>
      <c r="F279" s="4"/>
      <c r="G279" s="4"/>
      <c r="H279" s="4"/>
      <c r="I279" s="4"/>
      <c r="J279" s="4"/>
      <c r="K279" s="4"/>
      <c r="L279" s="4"/>
      <c r="M279" s="5"/>
      <c r="N279" s="4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</row>
    <row r="280" spans="1:29" x14ac:dyDescent="0.25">
      <c r="A280" s="2"/>
      <c r="B280" s="2"/>
      <c r="C280" s="2"/>
      <c r="D280" s="2"/>
      <c r="E280" s="3"/>
      <c r="F280" s="4"/>
      <c r="G280" s="4"/>
      <c r="H280" s="4"/>
      <c r="I280" s="4"/>
      <c r="J280" s="4"/>
      <c r="K280" s="4"/>
      <c r="L280" s="4"/>
      <c r="M280" s="5"/>
      <c r="N280" s="4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</row>
    <row r="281" spans="1:29" x14ac:dyDescent="0.25">
      <c r="A281" s="2"/>
      <c r="B281" s="2"/>
      <c r="C281" s="2"/>
      <c r="D281" s="2"/>
      <c r="E281" s="3"/>
      <c r="F281" s="4"/>
      <c r="G281" s="4"/>
      <c r="H281" s="4"/>
      <c r="I281" s="4"/>
      <c r="J281" s="4"/>
      <c r="K281" s="4"/>
      <c r="L281" s="4"/>
      <c r="M281" s="5"/>
      <c r="N281" s="4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</row>
    <row r="282" spans="1:29" x14ac:dyDescent="0.25">
      <c r="A282" s="2"/>
      <c r="B282" s="2"/>
      <c r="C282" s="2"/>
      <c r="D282" s="2"/>
      <c r="E282" s="3"/>
      <c r="F282" s="4"/>
      <c r="G282" s="4"/>
      <c r="H282" s="4"/>
      <c r="I282" s="4"/>
      <c r="J282" s="4"/>
      <c r="K282" s="4"/>
      <c r="L282" s="4"/>
      <c r="M282" s="5"/>
      <c r="N282" s="4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</row>
    <row r="283" spans="1:29" x14ac:dyDescent="0.25">
      <c r="A283" s="2"/>
      <c r="B283" s="2"/>
      <c r="C283" s="2"/>
      <c r="D283" s="2"/>
      <c r="E283" s="3"/>
      <c r="F283" s="4"/>
      <c r="G283" s="4"/>
      <c r="H283" s="4"/>
      <c r="I283" s="4"/>
      <c r="J283" s="4"/>
      <c r="K283" s="4"/>
      <c r="L283" s="4"/>
      <c r="M283" s="5"/>
      <c r="N283" s="4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</row>
    <row r="284" spans="1:29" x14ac:dyDescent="0.25">
      <c r="A284" s="2"/>
      <c r="B284" s="2"/>
      <c r="C284" s="2"/>
      <c r="D284" s="2"/>
      <c r="E284" s="3"/>
      <c r="F284" s="4"/>
      <c r="G284" s="4"/>
      <c r="H284" s="4"/>
      <c r="I284" s="4"/>
      <c r="J284" s="4"/>
      <c r="K284" s="4"/>
      <c r="L284" s="4"/>
      <c r="M284" s="5"/>
      <c r="N284" s="4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</row>
    <row r="285" spans="1:29" x14ac:dyDescent="0.25">
      <c r="A285" s="2"/>
      <c r="B285" s="2"/>
      <c r="C285" s="2"/>
      <c r="D285" s="2"/>
      <c r="E285" s="3"/>
      <c r="F285" s="4"/>
      <c r="G285" s="4"/>
      <c r="H285" s="4"/>
      <c r="I285" s="4"/>
      <c r="J285" s="4"/>
      <c r="K285" s="4"/>
      <c r="L285" s="4"/>
      <c r="M285" s="5"/>
      <c r="N285" s="4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</row>
    <row r="286" spans="1:29" x14ac:dyDescent="0.25">
      <c r="A286" s="2"/>
      <c r="B286" s="2"/>
      <c r="C286" s="2"/>
      <c r="D286" s="2"/>
      <c r="E286" s="3"/>
      <c r="F286" s="4"/>
      <c r="G286" s="4"/>
      <c r="H286" s="4"/>
      <c r="I286" s="4"/>
      <c r="J286" s="4"/>
      <c r="K286" s="4"/>
      <c r="L286" s="4"/>
      <c r="M286" s="5"/>
      <c r="N286" s="4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</row>
    <row r="287" spans="1:29" x14ac:dyDescent="0.25">
      <c r="A287" s="2"/>
      <c r="B287" s="2"/>
      <c r="C287" s="2"/>
      <c r="D287" s="2"/>
      <c r="E287" s="3"/>
      <c r="F287" s="4"/>
      <c r="G287" s="4"/>
      <c r="H287" s="4"/>
      <c r="I287" s="4"/>
      <c r="J287" s="4"/>
      <c r="K287" s="4"/>
      <c r="L287" s="4"/>
      <c r="M287" s="5"/>
      <c r="N287" s="4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</row>
    <row r="288" spans="1:29" x14ac:dyDescent="0.25">
      <c r="A288" s="2"/>
      <c r="B288" s="2"/>
      <c r="C288" s="2"/>
      <c r="D288" s="2"/>
      <c r="E288" s="3"/>
      <c r="F288" s="4"/>
      <c r="G288" s="4"/>
      <c r="H288" s="4"/>
      <c r="I288" s="4"/>
      <c r="J288" s="4"/>
      <c r="K288" s="4"/>
      <c r="L288" s="4"/>
      <c r="M288" s="5"/>
      <c r="N288" s="4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</row>
    <row r="289" spans="1:29" x14ac:dyDescent="0.25">
      <c r="A289" s="2"/>
      <c r="B289" s="2"/>
      <c r="C289" s="2"/>
      <c r="D289" s="2"/>
      <c r="E289" s="3"/>
      <c r="F289" s="4"/>
      <c r="G289" s="4"/>
      <c r="H289" s="4"/>
      <c r="I289" s="4"/>
      <c r="J289" s="4"/>
      <c r="K289" s="4"/>
      <c r="L289" s="4"/>
      <c r="M289" s="5"/>
      <c r="N289" s="4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</row>
    <row r="290" spans="1:29" x14ac:dyDescent="0.25">
      <c r="A290" s="2"/>
      <c r="B290" s="2"/>
      <c r="C290" s="2"/>
      <c r="D290" s="2"/>
      <c r="E290" s="3"/>
      <c r="F290" s="4"/>
      <c r="G290" s="4"/>
      <c r="H290" s="4"/>
      <c r="I290" s="4"/>
      <c r="J290" s="4"/>
      <c r="K290" s="4"/>
      <c r="L290" s="4"/>
      <c r="M290" s="5"/>
      <c r="N290" s="4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</row>
    <row r="291" spans="1:29" x14ac:dyDescent="0.25">
      <c r="A291" s="2"/>
      <c r="B291" s="2"/>
      <c r="C291" s="2"/>
      <c r="D291" s="2"/>
      <c r="E291" s="3"/>
      <c r="F291" s="4"/>
      <c r="G291" s="4"/>
      <c r="H291" s="4"/>
      <c r="I291" s="4"/>
      <c r="J291" s="4"/>
      <c r="K291" s="4"/>
      <c r="L291" s="4"/>
      <c r="M291" s="5"/>
      <c r="N291" s="4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</row>
    <row r="292" spans="1:29" x14ac:dyDescent="0.25">
      <c r="A292" s="2"/>
      <c r="B292" s="2"/>
      <c r="C292" s="2"/>
      <c r="D292" s="2"/>
      <c r="E292" s="3"/>
      <c r="F292" s="4"/>
      <c r="G292" s="4"/>
      <c r="H292" s="4"/>
      <c r="I292" s="4"/>
      <c r="J292" s="4"/>
      <c r="K292" s="4"/>
      <c r="L292" s="4"/>
      <c r="M292" s="5"/>
      <c r="N292" s="4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</row>
    <row r="293" spans="1:29" x14ac:dyDescent="0.25">
      <c r="A293" s="2"/>
      <c r="B293" s="2"/>
      <c r="C293" s="2"/>
      <c r="D293" s="2"/>
      <c r="E293" s="3"/>
      <c r="F293" s="4"/>
      <c r="G293" s="4"/>
      <c r="H293" s="4"/>
      <c r="I293" s="4"/>
      <c r="J293" s="4"/>
      <c r="K293" s="4"/>
      <c r="L293" s="4"/>
      <c r="M293" s="5"/>
      <c r="N293" s="4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</row>
    <row r="294" spans="1:29" x14ac:dyDescent="0.25">
      <c r="A294" s="2"/>
      <c r="B294" s="2"/>
      <c r="C294" s="2"/>
      <c r="D294" s="2"/>
      <c r="E294" s="3"/>
      <c r="F294" s="4"/>
      <c r="G294" s="4"/>
      <c r="H294" s="4"/>
      <c r="I294" s="4"/>
      <c r="J294" s="4"/>
      <c r="K294" s="4"/>
      <c r="L294" s="4"/>
      <c r="M294" s="5"/>
      <c r="N294" s="4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</row>
    <row r="295" spans="1:29" x14ac:dyDescent="0.25">
      <c r="A295" s="2"/>
      <c r="B295" s="2"/>
      <c r="C295" s="2"/>
      <c r="D295" s="2"/>
      <c r="E295" s="3"/>
      <c r="F295" s="4"/>
      <c r="G295" s="4"/>
      <c r="H295" s="4"/>
      <c r="I295" s="4"/>
      <c r="J295" s="4"/>
      <c r="K295" s="4"/>
      <c r="L295" s="4"/>
      <c r="M295" s="5"/>
      <c r="N295" s="4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</row>
    <row r="296" spans="1:29" x14ac:dyDescent="0.25">
      <c r="A296" s="2"/>
      <c r="B296" s="2"/>
      <c r="C296" s="2"/>
      <c r="D296" s="2"/>
      <c r="E296" s="3"/>
      <c r="F296" s="4"/>
      <c r="G296" s="4"/>
      <c r="H296" s="4"/>
      <c r="I296" s="4"/>
      <c r="J296" s="4"/>
      <c r="K296" s="4"/>
      <c r="L296" s="4"/>
      <c r="M296" s="5"/>
      <c r="N296" s="4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</row>
    <row r="297" spans="1:29" x14ac:dyDescent="0.25">
      <c r="A297" s="2"/>
      <c r="B297" s="2"/>
      <c r="C297" s="2"/>
      <c r="D297" s="2"/>
      <c r="E297" s="3"/>
      <c r="F297" s="4"/>
      <c r="G297" s="4"/>
      <c r="H297" s="4"/>
      <c r="I297" s="4"/>
      <c r="J297" s="4"/>
      <c r="K297" s="4"/>
      <c r="L297" s="4"/>
      <c r="M297" s="5"/>
      <c r="N297" s="4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</row>
    <row r="298" spans="1:29" x14ac:dyDescent="0.25">
      <c r="A298" s="2"/>
      <c r="B298" s="2"/>
      <c r="C298" s="2"/>
      <c r="D298" s="2"/>
      <c r="E298" s="3"/>
      <c r="F298" s="4"/>
      <c r="G298" s="4"/>
      <c r="H298" s="4"/>
      <c r="I298" s="4"/>
      <c r="J298" s="4"/>
      <c r="K298" s="4"/>
      <c r="L298" s="4"/>
      <c r="M298" s="5"/>
      <c r="N298" s="4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</row>
    <row r="299" spans="1:29" x14ac:dyDescent="0.25">
      <c r="A299" s="2"/>
      <c r="B299" s="2"/>
      <c r="C299" s="2"/>
      <c r="D299" s="2"/>
      <c r="E299" s="3"/>
      <c r="F299" s="4"/>
      <c r="G299" s="4"/>
      <c r="H299" s="4"/>
      <c r="I299" s="4"/>
      <c r="J299" s="4"/>
      <c r="K299" s="4"/>
      <c r="L299" s="4"/>
      <c r="M299" s="5"/>
      <c r="N299" s="4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</row>
    <row r="300" spans="1:29" x14ac:dyDescent="0.25">
      <c r="A300" s="2"/>
      <c r="B300" s="2"/>
      <c r="C300" s="2"/>
      <c r="D300" s="2"/>
      <c r="E300" s="3"/>
      <c r="F300" s="4"/>
      <c r="G300" s="4"/>
      <c r="H300" s="4"/>
      <c r="I300" s="4"/>
      <c r="J300" s="4"/>
      <c r="K300" s="4"/>
      <c r="L300" s="4"/>
      <c r="M300" s="5"/>
      <c r="N300" s="4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</row>
    <row r="301" spans="1:29" x14ac:dyDescent="0.25">
      <c r="A301" s="2"/>
      <c r="B301" s="2"/>
      <c r="C301" s="2"/>
      <c r="D301" s="2"/>
      <c r="E301" s="3"/>
      <c r="F301" s="4"/>
      <c r="G301" s="4"/>
      <c r="H301" s="4"/>
      <c r="I301" s="4"/>
      <c r="J301" s="4"/>
      <c r="K301" s="4"/>
      <c r="L301" s="4"/>
      <c r="M301" s="5"/>
      <c r="N301" s="4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</row>
    <row r="302" spans="1:29" x14ac:dyDescent="0.25">
      <c r="A302" s="2"/>
      <c r="B302" s="2"/>
      <c r="C302" s="2"/>
      <c r="D302" s="2"/>
      <c r="E302" s="3"/>
      <c r="F302" s="4"/>
      <c r="G302" s="4"/>
      <c r="H302" s="4"/>
      <c r="I302" s="4"/>
      <c r="J302" s="4"/>
      <c r="K302" s="4"/>
      <c r="L302" s="4"/>
      <c r="M302" s="5"/>
      <c r="N302" s="4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</row>
    <row r="303" spans="1:29" x14ac:dyDescent="0.25">
      <c r="A303" s="2"/>
      <c r="B303" s="2"/>
      <c r="C303" s="2"/>
      <c r="D303" s="2"/>
      <c r="E303" s="3"/>
      <c r="F303" s="4"/>
      <c r="G303" s="4"/>
      <c r="H303" s="4"/>
      <c r="I303" s="4"/>
      <c r="J303" s="4"/>
      <c r="K303" s="4"/>
      <c r="L303" s="4"/>
      <c r="M303" s="5"/>
      <c r="N303" s="4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</row>
    <row r="304" spans="1:29" x14ac:dyDescent="0.25">
      <c r="A304" s="2"/>
      <c r="B304" s="2"/>
      <c r="C304" s="2"/>
      <c r="D304" s="2"/>
      <c r="E304" s="3"/>
      <c r="F304" s="4"/>
      <c r="G304" s="4"/>
      <c r="H304" s="4"/>
      <c r="I304" s="4"/>
      <c r="J304" s="4"/>
      <c r="K304" s="4"/>
      <c r="L304" s="4"/>
      <c r="M304" s="5"/>
      <c r="N304" s="4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</row>
    <row r="305" spans="1:29" x14ac:dyDescent="0.25">
      <c r="A305" s="2"/>
      <c r="B305" s="2"/>
      <c r="C305" s="2"/>
      <c r="D305" s="2"/>
      <c r="E305" s="3"/>
      <c r="F305" s="4"/>
      <c r="G305" s="4"/>
      <c r="H305" s="4"/>
      <c r="I305" s="4"/>
      <c r="J305" s="4"/>
      <c r="K305" s="4"/>
      <c r="L305" s="4"/>
      <c r="M305" s="5"/>
      <c r="N305" s="4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</row>
    <row r="306" spans="1:29" x14ac:dyDescent="0.25">
      <c r="A306" s="2"/>
      <c r="B306" s="2"/>
      <c r="C306" s="2"/>
      <c r="D306" s="2"/>
      <c r="E306" s="3"/>
      <c r="F306" s="4"/>
      <c r="G306" s="4"/>
      <c r="H306" s="4"/>
      <c r="I306" s="4"/>
      <c r="J306" s="4"/>
      <c r="K306" s="4"/>
      <c r="L306" s="4"/>
      <c r="M306" s="5"/>
      <c r="N306" s="4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</row>
    <row r="307" spans="1:29" x14ac:dyDescent="0.25">
      <c r="A307" s="2"/>
      <c r="B307" s="2"/>
      <c r="C307" s="2"/>
      <c r="D307" s="2"/>
      <c r="E307" s="3"/>
      <c r="F307" s="4"/>
      <c r="G307" s="4"/>
      <c r="H307" s="4"/>
      <c r="I307" s="4"/>
      <c r="J307" s="4"/>
      <c r="K307" s="4"/>
      <c r="L307" s="4"/>
      <c r="M307" s="5"/>
      <c r="N307" s="4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</row>
    <row r="308" spans="1:29" x14ac:dyDescent="0.25">
      <c r="A308" s="2"/>
      <c r="B308" s="2"/>
      <c r="C308" s="2"/>
      <c r="D308" s="2"/>
      <c r="E308" s="3"/>
      <c r="F308" s="4"/>
      <c r="G308" s="4"/>
      <c r="H308" s="4"/>
      <c r="I308" s="4"/>
      <c r="J308" s="4"/>
      <c r="K308" s="4"/>
      <c r="L308" s="4"/>
      <c r="M308" s="5"/>
      <c r="N308" s="4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</row>
    <row r="309" spans="1:29" x14ac:dyDescent="0.25">
      <c r="A309" s="2"/>
      <c r="B309" s="2"/>
      <c r="C309" s="2"/>
      <c r="D309" s="2"/>
      <c r="E309" s="3"/>
      <c r="F309" s="4"/>
      <c r="G309" s="4"/>
      <c r="H309" s="4"/>
      <c r="I309" s="4"/>
      <c r="J309" s="4"/>
      <c r="K309" s="4"/>
      <c r="L309" s="4"/>
      <c r="M309" s="5"/>
      <c r="N309" s="4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</row>
    <row r="310" spans="1:29" x14ac:dyDescent="0.25">
      <c r="A310" s="2"/>
      <c r="B310" s="2"/>
      <c r="C310" s="2"/>
      <c r="D310" s="2"/>
      <c r="E310" s="3"/>
      <c r="F310" s="4"/>
      <c r="G310" s="4"/>
      <c r="H310" s="4"/>
      <c r="I310" s="4"/>
      <c r="J310" s="4"/>
      <c r="K310" s="4"/>
      <c r="L310" s="4"/>
      <c r="M310" s="5"/>
      <c r="N310" s="4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</row>
    <row r="311" spans="1:29" x14ac:dyDescent="0.25">
      <c r="A311" s="2"/>
      <c r="B311" s="2"/>
      <c r="C311" s="2"/>
      <c r="D311" s="2"/>
      <c r="E311" s="3"/>
      <c r="F311" s="4"/>
      <c r="G311" s="4"/>
      <c r="H311" s="4"/>
      <c r="I311" s="4"/>
      <c r="J311" s="4"/>
      <c r="K311" s="4"/>
      <c r="L311" s="4"/>
      <c r="M311" s="5"/>
      <c r="N311" s="4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</row>
    <row r="312" spans="1:29" x14ac:dyDescent="0.25">
      <c r="A312" s="2"/>
      <c r="B312" s="2"/>
      <c r="C312" s="2"/>
      <c r="D312" s="2"/>
      <c r="E312" s="3"/>
      <c r="F312" s="4"/>
      <c r="G312" s="4"/>
      <c r="H312" s="4"/>
      <c r="I312" s="4"/>
      <c r="J312" s="4"/>
      <c r="K312" s="4"/>
      <c r="L312" s="4"/>
      <c r="M312" s="5"/>
      <c r="N312" s="4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</row>
    <row r="313" spans="1:29" x14ac:dyDescent="0.25">
      <c r="A313" s="2"/>
      <c r="B313" s="2"/>
      <c r="C313" s="2"/>
      <c r="D313" s="2"/>
      <c r="E313" s="3"/>
      <c r="F313" s="4"/>
      <c r="G313" s="4"/>
      <c r="H313" s="4"/>
      <c r="I313" s="4"/>
      <c r="J313" s="4"/>
      <c r="K313" s="4"/>
      <c r="L313" s="4"/>
      <c r="M313" s="5"/>
      <c r="N313" s="4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</row>
    <row r="314" spans="1:29" x14ac:dyDescent="0.25">
      <c r="A314" s="2"/>
      <c r="B314" s="2"/>
      <c r="C314" s="2"/>
      <c r="D314" s="2"/>
      <c r="E314" s="3"/>
      <c r="F314" s="4"/>
      <c r="G314" s="4"/>
      <c r="H314" s="4"/>
      <c r="I314" s="4"/>
      <c r="J314" s="4"/>
      <c r="K314" s="4"/>
      <c r="L314" s="4"/>
      <c r="M314" s="5"/>
      <c r="N314" s="4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</row>
    <row r="315" spans="1:29" x14ac:dyDescent="0.25">
      <c r="A315" s="2"/>
      <c r="B315" s="2"/>
      <c r="C315" s="2"/>
      <c r="D315" s="2"/>
      <c r="E315" s="3"/>
      <c r="F315" s="4"/>
      <c r="G315" s="4"/>
      <c r="H315" s="4"/>
      <c r="I315" s="4"/>
      <c r="J315" s="4"/>
      <c r="K315" s="4"/>
      <c r="L315" s="4"/>
      <c r="M315" s="5"/>
      <c r="N315" s="4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</row>
    <row r="316" spans="1:29" x14ac:dyDescent="0.25">
      <c r="A316" s="2"/>
      <c r="B316" s="2"/>
      <c r="C316" s="2"/>
      <c r="D316" s="2"/>
      <c r="E316" s="3"/>
      <c r="F316" s="4"/>
      <c r="G316" s="4"/>
      <c r="H316" s="4"/>
      <c r="I316" s="4"/>
      <c r="J316" s="4"/>
      <c r="K316" s="4"/>
      <c r="L316" s="4"/>
      <c r="M316" s="5"/>
      <c r="N316" s="4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</row>
    <row r="317" spans="1:29" x14ac:dyDescent="0.25">
      <c r="A317" s="2"/>
      <c r="B317" s="2"/>
      <c r="C317" s="2"/>
      <c r="D317" s="2"/>
      <c r="E317" s="3"/>
      <c r="F317" s="4"/>
      <c r="G317" s="4"/>
      <c r="H317" s="4"/>
      <c r="I317" s="4"/>
      <c r="J317" s="4"/>
      <c r="K317" s="4"/>
      <c r="L317" s="4"/>
      <c r="M317" s="5"/>
      <c r="N317" s="4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</row>
    <row r="318" spans="1:29" x14ac:dyDescent="0.25">
      <c r="A318" s="2"/>
      <c r="B318" s="2"/>
      <c r="C318" s="2"/>
      <c r="D318" s="2"/>
      <c r="E318" s="3"/>
      <c r="F318" s="4"/>
      <c r="G318" s="4"/>
      <c r="H318" s="4"/>
      <c r="I318" s="4"/>
      <c r="J318" s="4"/>
      <c r="K318" s="4"/>
      <c r="L318" s="4"/>
      <c r="M318" s="5"/>
      <c r="N318" s="4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</row>
    <row r="319" spans="1:29" x14ac:dyDescent="0.25">
      <c r="A319" s="2"/>
      <c r="B319" s="2"/>
      <c r="C319" s="2"/>
      <c r="D319" s="2"/>
      <c r="E319" s="3"/>
      <c r="F319" s="4"/>
      <c r="G319" s="4"/>
      <c r="H319" s="4"/>
      <c r="I319" s="4"/>
      <c r="J319" s="4"/>
      <c r="K319" s="4"/>
      <c r="L319" s="4"/>
      <c r="M319" s="5"/>
      <c r="N319" s="4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</row>
    <row r="320" spans="1:29" x14ac:dyDescent="0.25">
      <c r="A320" s="2"/>
      <c r="B320" s="2"/>
      <c r="C320" s="2"/>
      <c r="D320" s="2"/>
      <c r="E320" s="3"/>
      <c r="F320" s="4"/>
      <c r="G320" s="4"/>
      <c r="H320" s="4"/>
      <c r="I320" s="4"/>
      <c r="J320" s="4"/>
      <c r="K320" s="4"/>
      <c r="L320" s="4"/>
      <c r="M320" s="5"/>
      <c r="N320" s="4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</row>
    <row r="321" spans="1:29" x14ac:dyDescent="0.25">
      <c r="A321" s="2"/>
      <c r="B321" s="2"/>
      <c r="C321" s="2"/>
      <c r="D321" s="2"/>
      <c r="E321" s="3"/>
      <c r="F321" s="4"/>
      <c r="G321" s="4"/>
      <c r="H321" s="4"/>
      <c r="I321" s="4"/>
      <c r="J321" s="4"/>
      <c r="K321" s="4"/>
      <c r="L321" s="4"/>
      <c r="M321" s="5"/>
      <c r="N321" s="4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</row>
    <row r="322" spans="1:29" x14ac:dyDescent="0.25">
      <c r="A322" s="2"/>
      <c r="B322" s="2"/>
      <c r="C322" s="2"/>
      <c r="D322" s="2"/>
      <c r="E322" s="3"/>
      <c r="F322" s="4"/>
      <c r="G322" s="4"/>
      <c r="H322" s="4"/>
      <c r="I322" s="4"/>
      <c r="J322" s="4"/>
      <c r="K322" s="4"/>
      <c r="L322" s="4"/>
      <c r="M322" s="5"/>
      <c r="N322" s="4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</row>
    <row r="323" spans="1:29" x14ac:dyDescent="0.25">
      <c r="A323" s="2"/>
      <c r="B323" s="2"/>
      <c r="C323" s="2"/>
      <c r="D323" s="2"/>
      <c r="E323" s="3"/>
      <c r="F323" s="4"/>
      <c r="G323" s="4"/>
      <c r="H323" s="4"/>
      <c r="I323" s="4"/>
      <c r="J323" s="4"/>
      <c r="K323" s="4"/>
      <c r="L323" s="4"/>
      <c r="M323" s="5"/>
      <c r="N323" s="4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</row>
    <row r="324" spans="1:29" x14ac:dyDescent="0.25">
      <c r="A324" s="2"/>
      <c r="B324" s="2"/>
      <c r="C324" s="2"/>
      <c r="D324" s="2"/>
      <c r="E324" s="3"/>
      <c r="F324" s="4"/>
      <c r="G324" s="4"/>
      <c r="H324" s="4"/>
      <c r="I324" s="4"/>
      <c r="J324" s="4"/>
      <c r="K324" s="4"/>
      <c r="L324" s="4"/>
      <c r="M324" s="5"/>
      <c r="N324" s="4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</row>
    <row r="325" spans="1:29" x14ac:dyDescent="0.25">
      <c r="A325" s="2"/>
      <c r="B325" s="2"/>
      <c r="C325" s="2"/>
      <c r="D325" s="2"/>
      <c r="E325" s="3"/>
      <c r="F325" s="4"/>
      <c r="G325" s="4"/>
      <c r="H325" s="4"/>
      <c r="I325" s="4"/>
      <c r="J325" s="4"/>
      <c r="K325" s="4"/>
      <c r="L325" s="4"/>
      <c r="M325" s="5"/>
      <c r="N325" s="4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</row>
    <row r="326" spans="1:29" x14ac:dyDescent="0.25">
      <c r="A326" s="2"/>
      <c r="B326" s="2"/>
      <c r="C326" s="2"/>
      <c r="D326" s="2"/>
      <c r="E326" s="3"/>
      <c r="F326" s="4"/>
      <c r="G326" s="4"/>
      <c r="H326" s="4"/>
      <c r="I326" s="4"/>
      <c r="J326" s="4"/>
      <c r="K326" s="4"/>
      <c r="L326" s="4"/>
      <c r="M326" s="5"/>
      <c r="N326" s="4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</row>
    <row r="327" spans="1:29" x14ac:dyDescent="0.25">
      <c r="A327" s="2"/>
      <c r="B327" s="2"/>
      <c r="C327" s="2"/>
      <c r="D327" s="2"/>
      <c r="E327" s="3"/>
      <c r="F327" s="4"/>
      <c r="G327" s="4"/>
      <c r="H327" s="4"/>
      <c r="I327" s="4"/>
      <c r="J327" s="4"/>
      <c r="K327" s="4"/>
      <c r="L327" s="4"/>
      <c r="M327" s="5"/>
      <c r="N327" s="4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</row>
    <row r="328" spans="1:29" x14ac:dyDescent="0.25">
      <c r="A328" s="2"/>
      <c r="B328" s="2"/>
      <c r="C328" s="2"/>
      <c r="D328" s="2"/>
      <c r="E328" s="3"/>
      <c r="F328" s="4"/>
      <c r="G328" s="4"/>
      <c r="H328" s="4"/>
      <c r="I328" s="4"/>
      <c r="J328" s="4"/>
      <c r="K328" s="4"/>
      <c r="L328" s="4"/>
      <c r="M328" s="5"/>
      <c r="N328" s="4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</row>
    <row r="329" spans="1:29" x14ac:dyDescent="0.25">
      <c r="A329" s="2"/>
      <c r="B329" s="2"/>
      <c r="C329" s="2"/>
      <c r="D329" s="2"/>
      <c r="E329" s="3"/>
      <c r="F329" s="4"/>
      <c r="G329" s="4"/>
      <c r="H329" s="4"/>
      <c r="I329" s="4"/>
      <c r="J329" s="4"/>
      <c r="K329" s="4"/>
      <c r="L329" s="4"/>
      <c r="M329" s="5"/>
      <c r="N329" s="4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</row>
    <row r="330" spans="1:29" x14ac:dyDescent="0.25">
      <c r="A330" s="2"/>
      <c r="B330" s="2"/>
      <c r="C330" s="2"/>
      <c r="D330" s="2"/>
      <c r="E330" s="3"/>
      <c r="F330" s="4"/>
      <c r="G330" s="4"/>
      <c r="H330" s="4"/>
      <c r="I330" s="4"/>
      <c r="J330" s="4"/>
      <c r="K330" s="4"/>
      <c r="L330" s="4"/>
      <c r="M330" s="5"/>
      <c r="N330" s="4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</row>
    <row r="331" spans="1:29" x14ac:dyDescent="0.25">
      <c r="A331" s="2"/>
      <c r="B331" s="2"/>
      <c r="C331" s="2"/>
      <c r="D331" s="2"/>
      <c r="E331" s="3"/>
      <c r="F331" s="4"/>
      <c r="G331" s="4"/>
      <c r="H331" s="4"/>
      <c r="I331" s="4"/>
      <c r="J331" s="4"/>
      <c r="K331" s="4"/>
      <c r="L331" s="4"/>
      <c r="M331" s="5"/>
      <c r="N331" s="4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</row>
    <row r="332" spans="1:29" x14ac:dyDescent="0.25">
      <c r="A332" s="2"/>
      <c r="B332" s="2"/>
      <c r="C332" s="2"/>
      <c r="D332" s="2"/>
      <c r="E332" s="3"/>
      <c r="F332" s="4"/>
      <c r="G332" s="4"/>
      <c r="H332" s="4"/>
      <c r="I332" s="4"/>
      <c r="J332" s="4"/>
      <c r="K332" s="4"/>
      <c r="L332" s="4"/>
      <c r="M332" s="5"/>
      <c r="N332" s="4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</row>
    <row r="333" spans="1:29" x14ac:dyDescent="0.25">
      <c r="A333" s="2"/>
      <c r="B333" s="2"/>
      <c r="C333" s="2"/>
      <c r="D333" s="2"/>
      <c r="E333" s="3"/>
      <c r="F333" s="4"/>
      <c r="G333" s="4"/>
      <c r="H333" s="4"/>
      <c r="I333" s="4"/>
      <c r="J333" s="4"/>
      <c r="K333" s="4"/>
      <c r="L333" s="4"/>
      <c r="M333" s="5"/>
      <c r="N333" s="4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</row>
    <row r="334" spans="1:29" x14ac:dyDescent="0.25">
      <c r="A334" s="2"/>
      <c r="B334" s="2"/>
      <c r="C334" s="2"/>
      <c r="D334" s="2"/>
      <c r="E334" s="3"/>
      <c r="F334" s="4"/>
      <c r="G334" s="4"/>
      <c r="H334" s="4"/>
      <c r="I334" s="4"/>
      <c r="J334" s="4"/>
      <c r="K334" s="4"/>
      <c r="L334" s="4"/>
      <c r="M334" s="5"/>
      <c r="N334" s="4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</row>
    <row r="335" spans="1:29" x14ac:dyDescent="0.25">
      <c r="A335" s="2"/>
      <c r="B335" s="2"/>
      <c r="C335" s="2"/>
      <c r="D335" s="2"/>
      <c r="E335" s="3"/>
      <c r="F335" s="4"/>
      <c r="G335" s="4"/>
      <c r="H335" s="4"/>
      <c r="I335" s="4"/>
      <c r="J335" s="4"/>
      <c r="K335" s="4"/>
      <c r="L335" s="4"/>
      <c r="M335" s="5"/>
      <c r="N335" s="4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</row>
    <row r="336" spans="1:29" x14ac:dyDescent="0.25">
      <c r="A336" s="2"/>
      <c r="B336" s="2"/>
      <c r="C336" s="2"/>
      <c r="D336" s="2"/>
      <c r="E336" s="3"/>
      <c r="F336" s="4"/>
      <c r="G336" s="4"/>
      <c r="H336" s="4"/>
      <c r="I336" s="4"/>
      <c r="J336" s="4"/>
      <c r="K336" s="4"/>
      <c r="L336" s="4"/>
      <c r="M336" s="5"/>
      <c r="N336" s="4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</row>
    <row r="337" spans="1:29" x14ac:dyDescent="0.25">
      <c r="A337" s="2"/>
      <c r="B337" s="2"/>
      <c r="C337" s="2"/>
      <c r="D337" s="2"/>
      <c r="E337" s="3"/>
      <c r="F337" s="4"/>
      <c r="G337" s="4"/>
      <c r="H337" s="4"/>
      <c r="I337" s="4"/>
      <c r="J337" s="4"/>
      <c r="K337" s="4"/>
      <c r="L337" s="4"/>
      <c r="M337" s="5"/>
      <c r="N337" s="4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</row>
    <row r="338" spans="1:29" x14ac:dyDescent="0.25">
      <c r="A338" s="2"/>
      <c r="B338" s="2"/>
      <c r="C338" s="2"/>
      <c r="D338" s="2"/>
      <c r="E338" s="3"/>
      <c r="F338" s="4"/>
      <c r="G338" s="4"/>
      <c r="H338" s="4"/>
      <c r="I338" s="4"/>
      <c r="J338" s="4"/>
      <c r="K338" s="4"/>
      <c r="L338" s="4"/>
      <c r="M338" s="5"/>
      <c r="N338" s="4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</row>
    <row r="339" spans="1:29" x14ac:dyDescent="0.25">
      <c r="A339" s="2"/>
      <c r="B339" s="2"/>
      <c r="C339" s="2"/>
      <c r="D339" s="2"/>
      <c r="E339" s="3"/>
      <c r="F339" s="4"/>
      <c r="G339" s="4"/>
      <c r="H339" s="4"/>
      <c r="I339" s="4"/>
      <c r="J339" s="4"/>
      <c r="K339" s="4"/>
      <c r="L339" s="4"/>
      <c r="M339" s="5"/>
      <c r="N339" s="4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</row>
    <row r="340" spans="1:29" x14ac:dyDescent="0.25">
      <c r="A340" s="2"/>
      <c r="B340" s="2"/>
      <c r="C340" s="2"/>
      <c r="D340" s="2"/>
      <c r="E340" s="3"/>
      <c r="F340" s="4"/>
      <c r="G340" s="4"/>
      <c r="H340" s="4"/>
      <c r="I340" s="4"/>
      <c r="J340" s="4"/>
      <c r="K340" s="4"/>
      <c r="L340" s="4"/>
      <c r="M340" s="5"/>
      <c r="N340" s="4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</row>
    <row r="341" spans="1:29" x14ac:dyDescent="0.25">
      <c r="A341" s="2"/>
      <c r="B341" s="2"/>
      <c r="C341" s="2"/>
      <c r="D341" s="2"/>
      <c r="E341" s="3"/>
      <c r="F341" s="4"/>
      <c r="G341" s="4"/>
      <c r="H341" s="4"/>
      <c r="I341" s="4"/>
      <c r="J341" s="4"/>
      <c r="K341" s="4"/>
      <c r="L341" s="4"/>
      <c r="M341" s="5"/>
      <c r="N341" s="4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</row>
    <row r="342" spans="1:29" x14ac:dyDescent="0.25">
      <c r="A342" s="2"/>
      <c r="B342" s="2"/>
      <c r="C342" s="2"/>
      <c r="D342" s="2"/>
      <c r="E342" s="3"/>
      <c r="F342" s="4"/>
      <c r="G342" s="4"/>
      <c r="H342" s="4"/>
      <c r="I342" s="4"/>
      <c r="J342" s="4"/>
      <c r="K342" s="4"/>
      <c r="L342" s="4"/>
      <c r="M342" s="5"/>
      <c r="N342" s="4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spans="1:29" x14ac:dyDescent="0.25">
      <c r="A343" s="2"/>
      <c r="B343" s="2"/>
      <c r="C343" s="2"/>
      <c r="D343" s="2"/>
      <c r="E343" s="3"/>
      <c r="F343" s="4"/>
      <c r="G343" s="4"/>
      <c r="H343" s="4"/>
      <c r="I343" s="4"/>
      <c r="J343" s="4"/>
      <c r="K343" s="4"/>
      <c r="L343" s="4"/>
      <c r="M343" s="5"/>
      <c r="N343" s="4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spans="1:29" x14ac:dyDescent="0.25">
      <c r="A344" s="2"/>
      <c r="B344" s="2"/>
      <c r="C344" s="2"/>
      <c r="D344" s="2"/>
      <c r="E344" s="3"/>
      <c r="F344" s="4"/>
      <c r="G344" s="4"/>
      <c r="H344" s="4"/>
      <c r="I344" s="4"/>
      <c r="J344" s="4"/>
      <c r="K344" s="4"/>
      <c r="L344" s="4"/>
      <c r="M344" s="5"/>
      <c r="N344" s="4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spans="1:29" x14ac:dyDescent="0.25">
      <c r="A345" s="2"/>
      <c r="B345" s="2"/>
      <c r="C345" s="2"/>
      <c r="D345" s="2"/>
      <c r="E345" s="3"/>
      <c r="F345" s="4"/>
      <c r="G345" s="4"/>
      <c r="H345" s="4"/>
      <c r="I345" s="4"/>
      <c r="J345" s="4"/>
      <c r="K345" s="4"/>
      <c r="L345" s="4"/>
      <c r="M345" s="5"/>
      <c r="N345" s="4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spans="1:29" x14ac:dyDescent="0.25">
      <c r="A346" s="2"/>
      <c r="B346" s="2"/>
      <c r="C346" s="2"/>
      <c r="D346" s="2"/>
      <c r="E346" s="3"/>
      <c r="F346" s="4"/>
      <c r="G346" s="4"/>
      <c r="H346" s="4"/>
      <c r="I346" s="4"/>
      <c r="J346" s="4"/>
      <c r="K346" s="4"/>
      <c r="L346" s="4"/>
      <c r="M346" s="5"/>
      <c r="N346" s="4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spans="1:29" x14ac:dyDescent="0.25">
      <c r="A347" s="2"/>
      <c r="B347" s="2"/>
      <c r="C347" s="2"/>
      <c r="D347" s="2"/>
      <c r="E347" s="3"/>
      <c r="F347" s="4"/>
      <c r="G347" s="4"/>
      <c r="H347" s="4"/>
      <c r="I347" s="4"/>
      <c r="J347" s="4"/>
      <c r="K347" s="4"/>
      <c r="L347" s="4"/>
      <c r="M347" s="5"/>
      <c r="N347" s="4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spans="1:29" x14ac:dyDescent="0.25">
      <c r="A348" s="2"/>
      <c r="B348" s="2"/>
      <c r="C348" s="2"/>
      <c r="D348" s="2"/>
      <c r="E348" s="3"/>
      <c r="F348" s="4"/>
      <c r="G348" s="4"/>
      <c r="H348" s="4"/>
      <c r="I348" s="4"/>
      <c r="J348" s="4"/>
      <c r="K348" s="4"/>
      <c r="L348" s="4"/>
      <c r="M348" s="5"/>
      <c r="N348" s="4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spans="1:29" x14ac:dyDescent="0.25">
      <c r="A349" s="2"/>
      <c r="B349" s="2"/>
      <c r="C349" s="2"/>
      <c r="D349" s="2"/>
      <c r="E349" s="3"/>
      <c r="F349" s="4"/>
      <c r="G349" s="4"/>
      <c r="H349" s="4"/>
      <c r="I349" s="4"/>
      <c r="J349" s="4"/>
      <c r="K349" s="4"/>
      <c r="L349" s="4"/>
      <c r="M349" s="5"/>
      <c r="N349" s="4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spans="1:29" x14ac:dyDescent="0.25">
      <c r="A350" s="2"/>
      <c r="B350" s="2"/>
      <c r="C350" s="2"/>
      <c r="D350" s="2"/>
      <c r="E350" s="3"/>
      <c r="F350" s="4"/>
      <c r="G350" s="4"/>
      <c r="H350" s="4"/>
      <c r="I350" s="4"/>
      <c r="J350" s="4"/>
      <c r="K350" s="4"/>
      <c r="L350" s="4"/>
      <c r="M350" s="5"/>
      <c r="N350" s="4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spans="1:29" x14ac:dyDescent="0.25">
      <c r="A351" s="2"/>
      <c r="B351" s="2"/>
      <c r="C351" s="2"/>
      <c r="D351" s="2"/>
      <c r="E351" s="3"/>
      <c r="F351" s="4"/>
      <c r="G351" s="4"/>
      <c r="H351" s="4"/>
      <c r="I351" s="4"/>
      <c r="J351" s="4"/>
      <c r="K351" s="4"/>
      <c r="L351" s="4"/>
      <c r="M351" s="5"/>
      <c r="N351" s="4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spans="1:29" x14ac:dyDescent="0.25">
      <c r="A352" s="2"/>
      <c r="B352" s="2"/>
      <c r="C352" s="2"/>
      <c r="D352" s="2"/>
      <c r="E352" s="3"/>
      <c r="F352" s="4"/>
      <c r="G352" s="4"/>
      <c r="H352" s="4"/>
      <c r="I352" s="4"/>
      <c r="J352" s="4"/>
      <c r="K352" s="4"/>
      <c r="L352" s="4"/>
      <c r="M352" s="5"/>
      <c r="N352" s="4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spans="1:29" x14ac:dyDescent="0.25">
      <c r="A353" s="2"/>
      <c r="B353" s="2"/>
      <c r="C353" s="2"/>
      <c r="D353" s="2"/>
      <c r="E353" s="3"/>
      <c r="F353" s="4"/>
      <c r="G353" s="4"/>
      <c r="H353" s="4"/>
      <c r="I353" s="4"/>
      <c r="J353" s="4"/>
      <c r="K353" s="4"/>
      <c r="L353" s="4"/>
      <c r="M353" s="5"/>
      <c r="N353" s="4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spans="1:29" x14ac:dyDescent="0.25">
      <c r="A354" s="2"/>
      <c r="B354" s="2"/>
      <c r="C354" s="2"/>
      <c r="D354" s="2"/>
      <c r="E354" s="3"/>
      <c r="F354" s="4"/>
      <c r="G354" s="4"/>
      <c r="H354" s="4"/>
      <c r="I354" s="4"/>
      <c r="J354" s="4"/>
      <c r="K354" s="4"/>
      <c r="L354" s="4"/>
      <c r="M354" s="5"/>
      <c r="N354" s="4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spans="1:29" x14ac:dyDescent="0.25">
      <c r="A355" s="2"/>
      <c r="B355" s="2"/>
      <c r="C355" s="2"/>
      <c r="D355" s="2"/>
      <c r="E355" s="3"/>
      <c r="F355" s="4"/>
      <c r="G355" s="4"/>
      <c r="H355" s="4"/>
      <c r="I355" s="4"/>
      <c r="J355" s="4"/>
      <c r="K355" s="4"/>
      <c r="L355" s="4"/>
      <c r="M355" s="5"/>
      <c r="N355" s="4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spans="1:29" x14ac:dyDescent="0.25">
      <c r="A356" s="2"/>
      <c r="B356" s="2"/>
      <c r="C356" s="2"/>
      <c r="D356" s="2"/>
      <c r="E356" s="3"/>
      <c r="F356" s="4"/>
      <c r="G356" s="4"/>
      <c r="H356" s="4"/>
      <c r="I356" s="4"/>
      <c r="J356" s="4"/>
      <c r="K356" s="4"/>
      <c r="L356" s="4"/>
      <c r="M356" s="5"/>
      <c r="N356" s="4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spans="1:29" x14ac:dyDescent="0.25">
      <c r="A357" s="2"/>
      <c r="B357" s="2"/>
      <c r="C357" s="2"/>
      <c r="D357" s="2"/>
      <c r="E357" s="3"/>
      <c r="F357" s="4"/>
      <c r="G357" s="4"/>
      <c r="H357" s="4"/>
      <c r="I357" s="4"/>
      <c r="J357" s="4"/>
      <c r="K357" s="4"/>
      <c r="L357" s="4"/>
      <c r="M357" s="5"/>
      <c r="N357" s="4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spans="1:29" x14ac:dyDescent="0.25">
      <c r="A358" s="2"/>
      <c r="B358" s="2"/>
      <c r="C358" s="2"/>
      <c r="D358" s="2"/>
      <c r="E358" s="3"/>
      <c r="F358" s="4"/>
      <c r="G358" s="4"/>
      <c r="H358" s="4"/>
      <c r="I358" s="4"/>
      <c r="J358" s="4"/>
      <c r="K358" s="4"/>
      <c r="L358" s="4"/>
      <c r="M358" s="5"/>
      <c r="N358" s="4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spans="1:29" x14ac:dyDescent="0.25">
      <c r="A359" s="2"/>
      <c r="B359" s="2"/>
      <c r="C359" s="2"/>
      <c r="D359" s="2"/>
      <c r="E359" s="3"/>
      <c r="F359" s="4"/>
      <c r="G359" s="4"/>
      <c r="H359" s="4"/>
      <c r="I359" s="4"/>
      <c r="J359" s="4"/>
      <c r="K359" s="4"/>
      <c r="L359" s="4"/>
      <c r="M359" s="5"/>
      <c r="N359" s="4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spans="1:29" x14ac:dyDescent="0.25">
      <c r="A360" s="2"/>
      <c r="B360" s="2"/>
      <c r="C360" s="2"/>
      <c r="D360" s="2"/>
      <c r="E360" s="3"/>
      <c r="F360" s="4"/>
      <c r="G360" s="4"/>
      <c r="H360" s="4"/>
      <c r="I360" s="4"/>
      <c r="J360" s="4"/>
      <c r="K360" s="4"/>
      <c r="L360" s="4"/>
      <c r="M360" s="5"/>
      <c r="N360" s="4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spans="1:29" x14ac:dyDescent="0.25">
      <c r="A361" s="2"/>
      <c r="B361" s="2"/>
      <c r="C361" s="2"/>
      <c r="D361" s="2"/>
      <c r="E361" s="3"/>
      <c r="F361" s="4"/>
      <c r="G361" s="4"/>
      <c r="H361" s="4"/>
      <c r="I361" s="4"/>
      <c r="J361" s="4"/>
      <c r="K361" s="4"/>
      <c r="L361" s="4"/>
      <c r="M361" s="5"/>
      <c r="N361" s="4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</sheetData>
  <mergeCells count="3">
    <mergeCell ref="A1:N1"/>
    <mergeCell ref="A2:N2"/>
    <mergeCell ref="A3:N3"/>
  </mergeCells>
  <pageMargins left="0.23622047244094499" right="0.23622047244094499" top="0.74803149606299202" bottom="0.74803149606299202" header="0" footer="0"/>
  <pageSetup paperSize="9" scale="41" fitToHeight="0" orientation="landscape" r:id="rId1"/>
  <headerFooter>
    <oddHeader>&amp;CPREGÃO ELETRÔNICO 90034/2025</oddHeader>
    <oddFooter>&amp;LANEXO III - PLANILHA ESTIMATIVA DE QUANTIDADE E PREÇO&amp;R&amp;P/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000"/>
  <sheetViews>
    <sheetView workbookViewId="0"/>
  </sheetViews>
  <sheetFormatPr defaultColWidth="14.42578125" defaultRowHeight="15" customHeight="1" x14ac:dyDescent="0.25"/>
  <cols>
    <col min="1" max="1" width="2.42578125" customWidth="1"/>
    <col min="2" max="2" width="12.85546875" customWidth="1"/>
    <col min="3" max="3" width="17.7109375" customWidth="1"/>
    <col min="4" max="4" width="3.140625" customWidth="1"/>
    <col min="5" max="5" width="27" customWidth="1"/>
    <col min="6" max="6" width="4" customWidth="1"/>
  </cols>
  <sheetData>
    <row r="1" spans="2:5" ht="10.5" customHeight="1" x14ac:dyDescent="0.25"/>
    <row r="2" spans="2:5" ht="63" customHeight="1" x14ac:dyDescent="0.25">
      <c r="B2" s="28" t="s">
        <v>223</v>
      </c>
      <c r="C2" s="28" t="s">
        <v>224</v>
      </c>
      <c r="E2" s="29" t="s">
        <v>225</v>
      </c>
    </row>
    <row r="3" spans="2:5" x14ac:dyDescent="0.25">
      <c r="B3" s="30">
        <v>0.01</v>
      </c>
      <c r="C3" s="30">
        <v>0.01</v>
      </c>
      <c r="E3" s="31" t="s">
        <v>226</v>
      </c>
    </row>
    <row r="4" spans="2:5" x14ac:dyDescent="0.25">
      <c r="B4" s="30">
        <v>5</v>
      </c>
      <c r="C4" s="30">
        <v>0.02</v>
      </c>
      <c r="E4" s="31" t="s">
        <v>227</v>
      </c>
    </row>
    <row r="5" spans="2:5" x14ac:dyDescent="0.25">
      <c r="B5" s="30">
        <v>10</v>
      </c>
      <c r="C5" s="30">
        <v>0.03</v>
      </c>
      <c r="E5" s="31" t="s">
        <v>228</v>
      </c>
    </row>
    <row r="6" spans="2:5" x14ac:dyDescent="0.25">
      <c r="B6" s="30">
        <v>20</v>
      </c>
      <c r="C6" s="30">
        <v>0.05</v>
      </c>
      <c r="E6" s="31" t="s">
        <v>229</v>
      </c>
    </row>
    <row r="7" spans="2:5" x14ac:dyDescent="0.25">
      <c r="B7" s="30">
        <v>50</v>
      </c>
      <c r="C7" s="30">
        <v>0.1</v>
      </c>
      <c r="E7" s="31" t="s">
        <v>230</v>
      </c>
    </row>
    <row r="8" spans="2:5" x14ac:dyDescent="0.25">
      <c r="B8" s="30">
        <v>100</v>
      </c>
      <c r="C8" s="32" t="s">
        <v>231</v>
      </c>
      <c r="E8" s="31" t="s">
        <v>232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Anexo III</vt:lpstr>
      <vt:lpstr>Intervalos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2025-05-19T17:51:54Z</cp:lastPrinted>
  <dcterms:created xsi:type="dcterms:W3CDTF">2019-07-30T23:05:00Z</dcterms:created>
  <dcterms:modified xsi:type="dcterms:W3CDTF">2025-05-19T19:36:06Z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6F9BFFEB432A4075A6014610FD29A3DB_13</vt:lpwstr>
  </property>
  <property fmtid="{D5CDD505-2E9C-101B-9397-08002B2CF9AE}" pid="3" name="KSOProductBuildVer">
    <vt:lpwstr>1046-12.2.0.20795</vt:lpwstr>
  </property>
</Properties>
</file>