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eu Drive\Arquivos secretaria e pregão\Pregoeira\PE_90019_2025_MATERIAL QUÍMICO I\Minuta\"/>
    </mc:Choice>
  </mc:AlternateContent>
  <xr:revisionPtr revIDLastSave="0" documentId="13_ncr:1_{02FCCC98-DFFB-49C7-BCA9-DA16F32A07B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Anexo III" sheetId="1" r:id="rId1"/>
    <sheet name="Intervalos" sheetId="2" r:id="rId2"/>
  </sheets>
  <definedNames>
    <definedName name="_xlnm._FilterDatabase" localSheetId="0" hidden="1">'Anexo III'!#REF!</definedName>
    <definedName name="_xlnm.Print_Area" localSheetId="0">'Anexo III'!$A$1:$M$94</definedName>
  </definedNames>
  <calcPr calcId="181029"/>
</workbook>
</file>

<file path=xl/calcChain.xml><?xml version="1.0" encoding="utf-8"?>
<calcChain xmlns="http://schemas.openxmlformats.org/spreadsheetml/2006/main">
  <c r="I94" i="1" l="1"/>
  <c r="M30" i="1"/>
  <c r="M6" i="1"/>
  <c r="G32" i="1"/>
  <c r="G74" i="1"/>
  <c r="G63" i="1"/>
  <c r="G29" i="1"/>
  <c r="G73" i="1"/>
  <c r="H69" i="1"/>
  <c r="G69" i="1"/>
  <c r="G34" i="1" l="1"/>
  <c r="M34" i="1"/>
  <c r="G25" i="1"/>
  <c r="H25" i="1"/>
  <c r="M25" i="1" s="1"/>
  <c r="G11" i="1"/>
  <c r="M11" i="1"/>
  <c r="G66" i="1"/>
  <c r="M66" i="1"/>
  <c r="M29" i="1"/>
  <c r="G22" i="1"/>
  <c r="G16" i="1"/>
  <c r="M16" i="1"/>
  <c r="G77" i="1"/>
  <c r="M77" i="1"/>
  <c r="G42" i="1"/>
  <c r="G23" i="1"/>
  <c r="H23" i="1"/>
  <c r="M23" i="1" s="1"/>
  <c r="G18" i="1"/>
  <c r="M18" i="1"/>
  <c r="M55" i="1"/>
  <c r="G55" i="1"/>
  <c r="M67" i="1"/>
  <c r="G67" i="1"/>
  <c r="M64" i="1"/>
  <c r="G64" i="1"/>
  <c r="M65" i="1"/>
  <c r="G65" i="1"/>
  <c r="M46" i="1"/>
  <c r="G46" i="1"/>
  <c r="I46" i="1" s="1"/>
  <c r="M33" i="1"/>
  <c r="G33" i="1"/>
  <c r="I33" i="1" s="1"/>
  <c r="M31" i="1"/>
  <c r="G31" i="1"/>
  <c r="G89" i="1"/>
  <c r="M89" i="1"/>
  <c r="I7" i="1"/>
  <c r="I8" i="1"/>
  <c r="I9" i="1"/>
  <c r="I10" i="1"/>
  <c r="I12" i="1"/>
  <c r="I13" i="1"/>
  <c r="I14" i="1"/>
  <c r="I15" i="1"/>
  <c r="I17" i="1"/>
  <c r="I19" i="1"/>
  <c r="I20" i="1"/>
  <c r="I21" i="1"/>
  <c r="I24" i="1"/>
  <c r="I26" i="1"/>
  <c r="I27" i="1"/>
  <c r="I28" i="1"/>
  <c r="I30" i="1"/>
  <c r="I35" i="1"/>
  <c r="I36" i="1"/>
  <c r="I37" i="1"/>
  <c r="I38" i="1"/>
  <c r="I40" i="1"/>
  <c r="I39" i="1"/>
  <c r="I41" i="1"/>
  <c r="I43" i="1"/>
  <c r="I44" i="1"/>
  <c r="I45" i="1"/>
  <c r="I47" i="1"/>
  <c r="I48" i="1"/>
  <c r="I49" i="1"/>
  <c r="I50" i="1"/>
  <c r="I51" i="1"/>
  <c r="I52" i="1"/>
  <c r="I53" i="1"/>
  <c r="I54" i="1"/>
  <c r="I56" i="1"/>
  <c r="I57" i="1"/>
  <c r="I58" i="1"/>
  <c r="I59" i="1"/>
  <c r="I60" i="1"/>
  <c r="I61" i="1"/>
  <c r="I62" i="1"/>
  <c r="I63" i="1"/>
  <c r="I68" i="1"/>
  <c r="I69" i="1"/>
  <c r="I70" i="1"/>
  <c r="I71" i="1"/>
  <c r="I72" i="1"/>
  <c r="I73" i="1"/>
  <c r="I74" i="1"/>
  <c r="I75" i="1"/>
  <c r="I78" i="1"/>
  <c r="I76" i="1"/>
  <c r="I79" i="1"/>
  <c r="I80" i="1"/>
  <c r="I81" i="1"/>
  <c r="I82" i="1"/>
  <c r="I83" i="1"/>
  <c r="I84" i="1"/>
  <c r="I85" i="1"/>
  <c r="I86" i="1"/>
  <c r="I87" i="1"/>
  <c r="I88" i="1"/>
  <c r="I90" i="1"/>
  <c r="I91" i="1"/>
  <c r="I92" i="1"/>
  <c r="I93" i="1"/>
  <c r="I6" i="1"/>
  <c r="M7" i="1"/>
  <c r="M8" i="1"/>
  <c r="M9" i="1"/>
  <c r="M10" i="1"/>
  <c r="M12" i="1"/>
  <c r="M13" i="1"/>
  <c r="M14" i="1"/>
  <c r="M15" i="1"/>
  <c r="M17" i="1"/>
  <c r="M19" i="1"/>
  <c r="M20" i="1"/>
  <c r="M21" i="1"/>
  <c r="M24" i="1"/>
  <c r="M26" i="1"/>
  <c r="M27" i="1"/>
  <c r="M28" i="1"/>
  <c r="M35" i="1"/>
  <c r="M36" i="1"/>
  <c r="M37" i="1"/>
  <c r="M38" i="1"/>
  <c r="M40" i="1"/>
  <c r="M39" i="1"/>
  <c r="M41" i="1"/>
  <c r="M43" i="1"/>
  <c r="M44" i="1"/>
  <c r="M45" i="1"/>
  <c r="M47" i="1"/>
  <c r="M48" i="1"/>
  <c r="M49" i="1"/>
  <c r="M50" i="1"/>
  <c r="M51" i="1"/>
  <c r="M52" i="1"/>
  <c r="M53" i="1"/>
  <c r="M54" i="1"/>
  <c r="M56" i="1"/>
  <c r="M57" i="1"/>
  <c r="M58" i="1"/>
  <c r="M59" i="1"/>
  <c r="M60" i="1"/>
  <c r="M61" i="1"/>
  <c r="M62" i="1"/>
  <c r="M63" i="1"/>
  <c r="M68" i="1"/>
  <c r="M69" i="1"/>
  <c r="M70" i="1"/>
  <c r="M71" i="1"/>
  <c r="M72" i="1"/>
  <c r="M73" i="1"/>
  <c r="M74" i="1"/>
  <c r="M75" i="1"/>
  <c r="M78" i="1"/>
  <c r="M76" i="1"/>
  <c r="M79" i="1"/>
  <c r="M80" i="1"/>
  <c r="M81" i="1"/>
  <c r="M82" i="1"/>
  <c r="M83" i="1"/>
  <c r="M84" i="1"/>
  <c r="M85" i="1"/>
  <c r="M86" i="1"/>
  <c r="M87" i="1"/>
  <c r="M88" i="1"/>
  <c r="M90" i="1"/>
  <c r="M91" i="1"/>
  <c r="M92" i="1"/>
  <c r="M93" i="1"/>
  <c r="J80" i="1" l="1"/>
  <c r="J90" i="1"/>
  <c r="J83" i="1"/>
  <c r="J56" i="1"/>
  <c r="J50" i="1"/>
  <c r="J70" i="1"/>
  <c r="J61" i="1"/>
  <c r="J46" i="1"/>
  <c r="J35" i="1"/>
  <c r="J26" i="1"/>
  <c r="J12" i="1"/>
  <c r="I25" i="1"/>
  <c r="I65" i="1"/>
  <c r="I42" i="1"/>
  <c r="J40" i="1" s="1"/>
  <c r="I23" i="1"/>
  <c r="I64" i="1"/>
  <c r="I16" i="1"/>
  <c r="I55" i="1"/>
  <c r="J53" i="1" s="1"/>
  <c r="I66" i="1"/>
  <c r="I22" i="1"/>
  <c r="I18" i="1"/>
  <c r="J17" i="1" s="1"/>
  <c r="I89" i="1"/>
  <c r="I67" i="1"/>
  <c r="I34" i="1"/>
  <c r="I11" i="1"/>
  <c r="I29" i="1"/>
  <c r="M22" i="1"/>
  <c r="I77" i="1"/>
  <c r="J77" i="1" s="1"/>
  <c r="M42" i="1"/>
  <c r="I31" i="1"/>
  <c r="M32" i="1"/>
  <c r="I32" i="1"/>
  <c r="J65" i="1" l="1"/>
  <c r="J22" i="1"/>
</calcChain>
</file>

<file path=xl/sharedStrings.xml><?xml version="1.0" encoding="utf-8"?>
<sst xmlns="http://schemas.openxmlformats.org/spreadsheetml/2006/main" count="486" uniqueCount="126">
  <si>
    <t>PRÓ-REITORIA DE ADMINISTRAÇÃO</t>
  </si>
  <si>
    <t>UNIDADE DE MEDIDA</t>
  </si>
  <si>
    <t>COORDENAÇÃO DE MATERIAIS</t>
  </si>
  <si>
    <t>DESCRIÇÃO/ ESPECIFICAÇÃO</t>
  </si>
  <si>
    <t>Aberto</t>
  </si>
  <si>
    <t>SUGESTÃO DE CATMAT</t>
  </si>
  <si>
    <t>VALOR TOTAL</t>
  </si>
  <si>
    <t>Diferença Mínima
 de Valores / 
Percentuais de 
Lances</t>
  </si>
  <si>
    <t>Valor Unitário
Estimado (Faixa)</t>
  </si>
  <si>
    <t>0,10%</t>
  </si>
  <si>
    <t>Interpretação</t>
  </si>
  <si>
    <t>R$ 0,01 - R$ 5,00 =&gt; R$ 0,01</t>
  </si>
  <si>
    <t>R$ 5,01 - R$ 10,00 =&gt; R$ 0,02</t>
  </si>
  <si>
    <t>R$ 10,01 - R$ 20,00 =&gt; R$ 0,03</t>
  </si>
  <si>
    <t>R$ 20,01 - R$ 50,00 =&gt; R$ 0,05</t>
  </si>
  <si>
    <t>R$ 50,01 - R$ 100,00 =&gt; R$ 0,10</t>
  </si>
  <si>
    <t>Acima de R$ 100,00 =&gt; 0,10%</t>
  </si>
  <si>
    <t>ITEM LICITAÇÃO</t>
  </si>
  <si>
    <t>VALOR UNITÁRIO</t>
  </si>
  <si>
    <t xml:space="preserve">QUANTIDADE </t>
  </si>
  <si>
    <t>MODO DE DISPUTA</t>
  </si>
  <si>
    <t>INTERVALO LANCES</t>
  </si>
  <si>
    <t>EXCLUSIVO ME/EPP</t>
  </si>
  <si>
    <t>INFORMAÇÕES ADICIONAIS</t>
  </si>
  <si>
    <t>GRUPO</t>
  </si>
  <si>
    <t>ANEXO III - PLANILHA ESTIMATIVA DE DESCRIÇÃO E PREÇOS</t>
  </si>
  <si>
    <t>VALOR TOTAL DO GRUPO</t>
  </si>
  <si>
    <t>Ácido metafosfórico PA (para análise). Fórmula: (HPO3)n / Peso Molecular: (79,98)n / Teor (HPO3)N 33,5 – 36,5% / Teor (NaPO3)N 57,0 – 63,0% / Cloreto (Cl) MAx. 0,001% / Nitrato (NO3) MAx. 0,001% / Sulfato (SO4) MAx. 0,005% / Arsenico (As) MAx. 1 ppm / Metais pesados (como Pb) MAx. 0,005% / Ferro (Fe) MAx. 0,005%. CAS 37267-86-0 . ONU: 3260; Classe: 8; Número de Risco: 80; Embalagem: III. Fornecimento em embalagens de 100g.</t>
  </si>
  <si>
    <t>BICARBONATO DE SÓDIO P.A A.C.S - Aspecto físico: sólido, Fórmula química: NaHCO3, Pureza mínima: 99,7%, Peso molecular: 84,01 g/mol, Número de referência química: CAS 144-55-8. Fornecimento em frasco de 500g</t>
  </si>
  <si>
    <t>BISMUTATO DE SÓDIO P.A. -Aspecto físico: sólido marrom claro, Fórmula química: NaBiO3, Pureza mínima: 80%, Peso molecular: 279,97 g/mol, Número de referência química: CAS 12232-99-4. Fornecimento em frasco de 100g.</t>
  </si>
  <si>
    <t>Brometo De Potássio P.A - Aspecto Físico: Sólido Cristalino Incolor, Fórmula Química: Kbr, Pureza Mínima: 99,0%, Peso Molecular: 119,00 G/Mol, Número De Referência Química: Cas 7758-02-3. Fornecimento Em Frasco De 500g.</t>
  </si>
  <si>
    <t>Cálcio Metálico - Aspecto Físico Granulado, Cor Acinzentada, Inodoro, Peso Molecular 40,8, Fórmula Química Ca Puro, Grau De Pureza Pureza Mínima De 98%, Característica Adicional Reagente, Número De Referência Química Cas 7440-70-2. Fornecimento Em Frasco De 100g</t>
  </si>
  <si>
    <t>Carbonato de Magnésio P.A. - Aspecto físico: Pó Incolor. Fórmula Molecular: MgCO3, Peso Molecular: 84,31. Fornecimento em frasco de 500g.</t>
  </si>
  <si>
    <t>CLORETO DE ALUMÍNIO Hexahidratado P.A - Fórmula química: AlCl3.6H2O, PESO MOLECULAR: 241,43 g/mol, ASPECTO FÍSICO: Cristalino incolor, PUREZA MÍNIMA: 99,5%, NÚMERO DE REFERÊNCIA QUÍMICA CAS 7784-13-6. Fornecimento em frasco de 500g.</t>
  </si>
  <si>
    <t>Cloreto De Bário Dihidratado P.A. A.C.S - Aspecto Físico: Cristalino Branco, Peso Molecular: 244,26 G/Mol, Fórmula Química: Bacl2. 2H2o, Pureza Mínima: 99,5%, Número De Referência Química: Cas 10326-27-9. Fornecimento Em Frasco De 500g.</t>
  </si>
  <si>
    <t>CLORETO DE COBALTO(II) (OSO) HEXAHIDRATADO 6 H2O P.A. A.C.S, ASPECTO FÍSICO: CRISTAL ROSA A VERMELHO, PESO MOLECULAR: 237,93, FÓRMULA QUÍMICA: CoCl2.6H2O, Pureza mínima: 99%, NÚMERO DE REFERÊNCIA QUÍMICA: CAS 7791-13-1. Fornecimento em frasco de 250g.</t>
  </si>
  <si>
    <t>CLORETO DE COBRE II DIHIDRATADO (ICO) P.A. A.C.S. - Aspecto físico: sólido azul esverdeado, Fórmula química: CuCl2.2H2O, Pureza mínima: 99%, Peso Molecular: 170,48 g/mol, Número de referência química: CAS 7447-39-4. Fornecimento em frasco de 500g</t>
  </si>
  <si>
    <t>Cloreto De Cromo (Iii) Hexahidratado 6 H2o P.A - Aspecto Físico: Cristal Preto Esverdeado À Violáceo, Fórmula Química: Crcl3.6h2o, Peso Molecular: 266,45 G/Mol, Pureza Mínima: 98%, Número De Referência Química Cas 10060-12-5. Fornecimento Em Frasco De 500g</t>
  </si>
  <si>
    <t>Cloreto De Cromo Iii (Ico) Anidro P.A - Aspecto Físico: Cristal Preto Esverdeado À Violáceo, Fórmula Química: Crcl3 Anidro, Peso Molecular: 158,36 G/Mol, Pureza Mínima: 98%, Número De Referência Química Cas 10025-73-7. Fornecimento Em Frasco De 250g</t>
  </si>
  <si>
    <t>CLORETO DE ESTANHO (II) Dihidratado P.A A.C.S - Aspecto físico: cristal finos brancos e fragmentos, Fórmula química: SnCl2.2H2O, Peso molecular: 225,65 g/mol, Pureza mínima: 98%, Número de referência química: CAS 10025-69-1. Fornecimento em frasco de 250g.</t>
  </si>
  <si>
    <t>CLORETO DE ESTRÔNCIO HEXAHIDRATADO 6 H2O P.A A.C.S - ASPECTO FÍSICO: cristalino branco, Fórmula QUÍMICA: SrCl2.6H2O, PESO MOLECULAR: 266,62 g/mol, Pureza mínima: 99%, NÚMERO DE REFERÊNCIA QUÍMICA: CAS 10025-70-4. Fornecimento em frasco de 250g.</t>
  </si>
  <si>
    <t>Cloreto de ferro (III) anidro P.A - Aspecto físico: pó cinza esverdeado escuro à preto, inodoro. Fórmula química: FeCl3 anidro. Peso molecular: 162,21 g/mol, Pureza mínima: 98%, Número de referência química:  CAS 7705-08-0. Fornecimento em frasco de 250g.</t>
  </si>
  <si>
    <t>Cloreto De Ferro Ii (Oso) Tetrahidratado 4 H2o P.A. A.C.S.  Aspecto Físico: Sólido , Fórmula Química: Fecl2.4h2o, Peso Molecular: 198,91, Pureza Mínima: 99%, Número De Referência Química: Cas 13478-10-9. Fornecimento Em Frasco De 250g.</t>
  </si>
  <si>
    <t>Cloreto de ferro III Hexahidratado P.A - Aspecto físico: pó cristalino, marrom amarelado, Composição: FeCl3·6H2O, Peso molecular: 270,30 g/mol, Pureza mínima: 99%, Número de referência química: CAS 10025-77-1. Fornecimento em frasco de 500g.</t>
  </si>
  <si>
    <t>CLORETO DE LÍTIO P.A. A.C.S - Aspecto físico: cristais brancos, Peso molecular: 42,39 g/mol, Fórmula química: LiCl, Número de referência química: CAS 7447-41-8. Fornecimento em frasco de 250g</t>
  </si>
  <si>
    <t>Cloreto De Mercúrio (I) (Oso) P.A. A.C.S - Aspecto Físico: Sólido, Peso Molecular: 472.09 G/Mol, Fórmula Química: Hg2cl2 Pureza Mínima: 99,5%, Número De Referência Química: Cas 10112-91-1. Fornecimento Em Frasco De 100g</t>
  </si>
  <si>
    <t>CLORETO DE POTÁSSIO P.A A.C.S - ASPECTO FÍSICO: PÓ OU CRISTAL BRANCO, FÓRMULA QUÍMICA: KCl, PESO MOLECULAR: 74,55 g/mol, PUREZA MÍNIMA: 99%, NÚMERO DE REFERÊNCIA QUÍMICA CAS 7447-40-7. Fornecimento em frasco de 500g.</t>
  </si>
  <si>
    <t>Cloreto De Sódio P.A A.C.S - Aspecto Físico: Sólido Incolor, Fórmula Química: Nacl, Peso Molecular: 58,45 G/Mol, Pureza Mínima: 99%, Número De Referência Química Cas 7647-14-5. Fornecimento Em Frasco De 500g.</t>
  </si>
  <si>
    <t>CLORETO DE ZINCO ANIDRO P.A A.C.S - ASPECTO FÍSICO: Cristal ou Pó branco, PESO MOLECULAR: 136,30 g/mol, FÓRMULA QUÍMICA: ZnCl2, PUREZA MÍNIMA: 97%, NÚMERO DE REFERÊNCIA QUÍMICA: CAS 7646-85-7. Fornecimento em frasco de 500g.</t>
  </si>
  <si>
    <t>Fosfato De Potássio Monobásico Anidro P.A A.C.S - Aspecto Físico: Sólido Branco Cristalino, Fórmula Química: Kh2po4, Peso Molecular: 136,09 G/Mol, Pureza Mínima: 99%, Número De Referência Química: Cas 7778-77-0. Fornecimento Em Frasco De 500g.</t>
  </si>
  <si>
    <t>Fosfato de Sódio Dibásico Anidro P.A A.C.S - Aspecto Físico: Pó Branco, Fórmula Química: Na2hpo4, Peso Molecular: 141,96 G/Mol, Pureza Mínima: 99%, Número De Referência Química Cas 7558-79-4. Fornecimento Em Frasco De 500g.</t>
  </si>
  <si>
    <t>Hexanitrocobaltato De Sódio P.A A.C.S (Cobaltinitrito De Sódio) - Aspecto Físico: Pó Amarelo-Escuro, Peso Molecular: 403,94 G/Mol, Fórmula Química: Con6na3o12, Pureza Mínima: 99%, Número De Referência Química: Cas 13600-98-1. Fornecimento Em Frasco De 25g.</t>
  </si>
  <si>
    <t>Hidreto de cálcio P.A. - peso molecular 42,9, aspecto físico granulos acinzentados, fórmula química CaH2, grau de pureza teor mínimo de 95%, número de referência química cas 7789-78-8. Fornecimento em frasco de 100g</t>
  </si>
  <si>
    <t>HIDRÓXIDO DE ALUMÍNIO P.A -Aspecto físico: Sólido branco , Fórmula química: Al(OH)3 , Peso molecular: 78,00 g/mol, Pureza mínima: 76,5%, Número de referência química: CAS 21645-51-2. Fornecimento em frasco de 250g</t>
  </si>
  <si>
    <t>HIDRÓXIDO DE BÁRIO Anidro - ASPECTO FÍSICO: PÓ BRANCO, PESO MOLECULAR: 171,34 g/mol, FÓRMULA QUÍMICA: Ba(OH)2, PUREZA MÍNIMA: 95%, NÚMERO DE REFERÊNCIA QUÍMICA: CAS 17194-00-2. Fornecimento em frasco de 500g</t>
  </si>
  <si>
    <t>Hidróxido De Cálcio P.A. - Aspecto Físico: Sólido Branco, Fórmula Química: Ca(Oh)2, Pureza Mínima: 95%, Peso Molecular: 74,09 G/Mol, Número De Referência Química: Cas 1305-62-0. Fornecimento Em Frasco De 500g</t>
  </si>
  <si>
    <t>Hidróxido De Magnésio P.A. - Aspecto Físico Pó Branco, Inodoro,  Fórmula Química Mg(Oh)2, Peso Molecular: 58,32 G/Mol, Pureza Mínima: 99%, Número De Referência Química: Cas 1309-42-8. Fornecimento Em Frasco De 500g</t>
  </si>
  <si>
    <t>Hidróxido de potássio P.A A.C.S - Aspecto físico: Sólido - escama ou lentilha branca, Peso molecular: 56,11 g/mol,  Fórmula química: KOH,  Pureza mínima: 85%,  densidade relativa: 2,044 g/cm3,  Número de referência química: CAS 1310-58-3. Fornecimento em frasco de 500g.</t>
  </si>
  <si>
    <t>Iodeto De Potássio P.A A.C.S - Aspecto Físico: Sólido Cristalino Branco, Fórmula Química: Ki, Peso Molecular: 166,00 G/Mol, Pureza Mínima: 99,0%, Número De Referência Química: Cas 7681-11-0. Fornecimento Em Frasco De 250g.</t>
  </si>
  <si>
    <t>Iodo Ressublimado P.A. A.C.S: Aspecto físico: Sólido preto/violeta, Peso molecular: 253,81 g/mol,  Fórmula QUÍMICA: I2,  PUREZA MÍNIMA: 99,8%,  Densidade: 4,93 g/cm3,  NÚMERO DE REFERÊNCIA QUÍMICA: CAS 7553-56-2. Fornecimento em frasco de 100g</t>
  </si>
  <si>
    <t>Lítio metálico - Aspecto físico: pedaços, cor acinzentada, inodoro, Peso molecular: 6,94, Fórmula química: Li, Grau de pureza mínima de 98%, Característica adicional: reagente, número de referência química cas 7439-93-2. Fornecimento em frasco de 50g</t>
  </si>
  <si>
    <t>Magnésio Em Aparas Puro - Aspecto Físico Raspas Prateadas, Fórmula Química Mg, Peso Molecular: 24,31, Grau De Pureza Pureza Mínima De 99,8%, Número De Referência Química Cas 7439-95-4. Fornecimento Em Frasco De 250g</t>
  </si>
  <si>
    <t>MAGNÉSIO EM FITA (Aprox. 0,2 x 3 mm) Puríssimo - Aspecto físico: sólido branco prateado, Fórmula química: Mg, Pureza mínima: 99,5%, Peso Molecular: 24,31 g/mol, Número de referência química: CAS 7439-95-4. Fornecimento em rolo de 25g</t>
  </si>
  <si>
    <t>MOLIBDATO DE AMÔNIO Tetrahidratado P.A A.C.S - ASPECTO FÍSICO: Sólido CRISTALINO BRANCO, PESO MOLECULAR: 1235,86 g/mol, FÓRMULA QUÍMICA (NH4)6Mo7O24·4H2O, PUREZA MÍNIMA DE 99,0%, NÚMERO DE REFERÊNCIA QUÍMICA CAS 12054-85-2. Fornecimento em frasco de 250g.</t>
  </si>
  <si>
    <t xml:space="preserve">NITRATO DE BÁRIO P.A A.C.S - ASPECTO FÍSICO: Sólido BRANCO, FóRMULA QUíMICA: Ba(NO3)2, PESO MOLECULAR: 261,34 g/mol, PUREZA MÍNIMA: 99%, NÚMERO DE REFERÊNCIA QUÍMICA CAS 10022-31-8. Fornecimento em frasco de 500g_x000D_
</t>
  </si>
  <si>
    <t>NITRATO DE BISMUTO P.A A.C.S - ASPECTO FÍSICO: Sólido BRANCO, FóRMULA QUíMICA: Bi(NO3)3· 5H2O , PESO MOLECULAR: 485.07 g/mol, PUREZA MÍNIMA: 98%, NÚMERO DE REFERÊNCIA QUÍMICA CAS 10035-06-0. . Fornecimento em frasco de 100g</t>
  </si>
  <si>
    <t>NITRATO DE MAGNÉSIO Hexahidratado P.A A.C.S - ASPECTO FÍSICO: Sólido branco, FÓRMULA QUÍMICA: Mg(NO3)2.6H2O, PESO MOLECULAR: 256,41 g/mol, PUREZA MÍNIMA: 98%, NÚMERO DE REFERÊNCIA QUÍMICA CAS 13446-18-9. Fornecimento em frasco de 500g.</t>
  </si>
  <si>
    <t>NITRATO DE MANGANÊS (II) Tetrahidratado P.A A.C.S - ASPECTO FÍSICO: Sólido cristalino vermelho-claro, FÓRMULA QUÍMICA: Mn(NO3)2.4H2O, Peso molecular: 251,01 g/mol, PUREZA MÍNIMA: 99%, NÚMERO DE REFERÊNCIA QUÍMICA CAS 20694-39-7. Fornecimento em frasco de 250g.</t>
  </si>
  <si>
    <t>NITRATO DE PRATA P.A A.C.S - ASPECTO FÍSICO: Sólido incolor, FÓRMULA QUÍMICA: AgNO3, PESO MOLECULAR: 169,87 g/mol, PUREZA MÍNIMA: 99,0%, NÚMERO DE REFERÊNCIA QUÍMICA CAS 7761-88-8. Fornecimento em frasco de 250g.</t>
  </si>
  <si>
    <t>NITRATO DE SÓDIO P.A A.C.S - ASPECTO FÍSICO: Sólido, FÓRMULA QUÍMICA: NaNO3, PESO MOLECULAR: 84,99 g/mol, PUREZA MÍNIMA: 99%, NÚMERO DE REFERÊNCIA QUÍMICA CAS 7631-99-4. Fornecimento em frasco de 500g.</t>
  </si>
  <si>
    <t>NITROPRUSSIATO DE SÓDIO Dihidratado (Nitroferricianeto (III) de sódio dihidratado) P.A A.C.S - Aspecto físico: Sólido; Fórmula química: Na2[Fe(CN)5NO].2H2O, Peso molecular: 297,95 g/mol, Pureza mínima: 99%, Número de referência química: CAS 13755-38-9. Fornecimento em frasco de 100g.</t>
  </si>
  <si>
    <t>OXIDO DE ALUMÍNIO P.A. - Aspecto físico: Sólido branco , Peso Molecular: 101,96 G/Mol, Fórmula química: Al2O3 , Pureza Mínima: 99%, Número de referência química: CAS 1344-28-1. Fornecimento em frasco de 250g</t>
  </si>
  <si>
    <t>OXIDO DE CHUMBO II (MONÓXIDO) P.A. - Aspecto físico: Sólido amarelo alaranjado , Peso Molecular: 223,20 G/Mol, Fórmula química: PbO, Pureza Mínima: 98%, Número de referência química: CAS 1317-36-8. Fornecimento em frasco de 500g</t>
  </si>
  <si>
    <t>OXIDO DE MAGNESIO - Aspecto físico: Sólido PÓ FINO, LEVE, BRANCO, Peso Molecular: 40,30 G/Mol, Fórmula química: MgO, Pureza Mínima: 99%, Número de referência química: CAS 1309-48-4. Fornecimento em frasco de 250g</t>
  </si>
  <si>
    <t>ÓXIDO DE ZINCO P.A. - Aspecto físico: Sólido pó finíssimo, branco amarelado, Peso molecular: 81,39 g/mol, Fórmula química: ZnO, Pureza mínima: 99%, Número de referência química: CAS 1314-13-2. Fornecimento em frasco de 500g</t>
  </si>
  <si>
    <t>Potássio metálico - Aspecto físico: pedaços, cor acinzentada, inodoro, Peso molecular: 39,10, Fórmula química K , Grau de pureza mínima de 98%, Característica adicional: reagente, número de referência química cas 7440-09-7. Fornecimento em frasco de 100g</t>
  </si>
  <si>
    <t>Sílica gel - Composição: SIO2, Cor branca, Aspecto físico: pó, Uso colunas cromatográficas - Caracterísiticas adicionais: partícula 70-230 mesh, poro 60. Fornecimento em frasco de 500g</t>
  </si>
  <si>
    <t>Sílica Gel azul P.A - Aspecto físico: Sólido granulado, Granulometria dos grãos: 4 a 8 mm, com indicador de umidade, Fórmula química: SiO2,Número de referência química: CAS 112926-00-8. Fornecimento em frasco de 500g</t>
  </si>
  <si>
    <t xml:space="preserve">Sílica Gel para Coluna de Cromatografia (230 - 400 Mesh) - Caracterísitcas: - .Aparência = Sólido branco - .Granulometria = 230 a 400 Mesh .N° CAS: 112926-00-8 - .Peso molecular: 60,08 - .Fórmula química: SiO2 - .Concentração: ~ 100% </t>
  </si>
  <si>
    <t>SULFATO DE ALUMÍNIO HIDRATADO: (14 a 18 H2O) P.A. A.C.S. - Aspecto físico: Sólido cristal incolor, Fórmula química: Al2(SO4)3 · 18H2O, Peso molecular: 342.15 g/mol (BASE ANIDRA), Pureza mínima: 98%, Número de referência química: CAS 7784-31-8. Fornecimento em frasco de 500g.</t>
  </si>
  <si>
    <t>SULFATO DE COBRE II (ICO) PENTAHIDRATADO P.A A.C.S - Aspecto físico: Sólido cristalino azul, Fórmula QUÍMICA: CuSO4.5H2O, Peso molecular: 249,68 g/mol, PUREZA MÍNIMA: 98%, NÚMERO DE REFERÊNCIA QUÍMICA CAS 7758-99-8. Fornecimento em frasco de 250g.</t>
  </si>
  <si>
    <t>SULFATO DE CROMO III HIDRATADO P.A. A.C.S - Aspecto físico: sólido, Fórmula química: Cr2(SO4)3 · xH2O, Peso molecular: 392.18 g/mol (BASE ANIDRA), Número de referência química: CAS 15244-38-9. Fornecimento em frasco de 500g</t>
  </si>
  <si>
    <t>Sulfato de ferro (II) (Sulfato ferroso) Heptahidratado P.A A.C.S - Aspecto físico: Sólido, Fórmula química: FeSO4.7H2O, Peso molecular: 278,01 g/mol, Pureza mínima: 99%, Número de referência química: CAS 7782-63-0. Fornecimento em frasco de 500g.</t>
  </si>
  <si>
    <t>SULFATO DE FERRO III (ico) Hidratado P.A A.C.S - Aspecto físico: Sólido amarelo, Fórmula química: Fe2(SO4)3.XH2O, Peso molecular: 399,88 xH20 g/mol, Teor de ferro: 21-23%, Número de referência química CAS: 15244-10-7. Fornecimento em frasco de 500g</t>
  </si>
  <si>
    <t>SULFATO DE MAGNÉSIO ANIDRO P.A A.C.S - Aspecto físico: Sólido (pó), Fórmula química: MgSO4, Peso molecular: 120,37 g/mol, Pureza mínima: 98%, Número de referência química: CAS 7487-88-9. Fornecimento em frasco de 500g.</t>
  </si>
  <si>
    <t>SULFATO DE NÍQUEL HEXAHIDRATADO P.A - Aspecto físico: Sólido cristalino azul-esverdeado, Fórmula química: NiSO4.6H2O Peso molecular: 262,85 g/mol, Pureza mínima: 98%, Número de referência química: CAS 10101-97-0. Fornecimento em frasco de 500g</t>
  </si>
  <si>
    <t>SULFATO DE POTASSIO ANIDRO PA ACS -Aspecto fisico: sólido cristalino branco, Formula Química: K2SO4, Peso molecular: 174.259 g/mol, Pureza mínima: 99%, Número de referência química: CAS 7778-80-5. Fornecimento em frasco de 500g</t>
  </si>
  <si>
    <t>SULFATO DE SÓDIO ANIDRO P.A. A.C.S - Aspecto Físico: Sólido branco, Peso Molecular: 142,04 g/mol, Fórmula Química: Na2SO4,Pureza Mínima: 99%, Número de Referência Química CAS 7757-82-6. Fornecimento em frasco de 500g.</t>
  </si>
  <si>
    <t>Sulfato de zinco - Aspecto físico: pó ou grânulos brancos cristalinos, higroscópicos. Fórmila química: ZnSO4.H2O, Massa molecular: 179,45 g/mol, Grau de pureza mínima: 98%,  Número de referência química CAS 7446-19-7. Fornecimento em frasco de 1kg.</t>
  </si>
  <si>
    <t>SULFATO DE ZINCO HEPTAHIDRATADO P.A A.C.S - Aspecto físico: Sólido cristalino branco, Fórmula química: ZnSO4.7H2O Peso molecular: 287,56, Pureza mínima: 99%, Número de referência química: CAS 7446-20-0. Fornecimento em frasco de 500g.</t>
  </si>
  <si>
    <t>SULFETO DE FERRO P.A - aspecto físico pó granular ou lascas, marrom escuro, Peso molecular: 87,92, fórmula química FeS, grau de pureza mínimo de 29% de enxofre, número de referência química cas 1317-37-9. Fornecimento em frasco de 500g</t>
  </si>
  <si>
    <t>Telurito de potássio P.A. Fórmula: K2TeO3; Peso Molecular: 253,79; Pureza&gt; 90% Aspecto físico: pó branco granular higroscópico; Ponto de fusão: 460-470 ºC; CAS 7790-58-1. Fornecimento em frasco de 25g.</t>
  </si>
  <si>
    <t>TIOCIANATO DE POTÁSSIO P.A A.C.S - ASPECTO FÍSICO: cristais incolores, Fórmula química: KSCN, PESO MOLECULAR: 97,18 g/mol, PUREZA MÍNIMA: 99%, NÚMERO DE REFERÊNCIA QUÍMICA: CAS 333-20-0. Fornecimento em frasco de 500g</t>
  </si>
  <si>
    <t>Tiossulfato de sódio anidro P.A. A.C.S. Aspecto físico: cristal branco, solúvel em água, inodoro. Fórmula química: Na2S2O3, Massa molar: 158,11 g/mol, Grau de pureza: mínima de 98%. Número de referência química: CAS: 7772-98-7. Fornecimento em frasco de 500g.</t>
  </si>
  <si>
    <t>TIOSSULFATO DE SÓDIO PENTAHIDRATADO P.A. A.C.S - Aspecto físico: Sólido cristalino incolor, Fórmula química: Na2S2O3.5H2O, Peso molecular: 248,18 g/mol, Pureza mínima: 99,5%, Número de referência química: CAS 10102-17-7. Fornecimento em frasco de 500g.</t>
  </si>
  <si>
    <t>Zinco granulado (3-8 MM) P.A , Aspecto físico: grânulos branco-azulados ou cinza prata, inodoros, Fórmula química: Zn, Peso molecular: 65,38 g/mol, Grau de pureza mínima: 99,8%, Número de referência química: CAS 7440-66-6. Fornecimento em frasco de 250g</t>
  </si>
  <si>
    <t>g</t>
  </si>
  <si>
    <t>frasco de 500g</t>
  </si>
  <si>
    <t>frasco de 1 g</t>
  </si>
  <si>
    <t>Frasco de 50g</t>
  </si>
  <si>
    <t>frasco de 500 g</t>
  </si>
  <si>
    <t>SULFETO DE AMÔNIO 20% p/p P.A Aspecto físico: líquido, Peso molecular: 68,14 g/mol, Fórmula química: (NH4)2.S,  Teor: 19-21%, Número de referência química: CAS 12135-76-1. Fornecimento em frasco de 1L.</t>
  </si>
  <si>
    <t>Litro</t>
  </si>
  <si>
    <t>Subnitrato de bismuto - Aspecto físico: pó denso microcristalino, Fórmula química: Bi5H9N4O22, Peso molecular: 1461,99, Teor de pureza mínima de bismuto 71%, Pureza mínima de 98%, Número de referência química: CAS 1304-85-4. Fornecimento em frasco de 100g.</t>
  </si>
  <si>
    <t>Dióxido de silício amorfo (sílica, fumada) - Aspecto físico: pó. Fórmula molecular: SiO2. Peso molecular: 60,08 g/mol. Pureza mínima: 99,8%. Número de referência química: CAS 112945-52-5. Fornecimento em frasco de 100 g.</t>
  </si>
  <si>
    <t>Estanho Granulado (20 Mesh) P.A - Aspecto físico: sólido, granulado fino. Peso molecular: 118,71, Número de referência química: CAS 7440-31-5. Fornecimento em frasco de 100 g.</t>
  </si>
  <si>
    <t>Iodato De Potássio Anidro P.A A.C.S - Aspecto Físico: Sólido Branco,  Peso Molecular: 214,00 G/Mol, Fórmula Química: Kio3, Pureza Mínima: 99,5%, Número De Referência Química: Cas 7758-05-6. Fornecimento em frasco de 250g.</t>
  </si>
  <si>
    <t>Óxido de fósforo V (Pentóxido de fósforo) P.A - Aspecto físico: pó ou cristal branco, higroscópico, odor irritante, Fórmula química: P2O5, Peso molecular: 141,94 g/mol, Pureza mínima: 98,5%, Número de referência química: CAS 1314-56-3. Fornecimento em frasco de 500g.</t>
  </si>
  <si>
    <t>Óxido de európio (III) - Aspecto físico: pó branco, Peso molecular: 351,93, Fórmula linear: Eu2O3, Pureza mínima: 99,9%, Número de referência química: CAS 1308-96-9 . Fornecimento em frasco de 5g.</t>
  </si>
  <si>
    <t>Óxido de Térbio (III) - Aspecto físico: pó,  Peso molecular: 365, 85, Fórmula linear:Tb2O3. Pureza mínima de 99,9%, Número de referência química: CAS 12036-41-8. Fornecimento em frasco de 2g.</t>
  </si>
  <si>
    <t>Nitrato De Estrôncio P.A A.C.S - Aspecto Físico: Sólido, Fórmula Química: Sr(No3)2, Peso Molecular: 211,63 G/Mol, Pureza Mínima: 99%, Número De Referência Química Cas 10042-76-9. Fornecimento Em Frasco De 100g.</t>
  </si>
  <si>
    <t>Kg</t>
  </si>
  <si>
    <t>HIDRÓXIDO DE SÓDIO P.A A.C.S - ASPECTO FÍSICO: Sólido -LENTILHAS OU MICROPÉROLAS ESBRANQUIÇADAS, Peso molecular: 40,00 g/mol, FÓRMULA QUÍMICA: NaOH, PUREZA MÍNIMA: 99%, NÚMERO DE REFERÊNCIA QUÍMICA CAS 1310-73-2. Fornecimento em frasco de 1 kg.</t>
  </si>
  <si>
    <t>Hidróxido de sódio P.A - Aspecto físico: escamas esbranquiçadas, altamente higroscópico, Peso molecular: 40 g/mol, Fórmula química: NaOH, Pureza mínima de 98%, número de referência química: cas 1310-73-2. Fornecimento em frasco de 1 kg.</t>
  </si>
  <si>
    <t>Sulfato de ferro III (ico) amoniacal dodecahidratado P.A A.C.S.- Aspecto físico: Sólido cristalino violeta,, Peso molecular: 482,19 g/mol, Fórmula química: (NH4)Fe(SO4)2.12H2O, Pureza: 98,5-102%, Número de referência química: CAS 7783-83-7. Fornecimento em frasco de 500g</t>
  </si>
  <si>
    <t>Cloreto De Alumínio Anidro Puríssimo P.A - Aspecto Físico: Sólido Amarelo Claro, Fórmula Química: Alcl3, Peso Molecular: 133,34 G/Mol, Pureza Mínima: 99%, Número De Referência Química: Cas 7446-70-0. Fornecimento Em Frasco De 500g  (como alternativa, poderão ser aceitos frascos de volumes divisores de 500).</t>
  </si>
  <si>
    <t>Corante, tipo vermelho de rutênio - Aspecto físico: pó. Número de referência química CAS: 111-03-72-3. Fornecimento em frasco de 1g</t>
  </si>
  <si>
    <t>Sílica Gel azul com Granulometria dos grãos: 2 a 4 mm (Mesh 5 a 8) ou 1 a 4mm- Aspecto físico: Sólido granulado, Granulometria dos grãos: 2 a 4 mm ou 1  a 4mm, com indicador de umidade, Fórmula química: SiO2,Número de referência química: CAS 112926-00-8. Fornecimento em frasco de 500g</t>
  </si>
  <si>
    <t>Óxido de estanho P.A. - aspecto físico pó branco, levemente acinzentado, inodoro, fórmula química SnO2 (óxido estânico - IV), peso molecular 150,71, grau de pureza pureza mínima de 99,8%, número de referência química cas 18282-10-5. Fornecimento em frasco de 500g</t>
  </si>
  <si>
    <t>Cobre - Aspecto físico: em aparas, fórmula química: Cu, Peso molecular: 63,54 g/mol, Pureza mínima: 99%, Características adicionais: reagente p.a., número de referência química : cas 7440-50-8. Fornecimento em embalagem de 500g</t>
  </si>
  <si>
    <t>Sódio Metálico - Aspecto físico: pedaços, cor acinzentada, inodoro, Peso molecular: 40,08, Fórmula química: Na, Grau de pureza mínima de 98%, Característica adicional: reagente, número de referência química cas 7440-23-05. Fornecimento em frasco de 250g</t>
  </si>
  <si>
    <t xml:space="preserve"> -</t>
  </si>
  <si>
    <t>SIM</t>
  </si>
  <si>
    <t>CTF/APP: FTE - Categoria: Indústria Química; Código:15</t>
  </si>
  <si>
    <t>Dioxido De Titânio P.A. (Bióxido de titânio) - Aspecto Físico: Sólido Branco, Fórmula Química: TiO2,, Peso Molecular: 79,87 g/mol, Pureza Mínima: 98%, Número De Referência Química: Cas 13463-67-7. Fornecimento Em Frasco de 500g</t>
  </si>
  <si>
    <t>NÃO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</si>
</sst>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164" formatCode="_-[$R$-416]\ * #,##0.00_-;\-[$R$-416]\ * #,##0.00_-;_-[$R$-416]\ * &quot;-&quot;??_-;_-@_-"/>
    <numFmt numFmtId="165" formatCode="_-&quot;R$&quot;\ * #,##0.000_-;\-&quot;R$&quot;\ * #,##0.000_-;_-&quot;R$&quot;\ * &quot;-&quot;??_-;_-@_-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42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4" fontId="6" fillId="2" borderId="1" xfId="1" applyFont="1" applyFill="1" applyBorder="1" applyAlignment="1">
      <alignment horizontal="center" vertical="center" wrapText="1"/>
    </xf>
    <xf numFmtId="44" fontId="0" fillId="0" borderId="1" xfId="1" applyFont="1" applyBorder="1" applyAlignment="1">
      <alignment horizontal="center" vertical="center"/>
    </xf>
    <xf numFmtId="44" fontId="3" fillId="0" borderId="1" xfId="1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4" fontId="0" fillId="0" borderId="1" xfId="1" applyFont="1" applyBorder="1" applyAlignment="1">
      <alignment horizontal="right" vertical="center"/>
    </xf>
    <xf numFmtId="0" fontId="4" fillId="0" borderId="0" xfId="0" applyFont="1"/>
    <xf numFmtId="0" fontId="7" fillId="0" borderId="0" xfId="0" applyFont="1"/>
    <xf numFmtId="0" fontId="9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wrapText="1"/>
    </xf>
    <xf numFmtId="44" fontId="9" fillId="5" borderId="1" xfId="1" applyFont="1" applyFill="1" applyBorder="1" applyAlignment="1">
      <alignment vertical="center" wrapText="1"/>
    </xf>
    <xf numFmtId="164" fontId="9" fillId="5" borderId="1" xfId="0" applyNumberFormat="1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44" fontId="9" fillId="5" borderId="3" xfId="1" applyFont="1" applyFill="1" applyBorder="1" applyAlignment="1">
      <alignment horizontal="center" vertical="center" wrapText="1"/>
    </xf>
    <xf numFmtId="44" fontId="4" fillId="0" borderId="0" xfId="0" applyNumberFormat="1" applyFont="1"/>
    <xf numFmtId="0" fontId="4" fillId="5" borderId="0" xfId="0" applyFont="1" applyFill="1"/>
    <xf numFmtId="44" fontId="4" fillId="5" borderId="0" xfId="0" applyNumberFormat="1" applyFont="1" applyFill="1"/>
    <xf numFmtId="44" fontId="10" fillId="5" borderId="1" xfId="1" applyFont="1" applyFill="1" applyBorder="1" applyAlignment="1">
      <alignment vertical="center" wrapText="1"/>
    </xf>
    <xf numFmtId="165" fontId="9" fillId="5" borderId="1" xfId="1" applyNumberFormat="1" applyFont="1" applyFill="1" applyBorder="1" applyAlignment="1">
      <alignment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44" fontId="9" fillId="5" borderId="2" xfId="1" applyFont="1" applyFill="1" applyBorder="1" applyAlignment="1">
      <alignment horizontal="center" vertical="center" wrapText="1"/>
    </xf>
    <xf numFmtId="44" fontId="9" fillId="5" borderId="4" xfId="1" applyFont="1" applyFill="1" applyBorder="1" applyAlignment="1">
      <alignment horizontal="center" vertical="center" wrapText="1"/>
    </xf>
    <xf numFmtId="44" fontId="9" fillId="5" borderId="3" xfId="1" applyFont="1" applyFill="1" applyBorder="1" applyAlignment="1">
      <alignment horizontal="center" vertical="center" wrapText="1"/>
    </xf>
    <xf numFmtId="44" fontId="10" fillId="5" borderId="2" xfId="1" applyFont="1" applyFill="1" applyBorder="1" applyAlignment="1">
      <alignment horizontal="center" vertical="center" wrapText="1"/>
    </xf>
    <xf numFmtId="44" fontId="10" fillId="5" borderId="4" xfId="1" applyFont="1" applyFill="1" applyBorder="1" applyAlignment="1">
      <alignment horizontal="center" vertical="center" wrapText="1"/>
    </xf>
    <xf numFmtId="44" fontId="10" fillId="5" borderId="3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95"/>
  <sheetViews>
    <sheetView tabSelected="1" view="pageLayout" topLeftCell="A89" zoomScale="85" zoomScaleNormal="100" zoomScaleSheetLayoutView="80" zoomScalePageLayoutView="85" workbookViewId="0">
      <selection activeCell="A94" sqref="A94:XFD95"/>
    </sheetView>
  </sheetViews>
  <sheetFormatPr defaultColWidth="9.140625" defaultRowHeight="12.75" x14ac:dyDescent="0.2"/>
  <cols>
    <col min="1" max="1" width="5.5703125" style="2" customWidth="1"/>
    <col min="2" max="2" width="9.7109375" style="2" customWidth="1"/>
    <col min="3" max="3" width="40.42578125" style="2" customWidth="1"/>
    <col min="4" max="4" width="14.28515625" style="2" customWidth="1"/>
    <col min="5" max="5" width="9" style="2" customWidth="1"/>
    <col min="6" max="6" width="21" style="3" customWidth="1"/>
    <col min="7" max="7" width="10.28515625" style="4" customWidth="1"/>
    <col min="8" max="8" width="12.7109375" style="4" customWidth="1"/>
    <col min="9" max="9" width="14.140625" style="4" customWidth="1"/>
    <col min="10" max="10" width="12.5703125" style="4" customWidth="1"/>
    <col min="11" max="11" width="8.140625" style="4" customWidth="1"/>
    <col min="12" max="12" width="7.140625" style="7" bestFit="1" customWidth="1"/>
    <col min="13" max="13" width="8.42578125" style="4" customWidth="1"/>
    <col min="14" max="14" width="16.28515625" style="1" customWidth="1"/>
    <col min="15" max="16" width="9.140625" style="1"/>
    <col min="17" max="17" width="21.85546875" style="1" customWidth="1"/>
    <col min="18" max="18" width="20.28515625" style="1" customWidth="1"/>
    <col min="19" max="16384" width="9.140625" style="1"/>
  </cols>
  <sheetData>
    <row r="1" spans="1:17" ht="12.75" customHeight="1" x14ac:dyDescent="0.2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17" ht="12.75" customHeight="1" x14ac:dyDescent="0.2">
      <c r="A2" s="41" t="s">
        <v>2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1:17" ht="12.75" customHeight="1" x14ac:dyDescent="0.2">
      <c r="A3" s="41" t="s">
        <v>25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</row>
    <row r="5" spans="1:17" ht="33.75" x14ac:dyDescent="0.2">
      <c r="A5" s="5" t="s">
        <v>24</v>
      </c>
      <c r="B5" s="5" t="s">
        <v>17</v>
      </c>
      <c r="C5" s="6" t="s">
        <v>3</v>
      </c>
      <c r="D5" s="6" t="s">
        <v>1</v>
      </c>
      <c r="E5" s="6" t="s">
        <v>5</v>
      </c>
      <c r="F5" s="6" t="s">
        <v>23</v>
      </c>
      <c r="G5" s="6" t="s">
        <v>19</v>
      </c>
      <c r="H5" s="6" t="s">
        <v>18</v>
      </c>
      <c r="I5" s="6" t="s">
        <v>6</v>
      </c>
      <c r="J5" s="6" t="s">
        <v>26</v>
      </c>
      <c r="K5" s="6" t="s">
        <v>22</v>
      </c>
      <c r="L5" s="6" t="s">
        <v>20</v>
      </c>
      <c r="M5" s="6" t="s">
        <v>21</v>
      </c>
    </row>
    <row r="6" spans="1:17" s="16" customFormat="1" ht="90" x14ac:dyDescent="0.2">
      <c r="A6" s="18" t="s">
        <v>121</v>
      </c>
      <c r="B6" s="18">
        <v>1</v>
      </c>
      <c r="C6" s="19" t="s">
        <v>27</v>
      </c>
      <c r="D6" s="19" t="s">
        <v>96</v>
      </c>
      <c r="E6" s="20">
        <v>393345</v>
      </c>
      <c r="F6" s="19" t="s">
        <v>123</v>
      </c>
      <c r="G6" s="19">
        <v>300</v>
      </c>
      <c r="H6" s="31">
        <v>1.71</v>
      </c>
      <c r="I6" s="21">
        <f>G6*H6</f>
        <v>513</v>
      </c>
      <c r="J6" s="21" t="s">
        <v>121</v>
      </c>
      <c r="K6" s="21" t="s">
        <v>122</v>
      </c>
      <c r="L6" s="8" t="s">
        <v>4</v>
      </c>
      <c r="M6" s="22">
        <f>VLOOKUP(H6, Intervalos!$B$3:$C$8,2,TRUE)</f>
        <v>0.01</v>
      </c>
    </row>
    <row r="7" spans="1:17" s="16" customFormat="1" ht="45" x14ac:dyDescent="0.2">
      <c r="A7" s="25" t="s">
        <v>121</v>
      </c>
      <c r="B7" s="18">
        <v>2</v>
      </c>
      <c r="C7" s="19" t="s">
        <v>28</v>
      </c>
      <c r="D7" s="19" t="s">
        <v>96</v>
      </c>
      <c r="E7" s="20">
        <v>401189</v>
      </c>
      <c r="F7" s="19" t="s">
        <v>123</v>
      </c>
      <c r="G7" s="19">
        <v>5000</v>
      </c>
      <c r="H7" s="31">
        <v>0.05</v>
      </c>
      <c r="I7" s="21">
        <f t="shared" ref="I7:I51" si="0">G7*H7</f>
        <v>250</v>
      </c>
      <c r="J7" s="21" t="s">
        <v>121</v>
      </c>
      <c r="K7" s="21" t="s">
        <v>122</v>
      </c>
      <c r="L7" s="8" t="s">
        <v>4</v>
      </c>
      <c r="M7" s="22">
        <f>VLOOKUP(H7, Intervalos!$B$3:$C$8,2,TRUE)</f>
        <v>0.01</v>
      </c>
      <c r="Q7" s="27"/>
    </row>
    <row r="8" spans="1:17" s="16" customFormat="1" ht="56.25" x14ac:dyDescent="0.2">
      <c r="A8" s="19" t="s">
        <v>121</v>
      </c>
      <c r="B8" s="18">
        <v>3</v>
      </c>
      <c r="C8" s="19" t="s">
        <v>29</v>
      </c>
      <c r="D8" s="19" t="s">
        <v>96</v>
      </c>
      <c r="E8" s="20">
        <v>376161</v>
      </c>
      <c r="F8" s="19" t="s">
        <v>123</v>
      </c>
      <c r="G8" s="19">
        <v>500</v>
      </c>
      <c r="H8" s="31">
        <v>2.5099999999999998</v>
      </c>
      <c r="I8" s="21">
        <f t="shared" si="0"/>
        <v>1255</v>
      </c>
      <c r="J8" s="21" t="s">
        <v>121</v>
      </c>
      <c r="K8" s="21" t="s">
        <v>122</v>
      </c>
      <c r="L8" s="8" t="s">
        <v>4</v>
      </c>
      <c r="M8" s="22">
        <f>VLOOKUP(H8, Intervalos!$B$3:$C$8,2,TRUE)</f>
        <v>0.01</v>
      </c>
      <c r="Q8" s="27"/>
    </row>
    <row r="9" spans="1:17" s="16" customFormat="1" ht="56.25" x14ac:dyDescent="0.2">
      <c r="A9" s="19" t="s">
        <v>121</v>
      </c>
      <c r="B9" s="18">
        <v>4</v>
      </c>
      <c r="C9" s="19" t="s">
        <v>30</v>
      </c>
      <c r="D9" s="19" t="s">
        <v>96</v>
      </c>
      <c r="E9" s="20">
        <v>382315</v>
      </c>
      <c r="F9" s="19" t="s">
        <v>123</v>
      </c>
      <c r="G9" s="19">
        <v>1500</v>
      </c>
      <c r="H9" s="31">
        <v>0.32</v>
      </c>
      <c r="I9" s="21">
        <f t="shared" si="0"/>
        <v>480</v>
      </c>
      <c r="J9" s="21" t="s">
        <v>121</v>
      </c>
      <c r="K9" s="21" t="s">
        <v>122</v>
      </c>
      <c r="L9" s="8" t="s">
        <v>4</v>
      </c>
      <c r="M9" s="22">
        <f>VLOOKUP(H9, Intervalos!$B$3:$C$8,2,TRUE)</f>
        <v>0.01</v>
      </c>
      <c r="Q9" s="27"/>
    </row>
    <row r="10" spans="1:17" s="16" customFormat="1" ht="67.5" x14ac:dyDescent="0.2">
      <c r="A10" s="18" t="s">
        <v>121</v>
      </c>
      <c r="B10" s="18">
        <v>5</v>
      </c>
      <c r="C10" s="19" t="s">
        <v>31</v>
      </c>
      <c r="D10" s="19" t="s">
        <v>96</v>
      </c>
      <c r="E10" s="20">
        <v>348061</v>
      </c>
      <c r="F10" s="19" t="s">
        <v>123</v>
      </c>
      <c r="G10" s="19">
        <v>300</v>
      </c>
      <c r="H10" s="31">
        <v>46.98</v>
      </c>
      <c r="I10" s="21">
        <f t="shared" si="0"/>
        <v>14093.999999999998</v>
      </c>
      <c r="J10" s="21" t="s">
        <v>121</v>
      </c>
      <c r="K10" s="21" t="s">
        <v>122</v>
      </c>
      <c r="L10" s="8" t="s">
        <v>4</v>
      </c>
      <c r="M10" s="22">
        <f>VLOOKUP(H10, Intervalos!$B$3:$C$8,2,TRUE)</f>
        <v>0.05</v>
      </c>
      <c r="Q10" s="27"/>
    </row>
    <row r="11" spans="1:17" s="16" customFormat="1" ht="33.75" x14ac:dyDescent="0.2">
      <c r="A11" s="24" t="s">
        <v>121</v>
      </c>
      <c r="B11" s="18">
        <v>6</v>
      </c>
      <c r="C11" s="19" t="s">
        <v>32</v>
      </c>
      <c r="D11" s="19" t="s">
        <v>96</v>
      </c>
      <c r="E11" s="20">
        <v>359248</v>
      </c>
      <c r="F11" s="19" t="s">
        <v>123</v>
      </c>
      <c r="G11" s="19">
        <f>3*500</f>
        <v>1500</v>
      </c>
      <c r="H11" s="31">
        <v>0.15</v>
      </c>
      <c r="I11" s="21">
        <f t="shared" si="0"/>
        <v>225</v>
      </c>
      <c r="J11" s="21" t="s">
        <v>121</v>
      </c>
      <c r="K11" s="21" t="s">
        <v>122</v>
      </c>
      <c r="L11" s="8" t="s">
        <v>4</v>
      </c>
      <c r="M11" s="22">
        <f>VLOOKUP(H11, Intervalos!$B$3:$C$8,2,TRUE)</f>
        <v>0.01</v>
      </c>
      <c r="Q11" s="27"/>
    </row>
    <row r="12" spans="1:17" s="16" customFormat="1" ht="78.75" x14ac:dyDescent="0.2">
      <c r="A12" s="32">
        <v>1</v>
      </c>
      <c r="B12" s="18">
        <v>7</v>
      </c>
      <c r="C12" s="19" t="s">
        <v>115</v>
      </c>
      <c r="D12" s="19" t="s">
        <v>96</v>
      </c>
      <c r="E12" s="20">
        <v>407162</v>
      </c>
      <c r="F12" s="19" t="s">
        <v>123</v>
      </c>
      <c r="G12" s="19">
        <v>1500</v>
      </c>
      <c r="H12" s="31">
        <v>1.66</v>
      </c>
      <c r="I12" s="21">
        <f t="shared" si="0"/>
        <v>2490</v>
      </c>
      <c r="J12" s="35">
        <f>SUM(I12:I15)</f>
        <v>3955</v>
      </c>
      <c r="K12" s="35" t="s">
        <v>122</v>
      </c>
      <c r="L12" s="8" t="s">
        <v>4</v>
      </c>
      <c r="M12" s="22">
        <f>VLOOKUP(H12, Intervalos!$B$3:$C$8,2,TRUE)</f>
        <v>0.01</v>
      </c>
      <c r="Q12" s="27"/>
    </row>
    <row r="13" spans="1:17" s="16" customFormat="1" ht="56.25" x14ac:dyDescent="0.2">
      <c r="A13" s="33"/>
      <c r="B13" s="18">
        <v>8</v>
      </c>
      <c r="C13" s="19" t="s">
        <v>33</v>
      </c>
      <c r="D13" s="19" t="s">
        <v>96</v>
      </c>
      <c r="E13" s="20">
        <v>374776</v>
      </c>
      <c r="F13" s="19" t="s">
        <v>123</v>
      </c>
      <c r="G13" s="19">
        <v>1500</v>
      </c>
      <c r="H13" s="31">
        <v>0.14000000000000001</v>
      </c>
      <c r="I13" s="21">
        <f t="shared" si="0"/>
        <v>210.00000000000003</v>
      </c>
      <c r="J13" s="36"/>
      <c r="K13" s="36"/>
      <c r="L13" s="8" t="s">
        <v>4</v>
      </c>
      <c r="M13" s="22">
        <f>VLOOKUP(H13, Intervalos!$B$3:$C$8,2,TRUE)</f>
        <v>0.01</v>
      </c>
      <c r="Q13" s="27"/>
    </row>
    <row r="14" spans="1:17" s="16" customFormat="1" ht="56.25" x14ac:dyDescent="0.2">
      <c r="A14" s="33"/>
      <c r="B14" s="18">
        <v>9</v>
      </c>
      <c r="C14" s="19" t="s">
        <v>34</v>
      </c>
      <c r="D14" s="19" t="s">
        <v>96</v>
      </c>
      <c r="E14" s="20">
        <v>366470</v>
      </c>
      <c r="F14" s="19" t="s">
        <v>123</v>
      </c>
      <c r="G14" s="19">
        <v>4000</v>
      </c>
      <c r="H14" s="31">
        <v>0.06</v>
      </c>
      <c r="I14" s="21">
        <f t="shared" si="0"/>
        <v>240</v>
      </c>
      <c r="J14" s="36"/>
      <c r="K14" s="36"/>
      <c r="L14" s="8" t="s">
        <v>4</v>
      </c>
      <c r="M14" s="22">
        <f>VLOOKUP(H14, Intervalos!$B$3:$C$8,2,TRUE)</f>
        <v>0.01</v>
      </c>
      <c r="Q14" s="27"/>
    </row>
    <row r="15" spans="1:17" s="16" customFormat="1" ht="56.25" x14ac:dyDescent="0.2">
      <c r="A15" s="34"/>
      <c r="B15" s="18">
        <v>10</v>
      </c>
      <c r="C15" s="19" t="s">
        <v>35</v>
      </c>
      <c r="D15" s="19" t="s">
        <v>96</v>
      </c>
      <c r="E15" s="20">
        <v>400499</v>
      </c>
      <c r="F15" s="19" t="s">
        <v>123</v>
      </c>
      <c r="G15" s="19">
        <v>1750</v>
      </c>
      <c r="H15" s="31">
        <v>0.57999999999999996</v>
      </c>
      <c r="I15" s="21">
        <f t="shared" si="0"/>
        <v>1014.9999999999999</v>
      </c>
      <c r="J15" s="37"/>
      <c r="K15" s="37"/>
      <c r="L15" s="8" t="s">
        <v>4</v>
      </c>
      <c r="M15" s="22">
        <f>VLOOKUP(H15, Intervalos!$B$3:$C$8,2,TRUE)</f>
        <v>0.01</v>
      </c>
      <c r="Q15" s="27"/>
    </row>
    <row r="16" spans="1:17" s="17" customFormat="1" ht="56.25" x14ac:dyDescent="0.2">
      <c r="A16" s="18" t="s">
        <v>121</v>
      </c>
      <c r="B16" s="18">
        <v>11</v>
      </c>
      <c r="C16" s="19" t="s">
        <v>38</v>
      </c>
      <c r="D16" s="19" t="s">
        <v>96</v>
      </c>
      <c r="E16" s="20">
        <v>374564</v>
      </c>
      <c r="F16" s="19" t="s">
        <v>123</v>
      </c>
      <c r="G16" s="19">
        <f>3*250</f>
        <v>750</v>
      </c>
      <c r="H16" s="31">
        <v>16.899999999999999</v>
      </c>
      <c r="I16" s="21">
        <f>G16*H16</f>
        <v>12674.999999999998</v>
      </c>
      <c r="J16" s="21" t="s">
        <v>121</v>
      </c>
      <c r="K16" s="21" t="s">
        <v>122</v>
      </c>
      <c r="L16" s="8" t="s">
        <v>4</v>
      </c>
      <c r="M16" s="22">
        <f>VLOOKUP(H16, Intervalos!$B$3:$C$8,2,TRUE)</f>
        <v>0.03</v>
      </c>
      <c r="Q16" s="27"/>
    </row>
    <row r="17" spans="1:17" s="16" customFormat="1" ht="56.25" x14ac:dyDescent="0.2">
      <c r="A17" s="32">
        <v>2</v>
      </c>
      <c r="B17" s="18">
        <v>12</v>
      </c>
      <c r="C17" s="19" t="s">
        <v>36</v>
      </c>
      <c r="D17" s="19" t="s">
        <v>96</v>
      </c>
      <c r="E17" s="20">
        <v>437237</v>
      </c>
      <c r="F17" s="19" t="s">
        <v>123</v>
      </c>
      <c r="G17" s="19">
        <v>1500</v>
      </c>
      <c r="H17" s="31">
        <v>0.62</v>
      </c>
      <c r="I17" s="21">
        <f t="shared" si="0"/>
        <v>930</v>
      </c>
      <c r="J17" s="35">
        <f>SUM(I17:I21)</f>
        <v>3435</v>
      </c>
      <c r="K17" s="35" t="s">
        <v>122</v>
      </c>
      <c r="L17" s="8" t="s">
        <v>4</v>
      </c>
      <c r="M17" s="22">
        <f>VLOOKUP(H17, Intervalos!$B$3:$C$8,2,TRUE)</f>
        <v>0.01</v>
      </c>
      <c r="Q17" s="27"/>
    </row>
    <row r="18" spans="1:17" s="17" customFormat="1" ht="56.25" x14ac:dyDescent="0.2">
      <c r="A18" s="33"/>
      <c r="B18" s="18">
        <v>13</v>
      </c>
      <c r="C18" s="19" t="s">
        <v>37</v>
      </c>
      <c r="D18" s="19" t="s">
        <v>96</v>
      </c>
      <c r="E18" s="20">
        <v>374566</v>
      </c>
      <c r="F18" s="19" t="s">
        <v>123</v>
      </c>
      <c r="G18" s="19">
        <f>3*500</f>
        <v>1500</v>
      </c>
      <c r="H18" s="31">
        <v>0.55000000000000004</v>
      </c>
      <c r="I18" s="21">
        <f t="shared" si="0"/>
        <v>825.00000000000011</v>
      </c>
      <c r="J18" s="36"/>
      <c r="K18" s="36"/>
      <c r="L18" s="8" t="s">
        <v>4</v>
      </c>
      <c r="M18" s="22">
        <f>VLOOKUP(H18, Intervalos!$B$3:$C$8,2,TRUE)</f>
        <v>0.01</v>
      </c>
      <c r="Q18" s="27"/>
    </row>
    <row r="19" spans="1:17" s="16" customFormat="1" ht="56.25" x14ac:dyDescent="0.2">
      <c r="A19" s="33"/>
      <c r="B19" s="18">
        <v>14</v>
      </c>
      <c r="C19" s="19" t="s">
        <v>39</v>
      </c>
      <c r="D19" s="19" t="s">
        <v>96</v>
      </c>
      <c r="E19" s="20">
        <v>366474</v>
      </c>
      <c r="F19" s="19" t="s">
        <v>123</v>
      </c>
      <c r="G19" s="19">
        <v>750</v>
      </c>
      <c r="H19" s="31">
        <v>0.93</v>
      </c>
      <c r="I19" s="21">
        <f t="shared" si="0"/>
        <v>697.5</v>
      </c>
      <c r="J19" s="36"/>
      <c r="K19" s="36"/>
      <c r="L19" s="8" t="s">
        <v>4</v>
      </c>
      <c r="M19" s="22">
        <f>VLOOKUP(H19, Intervalos!$B$3:$C$8,2,TRUE)</f>
        <v>0.01</v>
      </c>
      <c r="Q19" s="27"/>
    </row>
    <row r="20" spans="1:17" s="17" customFormat="1" ht="56.25" x14ac:dyDescent="0.2">
      <c r="A20" s="33"/>
      <c r="B20" s="18">
        <v>15</v>
      </c>
      <c r="C20" s="19" t="s">
        <v>40</v>
      </c>
      <c r="D20" s="19" t="s">
        <v>96</v>
      </c>
      <c r="E20" s="20">
        <v>412997</v>
      </c>
      <c r="F20" s="19" t="s">
        <v>123</v>
      </c>
      <c r="G20" s="19">
        <v>750</v>
      </c>
      <c r="H20" s="31">
        <v>0.37</v>
      </c>
      <c r="I20" s="21">
        <f t="shared" si="0"/>
        <v>277.5</v>
      </c>
      <c r="J20" s="36"/>
      <c r="K20" s="36"/>
      <c r="L20" s="8" t="s">
        <v>4</v>
      </c>
      <c r="M20" s="22">
        <f>VLOOKUP(H20, Intervalos!$B$3:$C$8,2,TRUE)</f>
        <v>0.01</v>
      </c>
      <c r="Q20" s="27"/>
    </row>
    <row r="21" spans="1:17" s="16" customFormat="1" ht="56.25" x14ac:dyDescent="0.2">
      <c r="A21" s="34"/>
      <c r="B21" s="18">
        <v>16</v>
      </c>
      <c r="C21" s="19" t="s">
        <v>41</v>
      </c>
      <c r="D21" s="19" t="s">
        <v>96</v>
      </c>
      <c r="E21" s="20">
        <v>406955</v>
      </c>
      <c r="F21" s="19" t="s">
        <v>123</v>
      </c>
      <c r="G21" s="19">
        <v>750</v>
      </c>
      <c r="H21" s="31">
        <v>0.94</v>
      </c>
      <c r="I21" s="21">
        <f t="shared" si="0"/>
        <v>705</v>
      </c>
      <c r="J21" s="37"/>
      <c r="K21" s="37"/>
      <c r="L21" s="8" t="s">
        <v>4</v>
      </c>
      <c r="M21" s="22">
        <f>VLOOKUP(H21, Intervalos!$B$3:$C$8,2,TRUE)</f>
        <v>0.01</v>
      </c>
      <c r="Q21" s="27"/>
    </row>
    <row r="22" spans="1:17" s="16" customFormat="1" ht="56.25" x14ac:dyDescent="0.2">
      <c r="A22" s="32">
        <v>3</v>
      </c>
      <c r="B22" s="18">
        <v>17</v>
      </c>
      <c r="C22" s="19" t="s">
        <v>42</v>
      </c>
      <c r="D22" s="19" t="s">
        <v>96</v>
      </c>
      <c r="E22" s="20">
        <v>359890</v>
      </c>
      <c r="F22" s="19" t="s">
        <v>123</v>
      </c>
      <c r="G22" s="19">
        <f>3*250</f>
        <v>750</v>
      </c>
      <c r="H22" s="31">
        <v>1.47</v>
      </c>
      <c r="I22" s="21">
        <f t="shared" si="0"/>
        <v>1102.5</v>
      </c>
      <c r="J22" s="35">
        <f>SUM(I22:I25)</f>
        <v>5032.5</v>
      </c>
      <c r="K22" s="35" t="s">
        <v>122</v>
      </c>
      <c r="L22" s="8" t="s">
        <v>4</v>
      </c>
      <c r="M22" s="22">
        <f>VLOOKUP(H22, Intervalos!$B$3:$C$8,2,TRUE)</f>
        <v>0.01</v>
      </c>
      <c r="Q22" s="27"/>
    </row>
    <row r="23" spans="1:17" s="16" customFormat="1" ht="56.25" x14ac:dyDescent="0.2">
      <c r="A23" s="33"/>
      <c r="B23" s="18">
        <v>18</v>
      </c>
      <c r="C23" s="19" t="s">
        <v>43</v>
      </c>
      <c r="D23" s="19" t="s">
        <v>96</v>
      </c>
      <c r="E23" s="20">
        <v>415314</v>
      </c>
      <c r="F23" s="19" t="s">
        <v>123</v>
      </c>
      <c r="G23" s="19">
        <f>4*500</f>
        <v>2000</v>
      </c>
      <c r="H23" s="31">
        <f>105/500</f>
        <v>0.21</v>
      </c>
      <c r="I23" s="21">
        <f t="shared" si="0"/>
        <v>420</v>
      </c>
      <c r="J23" s="36"/>
      <c r="K23" s="36"/>
      <c r="L23" s="8" t="s">
        <v>4</v>
      </c>
      <c r="M23" s="22">
        <f>VLOOKUP(H23, Intervalos!$B$3:$C$8,2,TRUE)</f>
        <v>0.01</v>
      </c>
      <c r="Q23" s="27"/>
    </row>
    <row r="24" spans="1:17" s="16" customFormat="1" ht="45" x14ac:dyDescent="0.2">
      <c r="A24" s="33"/>
      <c r="B24" s="18">
        <v>19</v>
      </c>
      <c r="C24" s="19" t="s">
        <v>44</v>
      </c>
      <c r="D24" s="19" t="s">
        <v>96</v>
      </c>
      <c r="E24" s="20">
        <v>352959</v>
      </c>
      <c r="F24" s="19" t="s">
        <v>123</v>
      </c>
      <c r="G24" s="19">
        <v>750</v>
      </c>
      <c r="H24" s="31">
        <v>2.94</v>
      </c>
      <c r="I24" s="21">
        <f t="shared" si="0"/>
        <v>2205</v>
      </c>
      <c r="J24" s="36"/>
      <c r="K24" s="36"/>
      <c r="L24" s="8" t="s">
        <v>4</v>
      </c>
      <c r="M24" s="22">
        <f>VLOOKUP(H24, Intervalos!$B$3:$C$8,2,TRUE)</f>
        <v>0.01</v>
      </c>
      <c r="Q24" s="27"/>
    </row>
    <row r="25" spans="1:17" s="16" customFormat="1" ht="56.25" x14ac:dyDescent="0.2">
      <c r="A25" s="34"/>
      <c r="B25" s="18">
        <v>20</v>
      </c>
      <c r="C25" s="19" t="s">
        <v>45</v>
      </c>
      <c r="D25" s="19" t="s">
        <v>96</v>
      </c>
      <c r="E25" s="20">
        <v>352776</v>
      </c>
      <c r="F25" s="19" t="s">
        <v>123</v>
      </c>
      <c r="G25" s="19">
        <f>3*100</f>
        <v>300</v>
      </c>
      <c r="H25" s="31">
        <f>435/100</f>
        <v>4.3499999999999996</v>
      </c>
      <c r="I25" s="21">
        <f t="shared" si="0"/>
        <v>1305</v>
      </c>
      <c r="J25" s="37"/>
      <c r="K25" s="37"/>
      <c r="L25" s="8" t="s">
        <v>4</v>
      </c>
      <c r="M25" s="22">
        <f>VLOOKUP(H25, Intervalos!$B$3:$C$8,2,TRUE)</f>
        <v>0.01</v>
      </c>
      <c r="Q25" s="27"/>
    </row>
    <row r="26" spans="1:17" s="17" customFormat="1" ht="56.25" x14ac:dyDescent="0.2">
      <c r="A26" s="33">
        <v>4</v>
      </c>
      <c r="B26" s="18">
        <v>21</v>
      </c>
      <c r="C26" s="19" t="s">
        <v>46</v>
      </c>
      <c r="D26" s="19" t="s">
        <v>96</v>
      </c>
      <c r="E26" s="20">
        <v>357883</v>
      </c>
      <c r="F26" s="19" t="s">
        <v>123</v>
      </c>
      <c r="G26" s="19">
        <v>4000</v>
      </c>
      <c r="H26" s="31">
        <v>0.06</v>
      </c>
      <c r="I26" s="21">
        <f t="shared" si="0"/>
        <v>240</v>
      </c>
      <c r="J26" s="36">
        <f>SUM(I26:I28)</f>
        <v>1000</v>
      </c>
      <c r="K26" s="36" t="s">
        <v>122</v>
      </c>
      <c r="L26" s="8" t="s">
        <v>4</v>
      </c>
      <c r="M26" s="22">
        <f>VLOOKUP(H26, Intervalos!$B$3:$C$8,2,TRUE)</f>
        <v>0.01</v>
      </c>
      <c r="Q26" s="27"/>
    </row>
    <row r="27" spans="1:17" s="16" customFormat="1" ht="45" x14ac:dyDescent="0.2">
      <c r="A27" s="33"/>
      <c r="B27" s="18">
        <v>22</v>
      </c>
      <c r="C27" s="19" t="s">
        <v>47</v>
      </c>
      <c r="D27" s="19" t="s">
        <v>96</v>
      </c>
      <c r="E27" s="20">
        <v>347248</v>
      </c>
      <c r="F27" s="19" t="s">
        <v>123</v>
      </c>
      <c r="G27" s="19">
        <v>14000</v>
      </c>
      <c r="H27" s="31">
        <v>0.04</v>
      </c>
      <c r="I27" s="21">
        <f t="shared" si="0"/>
        <v>560</v>
      </c>
      <c r="J27" s="36"/>
      <c r="K27" s="36"/>
      <c r="L27" s="8" t="s">
        <v>4</v>
      </c>
      <c r="M27" s="22">
        <f>VLOOKUP(H27, Intervalos!$B$3:$C$8,2,TRUE)</f>
        <v>0.01</v>
      </c>
      <c r="Q27" s="27"/>
    </row>
    <row r="28" spans="1:17" s="16" customFormat="1" ht="56.25" x14ac:dyDescent="0.2">
      <c r="A28" s="34"/>
      <c r="B28" s="18">
        <v>23</v>
      </c>
      <c r="C28" s="19" t="s">
        <v>48</v>
      </c>
      <c r="D28" s="19" t="s">
        <v>96</v>
      </c>
      <c r="E28" s="20">
        <v>360499</v>
      </c>
      <c r="F28" s="19" t="s">
        <v>123</v>
      </c>
      <c r="G28" s="19">
        <v>2500</v>
      </c>
      <c r="H28" s="31">
        <v>0.08</v>
      </c>
      <c r="I28" s="21">
        <f t="shared" si="0"/>
        <v>200</v>
      </c>
      <c r="J28" s="37"/>
      <c r="K28" s="37"/>
      <c r="L28" s="8" t="s">
        <v>4</v>
      </c>
      <c r="M28" s="22">
        <f>VLOOKUP(H28, Intervalos!$B$3:$C$8,2,TRUE)</f>
        <v>0.01</v>
      </c>
      <c r="Q28" s="27"/>
    </row>
    <row r="29" spans="1:17" s="28" customFormat="1" ht="56.25" x14ac:dyDescent="0.2">
      <c r="A29" s="18" t="s">
        <v>121</v>
      </c>
      <c r="B29" s="18">
        <v>24</v>
      </c>
      <c r="C29" s="19" t="s">
        <v>119</v>
      </c>
      <c r="D29" s="19" t="s">
        <v>96</v>
      </c>
      <c r="E29" s="20">
        <v>436172</v>
      </c>
      <c r="F29" s="19" t="s">
        <v>123</v>
      </c>
      <c r="G29" s="19">
        <f>7*500</f>
        <v>3500</v>
      </c>
      <c r="H29" s="31">
        <v>0.2</v>
      </c>
      <c r="I29" s="21">
        <f t="shared" si="0"/>
        <v>700</v>
      </c>
      <c r="J29" s="21" t="s">
        <v>121</v>
      </c>
      <c r="K29" s="21" t="s">
        <v>122</v>
      </c>
      <c r="L29" s="23" t="s">
        <v>4</v>
      </c>
      <c r="M29" s="22">
        <f>VLOOKUP(H29, Intervalos!$B$3:$C$8,2,TRUE)</f>
        <v>0.01</v>
      </c>
      <c r="Q29" s="29"/>
    </row>
    <row r="30" spans="1:17" s="16" customFormat="1" ht="33.75" x14ac:dyDescent="0.2">
      <c r="A30" s="18" t="s">
        <v>121</v>
      </c>
      <c r="B30" s="18">
        <v>25</v>
      </c>
      <c r="C30" s="19" t="s">
        <v>116</v>
      </c>
      <c r="D30" s="19" t="s">
        <v>98</v>
      </c>
      <c r="E30" s="20">
        <v>372241</v>
      </c>
      <c r="F30" s="19" t="s">
        <v>123</v>
      </c>
      <c r="G30" s="19">
        <v>7</v>
      </c>
      <c r="H30" s="31">
        <v>2133</v>
      </c>
      <c r="I30" s="21">
        <f t="shared" si="0"/>
        <v>14931</v>
      </c>
      <c r="J30" s="21" t="s">
        <v>121</v>
      </c>
      <c r="K30" s="21" t="s">
        <v>122</v>
      </c>
      <c r="L30" s="8" t="s">
        <v>4</v>
      </c>
      <c r="M30" s="22" t="str">
        <f>VLOOKUP(H30, Intervalos!$B$3:$C$8,2,TRUE)</f>
        <v>0,10%</v>
      </c>
      <c r="Q30" s="27"/>
    </row>
    <row r="31" spans="1:17" s="16" customFormat="1" ht="56.25" x14ac:dyDescent="0.2">
      <c r="A31" s="18" t="s">
        <v>121</v>
      </c>
      <c r="B31" s="18">
        <v>26</v>
      </c>
      <c r="C31" s="19" t="s">
        <v>104</v>
      </c>
      <c r="D31" s="19" t="s">
        <v>96</v>
      </c>
      <c r="E31" s="20">
        <v>261257</v>
      </c>
      <c r="F31" s="19" t="s">
        <v>123</v>
      </c>
      <c r="G31" s="19">
        <f>8*100</f>
        <v>800</v>
      </c>
      <c r="H31" s="31">
        <v>32.4</v>
      </c>
      <c r="I31" s="21">
        <f t="shared" si="0"/>
        <v>25920</v>
      </c>
      <c r="J31" s="21" t="s">
        <v>121</v>
      </c>
      <c r="K31" s="21" t="s">
        <v>122</v>
      </c>
      <c r="L31" s="8" t="s">
        <v>4</v>
      </c>
      <c r="M31" s="22">
        <f>VLOOKUP(H31, Intervalos!$B$3:$C$8,2,TRUE)</f>
        <v>0.05</v>
      </c>
      <c r="Q31" s="27"/>
    </row>
    <row r="32" spans="1:17" s="16" customFormat="1" ht="56.25" x14ac:dyDescent="0.2">
      <c r="A32" s="18" t="s">
        <v>121</v>
      </c>
      <c r="B32" s="18">
        <v>27</v>
      </c>
      <c r="C32" s="19" t="s">
        <v>124</v>
      </c>
      <c r="D32" s="19" t="s">
        <v>96</v>
      </c>
      <c r="E32" s="20">
        <v>347586</v>
      </c>
      <c r="F32" s="19" t="s">
        <v>123</v>
      </c>
      <c r="G32" s="19">
        <f>5*500</f>
        <v>2500</v>
      </c>
      <c r="H32" s="31">
        <v>0.12</v>
      </c>
      <c r="I32" s="21">
        <f t="shared" si="0"/>
        <v>300</v>
      </c>
      <c r="J32" s="21" t="s">
        <v>121</v>
      </c>
      <c r="K32" s="21" t="s">
        <v>122</v>
      </c>
      <c r="L32" s="8" t="s">
        <v>4</v>
      </c>
      <c r="M32" s="22">
        <f>VLOOKUP(H32, Intervalos!$B$3:$C$8,2,TRUE)</f>
        <v>0.01</v>
      </c>
      <c r="Q32" s="27"/>
    </row>
    <row r="33" spans="1:17" s="16" customFormat="1" ht="45" x14ac:dyDescent="0.2">
      <c r="A33" s="18" t="s">
        <v>121</v>
      </c>
      <c r="B33" s="18">
        <v>28</v>
      </c>
      <c r="C33" s="19" t="s">
        <v>105</v>
      </c>
      <c r="D33" s="19" t="s">
        <v>96</v>
      </c>
      <c r="E33" s="20">
        <v>437506</v>
      </c>
      <c r="F33" s="19" t="s">
        <v>123</v>
      </c>
      <c r="G33" s="19">
        <f>8*100</f>
        <v>800</v>
      </c>
      <c r="H33" s="31">
        <v>0.88</v>
      </c>
      <c r="I33" s="21">
        <f t="shared" si="0"/>
        <v>704</v>
      </c>
      <c r="J33" s="21" t="s">
        <v>121</v>
      </c>
      <c r="K33" s="21" t="s">
        <v>122</v>
      </c>
      <c r="L33" s="8" t="s">
        <v>4</v>
      </c>
      <c r="M33" s="22">
        <f>VLOOKUP(H33, Intervalos!$B$3:$C$8,2,TRUE)</f>
        <v>0.01</v>
      </c>
      <c r="Q33" s="27"/>
    </row>
    <row r="34" spans="1:17" s="16" customFormat="1" ht="67.5" x14ac:dyDescent="0.2">
      <c r="A34" s="18" t="s">
        <v>121</v>
      </c>
      <c r="B34" s="18">
        <v>29</v>
      </c>
      <c r="C34" s="19" t="s">
        <v>114</v>
      </c>
      <c r="D34" s="19" t="s">
        <v>96</v>
      </c>
      <c r="E34" s="20">
        <v>359947</v>
      </c>
      <c r="F34" s="19" t="s">
        <v>123</v>
      </c>
      <c r="G34" s="19">
        <f>5*500</f>
        <v>2500</v>
      </c>
      <c r="H34" s="31">
        <v>0.12</v>
      </c>
      <c r="I34" s="21">
        <f t="shared" si="0"/>
        <v>300</v>
      </c>
      <c r="J34" s="21" t="s">
        <v>121</v>
      </c>
      <c r="K34" s="21" t="s">
        <v>122</v>
      </c>
      <c r="L34" s="8" t="s">
        <v>4</v>
      </c>
      <c r="M34" s="22">
        <f>VLOOKUP(H34, Intervalos!$B$3:$C$8,2,TRUE)</f>
        <v>0.01</v>
      </c>
      <c r="Q34" s="27"/>
    </row>
    <row r="35" spans="1:17" s="16" customFormat="1" ht="56.25" x14ac:dyDescent="0.2">
      <c r="A35" s="33">
        <v>5</v>
      </c>
      <c r="B35" s="18">
        <v>30</v>
      </c>
      <c r="C35" s="19" t="s">
        <v>49</v>
      </c>
      <c r="D35" s="19" t="s">
        <v>96</v>
      </c>
      <c r="E35" s="20">
        <v>352749</v>
      </c>
      <c r="F35" s="19" t="s">
        <v>123</v>
      </c>
      <c r="G35" s="19">
        <v>2000</v>
      </c>
      <c r="H35" s="31">
        <v>0.16</v>
      </c>
      <c r="I35" s="21">
        <f t="shared" si="0"/>
        <v>320</v>
      </c>
      <c r="J35" s="36">
        <f>SUM(I35:I36)</f>
        <v>545</v>
      </c>
      <c r="K35" s="36" t="s">
        <v>122</v>
      </c>
      <c r="L35" s="8" t="s">
        <v>4</v>
      </c>
      <c r="M35" s="22">
        <f>VLOOKUP(H35, Intervalos!$B$3:$C$8,2,TRUE)</f>
        <v>0.01</v>
      </c>
      <c r="Q35" s="27"/>
    </row>
    <row r="36" spans="1:17" s="16" customFormat="1" ht="56.25" x14ac:dyDescent="0.2">
      <c r="A36" s="33"/>
      <c r="B36" s="18">
        <v>31</v>
      </c>
      <c r="C36" s="19" t="s">
        <v>50</v>
      </c>
      <c r="D36" s="19" t="s">
        <v>96</v>
      </c>
      <c r="E36" s="20">
        <v>347723</v>
      </c>
      <c r="F36" s="19" t="s">
        <v>123</v>
      </c>
      <c r="G36" s="19">
        <v>2500</v>
      </c>
      <c r="H36" s="31">
        <v>0.09</v>
      </c>
      <c r="I36" s="21">
        <f t="shared" si="0"/>
        <v>225</v>
      </c>
      <c r="J36" s="36"/>
      <c r="K36" s="36"/>
      <c r="L36" s="8" t="s">
        <v>4</v>
      </c>
      <c r="M36" s="22">
        <f>VLOOKUP(H36, Intervalos!$B$3:$C$8,2,TRUE)</f>
        <v>0.01</v>
      </c>
      <c r="Q36" s="27"/>
    </row>
    <row r="37" spans="1:17" s="16" customFormat="1" ht="67.5" x14ac:dyDescent="0.2">
      <c r="A37" s="18" t="s">
        <v>121</v>
      </c>
      <c r="B37" s="18">
        <v>32</v>
      </c>
      <c r="C37" s="19" t="s">
        <v>51</v>
      </c>
      <c r="D37" s="19" t="s">
        <v>96</v>
      </c>
      <c r="E37" s="20">
        <v>413284</v>
      </c>
      <c r="F37" s="19" t="s">
        <v>123</v>
      </c>
      <c r="G37" s="19">
        <v>125</v>
      </c>
      <c r="H37" s="31">
        <v>3.95</v>
      </c>
      <c r="I37" s="21">
        <f t="shared" si="0"/>
        <v>493.75</v>
      </c>
      <c r="J37" s="21" t="s">
        <v>121</v>
      </c>
      <c r="K37" s="21" t="s">
        <v>122</v>
      </c>
      <c r="L37" s="8" t="s">
        <v>4</v>
      </c>
      <c r="M37" s="22">
        <f>VLOOKUP(H37, Intervalos!$B$3:$C$8,2,TRUE)</f>
        <v>0.01</v>
      </c>
      <c r="Q37" s="27"/>
    </row>
    <row r="38" spans="1:17" s="16" customFormat="1" ht="45" x14ac:dyDescent="0.2">
      <c r="A38" s="18" t="s">
        <v>121</v>
      </c>
      <c r="B38" s="18">
        <v>33</v>
      </c>
      <c r="C38" s="19" t="s">
        <v>52</v>
      </c>
      <c r="D38" s="19" t="s">
        <v>96</v>
      </c>
      <c r="E38" s="20">
        <v>381980</v>
      </c>
      <c r="F38" s="19" t="s">
        <v>123</v>
      </c>
      <c r="G38" s="19">
        <v>500</v>
      </c>
      <c r="H38" s="31">
        <v>16.03</v>
      </c>
      <c r="I38" s="21">
        <f t="shared" si="0"/>
        <v>8015.0000000000009</v>
      </c>
      <c r="J38" s="21" t="s">
        <v>121</v>
      </c>
      <c r="K38" s="30" t="s">
        <v>125</v>
      </c>
      <c r="L38" s="8" t="s">
        <v>4</v>
      </c>
      <c r="M38" s="22">
        <f>VLOOKUP(H38, Intervalos!$B$3:$C$8,2,TRUE)</f>
        <v>0.03</v>
      </c>
      <c r="Q38" s="27"/>
    </row>
    <row r="39" spans="1:17" s="16" customFormat="1" ht="56.25" x14ac:dyDescent="0.2">
      <c r="A39" s="18" t="s">
        <v>121</v>
      </c>
      <c r="B39" s="18">
        <v>34</v>
      </c>
      <c r="C39" s="19" t="s">
        <v>54</v>
      </c>
      <c r="D39" s="19" t="s">
        <v>96</v>
      </c>
      <c r="E39" s="20">
        <v>391782</v>
      </c>
      <c r="F39" s="19" t="s">
        <v>123</v>
      </c>
      <c r="G39" s="19">
        <v>1500</v>
      </c>
      <c r="H39" s="31">
        <v>0.62</v>
      </c>
      <c r="I39" s="21">
        <f>G39*H39</f>
        <v>930</v>
      </c>
      <c r="J39" s="21" t="s">
        <v>121</v>
      </c>
      <c r="K39" s="21" t="s">
        <v>122</v>
      </c>
      <c r="L39" s="8" t="s">
        <v>4</v>
      </c>
      <c r="M39" s="22">
        <f>VLOOKUP(H39, Intervalos!$B$3:$C$8,2,TRUE)</f>
        <v>0.01</v>
      </c>
      <c r="Q39" s="27"/>
    </row>
    <row r="40" spans="1:17" s="16" customFormat="1" ht="56.25" x14ac:dyDescent="0.2">
      <c r="A40" s="32">
        <v>6</v>
      </c>
      <c r="B40" s="18">
        <v>35</v>
      </c>
      <c r="C40" s="19" t="s">
        <v>53</v>
      </c>
      <c r="D40" s="19" t="s">
        <v>96</v>
      </c>
      <c r="E40" s="20">
        <v>347766</v>
      </c>
      <c r="F40" s="19" t="s">
        <v>123</v>
      </c>
      <c r="G40" s="19">
        <v>2000</v>
      </c>
      <c r="H40" s="31">
        <v>0.12</v>
      </c>
      <c r="I40" s="21">
        <f t="shared" si="0"/>
        <v>240</v>
      </c>
      <c r="J40" s="35">
        <f>SUM(I40:I45)</f>
        <v>4277.7800000000007</v>
      </c>
      <c r="K40" s="35" t="s">
        <v>122</v>
      </c>
      <c r="L40" s="8" t="s">
        <v>4</v>
      </c>
      <c r="M40" s="22">
        <f>VLOOKUP(H40, Intervalos!$B$3:$C$8,2,TRUE)</f>
        <v>0.01</v>
      </c>
      <c r="Q40" s="27"/>
    </row>
    <row r="41" spans="1:17" s="28" customFormat="1" ht="45" x14ac:dyDescent="0.2">
      <c r="A41" s="33"/>
      <c r="B41" s="18">
        <v>36</v>
      </c>
      <c r="C41" s="19" t="s">
        <v>55</v>
      </c>
      <c r="D41" s="19" t="s">
        <v>96</v>
      </c>
      <c r="E41" s="20">
        <v>366501</v>
      </c>
      <c r="F41" s="19" t="s">
        <v>123</v>
      </c>
      <c r="G41" s="19">
        <v>9500</v>
      </c>
      <c r="H41" s="31">
        <v>0.08</v>
      </c>
      <c r="I41" s="21">
        <f t="shared" si="0"/>
        <v>760</v>
      </c>
      <c r="J41" s="36"/>
      <c r="K41" s="36"/>
      <c r="L41" s="23" t="s">
        <v>4</v>
      </c>
      <c r="M41" s="22">
        <f>VLOOKUP(H41, Intervalos!$B$3:$C$8,2,TRUE)</f>
        <v>0.01</v>
      </c>
      <c r="Q41" s="29"/>
    </row>
    <row r="42" spans="1:17" s="16" customFormat="1" ht="56.25" x14ac:dyDescent="0.2">
      <c r="A42" s="33"/>
      <c r="B42" s="18">
        <v>37</v>
      </c>
      <c r="C42" s="19" t="s">
        <v>56</v>
      </c>
      <c r="D42" s="19" t="s">
        <v>96</v>
      </c>
      <c r="E42" s="20">
        <v>347795</v>
      </c>
      <c r="F42" s="19" t="s">
        <v>123</v>
      </c>
      <c r="G42" s="19">
        <f>8*500</f>
        <v>4000</v>
      </c>
      <c r="H42" s="31">
        <v>0.12</v>
      </c>
      <c r="I42" s="21">
        <f t="shared" si="0"/>
        <v>480</v>
      </c>
      <c r="J42" s="36"/>
      <c r="K42" s="36"/>
      <c r="L42" s="8" t="s">
        <v>4</v>
      </c>
      <c r="M42" s="22">
        <f>VLOOKUP(H42, Intervalos!$B$3:$C$8,2,TRUE)</f>
        <v>0.01</v>
      </c>
      <c r="Q42" s="27"/>
    </row>
    <row r="43" spans="1:17" s="16" customFormat="1" ht="56.25" x14ac:dyDescent="0.2">
      <c r="A43" s="33"/>
      <c r="B43" s="18">
        <v>38</v>
      </c>
      <c r="C43" s="19" t="s">
        <v>57</v>
      </c>
      <c r="D43" s="19" t="s">
        <v>96</v>
      </c>
      <c r="E43" s="20">
        <v>347797</v>
      </c>
      <c r="F43" s="19" t="s">
        <v>123</v>
      </c>
      <c r="G43" s="19">
        <v>4000</v>
      </c>
      <c r="H43" s="31">
        <v>0.11</v>
      </c>
      <c r="I43" s="21">
        <f t="shared" si="0"/>
        <v>440</v>
      </c>
      <c r="J43" s="36"/>
      <c r="K43" s="36"/>
      <c r="L43" s="8" t="s">
        <v>4</v>
      </c>
      <c r="M43" s="22">
        <f>VLOOKUP(H43, Intervalos!$B$3:$C$8,2,TRUE)</f>
        <v>0.01</v>
      </c>
      <c r="Q43" s="27"/>
    </row>
    <row r="44" spans="1:17" s="16" customFormat="1" ht="56.25" x14ac:dyDescent="0.2">
      <c r="A44" s="33"/>
      <c r="B44" s="18">
        <v>39</v>
      </c>
      <c r="C44" s="19" t="s">
        <v>113</v>
      </c>
      <c r="D44" s="19" t="s">
        <v>111</v>
      </c>
      <c r="E44" s="20">
        <v>346030</v>
      </c>
      <c r="F44" s="19" t="s">
        <v>123</v>
      </c>
      <c r="G44" s="19">
        <v>9</v>
      </c>
      <c r="H44" s="31">
        <v>39.92</v>
      </c>
      <c r="I44" s="21">
        <f t="shared" si="0"/>
        <v>359.28000000000003</v>
      </c>
      <c r="J44" s="36"/>
      <c r="K44" s="36"/>
      <c r="L44" s="8" t="s">
        <v>4</v>
      </c>
      <c r="M44" s="22">
        <f>VLOOKUP(H44, Intervalos!$B$3:$C$8,2,TRUE)</f>
        <v>0.05</v>
      </c>
      <c r="Q44" s="27"/>
    </row>
    <row r="45" spans="1:17" s="16" customFormat="1" ht="56.25" x14ac:dyDescent="0.2">
      <c r="A45" s="34"/>
      <c r="B45" s="18">
        <v>40</v>
      </c>
      <c r="C45" s="19" t="s">
        <v>112</v>
      </c>
      <c r="D45" s="19" t="s">
        <v>111</v>
      </c>
      <c r="E45" s="20">
        <v>378590</v>
      </c>
      <c r="F45" s="19" t="s">
        <v>123</v>
      </c>
      <c r="G45" s="19">
        <v>35</v>
      </c>
      <c r="H45" s="31">
        <v>57.1</v>
      </c>
      <c r="I45" s="21">
        <f t="shared" si="0"/>
        <v>1998.5</v>
      </c>
      <c r="J45" s="37"/>
      <c r="K45" s="37"/>
      <c r="L45" s="8" t="s">
        <v>4</v>
      </c>
      <c r="M45" s="22">
        <f>VLOOKUP(H45, Intervalos!$B$3:$C$8,2,TRUE)</f>
        <v>0.1</v>
      </c>
      <c r="Q45" s="27"/>
    </row>
    <row r="46" spans="1:17" s="16" customFormat="1" ht="56.25" x14ac:dyDescent="0.2">
      <c r="A46" s="32">
        <v>7</v>
      </c>
      <c r="B46" s="18">
        <v>41</v>
      </c>
      <c r="C46" s="19" t="s">
        <v>106</v>
      </c>
      <c r="D46" s="19" t="s">
        <v>96</v>
      </c>
      <c r="E46" s="20">
        <v>374025</v>
      </c>
      <c r="F46" s="19" t="s">
        <v>123</v>
      </c>
      <c r="G46" s="19">
        <f>3*250</f>
        <v>750</v>
      </c>
      <c r="H46" s="31">
        <v>0.92</v>
      </c>
      <c r="I46" s="21">
        <f t="shared" si="0"/>
        <v>690</v>
      </c>
      <c r="J46" s="35">
        <f>SUM(I46:I48)</f>
        <v>16551</v>
      </c>
      <c r="K46" s="35" t="s">
        <v>122</v>
      </c>
      <c r="L46" s="8" t="s">
        <v>4</v>
      </c>
      <c r="M46" s="22">
        <f>VLOOKUP(H46, Intervalos!$B$3:$C$8,2,TRUE)</f>
        <v>0.01</v>
      </c>
      <c r="Q46" s="27"/>
    </row>
    <row r="47" spans="1:17" s="16" customFormat="1" ht="56.25" x14ac:dyDescent="0.2">
      <c r="A47" s="33"/>
      <c r="B47" s="18">
        <v>42</v>
      </c>
      <c r="C47" s="19" t="s">
        <v>58</v>
      </c>
      <c r="D47" s="19" t="s">
        <v>96</v>
      </c>
      <c r="E47" s="20">
        <v>353071</v>
      </c>
      <c r="F47" s="19" t="s">
        <v>123</v>
      </c>
      <c r="G47" s="19">
        <v>8250</v>
      </c>
      <c r="H47" s="31">
        <v>1.46</v>
      </c>
      <c r="I47" s="21">
        <f t="shared" si="0"/>
        <v>12045</v>
      </c>
      <c r="J47" s="36"/>
      <c r="K47" s="36"/>
      <c r="L47" s="8" t="s">
        <v>4</v>
      </c>
      <c r="M47" s="22">
        <f>VLOOKUP(H47, Intervalos!$B$3:$C$8,2,TRUE)</f>
        <v>0.01</v>
      </c>
      <c r="Q47" s="27"/>
    </row>
    <row r="48" spans="1:17" s="16" customFormat="1" ht="56.25" x14ac:dyDescent="0.2">
      <c r="A48" s="34"/>
      <c r="B48" s="18">
        <v>43</v>
      </c>
      <c r="C48" s="19" t="s">
        <v>59</v>
      </c>
      <c r="D48" s="19" t="s">
        <v>96</v>
      </c>
      <c r="E48" s="20">
        <v>353038</v>
      </c>
      <c r="F48" s="19" t="s">
        <v>123</v>
      </c>
      <c r="G48" s="19">
        <v>1800</v>
      </c>
      <c r="H48" s="31">
        <v>2.12</v>
      </c>
      <c r="I48" s="21">
        <f t="shared" si="0"/>
        <v>3816</v>
      </c>
      <c r="J48" s="37"/>
      <c r="K48" s="37"/>
      <c r="L48" s="8" t="s">
        <v>4</v>
      </c>
      <c r="M48" s="22">
        <f>VLOOKUP(H48, Intervalos!$B$3:$C$8,2,TRUE)</f>
        <v>0.01</v>
      </c>
      <c r="Q48" s="27"/>
    </row>
    <row r="49" spans="1:17" s="16" customFormat="1" ht="56.25" x14ac:dyDescent="0.2">
      <c r="A49" s="18" t="s">
        <v>121</v>
      </c>
      <c r="B49" s="18">
        <v>44</v>
      </c>
      <c r="C49" s="19" t="s">
        <v>60</v>
      </c>
      <c r="D49" s="19" t="s">
        <v>99</v>
      </c>
      <c r="E49" s="20">
        <v>372581</v>
      </c>
      <c r="F49" s="19" t="s">
        <v>123</v>
      </c>
      <c r="G49" s="19">
        <v>3</v>
      </c>
      <c r="H49" s="31">
        <v>1570</v>
      </c>
      <c r="I49" s="21">
        <f t="shared" si="0"/>
        <v>4710</v>
      </c>
      <c r="J49" s="21" t="s">
        <v>121</v>
      </c>
      <c r="K49" s="30" t="s">
        <v>125</v>
      </c>
      <c r="L49" s="8" t="s">
        <v>4</v>
      </c>
      <c r="M49" s="22" t="str">
        <f>VLOOKUP(H49, Intervalos!$B$3:$C$8,2,TRUE)</f>
        <v>0,10%</v>
      </c>
      <c r="Q49" s="27"/>
    </row>
    <row r="50" spans="1:17" s="16" customFormat="1" ht="56.25" x14ac:dyDescent="0.2">
      <c r="A50" s="32">
        <v>8</v>
      </c>
      <c r="B50" s="18">
        <v>45</v>
      </c>
      <c r="C50" s="19" t="s">
        <v>61</v>
      </c>
      <c r="D50" s="19" t="s">
        <v>96</v>
      </c>
      <c r="E50" s="20">
        <v>374793</v>
      </c>
      <c r="F50" s="19" t="s">
        <v>123</v>
      </c>
      <c r="G50" s="19">
        <v>1250</v>
      </c>
      <c r="H50" s="31">
        <v>0.49</v>
      </c>
      <c r="I50" s="21">
        <f t="shared" si="0"/>
        <v>612.5</v>
      </c>
      <c r="J50" s="35">
        <f>SUM(I50:I51)</f>
        <v>1143.5</v>
      </c>
      <c r="K50" s="38" t="s">
        <v>125</v>
      </c>
      <c r="L50" s="8" t="s">
        <v>4</v>
      </c>
      <c r="M50" s="22">
        <f>VLOOKUP(H50, Intervalos!$B$3:$C$8,2,TRUE)</f>
        <v>0.01</v>
      </c>
      <c r="Q50" s="27"/>
    </row>
    <row r="51" spans="1:17" s="16" customFormat="1" ht="56.25" x14ac:dyDescent="0.2">
      <c r="A51" s="34"/>
      <c r="B51" s="18">
        <v>46</v>
      </c>
      <c r="C51" s="19" t="s">
        <v>62</v>
      </c>
      <c r="D51" s="19" t="s">
        <v>96</v>
      </c>
      <c r="E51" s="20">
        <v>374793</v>
      </c>
      <c r="F51" s="19" t="s">
        <v>123</v>
      </c>
      <c r="G51" s="19">
        <v>50</v>
      </c>
      <c r="H51" s="31">
        <v>10.62</v>
      </c>
      <c r="I51" s="21">
        <f t="shared" si="0"/>
        <v>531</v>
      </c>
      <c r="J51" s="37"/>
      <c r="K51" s="40"/>
      <c r="L51" s="8" t="s">
        <v>4</v>
      </c>
      <c r="M51" s="22">
        <f>VLOOKUP(H51, Intervalos!$B$3:$C$8,2,TRUE)</f>
        <v>0.03</v>
      </c>
      <c r="Q51" s="27"/>
    </row>
    <row r="52" spans="1:17" s="17" customFormat="1" ht="67.5" x14ac:dyDescent="0.2">
      <c r="A52" s="18" t="s">
        <v>121</v>
      </c>
      <c r="B52" s="18">
        <v>47</v>
      </c>
      <c r="C52" s="19" t="s">
        <v>63</v>
      </c>
      <c r="D52" s="19" t="s">
        <v>96</v>
      </c>
      <c r="E52" s="20">
        <v>403993</v>
      </c>
      <c r="F52" s="19" t="s">
        <v>123</v>
      </c>
      <c r="G52" s="19">
        <v>500</v>
      </c>
      <c r="H52" s="31">
        <v>1.1100000000000001</v>
      </c>
      <c r="I52" s="21">
        <f t="shared" ref="I52:I93" si="1">G52*H52</f>
        <v>555</v>
      </c>
      <c r="J52" s="21" t="s">
        <v>121</v>
      </c>
      <c r="K52" s="21" t="s">
        <v>122</v>
      </c>
      <c r="L52" s="8" t="s">
        <v>4</v>
      </c>
      <c r="M52" s="22">
        <f>VLOOKUP(H52, Intervalos!$B$3:$C$8,2,TRUE)</f>
        <v>0.01</v>
      </c>
      <c r="Q52" s="27"/>
    </row>
    <row r="53" spans="1:17" s="17" customFormat="1" ht="67.5" x14ac:dyDescent="0.2">
      <c r="A53" s="32">
        <v>9</v>
      </c>
      <c r="B53" s="18">
        <v>48</v>
      </c>
      <c r="C53" s="19" t="s">
        <v>64</v>
      </c>
      <c r="D53" s="19" t="s">
        <v>96</v>
      </c>
      <c r="E53" s="20">
        <v>359011</v>
      </c>
      <c r="F53" s="19" t="s">
        <v>123</v>
      </c>
      <c r="G53" s="19">
        <v>2000</v>
      </c>
      <c r="H53" s="31">
        <v>0.25</v>
      </c>
      <c r="I53" s="21">
        <f t="shared" si="1"/>
        <v>500</v>
      </c>
      <c r="J53" s="35">
        <f>SUM(I53:I55)</f>
        <v>1451</v>
      </c>
      <c r="K53" s="35" t="s">
        <v>122</v>
      </c>
      <c r="L53" s="8" t="s">
        <v>4</v>
      </c>
      <c r="M53" s="22">
        <f>VLOOKUP(H53, Intervalos!$B$3:$C$8,2,TRUE)</f>
        <v>0.01</v>
      </c>
      <c r="Q53" s="27"/>
    </row>
    <row r="54" spans="1:17" s="16" customFormat="1" ht="56.25" x14ac:dyDescent="0.2">
      <c r="A54" s="33"/>
      <c r="B54" s="18">
        <v>49</v>
      </c>
      <c r="C54" s="19" t="s">
        <v>65</v>
      </c>
      <c r="D54" s="19" t="s">
        <v>96</v>
      </c>
      <c r="E54" s="20">
        <v>353053</v>
      </c>
      <c r="F54" s="19" t="s">
        <v>123</v>
      </c>
      <c r="G54" s="19">
        <v>800</v>
      </c>
      <c r="H54" s="31">
        <v>0.84</v>
      </c>
      <c r="I54" s="21">
        <f t="shared" si="1"/>
        <v>672</v>
      </c>
      <c r="J54" s="36"/>
      <c r="K54" s="36"/>
      <c r="L54" s="8" t="s">
        <v>4</v>
      </c>
      <c r="M54" s="22">
        <f>VLOOKUP(H54, Intervalos!$B$3:$C$8,2,TRUE)</f>
        <v>0.01</v>
      </c>
      <c r="Q54" s="27"/>
    </row>
    <row r="55" spans="1:17" s="16" customFormat="1" ht="56.25" x14ac:dyDescent="0.2">
      <c r="A55" s="34"/>
      <c r="B55" s="18">
        <v>50</v>
      </c>
      <c r="C55" s="19" t="s">
        <v>110</v>
      </c>
      <c r="D55" s="19" t="s">
        <v>96</v>
      </c>
      <c r="E55" s="20">
        <v>358985</v>
      </c>
      <c r="F55" s="19" t="s">
        <v>123</v>
      </c>
      <c r="G55" s="19">
        <f>3*100</f>
        <v>300</v>
      </c>
      <c r="H55" s="31">
        <v>0.93</v>
      </c>
      <c r="I55" s="21">
        <f t="shared" si="1"/>
        <v>279</v>
      </c>
      <c r="J55" s="37"/>
      <c r="K55" s="37"/>
      <c r="L55" s="8" t="s">
        <v>4</v>
      </c>
      <c r="M55" s="22">
        <f>VLOOKUP(H55, Intervalos!$B$3:$C$8,2,TRUE)</f>
        <v>0.01</v>
      </c>
      <c r="Q55" s="27"/>
    </row>
    <row r="56" spans="1:17" s="16" customFormat="1" ht="56.25" x14ac:dyDescent="0.2">
      <c r="A56" s="33">
        <v>10</v>
      </c>
      <c r="B56" s="18">
        <v>51</v>
      </c>
      <c r="C56" s="19" t="s">
        <v>66</v>
      </c>
      <c r="D56" s="19" t="s">
        <v>96</v>
      </c>
      <c r="E56" s="20">
        <v>358986</v>
      </c>
      <c r="F56" s="19" t="s">
        <v>123</v>
      </c>
      <c r="G56" s="19">
        <v>1500</v>
      </c>
      <c r="H56" s="31">
        <v>0.16</v>
      </c>
      <c r="I56" s="21">
        <f t="shared" si="1"/>
        <v>240</v>
      </c>
      <c r="J56" s="36">
        <f>SUM(I56:I59)</f>
        <v>12252</v>
      </c>
      <c r="K56" s="36" t="s">
        <v>122</v>
      </c>
      <c r="L56" s="8" t="s">
        <v>4</v>
      </c>
      <c r="M56" s="22">
        <f>VLOOKUP(H56, Intervalos!$B$3:$C$8,2,TRUE)</f>
        <v>0.01</v>
      </c>
      <c r="Q56" s="27"/>
    </row>
    <row r="57" spans="1:17" s="16" customFormat="1" ht="67.5" x14ac:dyDescent="0.2">
      <c r="A57" s="33"/>
      <c r="B57" s="18">
        <v>52</v>
      </c>
      <c r="C57" s="19" t="s">
        <v>67</v>
      </c>
      <c r="D57" s="19" t="s">
        <v>96</v>
      </c>
      <c r="E57" s="20">
        <v>359023</v>
      </c>
      <c r="F57" s="19" t="s">
        <v>123</v>
      </c>
      <c r="G57" s="19">
        <v>500</v>
      </c>
      <c r="H57" s="31">
        <v>3.4</v>
      </c>
      <c r="I57" s="21">
        <f t="shared" si="1"/>
        <v>1700</v>
      </c>
      <c r="J57" s="36"/>
      <c r="K57" s="36"/>
      <c r="L57" s="8" t="s">
        <v>4</v>
      </c>
      <c r="M57" s="22">
        <f>VLOOKUP(H57, Intervalos!$B$3:$C$8,2,TRUE)</f>
        <v>0.01</v>
      </c>
      <c r="Q57" s="27"/>
    </row>
    <row r="58" spans="1:17" s="16" customFormat="1" ht="56.25" x14ac:dyDescent="0.2">
      <c r="A58" s="33"/>
      <c r="B58" s="18">
        <v>53</v>
      </c>
      <c r="C58" s="19" t="s">
        <v>68</v>
      </c>
      <c r="D58" s="19" t="s">
        <v>96</v>
      </c>
      <c r="E58" s="20">
        <v>412728</v>
      </c>
      <c r="F58" s="19" t="s">
        <v>123</v>
      </c>
      <c r="G58" s="19">
        <v>800</v>
      </c>
      <c r="H58" s="31">
        <v>12.54</v>
      </c>
      <c r="I58" s="21">
        <f t="shared" si="1"/>
        <v>10032</v>
      </c>
      <c r="J58" s="36"/>
      <c r="K58" s="36"/>
      <c r="L58" s="8" t="s">
        <v>4</v>
      </c>
      <c r="M58" s="22">
        <f>VLOOKUP(H58, Intervalos!$B$3:$C$8,2,TRUE)</f>
        <v>0.03</v>
      </c>
      <c r="Q58" s="27"/>
    </row>
    <row r="59" spans="1:17" s="16" customFormat="1" ht="56.25" x14ac:dyDescent="0.2">
      <c r="A59" s="34"/>
      <c r="B59" s="18">
        <v>54</v>
      </c>
      <c r="C59" s="19" t="s">
        <v>69</v>
      </c>
      <c r="D59" s="19" t="s">
        <v>96</v>
      </c>
      <c r="E59" s="20">
        <v>412729</v>
      </c>
      <c r="F59" s="19" t="s">
        <v>123</v>
      </c>
      <c r="G59" s="19">
        <v>4000</v>
      </c>
      <c r="H59" s="31">
        <v>7.0000000000000007E-2</v>
      </c>
      <c r="I59" s="21">
        <f t="shared" si="1"/>
        <v>280</v>
      </c>
      <c r="J59" s="37"/>
      <c r="K59" s="37"/>
      <c r="L59" s="8" t="s">
        <v>4</v>
      </c>
      <c r="M59" s="22">
        <f>VLOOKUP(H59, Intervalos!$B$3:$C$8,2,TRUE)</f>
        <v>0.01</v>
      </c>
      <c r="Q59" s="27"/>
    </row>
    <row r="60" spans="1:17" s="16" customFormat="1" ht="67.5" x14ac:dyDescent="0.2">
      <c r="A60" s="18" t="s">
        <v>121</v>
      </c>
      <c r="B60" s="18">
        <v>55</v>
      </c>
      <c r="C60" s="19" t="s">
        <v>70</v>
      </c>
      <c r="D60" s="19" t="s">
        <v>96</v>
      </c>
      <c r="E60" s="20">
        <v>369000</v>
      </c>
      <c r="F60" s="19" t="s">
        <v>123</v>
      </c>
      <c r="G60" s="19">
        <v>200</v>
      </c>
      <c r="H60" s="31">
        <v>1.35</v>
      </c>
      <c r="I60" s="21">
        <f t="shared" si="1"/>
        <v>270</v>
      </c>
      <c r="J60" s="21" t="s">
        <v>121</v>
      </c>
      <c r="K60" s="21" t="s">
        <v>122</v>
      </c>
      <c r="L60" s="8" t="s">
        <v>4</v>
      </c>
      <c r="M60" s="22">
        <f>VLOOKUP(H60, Intervalos!$B$3:$C$8,2,TRUE)</f>
        <v>0.01</v>
      </c>
      <c r="Q60" s="27"/>
    </row>
    <row r="61" spans="1:17" s="16" customFormat="1" ht="45" x14ac:dyDescent="0.2">
      <c r="A61" s="32">
        <v>11</v>
      </c>
      <c r="B61" s="18">
        <v>56</v>
      </c>
      <c r="C61" s="19" t="s">
        <v>71</v>
      </c>
      <c r="D61" s="19" t="s">
        <v>96</v>
      </c>
      <c r="E61" s="20">
        <v>412804</v>
      </c>
      <c r="F61" s="19" t="s">
        <v>123</v>
      </c>
      <c r="G61" s="19">
        <v>3000</v>
      </c>
      <c r="H61" s="31">
        <v>0.19</v>
      </c>
      <c r="I61" s="21">
        <f t="shared" si="1"/>
        <v>570</v>
      </c>
      <c r="J61" s="35">
        <f>SUM(I61:I62)</f>
        <v>995</v>
      </c>
      <c r="K61" s="38" t="s">
        <v>125</v>
      </c>
      <c r="L61" s="8" t="s">
        <v>4</v>
      </c>
      <c r="M61" s="22">
        <f>VLOOKUP(H61, Intervalos!$B$3:$C$8,2,TRUE)</f>
        <v>0.01</v>
      </c>
      <c r="Q61" s="27"/>
    </row>
    <row r="62" spans="1:17" s="16" customFormat="1" ht="56.25" x14ac:dyDescent="0.2">
      <c r="A62" s="33"/>
      <c r="B62" s="18">
        <v>57</v>
      </c>
      <c r="C62" s="19" t="s">
        <v>72</v>
      </c>
      <c r="D62" s="19" t="s">
        <v>96</v>
      </c>
      <c r="E62" s="20">
        <v>359374</v>
      </c>
      <c r="F62" s="19" t="s">
        <v>123</v>
      </c>
      <c r="G62" s="19">
        <v>2500</v>
      </c>
      <c r="H62" s="31">
        <v>0.17</v>
      </c>
      <c r="I62" s="21">
        <f t="shared" si="1"/>
        <v>425.00000000000006</v>
      </c>
      <c r="J62" s="36"/>
      <c r="K62" s="39"/>
      <c r="L62" s="8" t="s">
        <v>4</v>
      </c>
      <c r="M62" s="22">
        <f>VLOOKUP(H62, Intervalos!$B$3:$C$8,2,TRUE)</f>
        <v>0.01</v>
      </c>
      <c r="Q62" s="27"/>
    </row>
    <row r="63" spans="1:17" s="28" customFormat="1" ht="67.5" x14ac:dyDescent="0.2">
      <c r="A63" s="18" t="s">
        <v>121</v>
      </c>
      <c r="B63" s="18">
        <v>58</v>
      </c>
      <c r="C63" s="19" t="s">
        <v>118</v>
      </c>
      <c r="D63" s="19" t="s">
        <v>96</v>
      </c>
      <c r="E63" s="20">
        <v>376193</v>
      </c>
      <c r="F63" s="19" t="s">
        <v>123</v>
      </c>
      <c r="G63" s="19">
        <f>1250*2</f>
        <v>2500</v>
      </c>
      <c r="H63" s="31">
        <v>6.49</v>
      </c>
      <c r="I63" s="21">
        <f t="shared" si="1"/>
        <v>16225</v>
      </c>
      <c r="J63" s="21" t="s">
        <v>121</v>
      </c>
      <c r="K63" s="21" t="s">
        <v>122</v>
      </c>
      <c r="L63" s="23" t="s">
        <v>4</v>
      </c>
      <c r="M63" s="22">
        <f>VLOOKUP(H63, Intervalos!$B$3:$C$8,2,TRUE)</f>
        <v>0.02</v>
      </c>
      <c r="Q63" s="29"/>
    </row>
    <row r="64" spans="1:17" s="16" customFormat="1" ht="45" x14ac:dyDescent="0.2">
      <c r="A64" s="18" t="s">
        <v>121</v>
      </c>
      <c r="B64" s="18">
        <v>59</v>
      </c>
      <c r="C64" s="19" t="s">
        <v>108</v>
      </c>
      <c r="D64" s="19" t="s">
        <v>96</v>
      </c>
      <c r="E64" s="20">
        <v>381582</v>
      </c>
      <c r="F64" s="19" t="s">
        <v>123</v>
      </c>
      <c r="G64" s="19">
        <f>5*5</f>
        <v>25</v>
      </c>
      <c r="H64" s="31">
        <v>493.7</v>
      </c>
      <c r="I64" s="21">
        <f t="shared" si="1"/>
        <v>12342.5</v>
      </c>
      <c r="J64" s="21" t="s">
        <v>121</v>
      </c>
      <c r="K64" s="21" t="s">
        <v>122</v>
      </c>
      <c r="L64" s="8" t="s">
        <v>4</v>
      </c>
      <c r="M64" s="22" t="str">
        <f>VLOOKUP(H64, Intervalos!$B$3:$C$8,2,TRUE)</f>
        <v>0,10%</v>
      </c>
      <c r="Q64" s="27"/>
    </row>
    <row r="65" spans="1:17" s="17" customFormat="1" ht="56.25" x14ac:dyDescent="0.2">
      <c r="A65" s="32">
        <v>12</v>
      </c>
      <c r="B65" s="18">
        <v>60</v>
      </c>
      <c r="C65" s="19" t="s">
        <v>107</v>
      </c>
      <c r="D65" s="19" t="s">
        <v>96</v>
      </c>
      <c r="E65" s="20">
        <v>391232</v>
      </c>
      <c r="F65" s="19" t="s">
        <v>123</v>
      </c>
      <c r="G65" s="19">
        <f>3*500</f>
        <v>1500</v>
      </c>
      <c r="H65" s="31">
        <v>0.19</v>
      </c>
      <c r="I65" s="21">
        <f t="shared" si="1"/>
        <v>285</v>
      </c>
      <c r="J65" s="35">
        <f>SUM(I65:I67)</f>
        <v>18691.7</v>
      </c>
      <c r="K65" s="35" t="s">
        <v>122</v>
      </c>
      <c r="L65" s="8" t="s">
        <v>4</v>
      </c>
      <c r="M65" s="22">
        <f>VLOOKUP(H65, Intervalos!$B$3:$C$8,2,TRUE)</f>
        <v>0.01</v>
      </c>
      <c r="Q65" s="27"/>
    </row>
    <row r="66" spans="1:17" s="16" customFormat="1" ht="45" x14ac:dyDescent="0.2">
      <c r="A66" s="33"/>
      <c r="B66" s="18">
        <v>61</v>
      </c>
      <c r="C66" s="19" t="s">
        <v>73</v>
      </c>
      <c r="D66" s="19" t="s">
        <v>96</v>
      </c>
      <c r="E66" s="20">
        <v>381863</v>
      </c>
      <c r="F66" s="19" t="s">
        <v>123</v>
      </c>
      <c r="G66" s="19">
        <f>12*250</f>
        <v>3000</v>
      </c>
      <c r="H66" s="31">
        <v>0.13</v>
      </c>
      <c r="I66" s="21">
        <f t="shared" si="1"/>
        <v>390</v>
      </c>
      <c r="J66" s="36"/>
      <c r="K66" s="36"/>
      <c r="L66" s="8" t="s">
        <v>4</v>
      </c>
      <c r="M66" s="22">
        <f>VLOOKUP(H66, Intervalos!$B$3:$C$8,2,TRUE)</f>
        <v>0.01</v>
      </c>
      <c r="Q66" s="27"/>
    </row>
    <row r="67" spans="1:17" s="16" customFormat="1" ht="45" x14ac:dyDescent="0.2">
      <c r="A67" s="34"/>
      <c r="B67" s="18">
        <v>62</v>
      </c>
      <c r="C67" s="19" t="s">
        <v>109</v>
      </c>
      <c r="D67" s="19" t="s">
        <v>96</v>
      </c>
      <c r="E67" s="20">
        <v>381833</v>
      </c>
      <c r="F67" s="19" t="s">
        <v>123</v>
      </c>
      <c r="G67" s="19">
        <f>13*2</f>
        <v>26</v>
      </c>
      <c r="H67" s="31">
        <v>692.95</v>
      </c>
      <c r="I67" s="21">
        <f t="shared" si="1"/>
        <v>18016.7</v>
      </c>
      <c r="J67" s="37"/>
      <c r="K67" s="37"/>
      <c r="L67" s="8" t="s">
        <v>4</v>
      </c>
      <c r="M67" s="22" t="str">
        <f>VLOOKUP(H67, Intervalos!$B$3:$C$8,2,TRUE)</f>
        <v>0,10%</v>
      </c>
      <c r="Q67" s="27"/>
    </row>
    <row r="68" spans="1:17" s="16" customFormat="1" ht="56.25" x14ac:dyDescent="0.2">
      <c r="A68" s="18" t="s">
        <v>121</v>
      </c>
      <c r="B68" s="18">
        <v>63</v>
      </c>
      <c r="C68" s="19" t="s">
        <v>74</v>
      </c>
      <c r="D68" s="19" t="s">
        <v>96</v>
      </c>
      <c r="E68" s="20">
        <v>361551</v>
      </c>
      <c r="F68" s="19" t="s">
        <v>123</v>
      </c>
      <c r="G68" s="19">
        <v>2500</v>
      </c>
      <c r="H68" s="31">
        <v>0.08</v>
      </c>
      <c r="I68" s="21">
        <f t="shared" si="1"/>
        <v>200</v>
      </c>
      <c r="J68" s="21" t="s">
        <v>121</v>
      </c>
      <c r="K68" s="21" t="s">
        <v>122</v>
      </c>
      <c r="L68" s="8" t="s">
        <v>4</v>
      </c>
      <c r="M68" s="22">
        <f>VLOOKUP(H68, Intervalos!$B$3:$C$8,2,TRUE)</f>
        <v>0.01</v>
      </c>
      <c r="Q68" s="27"/>
    </row>
    <row r="69" spans="1:17" s="16" customFormat="1" ht="56.25" x14ac:dyDescent="0.2">
      <c r="A69" s="18" t="s">
        <v>121</v>
      </c>
      <c r="B69" s="18">
        <v>64</v>
      </c>
      <c r="C69" s="19" t="s">
        <v>75</v>
      </c>
      <c r="D69" s="19" t="s">
        <v>96</v>
      </c>
      <c r="E69" s="20">
        <v>348184</v>
      </c>
      <c r="F69" s="19" t="s">
        <v>123</v>
      </c>
      <c r="G69" s="19">
        <f>3*100</f>
        <v>300</v>
      </c>
      <c r="H69" s="31">
        <f>2680/100</f>
        <v>26.8</v>
      </c>
      <c r="I69" s="21">
        <f t="shared" si="1"/>
        <v>8040</v>
      </c>
      <c r="J69" s="21" t="s">
        <v>121</v>
      </c>
      <c r="K69" s="30" t="s">
        <v>125</v>
      </c>
      <c r="L69" s="8" t="s">
        <v>4</v>
      </c>
      <c r="M69" s="22">
        <f>VLOOKUP(H69, Intervalos!$B$3:$C$8,2,TRUE)</f>
        <v>0.05</v>
      </c>
      <c r="Q69" s="27"/>
    </row>
    <row r="70" spans="1:17" s="16" customFormat="1" ht="45" x14ac:dyDescent="0.2">
      <c r="A70" s="32">
        <v>13</v>
      </c>
      <c r="B70" s="18">
        <v>65</v>
      </c>
      <c r="C70" s="19" t="s">
        <v>76</v>
      </c>
      <c r="D70" s="19" t="s">
        <v>97</v>
      </c>
      <c r="E70" s="20">
        <v>288984</v>
      </c>
      <c r="F70" s="19" t="s">
        <v>123</v>
      </c>
      <c r="G70" s="19">
        <v>13</v>
      </c>
      <c r="H70" s="31">
        <v>183.63</v>
      </c>
      <c r="I70" s="21">
        <f t="shared" si="1"/>
        <v>2387.19</v>
      </c>
      <c r="J70" s="35">
        <f>SUM(I70:I73)</f>
        <v>10948.11</v>
      </c>
      <c r="K70" s="35" t="s">
        <v>122</v>
      </c>
      <c r="L70" s="8" t="s">
        <v>4</v>
      </c>
      <c r="M70" s="22" t="str">
        <f>VLOOKUP(H70, Intervalos!$B$3:$C$8,2,TRUE)</f>
        <v>0,10%</v>
      </c>
      <c r="Q70" s="27"/>
    </row>
    <row r="71" spans="1:17" s="17" customFormat="1" ht="67.5" x14ac:dyDescent="0.2">
      <c r="A71" s="33"/>
      <c r="B71" s="18">
        <v>66</v>
      </c>
      <c r="C71" s="19" t="s">
        <v>117</v>
      </c>
      <c r="D71" s="19" t="s">
        <v>100</v>
      </c>
      <c r="E71" s="20">
        <v>458741</v>
      </c>
      <c r="F71" s="19" t="s">
        <v>123</v>
      </c>
      <c r="G71" s="19">
        <v>20</v>
      </c>
      <c r="H71" s="31">
        <v>59.09</v>
      </c>
      <c r="I71" s="21">
        <f t="shared" si="1"/>
        <v>1181.8000000000002</v>
      </c>
      <c r="J71" s="36"/>
      <c r="K71" s="36"/>
      <c r="L71" s="8" t="s">
        <v>4</v>
      </c>
      <c r="M71" s="22">
        <f>VLOOKUP(H71, Intervalos!$B$3:$C$8,2,TRUE)</f>
        <v>0.1</v>
      </c>
      <c r="Q71" s="27"/>
    </row>
    <row r="72" spans="1:17" s="17" customFormat="1" ht="56.25" x14ac:dyDescent="0.2">
      <c r="A72" s="33"/>
      <c r="B72" s="18">
        <v>67</v>
      </c>
      <c r="C72" s="19" t="s">
        <v>77</v>
      </c>
      <c r="D72" s="19" t="s">
        <v>100</v>
      </c>
      <c r="E72" s="20">
        <v>445337</v>
      </c>
      <c r="F72" s="19" t="s">
        <v>123</v>
      </c>
      <c r="G72" s="19">
        <v>57</v>
      </c>
      <c r="H72" s="31">
        <v>64.540000000000006</v>
      </c>
      <c r="I72" s="21">
        <f t="shared" si="1"/>
        <v>3678.78</v>
      </c>
      <c r="J72" s="36"/>
      <c r="K72" s="36"/>
      <c r="L72" s="8" t="s">
        <v>4</v>
      </c>
      <c r="M72" s="22">
        <f>VLOOKUP(H72, Intervalos!$B$3:$C$8,2,TRUE)</f>
        <v>0.1</v>
      </c>
      <c r="Q72" s="27"/>
    </row>
    <row r="73" spans="1:17" s="16" customFormat="1" ht="56.25" x14ac:dyDescent="0.2">
      <c r="A73" s="34"/>
      <c r="B73" s="18">
        <v>68</v>
      </c>
      <c r="C73" s="19" t="s">
        <v>78</v>
      </c>
      <c r="D73" s="19" t="s">
        <v>100</v>
      </c>
      <c r="E73" s="20">
        <v>261258</v>
      </c>
      <c r="F73" s="19" t="s">
        <v>123</v>
      </c>
      <c r="G73" s="19">
        <f>5+9</f>
        <v>14</v>
      </c>
      <c r="H73" s="31">
        <v>264.31</v>
      </c>
      <c r="I73" s="21">
        <f t="shared" si="1"/>
        <v>3700.34</v>
      </c>
      <c r="J73" s="37"/>
      <c r="K73" s="37"/>
      <c r="L73" s="8" t="s">
        <v>4</v>
      </c>
      <c r="M73" s="22" t="str">
        <f>VLOOKUP(H73, Intervalos!$B$3:$C$8,2,TRUE)</f>
        <v>0,10%</v>
      </c>
      <c r="Q73" s="27"/>
    </row>
    <row r="74" spans="1:17" s="28" customFormat="1" ht="67.5" x14ac:dyDescent="0.2">
      <c r="A74" s="18" t="s">
        <v>121</v>
      </c>
      <c r="B74" s="18">
        <v>69</v>
      </c>
      <c r="C74" s="19" t="s">
        <v>120</v>
      </c>
      <c r="D74" s="19" t="s">
        <v>96</v>
      </c>
      <c r="E74" s="20">
        <v>381978</v>
      </c>
      <c r="F74" s="19" t="s">
        <v>123</v>
      </c>
      <c r="G74" s="19">
        <f>300*2.5</f>
        <v>750</v>
      </c>
      <c r="H74" s="31">
        <v>1.1200000000000001</v>
      </c>
      <c r="I74" s="21">
        <f t="shared" si="1"/>
        <v>840.00000000000011</v>
      </c>
      <c r="J74" s="21" t="s">
        <v>121</v>
      </c>
      <c r="K74" s="21" t="s">
        <v>122</v>
      </c>
      <c r="L74" s="23" t="s">
        <v>4</v>
      </c>
      <c r="M74" s="22">
        <f>VLOOKUP(H74, Intervalos!$B$3:$C$8,2,TRUE)</f>
        <v>0.01</v>
      </c>
      <c r="Q74" s="29"/>
    </row>
    <row r="75" spans="1:17" s="16" customFormat="1" ht="67.5" x14ac:dyDescent="0.2">
      <c r="A75" s="18" t="s">
        <v>121</v>
      </c>
      <c r="B75" s="18">
        <v>70</v>
      </c>
      <c r="C75" s="19" t="s">
        <v>103</v>
      </c>
      <c r="D75" s="19" t="s">
        <v>96</v>
      </c>
      <c r="E75" s="20">
        <v>353054</v>
      </c>
      <c r="F75" s="19" t="s">
        <v>123</v>
      </c>
      <c r="G75" s="19">
        <v>200</v>
      </c>
      <c r="H75" s="31">
        <v>0.99</v>
      </c>
      <c r="I75" s="21">
        <f t="shared" si="1"/>
        <v>198</v>
      </c>
      <c r="J75" s="21" t="s">
        <v>121</v>
      </c>
      <c r="K75" s="30" t="s">
        <v>125</v>
      </c>
      <c r="L75" s="8" t="s">
        <v>4</v>
      </c>
      <c r="M75" s="22">
        <f>VLOOKUP(H75, Intervalos!$B$3:$C$8,2,TRUE)</f>
        <v>0.01</v>
      </c>
      <c r="Q75" s="27"/>
    </row>
    <row r="76" spans="1:17" s="16" customFormat="1" ht="56.25" x14ac:dyDescent="0.2">
      <c r="A76" s="18" t="s">
        <v>121</v>
      </c>
      <c r="B76" s="18">
        <v>71</v>
      </c>
      <c r="C76" s="19" t="s">
        <v>81</v>
      </c>
      <c r="D76" s="19" t="s">
        <v>96</v>
      </c>
      <c r="E76" s="20">
        <v>412490</v>
      </c>
      <c r="F76" s="19" t="s">
        <v>123</v>
      </c>
      <c r="G76" s="19">
        <v>1500</v>
      </c>
      <c r="H76" s="31">
        <v>5.28</v>
      </c>
      <c r="I76" s="21">
        <f>G76*H76</f>
        <v>7920</v>
      </c>
      <c r="J76" s="21" t="s">
        <v>121</v>
      </c>
      <c r="K76" s="30" t="s">
        <v>125</v>
      </c>
      <c r="L76" s="8" t="s">
        <v>4</v>
      </c>
      <c r="M76" s="22">
        <f>VLOOKUP(H76, Intervalos!$B$3:$C$8,2,TRUE)</f>
        <v>0.02</v>
      </c>
      <c r="Q76" s="27"/>
    </row>
    <row r="77" spans="1:17" s="16" customFormat="1" ht="67.5" x14ac:dyDescent="0.2">
      <c r="A77" s="32">
        <v>14</v>
      </c>
      <c r="B77" s="18">
        <v>72</v>
      </c>
      <c r="C77" s="19" t="s">
        <v>79</v>
      </c>
      <c r="D77" s="19" t="s">
        <v>96</v>
      </c>
      <c r="E77" s="20">
        <v>359282</v>
      </c>
      <c r="F77" s="19" t="s">
        <v>123</v>
      </c>
      <c r="G77" s="19">
        <f>8*500</f>
        <v>4000</v>
      </c>
      <c r="H77" s="31">
        <v>0.08</v>
      </c>
      <c r="I77" s="21">
        <f t="shared" si="1"/>
        <v>320</v>
      </c>
      <c r="J77" s="35">
        <f>SUM(I77:I79)</f>
        <v>1785</v>
      </c>
      <c r="K77" s="38" t="s">
        <v>125</v>
      </c>
      <c r="L77" s="8" t="s">
        <v>4</v>
      </c>
      <c r="M77" s="22">
        <f>VLOOKUP(H77, Intervalos!$B$3:$C$8,2,TRUE)</f>
        <v>0.01</v>
      </c>
      <c r="Q77" s="27"/>
    </row>
    <row r="78" spans="1:17" s="16" customFormat="1" ht="56.25" x14ac:dyDescent="0.2">
      <c r="A78" s="33"/>
      <c r="B78" s="18">
        <v>73</v>
      </c>
      <c r="C78" s="19" t="s">
        <v>80</v>
      </c>
      <c r="D78" s="19" t="s">
        <v>96</v>
      </c>
      <c r="E78" s="20">
        <v>345770</v>
      </c>
      <c r="F78" s="19" t="s">
        <v>123</v>
      </c>
      <c r="G78" s="19">
        <v>5500</v>
      </c>
      <c r="H78" s="31">
        <v>0.19</v>
      </c>
      <c r="I78" s="21">
        <f t="shared" si="1"/>
        <v>1045</v>
      </c>
      <c r="J78" s="36"/>
      <c r="K78" s="39"/>
      <c r="L78" s="8" t="s">
        <v>4</v>
      </c>
      <c r="M78" s="22">
        <f>VLOOKUP(H78, Intervalos!$B$3:$C$8,2,TRUE)</f>
        <v>0.01</v>
      </c>
      <c r="Q78" s="27"/>
    </row>
    <row r="79" spans="1:17" s="16" customFormat="1" ht="56.25" x14ac:dyDescent="0.2">
      <c r="A79" s="34"/>
      <c r="B79" s="18">
        <v>74</v>
      </c>
      <c r="C79" s="19" t="s">
        <v>82</v>
      </c>
      <c r="D79" s="19" t="s">
        <v>96</v>
      </c>
      <c r="E79" s="20">
        <v>437245</v>
      </c>
      <c r="F79" s="19" t="s">
        <v>123</v>
      </c>
      <c r="G79" s="19">
        <v>6000</v>
      </c>
      <c r="H79" s="31">
        <v>7.0000000000000007E-2</v>
      </c>
      <c r="I79" s="21">
        <f t="shared" si="1"/>
        <v>420.00000000000006</v>
      </c>
      <c r="J79" s="37"/>
      <c r="K79" s="40"/>
      <c r="L79" s="8" t="s">
        <v>4</v>
      </c>
      <c r="M79" s="22">
        <f>VLOOKUP(H79, Intervalos!$B$3:$C$8,2,TRUE)</f>
        <v>0.01</v>
      </c>
      <c r="Q79" s="27"/>
    </row>
    <row r="80" spans="1:17" s="16" customFormat="1" ht="56.25" x14ac:dyDescent="0.2">
      <c r="A80" s="32">
        <v>15</v>
      </c>
      <c r="B80" s="18">
        <v>75</v>
      </c>
      <c r="C80" s="19" t="s">
        <v>83</v>
      </c>
      <c r="D80" s="19" t="s">
        <v>96</v>
      </c>
      <c r="E80" s="20">
        <v>437241</v>
      </c>
      <c r="F80" s="19" t="s">
        <v>123</v>
      </c>
      <c r="G80" s="19">
        <v>2000</v>
      </c>
      <c r="H80" s="31">
        <v>0.27</v>
      </c>
      <c r="I80" s="21">
        <f t="shared" si="1"/>
        <v>540</v>
      </c>
      <c r="J80" s="35">
        <f>SUM(I80:I82)</f>
        <v>1750</v>
      </c>
      <c r="K80" s="38" t="s">
        <v>125</v>
      </c>
      <c r="L80" s="8" t="s">
        <v>4</v>
      </c>
      <c r="M80" s="22">
        <f>VLOOKUP(H80, Intervalos!$B$3:$C$8,2,TRUE)</f>
        <v>0.01</v>
      </c>
      <c r="Q80" s="27"/>
    </row>
    <row r="81" spans="1:17" s="16" customFormat="1" ht="56.25" x14ac:dyDescent="0.2">
      <c r="A81" s="33"/>
      <c r="B81" s="18">
        <v>76</v>
      </c>
      <c r="C81" s="19" t="s">
        <v>84</v>
      </c>
      <c r="D81" s="19" t="s">
        <v>96</v>
      </c>
      <c r="E81" s="20">
        <v>352214</v>
      </c>
      <c r="F81" s="19" t="s">
        <v>123</v>
      </c>
      <c r="G81" s="19">
        <v>3500</v>
      </c>
      <c r="H81" s="31">
        <v>0.26</v>
      </c>
      <c r="I81" s="21">
        <f t="shared" si="1"/>
        <v>910</v>
      </c>
      <c r="J81" s="36"/>
      <c r="K81" s="39"/>
      <c r="L81" s="8" t="s">
        <v>4</v>
      </c>
      <c r="M81" s="22">
        <f>VLOOKUP(H81, Intervalos!$B$3:$C$8,2,TRUE)</f>
        <v>0.01</v>
      </c>
      <c r="Q81" s="27"/>
    </row>
    <row r="82" spans="1:17" s="16" customFormat="1" ht="56.25" x14ac:dyDescent="0.2">
      <c r="A82" s="34"/>
      <c r="B82" s="18">
        <v>77</v>
      </c>
      <c r="C82" s="19" t="s">
        <v>85</v>
      </c>
      <c r="D82" s="19" t="s">
        <v>96</v>
      </c>
      <c r="E82" s="20">
        <v>359284</v>
      </c>
      <c r="F82" s="19" t="s">
        <v>123</v>
      </c>
      <c r="G82" s="19">
        <v>1500</v>
      </c>
      <c r="H82" s="31">
        <v>0.2</v>
      </c>
      <c r="I82" s="21">
        <f t="shared" si="1"/>
        <v>300</v>
      </c>
      <c r="J82" s="37"/>
      <c r="K82" s="40"/>
      <c r="L82" s="8" t="s">
        <v>4</v>
      </c>
      <c r="M82" s="22">
        <f>VLOOKUP(H82, Intervalos!$B$3:$C$8,2,TRUE)</f>
        <v>0.01</v>
      </c>
      <c r="Q82" s="27"/>
    </row>
    <row r="83" spans="1:17" s="16" customFormat="1" ht="56.25" x14ac:dyDescent="0.2">
      <c r="A83" s="32">
        <v>16</v>
      </c>
      <c r="B83" s="18">
        <v>78</v>
      </c>
      <c r="C83" s="19" t="s">
        <v>86</v>
      </c>
      <c r="D83" s="19" t="s">
        <v>96</v>
      </c>
      <c r="E83" s="20">
        <v>357865</v>
      </c>
      <c r="F83" s="19" t="s">
        <v>123</v>
      </c>
      <c r="G83" s="19">
        <v>1500</v>
      </c>
      <c r="H83" s="31">
        <v>0.19</v>
      </c>
      <c r="I83" s="21">
        <f t="shared" si="1"/>
        <v>285</v>
      </c>
      <c r="J83" s="35">
        <f>SUM(I83:I86)</f>
        <v>1700.3</v>
      </c>
      <c r="K83" s="35" t="s">
        <v>122</v>
      </c>
      <c r="L83" s="8" t="s">
        <v>4</v>
      </c>
      <c r="M83" s="22">
        <f>VLOOKUP(H83, Intervalos!$B$3:$C$8,2,TRUE)</f>
        <v>0.01</v>
      </c>
      <c r="Q83" s="27"/>
    </row>
    <row r="84" spans="1:17" s="16" customFormat="1" ht="56.25" x14ac:dyDescent="0.2">
      <c r="A84" s="33"/>
      <c r="B84" s="18">
        <v>79</v>
      </c>
      <c r="C84" s="19" t="s">
        <v>87</v>
      </c>
      <c r="D84" s="19" t="s">
        <v>96</v>
      </c>
      <c r="E84" s="20">
        <v>380910</v>
      </c>
      <c r="F84" s="19" t="s">
        <v>123</v>
      </c>
      <c r="G84" s="19">
        <v>7500</v>
      </c>
      <c r="H84" s="31">
        <v>0.08</v>
      </c>
      <c r="I84" s="21">
        <f t="shared" si="1"/>
        <v>600</v>
      </c>
      <c r="J84" s="36"/>
      <c r="K84" s="36"/>
      <c r="L84" s="8" t="s">
        <v>4</v>
      </c>
      <c r="M84" s="22">
        <f>VLOOKUP(H84, Intervalos!$B$3:$C$8,2,TRUE)</f>
        <v>0.01</v>
      </c>
      <c r="Q84" s="27"/>
    </row>
    <row r="85" spans="1:17" s="16" customFormat="1" ht="56.25" x14ac:dyDescent="0.2">
      <c r="A85" s="33"/>
      <c r="B85" s="18">
        <v>80</v>
      </c>
      <c r="C85" s="19" t="s">
        <v>88</v>
      </c>
      <c r="D85" s="19" t="s">
        <v>111</v>
      </c>
      <c r="E85" s="20">
        <v>369003</v>
      </c>
      <c r="F85" s="19" t="s">
        <v>123</v>
      </c>
      <c r="G85" s="19">
        <v>10</v>
      </c>
      <c r="H85" s="31">
        <v>50.03</v>
      </c>
      <c r="I85" s="21">
        <f t="shared" si="1"/>
        <v>500.3</v>
      </c>
      <c r="J85" s="36"/>
      <c r="K85" s="36"/>
      <c r="L85" s="8" t="s">
        <v>4</v>
      </c>
      <c r="M85" s="22">
        <f>VLOOKUP(H85, Intervalos!$B$3:$C$8,2,TRUE)</f>
        <v>0.1</v>
      </c>
      <c r="Q85" s="27"/>
    </row>
    <row r="86" spans="1:17" s="16" customFormat="1" ht="56.25" x14ac:dyDescent="0.2">
      <c r="A86" s="34"/>
      <c r="B86" s="18">
        <v>81</v>
      </c>
      <c r="C86" s="19" t="s">
        <v>89</v>
      </c>
      <c r="D86" s="19" t="s">
        <v>96</v>
      </c>
      <c r="E86" s="20">
        <v>346778</v>
      </c>
      <c r="F86" s="19" t="s">
        <v>123</v>
      </c>
      <c r="G86" s="19">
        <v>4500</v>
      </c>
      <c r="H86" s="31">
        <v>7.0000000000000007E-2</v>
      </c>
      <c r="I86" s="21">
        <f t="shared" si="1"/>
        <v>315.00000000000006</v>
      </c>
      <c r="J86" s="37"/>
      <c r="K86" s="37"/>
      <c r="L86" s="8" t="s">
        <v>4</v>
      </c>
      <c r="M86" s="22">
        <f>VLOOKUP(H86, Intervalos!$B$3:$C$8,2,TRUE)</f>
        <v>0.01</v>
      </c>
      <c r="Q86" s="27"/>
    </row>
    <row r="87" spans="1:17" s="16" customFormat="1" ht="45" x14ac:dyDescent="0.2">
      <c r="A87" s="18" t="s">
        <v>121</v>
      </c>
      <c r="B87" s="18">
        <v>82</v>
      </c>
      <c r="C87" s="19" t="s">
        <v>101</v>
      </c>
      <c r="D87" s="19" t="s">
        <v>102</v>
      </c>
      <c r="E87" s="20">
        <v>360413</v>
      </c>
      <c r="F87" s="19" t="s">
        <v>123</v>
      </c>
      <c r="G87" s="19">
        <v>10</v>
      </c>
      <c r="H87" s="31">
        <v>168.19</v>
      </c>
      <c r="I87" s="21">
        <f t="shared" si="1"/>
        <v>1681.9</v>
      </c>
      <c r="J87" s="21" t="s">
        <v>121</v>
      </c>
      <c r="K87" s="30" t="s">
        <v>125</v>
      </c>
      <c r="L87" s="8" t="s">
        <v>4</v>
      </c>
      <c r="M87" s="22" t="str">
        <f>VLOOKUP(H87, Intervalos!$B$3:$C$8,2,TRUE)</f>
        <v>0,10%</v>
      </c>
      <c r="Q87" s="27"/>
    </row>
    <row r="88" spans="1:17" s="16" customFormat="1" ht="56.25" x14ac:dyDescent="0.2">
      <c r="A88" s="18" t="s">
        <v>121</v>
      </c>
      <c r="B88" s="18">
        <v>83</v>
      </c>
      <c r="C88" s="19" t="s">
        <v>90</v>
      </c>
      <c r="D88" s="19" t="s">
        <v>96</v>
      </c>
      <c r="E88" s="20">
        <v>360392</v>
      </c>
      <c r="F88" s="19" t="s">
        <v>123</v>
      </c>
      <c r="G88" s="19">
        <v>1500</v>
      </c>
      <c r="H88" s="31">
        <v>0.33</v>
      </c>
      <c r="I88" s="21">
        <f t="shared" si="1"/>
        <v>495</v>
      </c>
      <c r="J88" s="21" t="s">
        <v>121</v>
      </c>
      <c r="K88" s="21" t="s">
        <v>122</v>
      </c>
      <c r="L88" s="8" t="s">
        <v>4</v>
      </c>
      <c r="M88" s="22">
        <f>VLOOKUP(H88, Intervalos!$B$3:$C$8,2,TRUE)</f>
        <v>0.01</v>
      </c>
      <c r="Q88" s="27"/>
    </row>
    <row r="89" spans="1:17" s="16" customFormat="1" ht="45" x14ac:dyDescent="0.2">
      <c r="A89" s="18" t="s">
        <v>121</v>
      </c>
      <c r="B89" s="18">
        <v>84</v>
      </c>
      <c r="C89" s="19" t="s">
        <v>91</v>
      </c>
      <c r="D89" s="19" t="s">
        <v>96</v>
      </c>
      <c r="E89" s="20">
        <v>369004</v>
      </c>
      <c r="F89" s="19" t="s">
        <v>123</v>
      </c>
      <c r="G89" s="19">
        <f>3*25</f>
        <v>75</v>
      </c>
      <c r="H89" s="31">
        <v>21.6</v>
      </c>
      <c r="I89" s="21">
        <f t="shared" si="1"/>
        <v>1620</v>
      </c>
      <c r="J89" s="21" t="s">
        <v>121</v>
      </c>
      <c r="K89" s="21" t="s">
        <v>122</v>
      </c>
      <c r="L89" s="8" t="s">
        <v>4</v>
      </c>
      <c r="M89" s="22">
        <f>VLOOKUP(H89, Intervalos!$B$3:$C$8,2,TRUE)</f>
        <v>0.05</v>
      </c>
      <c r="Q89" s="27"/>
    </row>
    <row r="90" spans="1:17" s="16" customFormat="1" ht="56.25" x14ac:dyDescent="0.2">
      <c r="A90" s="33">
        <v>17</v>
      </c>
      <c r="B90" s="18">
        <v>85</v>
      </c>
      <c r="C90" s="19" t="s">
        <v>92</v>
      </c>
      <c r="D90" s="19" t="s">
        <v>96</v>
      </c>
      <c r="E90" s="20">
        <v>437627</v>
      </c>
      <c r="F90" s="19" t="s">
        <v>123</v>
      </c>
      <c r="G90" s="19">
        <v>3500</v>
      </c>
      <c r="H90" s="31">
        <v>0.32</v>
      </c>
      <c r="I90" s="21">
        <f t="shared" si="1"/>
        <v>1120</v>
      </c>
      <c r="J90" s="36">
        <f>SUM(I90:I92)</f>
        <v>1650</v>
      </c>
      <c r="K90" s="36" t="s">
        <v>122</v>
      </c>
      <c r="L90" s="8" t="s">
        <v>4</v>
      </c>
      <c r="M90" s="22">
        <f>VLOOKUP(H90, Intervalos!$B$3:$C$8,2,TRUE)</f>
        <v>0.01</v>
      </c>
      <c r="Q90" s="27"/>
    </row>
    <row r="91" spans="1:17" s="16" customFormat="1" ht="56.25" x14ac:dyDescent="0.2">
      <c r="A91" s="33"/>
      <c r="B91" s="18">
        <v>86</v>
      </c>
      <c r="C91" s="19" t="s">
        <v>93</v>
      </c>
      <c r="D91" s="19" t="s">
        <v>96</v>
      </c>
      <c r="E91" s="20">
        <v>347745</v>
      </c>
      <c r="F91" s="19" t="s">
        <v>123</v>
      </c>
      <c r="G91" s="19">
        <v>1000</v>
      </c>
      <c r="H91" s="31">
        <v>0.28999999999999998</v>
      </c>
      <c r="I91" s="21">
        <f t="shared" si="1"/>
        <v>290</v>
      </c>
      <c r="J91" s="36"/>
      <c r="K91" s="36"/>
      <c r="L91" s="8" t="s">
        <v>4</v>
      </c>
      <c r="M91" s="22">
        <f>VLOOKUP(H91, Intervalos!$B$3:$C$8,2,TRUE)</f>
        <v>0.01</v>
      </c>
      <c r="Q91" s="27"/>
    </row>
    <row r="92" spans="1:17" s="16" customFormat="1" ht="56.25" x14ac:dyDescent="0.2">
      <c r="A92" s="34"/>
      <c r="B92" s="18">
        <v>87</v>
      </c>
      <c r="C92" s="19" t="s">
        <v>94</v>
      </c>
      <c r="D92" s="19" t="s">
        <v>96</v>
      </c>
      <c r="E92" s="20">
        <v>347747</v>
      </c>
      <c r="F92" s="19" t="s">
        <v>123</v>
      </c>
      <c r="G92" s="19">
        <v>4000</v>
      </c>
      <c r="H92" s="31">
        <v>0.06</v>
      </c>
      <c r="I92" s="21">
        <f t="shared" si="1"/>
        <v>240</v>
      </c>
      <c r="J92" s="37"/>
      <c r="K92" s="37"/>
      <c r="L92" s="8" t="s">
        <v>4</v>
      </c>
      <c r="M92" s="22">
        <f>VLOOKUP(H92, Intervalos!$B$3:$C$8,2,TRUE)</f>
        <v>0.01</v>
      </c>
      <c r="Q92" s="27"/>
    </row>
    <row r="93" spans="1:17" s="16" customFormat="1" ht="56.25" x14ac:dyDescent="0.2">
      <c r="A93" s="25" t="s">
        <v>121</v>
      </c>
      <c r="B93" s="18">
        <v>88</v>
      </c>
      <c r="C93" s="19" t="s">
        <v>95</v>
      </c>
      <c r="D93" s="19" t="s">
        <v>96</v>
      </c>
      <c r="E93" s="20">
        <v>347685</v>
      </c>
      <c r="F93" s="19" t="s">
        <v>123</v>
      </c>
      <c r="G93" s="19">
        <v>750</v>
      </c>
      <c r="H93" s="31">
        <v>0.38</v>
      </c>
      <c r="I93" s="21">
        <f t="shared" si="1"/>
        <v>285</v>
      </c>
      <c r="J93" s="26" t="s">
        <v>121</v>
      </c>
      <c r="K93" s="26" t="s">
        <v>122</v>
      </c>
      <c r="L93" s="8" t="s">
        <v>4</v>
      </c>
      <c r="M93" s="22">
        <f>VLOOKUP(H93, Intervalos!$B$3:$C$8,2,TRUE)</f>
        <v>0.01</v>
      </c>
      <c r="Q93" s="27"/>
    </row>
    <row r="94" spans="1:17" ht="29.25" customHeight="1" x14ac:dyDescent="0.2">
      <c r="H94" s="6" t="s">
        <v>6</v>
      </c>
      <c r="I94" s="9">
        <f>SUM(I6:I93)</f>
        <v>224331.03999999998</v>
      </c>
    </row>
    <row r="95" spans="1:17" ht="29.25" customHeight="1" x14ac:dyDescent="0.2"/>
  </sheetData>
  <mergeCells count="54">
    <mergeCell ref="A40:A45"/>
    <mergeCell ref="A12:A15"/>
    <mergeCell ref="J12:J15"/>
    <mergeCell ref="K12:K15"/>
    <mergeCell ref="A35:A36"/>
    <mergeCell ref="J35:J36"/>
    <mergeCell ref="K35:K36"/>
    <mergeCell ref="A26:A28"/>
    <mergeCell ref="J26:J28"/>
    <mergeCell ref="K26:K28"/>
    <mergeCell ref="A22:A25"/>
    <mergeCell ref="J22:J25"/>
    <mergeCell ref="K22:K25"/>
    <mergeCell ref="A17:A21"/>
    <mergeCell ref="J17:J21"/>
    <mergeCell ref="K17:K21"/>
    <mergeCell ref="A50:A51"/>
    <mergeCell ref="J50:J51"/>
    <mergeCell ref="K50:K51"/>
    <mergeCell ref="A46:A48"/>
    <mergeCell ref="J46:J48"/>
    <mergeCell ref="K46:K48"/>
    <mergeCell ref="A1:M1"/>
    <mergeCell ref="A2:M2"/>
    <mergeCell ref="A3:M3"/>
    <mergeCell ref="A90:A92"/>
    <mergeCell ref="J90:J92"/>
    <mergeCell ref="K90:K92"/>
    <mergeCell ref="A83:A86"/>
    <mergeCell ref="J83:J86"/>
    <mergeCell ref="K83:K86"/>
    <mergeCell ref="A80:A82"/>
    <mergeCell ref="J80:J82"/>
    <mergeCell ref="K80:K82"/>
    <mergeCell ref="A65:A67"/>
    <mergeCell ref="J65:J67"/>
    <mergeCell ref="K65:K67"/>
    <mergeCell ref="A61:A62"/>
    <mergeCell ref="A77:A79"/>
    <mergeCell ref="J77:J79"/>
    <mergeCell ref="K77:K79"/>
    <mergeCell ref="J40:J45"/>
    <mergeCell ref="K40:K45"/>
    <mergeCell ref="A70:A73"/>
    <mergeCell ref="J70:J73"/>
    <mergeCell ref="K70:K73"/>
    <mergeCell ref="J61:J62"/>
    <mergeCell ref="K61:K62"/>
    <mergeCell ref="A56:A59"/>
    <mergeCell ref="J56:J59"/>
    <mergeCell ref="K56:K59"/>
    <mergeCell ref="A53:A55"/>
    <mergeCell ref="J53:J55"/>
    <mergeCell ref="K53:K55"/>
  </mergeCells>
  <pageMargins left="0.23622047244094491" right="0.23622047244094491" top="0.74803149606299213" bottom="0.74803149606299213" header="0.31496062992125984" footer="0.31496062992125984"/>
  <pageSetup paperSize="9" scale="62" fitToHeight="0" orientation="landscape" r:id="rId1"/>
  <headerFooter>
    <oddHeader>&amp;L&amp;G&amp;CPREGÃO ELETRÔNICO 90019/2025 
&amp;R&amp;G</oddHeader>
    <oddFooter>&amp;L&amp;"-,Itálico"&amp;9ANEXO III - PLANILHA ESTIMATIVA DE QUANTIDADE E PREÇO&amp;R&amp;9&amp;P/&amp;N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9"/>
  <sheetViews>
    <sheetView workbookViewId="0">
      <selection activeCell="C3" sqref="C3"/>
    </sheetView>
  </sheetViews>
  <sheetFormatPr defaultColWidth="0" defaultRowHeight="15" zeroHeight="1" x14ac:dyDescent="0.25"/>
  <cols>
    <col min="1" max="1" width="2.42578125" customWidth="1"/>
    <col min="2" max="2" width="12.85546875" customWidth="1"/>
    <col min="3" max="3" width="17.7109375" customWidth="1"/>
    <col min="4" max="4" width="3.140625" customWidth="1"/>
    <col min="5" max="5" width="27" customWidth="1"/>
    <col min="6" max="6" width="4" customWidth="1"/>
    <col min="7" max="16384" width="9.140625" hidden="1"/>
  </cols>
  <sheetData>
    <row r="1" spans="2:5" ht="10.5" customHeight="1" x14ac:dyDescent="0.25"/>
    <row r="2" spans="2:5" ht="63" customHeight="1" x14ac:dyDescent="0.25">
      <c r="B2" s="12" t="s">
        <v>8</v>
      </c>
      <c r="C2" s="12" t="s">
        <v>7</v>
      </c>
      <c r="E2" s="13" t="s">
        <v>10</v>
      </c>
    </row>
    <row r="3" spans="2:5" x14ac:dyDescent="0.25">
      <c r="B3" s="11">
        <v>0.01</v>
      </c>
      <c r="C3" s="10">
        <v>0.01</v>
      </c>
      <c r="E3" s="14" t="s">
        <v>11</v>
      </c>
    </row>
    <row r="4" spans="2:5" x14ac:dyDescent="0.25">
      <c r="B4" s="10">
        <v>5</v>
      </c>
      <c r="C4" s="10">
        <v>0.02</v>
      </c>
      <c r="E4" s="14" t="s">
        <v>12</v>
      </c>
    </row>
    <row r="5" spans="2:5" x14ac:dyDescent="0.25">
      <c r="B5" s="10">
        <v>10</v>
      </c>
      <c r="C5" s="10">
        <v>0.03</v>
      </c>
      <c r="E5" s="14" t="s">
        <v>13</v>
      </c>
    </row>
    <row r="6" spans="2:5" x14ac:dyDescent="0.25">
      <c r="B6" s="10">
        <v>20</v>
      </c>
      <c r="C6" s="10">
        <v>0.05</v>
      </c>
      <c r="E6" s="14" t="s">
        <v>14</v>
      </c>
    </row>
    <row r="7" spans="2:5" x14ac:dyDescent="0.25">
      <c r="B7" s="10">
        <v>50</v>
      </c>
      <c r="C7" s="10">
        <v>0.1</v>
      </c>
      <c r="E7" s="14" t="s">
        <v>15</v>
      </c>
    </row>
    <row r="8" spans="2:5" x14ac:dyDescent="0.25">
      <c r="B8" s="10">
        <v>100</v>
      </c>
      <c r="C8" s="15" t="s">
        <v>9</v>
      </c>
      <c r="E8" s="14" t="s">
        <v>16</v>
      </c>
    </row>
    <row r="9" spans="2:5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Anexo III</vt:lpstr>
      <vt:lpstr>Intervalos</vt:lpstr>
      <vt:lpstr>'Anexo III'!Area_de_impressao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Viviane Lemos</cp:lastModifiedBy>
  <cp:lastPrinted>2025-03-10T17:06:01Z</cp:lastPrinted>
  <dcterms:created xsi:type="dcterms:W3CDTF">2019-07-30T23:05:19Z</dcterms:created>
  <dcterms:modified xsi:type="dcterms:W3CDTF">2025-03-11T12:46:06Z</dcterms:modified>
</cp:coreProperties>
</file>