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tabRatio="849" firstSheet="13" activeTab="17"/>
  </bookViews>
  <sheets>
    <sheet name="MENU PLANILHA" sheetId="7" r:id="rId1"/>
    <sheet name="An IIA Distribuição Postos" sheetId="3" r:id="rId2"/>
    <sheet name="An IIB Relação das Unidades" sheetId="23" r:id="rId3"/>
    <sheet name="An IIC1 Uniformes Item 1" sheetId="6" r:id="rId4"/>
    <sheet name="An IIC2 Uniformes Item2" sheetId="32" r:id="rId5"/>
    <sheet name="An IID Equip Item 1" sheetId="20" r:id="rId6"/>
    <sheet name="An IIE Equip Item 2" sheetId="31" r:id="rId7"/>
    <sheet name="An IIF Dist. Equip." sheetId="27" r:id="rId8"/>
    <sheet name="An IIIA Item 1" sheetId="19" r:id="rId9"/>
    <sheet name="An IIIB Item 2" sheetId="30" r:id="rId10"/>
    <sheet name="Anexo IVA1 Custos DEMO Item 1" sheetId="1" r:id="rId11"/>
    <sheet name="Anexo IVA2 Custos DEMO Item 2" sheetId="33" r:id="rId12"/>
    <sheet name="Anexo IV B BDI Serviços" sheetId="28" r:id="rId13"/>
    <sheet name="Anexo IV C BDI Material" sheetId="29" r:id="rId14"/>
    <sheet name="Anexo IVD1 Eventuais Item 1" sheetId="25" r:id="rId15"/>
    <sheet name="Anexo IVD2 Eventuais Item 2" sheetId="34" r:id="rId16"/>
    <sheet name="Anexo IVE Custos Totais Item1" sheetId="24" r:id="rId17"/>
    <sheet name="Anexo IVE Custos Totais Item2" sheetId="35" r:id="rId18"/>
  </sheets>
  <definedNames>
    <definedName name="_xlnm._FilterDatabase" localSheetId="1" hidden="1">'An IIA Distribuição Postos'!#REF!</definedName>
    <definedName name="_xlnm._FilterDatabase" localSheetId="2" hidden="1">'An IIB Relação das Unidades'!#REF!</definedName>
    <definedName name="_xlnm._FilterDatabase" localSheetId="7" hidden="1">'An IIF Dist. Equip.'!#REF!</definedName>
    <definedName name="_xlnm.Print_Area" localSheetId="1">'An IIA Distribuição Postos'!$A$1:$I$11</definedName>
    <definedName name="_xlnm.Print_Area" localSheetId="5">'An IID Equip Item 1'!$A$1:$E$77</definedName>
    <definedName name="_xlnm.Print_Area" localSheetId="6">'An IIE Equip Item 2'!$A$1:$E$76</definedName>
    <definedName name="_xlnm.Print_Area" localSheetId="7">'An IIF Dist. Equip.'!$A$1:$H$150</definedName>
    <definedName name="_xlnm.Print_Area" localSheetId="10">'Anexo IVA1 Custos DEMO Item 1'!$A$1:$G$17</definedName>
    <definedName name="_xlnm.Print_Area" localSheetId="11">'Anexo IVA2 Custos DEMO Item 2'!$A$1:$G$13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Joao Paulo Moraes</author>
  </authors>
  <commentList>
    <comment ref="C9" authorId="0">
      <text>
        <r>
          <rPr>
            <b/>
            <sz val="9"/>
            <rFont val="Segoe UI"/>
            <charset val="134"/>
          </rPr>
          <t>O Custo Unitário pode ser alterado pela Licitante</t>
        </r>
        <r>
          <rPr>
            <sz val="9"/>
            <rFont val="Segoe UI"/>
            <charset val="134"/>
          </rPr>
          <t xml:space="preserve">
</t>
        </r>
      </text>
    </comment>
    <comment ref="D9" authorId="0">
      <text>
        <r>
          <rPr>
            <sz val="9"/>
            <rFont val="Segoe UI"/>
            <charset val="134"/>
          </rPr>
          <t>O Percentual de BDI pode ser alterado pela Licitante</t>
        </r>
      </text>
    </comment>
    <comment ref="E9" authorId="0">
      <text>
        <r>
          <rPr>
            <b/>
            <sz val="9"/>
            <rFont val="Segoe UI"/>
            <charset val="134"/>
          </rPr>
          <t>Fórmula Matemática - Custo-Hora X BDI</t>
        </r>
        <r>
          <rPr>
            <sz val="9"/>
            <rFont val="Segoe UI"/>
            <charset val="134"/>
          </rPr>
          <t xml:space="preserve">
</t>
        </r>
      </text>
    </comment>
    <comment ref="F9" authorId="0">
      <text>
        <r>
          <rPr>
            <b/>
            <sz val="9"/>
            <rFont val="Segoe UI"/>
            <charset val="134"/>
          </rPr>
          <t>Não poderá ser alterado a quantidade estimada pela Administração</t>
        </r>
        <r>
          <rPr>
            <sz val="9"/>
            <rFont val="Segoe UI"/>
            <charset val="134"/>
          </rPr>
          <t xml:space="preserve">
</t>
        </r>
      </text>
    </comment>
    <comment ref="G9" authorId="0">
      <text>
        <r>
          <rPr>
            <b/>
            <sz val="9"/>
            <rFont val="Segoe UI"/>
            <charset val="134"/>
          </rPr>
          <t>Não poderá ser alterado a quantidade estimada pela Administração</t>
        </r>
        <r>
          <rPr>
            <sz val="9"/>
            <rFont val="Segoe UI"/>
            <charset val="134"/>
          </rPr>
          <t xml:space="preserve">
</t>
        </r>
      </text>
    </comment>
    <comment ref="C17" authorId="0">
      <text>
        <r>
          <rPr>
            <b/>
            <sz val="9"/>
            <rFont val="Segoe UI"/>
            <charset val="134"/>
          </rPr>
          <t>O Custo Unitário pode ser alterado pela Licitante</t>
        </r>
        <r>
          <rPr>
            <sz val="9"/>
            <rFont val="Segoe UI"/>
            <charset val="134"/>
          </rPr>
          <t xml:space="preserve">
</t>
        </r>
      </text>
    </comment>
    <comment ref="D17" authorId="0">
      <text>
        <r>
          <rPr>
            <b/>
            <sz val="9"/>
            <rFont val="Segoe UI"/>
            <charset val="134"/>
          </rPr>
          <t>O Percentual de BDI pode ser alterado pela Licitante</t>
        </r>
        <r>
          <rPr>
            <sz val="9"/>
            <rFont val="Segoe UI"/>
            <charset val="134"/>
          </rPr>
          <t xml:space="preserve">
</t>
        </r>
      </text>
    </comment>
    <comment ref="E17" authorId="0">
      <text>
        <r>
          <rPr>
            <b/>
            <sz val="9"/>
            <rFont val="Segoe UI"/>
            <charset val="134"/>
          </rPr>
          <t>Fórmula Matemática - Custo Serviço X BDI</t>
        </r>
        <r>
          <rPr>
            <sz val="9"/>
            <rFont val="Segoe UI"/>
            <charset val="134"/>
          </rPr>
          <t xml:space="preserve">
</t>
        </r>
      </text>
    </comment>
    <comment ref="F17" authorId="0">
      <text>
        <r>
          <rPr>
            <b/>
            <sz val="9"/>
            <rFont val="Segoe UI"/>
            <charset val="134"/>
          </rPr>
          <t>Não poderá ser alterado a quantidade estimada pela Administração</t>
        </r>
        <r>
          <rPr>
            <sz val="9"/>
            <rFont val="Segoe UI"/>
            <charset val="134"/>
          </rPr>
          <t xml:space="preserve">
</t>
        </r>
      </text>
    </comment>
    <comment ref="C24" authorId="0">
      <text>
        <r>
          <rPr>
            <sz val="9"/>
            <rFont val="Segoe UI"/>
            <charset val="134"/>
          </rPr>
          <t xml:space="preserve">O Custo unitário mensal reflete 30% do custo com cessão de mão de obra.
</t>
        </r>
      </text>
    </comment>
    <comment ref="D24" authorId="0">
      <text>
        <r>
          <rPr>
            <b/>
            <sz val="9"/>
            <rFont val="Segoe UI"/>
            <charset val="134"/>
          </rPr>
          <t>O Percentual de Desconto nas peças pode ser alterado pela Licitante</t>
        </r>
        <r>
          <rPr>
            <sz val="9"/>
            <rFont val="Segoe UI"/>
            <charset val="134"/>
          </rPr>
          <t xml:space="preserve">
</t>
        </r>
      </text>
    </comment>
    <comment ref="E24" authorId="0">
      <text>
        <r>
          <rPr>
            <b/>
            <sz val="9"/>
            <rFont val="Segoe UI"/>
            <charset val="134"/>
          </rPr>
          <t>O Percentual de BDI pode ser alterado pela Licitante</t>
        </r>
        <r>
          <rPr>
            <sz val="9"/>
            <rFont val="Segoe UI"/>
            <charset val="134"/>
          </rPr>
          <t xml:space="preserve">
</t>
        </r>
      </text>
    </comment>
  </commentList>
</comments>
</file>

<file path=xl/comments2.xml><?xml version="1.0" encoding="utf-8"?>
<comments xmlns="http://schemas.openxmlformats.org/spreadsheetml/2006/main">
  <authors>
    <author>Joao Paulo Moraes</author>
  </authors>
  <commentList>
    <comment ref="C9" authorId="0">
      <text>
        <r>
          <rPr>
            <b/>
            <sz val="9"/>
            <rFont val="Segoe UI"/>
            <charset val="134"/>
          </rPr>
          <t>O Custo Unitário pode ser alterado pela Licitante</t>
        </r>
        <r>
          <rPr>
            <sz val="9"/>
            <rFont val="Segoe UI"/>
            <charset val="134"/>
          </rPr>
          <t xml:space="preserve">
</t>
        </r>
      </text>
    </comment>
    <comment ref="D9" authorId="0">
      <text>
        <r>
          <rPr>
            <sz val="9"/>
            <rFont val="Segoe UI"/>
            <charset val="134"/>
          </rPr>
          <t>O Percentual de BDI pode ser alterado pela Licitante</t>
        </r>
      </text>
    </comment>
    <comment ref="E9" authorId="0">
      <text>
        <r>
          <rPr>
            <b/>
            <sz val="9"/>
            <rFont val="Segoe UI"/>
            <charset val="134"/>
          </rPr>
          <t>Fórmula Matemática - Custo-Hora X BDI</t>
        </r>
        <r>
          <rPr>
            <sz val="9"/>
            <rFont val="Segoe UI"/>
            <charset val="134"/>
          </rPr>
          <t xml:space="preserve">
</t>
        </r>
      </text>
    </comment>
    <comment ref="F9" authorId="0">
      <text>
        <r>
          <rPr>
            <b/>
            <sz val="9"/>
            <rFont val="Segoe UI"/>
            <charset val="134"/>
          </rPr>
          <t>Não poderá ser alterado a quantidade estimada pela Administração</t>
        </r>
        <r>
          <rPr>
            <sz val="9"/>
            <rFont val="Segoe UI"/>
            <charset val="134"/>
          </rPr>
          <t xml:space="preserve">
</t>
        </r>
      </text>
    </comment>
    <comment ref="G9" authorId="0">
      <text>
        <r>
          <rPr>
            <b/>
            <sz val="9"/>
            <rFont val="Segoe UI"/>
            <charset val="134"/>
          </rPr>
          <t>Não poderá ser alterado a quantidade estimada pela Administração</t>
        </r>
        <r>
          <rPr>
            <sz val="9"/>
            <rFont val="Segoe UI"/>
            <charset val="134"/>
          </rPr>
          <t xml:space="preserve">
</t>
        </r>
      </text>
    </comment>
    <comment ref="C17" authorId="0">
      <text>
        <r>
          <rPr>
            <b/>
            <sz val="9"/>
            <rFont val="Segoe UI"/>
            <charset val="134"/>
          </rPr>
          <t>O Custo Unitário pode ser alterado pela Licitante</t>
        </r>
        <r>
          <rPr>
            <sz val="9"/>
            <rFont val="Segoe UI"/>
            <charset val="134"/>
          </rPr>
          <t xml:space="preserve">
</t>
        </r>
      </text>
    </comment>
    <comment ref="D17" authorId="0">
      <text>
        <r>
          <rPr>
            <b/>
            <sz val="9"/>
            <rFont val="Segoe UI"/>
            <charset val="134"/>
          </rPr>
          <t>O Percentual de BDI pode ser alterado pela Licitante</t>
        </r>
        <r>
          <rPr>
            <sz val="9"/>
            <rFont val="Segoe UI"/>
            <charset val="134"/>
          </rPr>
          <t xml:space="preserve">
</t>
        </r>
      </text>
    </comment>
    <comment ref="E17" authorId="0">
      <text>
        <r>
          <rPr>
            <b/>
            <sz val="9"/>
            <rFont val="Segoe UI"/>
            <charset val="134"/>
          </rPr>
          <t>Fórmula Matemática - Custo Serviço X BDI</t>
        </r>
        <r>
          <rPr>
            <sz val="9"/>
            <rFont val="Segoe UI"/>
            <charset val="134"/>
          </rPr>
          <t xml:space="preserve">
</t>
        </r>
      </text>
    </comment>
    <comment ref="F17" authorId="0">
      <text>
        <r>
          <rPr>
            <b/>
            <sz val="9"/>
            <rFont val="Segoe UI"/>
            <charset val="134"/>
          </rPr>
          <t>Não poderá ser alterado a quantidade estimada pela Administração</t>
        </r>
        <r>
          <rPr>
            <sz val="9"/>
            <rFont val="Segoe UI"/>
            <charset val="134"/>
          </rPr>
          <t xml:space="preserve">
</t>
        </r>
      </text>
    </comment>
    <comment ref="C24" authorId="0">
      <text>
        <r>
          <rPr>
            <sz val="9"/>
            <rFont val="Segoe UI"/>
            <charset val="134"/>
          </rPr>
          <t xml:space="preserve">O Custo unitário mensal reflete 30% do custo com cessão de mão de obra.
</t>
        </r>
      </text>
    </comment>
    <comment ref="D24" authorId="0">
      <text>
        <r>
          <rPr>
            <b/>
            <sz val="9"/>
            <rFont val="Segoe UI"/>
            <charset val="134"/>
          </rPr>
          <t>O Percentual de Desconto nas peças pode ser alterado pela Licitante</t>
        </r>
        <r>
          <rPr>
            <sz val="9"/>
            <rFont val="Segoe UI"/>
            <charset val="134"/>
          </rPr>
          <t xml:space="preserve">
</t>
        </r>
      </text>
    </comment>
    <comment ref="E24" authorId="0">
      <text>
        <r>
          <rPr>
            <b/>
            <sz val="9"/>
            <rFont val="Segoe UI"/>
            <charset val="134"/>
          </rPr>
          <t>O Percentual de BDI pode ser alterado pela Licitante</t>
        </r>
        <r>
          <rPr>
            <sz val="9"/>
            <rFont val="Segoe UI"/>
            <charset val="134"/>
          </rPr>
          <t xml:space="preserve">
</t>
        </r>
      </text>
    </comment>
  </commentList>
</comments>
</file>

<file path=xl/sharedStrings.xml><?xml version="1.0" encoding="utf-8"?>
<sst xmlns="http://schemas.openxmlformats.org/spreadsheetml/2006/main" count="2057" uniqueCount="479">
  <si>
    <t>PRÓ-REITORIA DE ADMINISTRAÇÃO</t>
  </si>
  <si>
    <t>COORDENAÇÃO DE CONTRATOS</t>
  </si>
  <si>
    <t>Contratação de empresa para prestação de serviços continuados de Manutenção preventiva e corretiva de equipamentos de refrigeração Central, com fornecimento de materiais de reposição e atendimento na Universidade Federal Fluminense</t>
  </si>
  <si>
    <t>dos Equipamentos (preenchimento licitante)</t>
  </si>
  <si>
    <t>Anexo II - A - DISTRIBUIÇÃO DOS POSTOS</t>
  </si>
  <si>
    <t>DISCRIMINAÇÃO DO POSTO</t>
  </si>
  <si>
    <t>Local</t>
  </si>
  <si>
    <t>Encarregado geral 44h</t>
  </si>
  <si>
    <t>Auxiliar de Refrigeração 12x36 Diurno</t>
  </si>
  <si>
    <t>Auxiliar de Refrigeração 12x36 Noturno</t>
  </si>
  <si>
    <t>Auxiliar de Refrigeração 44h</t>
  </si>
  <si>
    <t>Mecânico de Ar Central 44h</t>
  </si>
  <si>
    <t>Mecânico de Ar Central 12x36h Diurno</t>
  </si>
  <si>
    <t>Mecânico de Ar Central 12x36h Noturno</t>
  </si>
  <si>
    <t>TOTAL</t>
  </si>
  <si>
    <t>SOMA</t>
  </si>
  <si>
    <t>Campos dos Goytacazes</t>
  </si>
  <si>
    <r>
      <rPr>
        <b/>
        <sz val="11"/>
        <color rgb="FFFF0000"/>
        <rFont val="Calibri"/>
        <charset val="134"/>
        <scheme val="minor"/>
      </rPr>
      <t>Anexo II B - ENDEREÇO DAS UNIDADES UFF</t>
    </r>
    <r>
      <rPr>
        <sz val="11"/>
        <color rgb="FFFF0000"/>
        <rFont val="Calibri"/>
        <charset val="134"/>
        <scheme val="minor"/>
      </rPr>
      <t xml:space="preserve">		</t>
    </r>
  </si>
  <si>
    <t>Unidade</t>
  </si>
  <si>
    <t>Endereço</t>
  </si>
  <si>
    <t>Reitoria Ceart</t>
  </si>
  <si>
    <t>Rua Miguel de Frias, 9 - Icaraí - Niterói - RJ</t>
  </si>
  <si>
    <t>Faculdade de Medicina</t>
  </si>
  <si>
    <t>Av. Marquês de Paraná, 303 - Centro, Niterói</t>
  </si>
  <si>
    <t>Instituto Biomédico - Bloco E</t>
  </si>
  <si>
    <t>Outeiro São João Batista, s/n - Centro, Niterói</t>
  </si>
  <si>
    <t>Bloco D - Faculdade de Educação</t>
  </si>
  <si>
    <t>Rua Professor Marcos Valdemar de Freitas Reis, s/n - São Domingos, Niterói</t>
  </si>
  <si>
    <t>Bloco F - Faculdade de Economia</t>
  </si>
  <si>
    <t>Bloco G - Instituto de Matemática e Estatística e Faculdade de Turismo</t>
  </si>
  <si>
    <t>Bloco H - Faculdade de Turismo e Hotelaria</t>
  </si>
  <si>
    <t>Bloco J - IACS novo</t>
  </si>
  <si>
    <t>Bloco M - Instituto de Biologia</t>
  </si>
  <si>
    <t>Bloco P  - Instituto de Ciências Humanas e Filosofia - ICHF</t>
  </si>
  <si>
    <t>Biblioteca Central do Gragoatá</t>
  </si>
  <si>
    <t>Instituto de Geociências - Blocos O e P</t>
  </si>
  <si>
    <t>Rua Passo da Pátria, n.º 156, bairro São Domingos, Niterói - RJ</t>
  </si>
  <si>
    <t>Instituto de Física - Bloco N</t>
  </si>
  <si>
    <t>Pólo Campos Goytacazes (incluindo SPA)</t>
  </si>
  <si>
    <t>Av. XV de Novembro, s/n - Centro, Campos dos Goytacazes</t>
  </si>
  <si>
    <t>Anexo II - C1 - RELAÇÃO DE UNIFORMES EPIS E MATERIAIS</t>
  </si>
  <si>
    <t>ITEM 1 - NITERÓI/RJ</t>
  </si>
  <si>
    <t>UNIFORMES ENCARREGADOS</t>
  </si>
  <si>
    <t>ITEM</t>
  </si>
  <si>
    <t>DISCRIMINAÇÃO UNIFORME</t>
  </si>
  <si>
    <t>QUANT. ANUAL</t>
  </si>
  <si>
    <t>UNIDADE</t>
  </si>
  <si>
    <t>VALOR</t>
  </si>
  <si>
    <t>Conjunto de uniforme</t>
  </si>
  <si>
    <t>UNITÁRIO</t>
  </si>
  <si>
    <t>TOTAL ANUAL POR FUNCIONÁRIO</t>
  </si>
  <si>
    <t>1.1</t>
  </si>
  <si>
    <t xml:space="preserve">Calça comprida jeans, modelo tradicional, com bolsos laterais e traseiros, fechamento com botão e zíper </t>
  </si>
  <si>
    <t xml:space="preserve"> unid.</t>
  </si>
  <si>
    <t>Cada conjunto de uniforme será composto por: 3 calças, 3 camisas, 5 pares de meia, 1 capa de chuva, 1 sapato e 1 crachá.</t>
  </si>
  <si>
    <t>1.2</t>
  </si>
  <si>
    <t>Camisa polo, malha piquet, com emblema da empresa e os dizeres A SERVIÇO DA UFF</t>
  </si>
  <si>
    <t>unid.</t>
  </si>
  <si>
    <t>1.3</t>
  </si>
  <si>
    <t>Par de meia, mínimo de 70% algodão, cano médio</t>
  </si>
  <si>
    <t>par</t>
  </si>
  <si>
    <t>1.4</t>
  </si>
  <si>
    <t>Capa de chuva plástica, com faixas fluorescentes, material pvc, uso profissional.</t>
  </si>
  <si>
    <t>1.5</t>
  </si>
  <si>
    <t>Sapato fechado profissional, com cadarço, acolchoado, tipo derby, em couro preto</t>
  </si>
  <si>
    <t>1.6</t>
  </si>
  <si>
    <t>Crachá funcional, em pvc, com foto, nome e cargo.</t>
  </si>
  <si>
    <t>Total anual por funcionário</t>
  </si>
  <si>
    <t>Total mensal UNIFORME por funcionário</t>
  </si>
  <si>
    <t>UNIFORMES TÉCNICO E AUXILIAR DE REFRIGERAÇÃO</t>
  </si>
  <si>
    <t>2.1</t>
  </si>
  <si>
    <t>Calça comprida, material brim, modelo unissex, com elástico e cordão na cintura, 2 bolsos laterais e 2 traseiros</t>
  </si>
  <si>
    <t>Cada conjunto de uniforme será composto por: 3 calças, 3 camisetas, 5 pares de meia, 1 capa de chuva, 2 jalecos e 1 crachá.</t>
  </si>
  <si>
    <t>2.2</t>
  </si>
  <si>
    <t>Camiseta, material 100% algodão, tipo manga curta, gola redonda, identificada com logomarca da empresa  os dizeres A SERVIÇO DA UFF</t>
  </si>
  <si>
    <t>2.3</t>
  </si>
  <si>
    <t>2.4</t>
  </si>
  <si>
    <t>2.5</t>
  </si>
  <si>
    <t>Jaleco profissional em brim leve, manga curta, fechamento com botões, com um bolso frontal, gola esporte e com logomarca da empresa.</t>
  </si>
  <si>
    <t>2.6</t>
  </si>
  <si>
    <t>EPIS TÉCNICO E AUXILIAR DE REFRIGERAÇÃO</t>
  </si>
  <si>
    <t>Subitem</t>
  </si>
  <si>
    <t>Descrição</t>
  </si>
  <si>
    <t>QT. INICIAL</t>
  </si>
  <si>
    <t>QT. SEMESTRE</t>
  </si>
  <si>
    <t>Quantidade Anual por Funcionário</t>
  </si>
  <si>
    <t>Valor unitário estimado R$</t>
  </si>
  <si>
    <t>Valor total anual</t>
  </si>
  <si>
    <t>Botina de segurança com elástico coberto, cabedal confeccionado em couro curtido ao cromo, com forração em sintético, solado de PU, Bi densidade, injetado diretamente ao cabedal. Marca Marluvas ou similar. (PAR)</t>
  </si>
  <si>
    <t>Capacete de segurança classe A, com jugular (UN)</t>
  </si>
  <si>
    <t>Luva de algodão tricotada pigmentada (PAR)</t>
  </si>
  <si>
    <t>Máscara descartável Pff2 Caixa com 50 unidades</t>
  </si>
  <si>
    <t>Óculos de segurança incolor</t>
  </si>
  <si>
    <t>Protetor auricular tipo concha com haste atrás da nuca</t>
  </si>
  <si>
    <t>Avental de raspa (UN)</t>
  </si>
  <si>
    <t>Luva de látex, cano 26cm, palma antiderrapante (PAR)</t>
  </si>
  <si>
    <t>Luva nitrílica com forro cano médio</t>
  </si>
  <si>
    <t>Luva de raspa soldador (PAR)</t>
  </si>
  <si>
    <t>Luva de vaqueta de couro mista, cano curto (PAR)</t>
  </si>
  <si>
    <t>Mangote de raspa (par)</t>
  </si>
  <si>
    <t>Máscara de solda, tipo escudo (UN)</t>
  </si>
  <si>
    <t>Perneiras em raspa de couro, fechamento por fivela (par)</t>
  </si>
  <si>
    <t>Talabarte duplo para cinto de segurança com elástico e absorvedor de impacto (UN)</t>
  </si>
  <si>
    <t>Cinto de Segurança tipo paraquedista</t>
  </si>
  <si>
    <t>Trava queda para corda até 12mm (UN)</t>
  </si>
  <si>
    <t>EPIS - Valor mensal por funcionário</t>
  </si>
  <si>
    <t>UNIFORMES MAIS EPIS - Valor mensal por funcionário</t>
  </si>
  <si>
    <r>
      <rPr>
        <b/>
        <sz val="10"/>
        <rFont val="Calibri"/>
        <charset val="134"/>
        <scheme val="minor"/>
      </rPr>
      <t xml:space="preserve">Custo estimado de combustível para 1000 km/ mês </t>
    </r>
    <r>
      <rPr>
        <b/>
        <sz val="10"/>
        <color rgb="FFFF0000"/>
        <rFont val="Calibri"/>
        <charset val="134"/>
        <scheme val="minor"/>
      </rPr>
      <t>(APENAS ITEM 1 - NITERÓI)</t>
    </r>
  </si>
  <si>
    <t>Item</t>
  </si>
  <si>
    <t>Consumo médio Km/l</t>
  </si>
  <si>
    <t>Franquia</t>
  </si>
  <si>
    <t>Valor médio da Gasolina (litro)</t>
  </si>
  <si>
    <t>Quantidade média de litros por mês</t>
  </si>
  <si>
    <t>Custo mensal estimado</t>
  </si>
  <si>
    <t>Estimativa de custo para combustível, com franquia mensal de 1000 Km,  deslocamentos em Niterói</t>
  </si>
  <si>
    <t>Valor mensal (R$)</t>
  </si>
  <si>
    <t>Custo anual (R$)</t>
  </si>
  <si>
    <t>CUSTO de Combustível Encarregado Niterói</t>
  </si>
  <si>
    <t>Consulta ao site &lt;https://app.powerbi.com/view?r=eyJrIjoiMGM0NDhhMTUtMjQwZi00N2RlLTk1M2UtYjkxZTlkNzM1YzE5IiwidCI6IjQ0OTlmNGZmLTI0YTYtNGI0Mi1iN2VmLTEyNGFmY2FkYzkxMyJ9&gt; Acesso em 15/01/2025</t>
  </si>
  <si>
    <t>Custo estimado de Gás Refrigerante</t>
  </si>
  <si>
    <t>Quantidade Mês</t>
  </si>
  <si>
    <t>Valor médio do Gás Cilindro</t>
  </si>
  <si>
    <t>Gás Refrigerante R-22 Cilindro 13 kg</t>
  </si>
  <si>
    <t>Gás Refrigerante R-407 Cilindro 11,35 Kg</t>
  </si>
  <si>
    <t>Gás Refrigerante R-410 Cilindro 11,35 kg</t>
  </si>
  <si>
    <t>Anexo II - C2 - RELAÇÃO DE UNIFORMES EPIS E MATERIAIS</t>
  </si>
  <si>
    <t>ITEM 2- CAMPOS DOS GOYTACAZES/RJ</t>
  </si>
  <si>
    <t>Cada conjunto de uniforme será composto por: 3 calças, 3 camisas, 5 pares de meia, 1 capa de chuva e 1 crachá.</t>
  </si>
  <si>
    <t>Anexo II - D - RELAÇÃO DE EQUIPAMENTOS</t>
  </si>
  <si>
    <t>DESCRIÇÃO</t>
  </si>
  <si>
    <t>QTDE.</t>
  </si>
  <si>
    <t>CUSTO UNITÁRIO</t>
  </si>
  <si>
    <t>CUSTO 
TOTAL</t>
  </si>
  <si>
    <t>Chave de fenda 3 /16 x 6”</t>
  </si>
  <si>
    <t>Chave de fenda 1 /4 x 6”</t>
  </si>
  <si>
    <t>Chave de fenda 5 /16 x 6”</t>
  </si>
  <si>
    <t xml:space="preserve">Chave de fenda sindal 1 /8 </t>
  </si>
  <si>
    <t>Chave de Philips 3 /16 x 6“</t>
  </si>
  <si>
    <t>Chave de Philips 1 /8 x 6”</t>
  </si>
  <si>
    <t>Chave de Philips 1 /4 x 6”</t>
  </si>
  <si>
    <t>Chave de Philips 5 /16 x 6”</t>
  </si>
  <si>
    <t>Chave inglesa (boca ajustável) 8”</t>
  </si>
  <si>
    <t>Chave inglesa (boca ajustável) 10”</t>
  </si>
  <si>
    <t>Chave inglesa (boca ajustável) 12”</t>
  </si>
  <si>
    <t>Alicate universal 1000v</t>
  </si>
  <si>
    <t>Alicate de bico reto 1000v</t>
  </si>
  <si>
    <t>Alicate corte diagonal 1000v</t>
  </si>
  <si>
    <t>Alicate de pressão</t>
  </si>
  <si>
    <t>Alicate quitador</t>
  </si>
  <si>
    <t>Alicate prensa terminal</t>
  </si>
  <si>
    <t>Conjunto de chave allen (hexagonal) de 1/ 8 a 1 / 2</t>
  </si>
  <si>
    <t>Conjunto de chave torx de T10 a T40</t>
  </si>
  <si>
    <t>Conjunto de chaves boca estria de 8mm a 24mm</t>
  </si>
  <si>
    <t>Lima meia cana 200mm</t>
  </si>
  <si>
    <t xml:space="preserve">Trena de 5m </t>
  </si>
  <si>
    <t>Nível de alumínio base magnética 2 bolhas 12”</t>
  </si>
  <si>
    <t>Conjunto flangeador com alargador de 3/ 16” a 1.1/8”</t>
  </si>
  <si>
    <t>Cortador de tubo de cobre de 1/8” a 1.1/8”</t>
  </si>
  <si>
    <t>Manifold com mangueiras para R 22</t>
  </si>
  <si>
    <t>Manifold com mangueiras para R 410</t>
  </si>
  <si>
    <t>Maçarico portátil tipo turbo torch</t>
  </si>
  <si>
    <t>Alicate de bomba de água 10”</t>
  </si>
  <si>
    <t>Chave de grifo 10”</t>
  </si>
  <si>
    <t>Termômetro tipo penta</t>
  </si>
  <si>
    <t>Bomba de vácuo 5cfm</t>
  </si>
  <si>
    <t>Alicate rebitador (pop)</t>
  </si>
  <si>
    <t>Máquina de furar profissional</t>
  </si>
  <si>
    <t>Conjunto de brocas 1/8” a 1/ 2”</t>
  </si>
  <si>
    <t>Esmerilhadeira angular 4 1/ 2”</t>
  </si>
  <si>
    <t>Inversora de solda (máquina de solda elétrica)</t>
  </si>
  <si>
    <t>Conjunto de solda PPU (oxigênio e acetileno)</t>
  </si>
  <si>
    <t>Arco de serra de 200-300mm</t>
  </si>
  <si>
    <t>Ferro de solda 100W</t>
  </si>
  <si>
    <t>Sugador de solda com ponta de teflon</t>
  </si>
  <si>
    <t>Alicate amperímetro</t>
  </si>
  <si>
    <t>Multímetro profissional com capacimetro</t>
  </si>
  <si>
    <t>Pincel 2”</t>
  </si>
  <si>
    <t xml:space="preserve">Faca reta desencapadora isolada </t>
  </si>
  <si>
    <t>Martelo de bola 500g - Martelo - Material: Aço Cromo Vanádio, Acabamento Corpo: Fosfatizado, Tipo: Bola, Material Cabo: Madeira, Peso: 500 G</t>
  </si>
  <si>
    <t>Talhadeira de aço 200x18mm</t>
  </si>
  <si>
    <t>Ponteiro 1/ 2 x 12”</t>
  </si>
  <si>
    <t>Cilindro de Nitrogênio c/ regulador</t>
  </si>
  <si>
    <t>Lavadora de alta pressão profissional, mínimo 1500 PSI</t>
  </si>
  <si>
    <t xml:space="preserve">Curvador de Tubo Mecânico de ¼ a 1 1/8 </t>
  </si>
  <si>
    <t>Bomba de vácuo de 12 cfm duplo estágio</t>
  </si>
  <si>
    <t>Vacuômetro</t>
  </si>
  <si>
    <t>Recolhedora Recicladora com Separador de Óleo</t>
  </si>
  <si>
    <t>Cilindro recarregável para recolhedora</t>
  </si>
  <si>
    <t>Maleta ferramentas - Maleta Ferramentas Material: Couro , Comprimento: 400 MM, Largura: 140 MM, Altura: 210 MM, Características Adicionais: Com A Alça, Fecho De Fivelas, Pés De Apoio ,</t>
  </si>
  <si>
    <t>Maleta Ferramentas - Maleta Ferramentas Material: Chapa Metálica , Acabamento Superficial: Pintura Eletrostática , Altura: 215 MM, Comprimento: 500 MM, Largura: 200 MM, Características Adicionais: Com Alça Fixa, Gavetas Moldadas Sem Emendas/Soldas , Quantidade Gavetas: 7 UN, Tipo Caixa: Sanfona</t>
  </si>
  <si>
    <t>Relógio de ponto eletrônico</t>
  </si>
  <si>
    <t>Veículo com capacidade para 5 passageiros, 5 portas, com no máximo 1 ano de fabricação, motor 1,0 L, com ar condicionado e direção elétrica assistida. Modelo comercial de referência: ONIX SEDAN Plus LT 1.0 12V TB Flex Mec (Sem Motorista e com todas as taxas e impostos regularizadas) Tabela FIPE mês de janeiro/2025</t>
  </si>
  <si>
    <t>Total</t>
  </si>
  <si>
    <t>Taxa de Depreciação Anual (A taxa de depreciação utilizada de acordo com tabela da I.N. da SRF n.º 1700/2017.)</t>
  </si>
  <si>
    <t>Custo Utilização Anual (Valor Tx. Depreciação)</t>
  </si>
  <si>
    <t>Custo Utilização Mensal Total</t>
  </si>
  <si>
    <t>Custo Utilização Mensal / 13 postos</t>
  </si>
  <si>
    <r>
      <rPr>
        <b/>
        <sz val="10"/>
        <color rgb="FF000000"/>
        <rFont val="Calibri"/>
        <charset val="134"/>
        <scheme val="minor"/>
      </rPr>
      <t>Observações:</t>
    </r>
    <r>
      <rPr>
        <sz val="10"/>
        <color rgb="FF000000"/>
        <rFont val="Calibri"/>
        <charset val="134"/>
        <scheme val="minor"/>
      </rPr>
      <t xml:space="preserve">
a)  A Contratada deverá disponibilizar  e manter  constantes, durante o período de vigência  contratual, todos   os   quantitativos   listados   acima,   devendo   repor   imediatamente   qualquer   ferramenta   ou equipamento danificado;
b) Esta relação não é exaustiva, devendo a Contratada fornecer todos os equipamentos, ferramentas e instrumentos necessários à execução dos serviços, objeto deste Termo de Referência;
c) Metodologia de cálculo adotada: Acórdão 966/2010;
d) A taxa de depreciação anual adotada foi retirada da IN SRF Nº162/98.
e)   Ao   término   contratual,   os   equipamentos   e   ferramentas   utilizados   serão   de   propriedade   da Contratada. O valor pago pela Contratante limita-se a compensação da depreciação ocasionada pelo uso dos equipamentos, instrumentos e ferramentas nas atividades de manutenção predial.                                                                                                     f) Deverá ser instalado um relógio de Ponto da Superintendencia de Operações e Manutenção</t>
    </r>
  </si>
  <si>
    <t>Anexo II - E - RELAÇÃO DE EQUIPAMENTOS ITEM 2</t>
  </si>
  <si>
    <t>Chave de Philips 3 /16 x “</t>
  </si>
  <si>
    <t>Custo Utilização Mensal / 4 postos</t>
  </si>
  <si>
    <r>
      <rPr>
        <b/>
        <sz val="10"/>
        <color rgb="FF000000"/>
        <rFont val="Calibri"/>
        <charset val="134"/>
        <scheme val="minor"/>
      </rPr>
      <t>Observações:</t>
    </r>
    <r>
      <rPr>
        <sz val="10"/>
        <color rgb="FF000000"/>
        <rFont val="Calibri"/>
        <charset val="134"/>
        <scheme val="minor"/>
      </rPr>
      <t xml:space="preserve">
a)  A Contratada deverá disponibilizar  e manter  constantes, durante o período de vigência  contratual, todos   os   quantitativos   listados   acima,   devendo   repor   imediatamente   qualquer   ferramenta   ou equipamento danificado;
b) Esta relação não é exaustiva, devendo a Contratada fornecer todos os equipamentos, ferramentas e instrumentos necessários à execução dos serviços, objeto deste Termo de Referência;
c) Metodologia de cálculo adotada: Acórdão 966/2010;
d) A taxa de depreciação anual adotada foi retirada da IN SRF Nº162/98.
e)   Ao   término   contratual,   os   equipamentos   e   ferramentas   utilizados   serão   de   propriedade   da Contratada. O valor pago pela Contratante limita-se a compensação da depreciação ocasionada pelo uso dos equipamentos, instrumentos e ferramentas nas atividades de manutenção predial.                                                                                                     f) Deverá ser instalado um relógio de Ponto na unidade de Campos dos Goytacazes</t>
    </r>
  </si>
  <si>
    <t>Anexo II F - Distribuição dos Equipamentos</t>
  </si>
  <si>
    <t>PLANILHAS DE  EQUIPAMENTOS DE REFRIGERAÇÃO DE GRANDE PORTE DA UFF NITERÓI</t>
  </si>
  <si>
    <t>MÁQUINA</t>
  </si>
  <si>
    <t>FABRICANTE</t>
  </si>
  <si>
    <t xml:space="preserve">TONELADAS DE REFRIGERAÇÃO </t>
  </si>
  <si>
    <t>TENSÃO DE TRABALHO</t>
  </si>
  <si>
    <t>DUTADO</t>
  </si>
  <si>
    <t>EM FUNCIONAMENTO</t>
  </si>
  <si>
    <t>CONDENSAÇÃO</t>
  </si>
  <si>
    <t>REITORIA</t>
  </si>
  <si>
    <t>CHILLER</t>
  </si>
  <si>
    <t>Carrier</t>
  </si>
  <si>
    <t>3~380V</t>
  </si>
  <si>
    <t>SIM</t>
  </si>
  <si>
    <t>AR</t>
  </si>
  <si>
    <t>NÃO</t>
  </si>
  <si>
    <t>VRF MULT V</t>
  </si>
  <si>
    <t>LG</t>
  </si>
  <si>
    <t>3~ 220V</t>
  </si>
  <si>
    <t>SELF</t>
  </si>
  <si>
    <t>VALONGUINHO – BLOCO E</t>
  </si>
  <si>
    <t>GRAGOATÁ BLOCO M</t>
  </si>
  <si>
    <t>Hitachi</t>
  </si>
  <si>
    <t>GRAGOATÁ BLOCO F, G, H e P</t>
  </si>
  <si>
    <t>York</t>
  </si>
  <si>
    <t>GRAGOATÁ IACS</t>
  </si>
  <si>
    <t>FÍSICA PRAIA VERMELHA</t>
  </si>
  <si>
    <t>GEOCIÊNCIAS PRAIA VERMELHA</t>
  </si>
  <si>
    <t>GRAGOATÁ BLOCO D (FACULDADE DE EDUCAÇÃO)</t>
  </si>
  <si>
    <t>GRAGOATÁ Biblioteca Central</t>
  </si>
  <si>
    <t>FACULDADE DE MEDICINA</t>
  </si>
  <si>
    <t>SPLITÃO (10 TR)</t>
  </si>
  <si>
    <t>HITACHI</t>
  </si>
  <si>
    <t>SPLITÃO (30 TR)</t>
  </si>
  <si>
    <t>SPLITÃO (40 TR)</t>
  </si>
  <si>
    <t>SPLITÃO (15 TR)</t>
  </si>
  <si>
    <t>SPLIT (HI-WALL) - 18 KBTUS/H</t>
  </si>
  <si>
    <t>CARRIER</t>
  </si>
  <si>
    <t>SPLIT (HI-WALL) - 24 KBTUS/H</t>
  </si>
  <si>
    <t>SPLIT (HI-WALL) - 12 KBTUS/H</t>
  </si>
  <si>
    <t>SPLITÃO (25 TR)</t>
  </si>
  <si>
    <t>SPLITÃO (20 TR)</t>
  </si>
  <si>
    <t>SPLIT (HI-WALL) - 30 KBTUS/H</t>
  </si>
  <si>
    <t>CHILLER (15 TR)</t>
  </si>
  <si>
    <t>INSTITUTO DE CIÊNCIAS DA SOCIEDADE E DESENVOLVIMENTO REGIONAL - CAMPOS DOS GOYTACAZES</t>
  </si>
  <si>
    <t>FANCOLETE (HI-WALL)</t>
  </si>
  <si>
    <t>FANCOLETE (PISO-TETO)</t>
  </si>
  <si>
    <t xml:space="preserve">FANCOLETE (CASSETE) - </t>
  </si>
  <si>
    <t>FAN COIL MODULAR</t>
  </si>
  <si>
    <t>Anexo III A1  - FORMAÇÃO CUSTOS POSTOS DE  MANUTENÇÃO PREDIAL</t>
  </si>
  <si>
    <t>MÃO-DE-OBRA VINCULADA À EXECUÇÃO CONTRATUAL</t>
  </si>
  <si>
    <t>Dados para composição dos custos referentes a mão de obra</t>
  </si>
  <si>
    <t>Regime tributário da Licitante</t>
  </si>
  <si>
    <r>
      <rPr>
        <b/>
        <sz val="11"/>
        <rFont val="Calibri"/>
        <charset val="134"/>
        <scheme val="minor"/>
      </rPr>
      <t xml:space="preserve">Documento Comprobatório </t>
    </r>
    <r>
      <rPr>
        <b/>
        <i/>
        <sz val="11"/>
        <rFont val="Calibri"/>
        <charset val="134"/>
        <scheme val="minor"/>
      </rPr>
      <t>*Anexar Comprovante</t>
    </r>
  </si>
  <si>
    <t>Descrição Cargos</t>
  </si>
  <si>
    <t>Obrigatório Preenchimento pela licitante</t>
  </si>
  <si>
    <t>Dias/Mês</t>
  </si>
  <si>
    <t>Posto</t>
  </si>
  <si>
    <t>CBO</t>
  </si>
  <si>
    <t>Salário</t>
  </si>
  <si>
    <t>Encarregado geral  44h</t>
  </si>
  <si>
    <t>9101-05</t>
  </si>
  <si>
    <r>
      <rPr>
        <b/>
        <sz val="11"/>
        <color theme="1"/>
        <rFont val="Calibri"/>
        <charset val="134"/>
        <scheme val="minor"/>
      </rPr>
      <t>ACT/CCT/DCT</t>
    </r>
    <r>
      <rPr>
        <sz val="11"/>
        <color theme="1"/>
        <rFont val="Calibri"/>
        <charset val="134"/>
        <scheme val="minor"/>
      </rPr>
      <t xml:space="preserve"> </t>
    </r>
    <r>
      <rPr>
        <i/>
        <sz val="8"/>
        <color theme="1"/>
        <rFont val="Calibri"/>
        <charset val="134"/>
        <scheme val="minor"/>
      </rPr>
      <t>inclusive aditivos se houver</t>
    </r>
  </si>
  <si>
    <t>9112-05</t>
  </si>
  <si>
    <t>Entidade Sindical da Empresa</t>
  </si>
  <si>
    <t>Auxiliar de Refrigeração 12x36h Diurno</t>
  </si>
  <si>
    <t>Entidade Sindical dos Empregados</t>
  </si>
  <si>
    <t>Auxiliar de Refrigeração 12x36h Notuno</t>
  </si>
  <si>
    <t>Número de Registro</t>
  </si>
  <si>
    <t>Técnico em Mecânica de Ar Central 44 h</t>
  </si>
  <si>
    <t>3141-15</t>
  </si>
  <si>
    <t>Início Vigência</t>
  </si>
  <si>
    <t>Técnico em Mecânica de Ar Central 12x36h Diurno</t>
  </si>
  <si>
    <t>Fim Vigência</t>
  </si>
  <si>
    <t>Técnico em Mecânica de Ar Central 12x36h Noturno</t>
  </si>
  <si>
    <t>MÓDULO 1 : COMPOSIÇÃO DA REMUNERAÇÃO</t>
  </si>
  <si>
    <t>Mecânico de Ar Central 44 h</t>
  </si>
  <si>
    <t>Composição da Remuneração</t>
  </si>
  <si>
    <t>Valor(R$)</t>
  </si>
  <si>
    <t>A</t>
  </si>
  <si>
    <t>Salário Base</t>
  </si>
  <si>
    <t>B</t>
  </si>
  <si>
    <t>Adicional de Periculosidade</t>
  </si>
  <si>
    <t>C</t>
  </si>
  <si>
    <t>Adicional de Insalubridade (20% ou 40%)</t>
  </si>
  <si>
    <t>D</t>
  </si>
  <si>
    <t>Adicional Noturno</t>
  </si>
  <si>
    <t>E</t>
  </si>
  <si>
    <t>Adicional de Hora Noturna Reduzida</t>
  </si>
  <si>
    <t>F</t>
  </si>
  <si>
    <t>Gratificação Liderança (15% ou 30%)</t>
  </si>
  <si>
    <t>Total de Remuneração</t>
  </si>
  <si>
    <t>MÓDULO 2: ENCARGOS E BENEFÍCIOS ANUAIS, MENSAIS E DIÁRIOS</t>
  </si>
  <si>
    <t>Submódulo 2.1 - 13º (décimo terceiro) Salário, Férias e Adicional de Férias</t>
  </si>
  <si>
    <t>13º (décimo terceiro) Salário</t>
  </si>
  <si>
    <t>Férias e Adicional de Férias</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</si>
  <si>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</si>
  <si>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</si>
  <si>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</si>
  <si>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</si>
  <si>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</si>
  <si>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</si>
  <si>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</si>
  <si>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</si>
  <si>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</si>
  <si>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</si>
  <si>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</si>
  <si>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</si>
  <si>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</si>
  <si>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</si>
  <si>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</si>
  <si>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</si>
  <si>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Benefícios Mensais e Diários</t>
  </si>
  <si>
    <t>Transporte -Cláusula 12ª da CCT - considerando 4 passagens/dia</t>
  </si>
  <si>
    <t>Ticket Alimentação - Cláusula 11ª da CCT</t>
  </si>
  <si>
    <t>Seguro de Vida - Cláusula 15ª da CCT</t>
  </si>
  <si>
    <t>Total de Benefícios Mensais e Diários</t>
  </si>
  <si>
    <t>Quadro-Resumo do Módulo 2 - Encargos e Benefícios anuais, mensais e diários</t>
  </si>
  <si>
    <t>Encargos e Benefícios Anuais, Mensais e Diários</t>
  </si>
  <si>
    <t>Valor (R$)</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</si>
  <si>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</si>
  <si>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</si>
  <si>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</si>
  <si>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</si>
  <si>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</si>
  <si>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</si>
  <si>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</si>
  <si>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</si>
  <si>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</si>
  <si>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</si>
  <si>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</si>
  <si>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</si>
  <si>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</si>
  <si>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</si>
  <si>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</si>
  <si>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</si>
  <si>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</si>
  <si>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</si>
  <si>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</si>
  <si>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</si>
  <si>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</si>
  <si>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</si>
  <si>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</si>
  <si>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</si>
  <si>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</si>
  <si>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</si>
  <si>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</si>
  <si>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</si>
  <si>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</si>
  <si>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</si>
  <si>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</si>
  <si>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</si>
  <si>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</si>
  <si>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</si>
  <si>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</si>
  <si>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</si>
  <si>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</si>
  <si>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</si>
  <si>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</si>
  <si>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</si>
  <si>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</si>
  <si>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</si>
  <si>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</si>
  <si>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</si>
  <si>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</si>
  <si>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</si>
  <si>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</si>
  <si>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</si>
  <si>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</si>
  <si>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</si>
  <si>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</si>
  <si>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</si>
  <si>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Valor total por posto 12x36h</t>
  </si>
  <si>
    <t>FATOR K</t>
  </si>
  <si>
    <t>MÓDULO 6: CUSTOS INDIRETOS, TRIBUTOS E LUCRO – (LUCRO REAL)</t>
  </si>
  <si>
    <t>C.1) Tributos Federais (PIS = 1,65% e COFINS = 7,60%)</t>
  </si>
  <si>
    <t>Quadro-resumo do Custo por Empregado (LUCRO REAL)</t>
  </si>
  <si>
    <t>LUCRO REAL</t>
  </si>
  <si>
    <t>Anexo IIIB  - FORMAÇÃO CUSTOS POSTOS DE  MANUTENÇÃO PREDIAL</t>
  </si>
  <si>
    <t>Transporte -Cláusula 12ª da CCT - considerando 2 passagens/dia</t>
  </si>
  <si>
    <t>Ticket Alimentação - Cláusula 12ª da CCT</t>
  </si>
  <si>
    <r>
      <rPr>
        <b/>
        <sz val="9"/>
        <color rgb="FFFF0000"/>
        <rFont val="Verdana"/>
        <charset val="134"/>
      </rPr>
      <t>Anexo IV A1 - PLANILHA DE COMPOSIÇÃO DE CUSTOS E FORMAÇÃO DE PREÇOS</t>
    </r>
    <r>
      <rPr>
        <sz val="9"/>
        <color rgb="FFFF0000"/>
        <rFont val="Verdana"/>
        <charset val="134"/>
      </rPr>
      <t xml:space="preserve"> (Anexo VII da I.N. da SLTI/MPOG n.º 5 de 26/Maio/2017			</t>
    </r>
  </si>
  <si>
    <t>Custo total da contratação ITEM 1 - NITERÓI</t>
  </si>
  <si>
    <t>POSTOS</t>
  </si>
  <si>
    <t>FUNCIONÁRIOS</t>
  </si>
  <si>
    <t>VALOR MENSAL POR POSTO</t>
  </si>
  <si>
    <t>TOTAL MENSAL</t>
  </si>
  <si>
    <t>TOTAL ANUAL</t>
  </si>
  <si>
    <t>Auxiliar de Refrigeração 12x36h Noturno</t>
  </si>
  <si>
    <r>
      <rPr>
        <b/>
        <sz val="9"/>
        <color rgb="FFFF0000"/>
        <rFont val="Verdana"/>
        <charset val="134"/>
      </rPr>
      <t>Anexo IV A2 - PLANILHA DE COMPOSIÇÃO DE CUSTOS E FORMAÇÃO DE PREÇOS</t>
    </r>
    <r>
      <rPr>
        <sz val="9"/>
        <color rgb="FFFF0000"/>
        <rFont val="Verdana"/>
        <charset val="134"/>
      </rPr>
      <t xml:space="preserve"> (Anexo VII da I.N. da SLTI/MPOG n.º 5 de 26/Maio/2017			</t>
    </r>
  </si>
  <si>
    <t>Custo total da contratação ITEM 2 - CAMPOS DOS GOYTACAZES</t>
  </si>
  <si>
    <t>Anexo IV B - PLANILHA DE COMPOSIÇÃO DE BDI Serviços</t>
  </si>
  <si>
    <t>TAXA</t>
  </si>
  <si>
    <t>Administração Central (AC)</t>
  </si>
  <si>
    <t>Seguro + Garantia (S + G)</t>
  </si>
  <si>
    <t>Risco ®</t>
  </si>
  <si>
    <t>Outros (especificar) (O)</t>
  </si>
  <si>
    <t>Subtotal [(AC + S + G + R + O)]</t>
  </si>
  <si>
    <t>Despesas Financeiras (DF)</t>
  </si>
  <si>
    <t>Lucro (L)</t>
  </si>
  <si>
    <t>Subtotal [(1+DF)x(1+L)x(1+O)]</t>
  </si>
  <si>
    <r>
      <rPr>
        <b/>
        <sz val="10"/>
        <rFont val="Verdana"/>
        <charset val="134"/>
      </rPr>
      <t xml:space="preserve">Total de Benefícios e Despesas - TBD </t>
    </r>
    <r>
      <rPr>
        <sz val="10"/>
        <rFont val="Verdana"/>
        <charset val="134"/>
      </rPr>
      <t>(incidência de subtotal 9 sobre subtotal 5)</t>
    </r>
  </si>
  <si>
    <t>Impostos e Taxas</t>
  </si>
  <si>
    <t>COFINS</t>
  </si>
  <si>
    <t>PIS</t>
  </si>
  <si>
    <t>ISS</t>
  </si>
  <si>
    <r>
      <rPr>
        <b/>
        <sz val="10"/>
        <rFont val="Verdana"/>
        <charset val="134"/>
      </rPr>
      <t>Subtotal de Impostos</t>
    </r>
    <r>
      <rPr>
        <sz val="10"/>
        <rFont val="Verdana"/>
        <charset val="134"/>
      </rPr>
      <t xml:space="preserve"> (COFINS+PIS+ISS)</t>
    </r>
  </si>
  <si>
    <t>Contribuição Previdenciária sobre receita bruta (CPRB)</t>
  </si>
  <si>
    <r>
      <rPr>
        <b/>
        <sz val="10"/>
        <rFont val="Verdana"/>
        <charset val="134"/>
      </rPr>
      <t xml:space="preserve">Total de Tributos </t>
    </r>
    <r>
      <rPr>
        <sz val="10"/>
        <rFont val="Verdana"/>
        <charset val="134"/>
      </rPr>
      <t>(COFINS+PIS+ISS+CPRB)</t>
    </r>
    <r>
      <rPr>
        <b/>
        <sz val="10"/>
        <rFont val="Verdana"/>
        <charset val="134"/>
      </rPr>
      <t xml:space="preserve"> = TT</t>
    </r>
  </si>
  <si>
    <t>VALOR DO BDI = [(1+TBD) / (1-TT)]-1</t>
  </si>
  <si>
    <t>Local e data:</t>
  </si>
  <si>
    <t>Responsável Técnico pelo Orçamento:</t>
  </si>
  <si>
    <t>CREA:</t>
  </si>
  <si>
    <t>Responsável legal pela empresa:</t>
  </si>
  <si>
    <t>OBS: A planilha deve ser assinada pelo responsável técnico pela sua confecção (Art. 14 Lei 5.194/66), identificado através de carimbo com número do CREA e pelo representante legal da empresa, com carimbo do CNPJ.</t>
  </si>
  <si>
    <t>Fórmula utilizada:</t>
  </si>
  <si>
    <t>PV = CD x (1 + BDI%/100)  &lt; &gt;</t>
  </si>
  <si>
    <r>
      <rPr>
        <sz val="11"/>
        <color theme="1"/>
        <rFont val="Arial"/>
        <charset val="134"/>
      </rPr>
      <t xml:space="preserve">BDI  =  [ </t>
    </r>
    <r>
      <rPr>
        <u/>
        <sz val="9"/>
        <rFont val="Verdana"/>
        <charset val="134"/>
      </rPr>
      <t>(1 +(AC + S + R + G)) x (1 +DF) x (1 + L)</t>
    </r>
    <r>
      <rPr>
        <sz val="9"/>
        <rFont val="Verdana"/>
        <charset val="134"/>
      </rPr>
      <t xml:space="preserve"> ]  -1</t>
    </r>
  </si>
  <si>
    <t>sendo:</t>
  </si>
  <si>
    <t>(1 -TT)</t>
  </si>
  <si>
    <t>PV - preço de venda</t>
  </si>
  <si>
    <t>CD - custo direto</t>
  </si>
  <si>
    <t>BDI - benefícios e despesas indiretas</t>
  </si>
  <si>
    <t>AC - Taxa de despesa de Administração Central</t>
  </si>
  <si>
    <t>S - Taxa de seguros</t>
  </si>
  <si>
    <t>R - Taxa de risco</t>
  </si>
  <si>
    <t>G - Taxa de garantias</t>
  </si>
  <si>
    <t>DF - Taxa de despesas financeiras</t>
  </si>
  <si>
    <t>L - Taxa de lucro</t>
  </si>
  <si>
    <t>I - Taxa de impostos</t>
  </si>
  <si>
    <t>Base do BDI, conforme Acórdão 2.622/2013, média das alíquotas por tipo de obra "construção de edifícios"</t>
  </si>
  <si>
    <t>Anexo IV C - PLANILHA DE COMPOSIÇÃO DE BDI Material</t>
  </si>
  <si>
    <r>
      <rPr>
        <b/>
        <sz val="9"/>
        <color rgb="FFFF0000"/>
        <rFont val="Verdana"/>
        <charset val="134"/>
      </rPr>
      <t>Anexo IV D1 - PLANILHA DE COMPOSIÇÃO DE CUSTOS E FORMAÇÃO DE PREÇOS</t>
    </r>
    <r>
      <rPr>
        <sz val="9"/>
        <color rgb="FFFF0000"/>
        <rFont val="Verdana"/>
        <charset val="134"/>
      </rPr>
      <t xml:space="preserve"> (Anexo VII da I.N. da SLTI/MPOG n.º 5 de 26/Maio/2017			</t>
    </r>
  </si>
  <si>
    <t>Custo serviços acessórios, sem DEMO ITEM 1 - NITERÓI</t>
  </si>
  <si>
    <t>Custo Hora</t>
  </si>
  <si>
    <t>BDI</t>
  </si>
  <si>
    <t>Custo total da Hora</t>
  </si>
  <si>
    <t>Horas Estimado Semana</t>
  </si>
  <si>
    <t>Horas Estimado Mês</t>
  </si>
  <si>
    <t>Custo total do mês</t>
  </si>
  <si>
    <t>Custo total do ano</t>
  </si>
  <si>
    <t>Mecânico de Ar Condicionado</t>
  </si>
  <si>
    <t>26,24%</t>
  </si>
  <si>
    <t>Auxiliar de Refrigeração</t>
  </si>
  <si>
    <t>Eletricista de manutenção 44h</t>
  </si>
  <si>
    <t>Engenheiro Mecânico / Automação</t>
  </si>
  <si>
    <t>Custo serviços acessórios, sem DEMO - ITEM 1 - NITERÓI</t>
  </si>
  <si>
    <t>DISCRIMINAÇÃO DO SERVIÇO</t>
  </si>
  <si>
    <t>Custo Unitário</t>
  </si>
  <si>
    <t>Custo total do Serviço</t>
  </si>
  <si>
    <t>Quantidade/Mês</t>
  </si>
  <si>
    <t>Controle microbiológico / qualidade do ar</t>
  </si>
  <si>
    <t>Análise físico - química água</t>
  </si>
  <si>
    <t>Limpeza de dutos de ar condicionado</t>
  </si>
  <si>
    <t>DISCRIMINAÇÃO</t>
  </si>
  <si>
    <t>Desconto Aplicado (Em %)</t>
  </si>
  <si>
    <t>Peças para manutenção (70% mão de obra DEMO)</t>
  </si>
  <si>
    <t>Gás Refrigerante</t>
  </si>
  <si>
    <r>
      <rPr>
        <b/>
        <sz val="9"/>
        <color rgb="FFFF0000"/>
        <rFont val="Verdana"/>
        <charset val="134"/>
      </rPr>
      <t>Anexo IV D2 - PLANILHA DE COMPOSIÇÃO DE CUSTOS E FORMAÇÃO DE PREÇOS</t>
    </r>
    <r>
      <rPr>
        <sz val="9"/>
        <color rgb="FFFF0000"/>
        <rFont val="Verdana"/>
        <charset val="134"/>
      </rPr>
      <t xml:space="preserve"> (Anexo VII da I.N. da SLTI/MPOG n.º 5 de 26/Maio/2017			</t>
    </r>
  </si>
  <si>
    <t>Custo serviços acessórios, sem DEMO ITEM 2- CAMPOS DOS GOYTACAZES/RJ</t>
  </si>
  <si>
    <t>Custo serviços acessórios, sem DEMO - ITEM 2- CAMPOS DOS GOYTACAZES/RJ</t>
  </si>
  <si>
    <t>Peças para manutenção (50% mão de obra DEMO)</t>
  </si>
  <si>
    <r>
      <rPr>
        <b/>
        <sz val="9"/>
        <color rgb="FFFF0000"/>
        <rFont val="Verdana"/>
        <charset val="134"/>
      </rPr>
      <t>Anexo IV E1 - PLANILHA DE COMPOSIÇÃO DE CUSTOS E FORMAÇÃO DE PREÇOS</t>
    </r>
    <r>
      <rPr>
        <sz val="9"/>
        <color rgb="FFFF0000"/>
        <rFont val="Verdana"/>
        <charset val="134"/>
      </rPr>
      <t xml:space="preserve"> (Anexo VII da I.N. da SLTI/MPOG n.º 5 de 26/Maio/2017			</t>
    </r>
  </si>
  <si>
    <t>UNID</t>
  </si>
  <si>
    <t>MESES</t>
  </si>
  <si>
    <t>Mão de obra permanente</t>
  </si>
  <si>
    <t>MÊS</t>
  </si>
  <si>
    <t>Análise Quimica da Água</t>
  </si>
  <si>
    <t>Análise do Ar</t>
  </si>
  <si>
    <t>Limpeza de Rede de Dutos</t>
  </si>
  <si>
    <t>Serviços eventuais sem cessão de mão de obra dedicada</t>
  </si>
  <si>
    <t>Gás Refrigererante</t>
  </si>
  <si>
    <t>Peças para manutenção (70% mão de obra)</t>
  </si>
  <si>
    <r>
      <rPr>
        <b/>
        <sz val="11"/>
        <color theme="1"/>
        <rFont val="Calibri"/>
        <charset val="134"/>
        <scheme val="minor"/>
      </rPr>
      <t xml:space="preserve">TOTAL GRUPO 1 </t>
    </r>
    <r>
      <rPr>
        <b/>
        <sz val="11"/>
        <color rgb="FFFF0000"/>
        <rFont val="Calibri"/>
        <charset val="134"/>
        <scheme val="minor"/>
      </rPr>
      <t>(VALOR DO LANCE COMPRASNET)</t>
    </r>
  </si>
  <si>
    <r>
      <rPr>
        <b/>
        <sz val="9"/>
        <color rgb="FFFF0000"/>
        <rFont val="Verdana"/>
        <charset val="134"/>
      </rPr>
      <t>Anexo IV E2 - PLANILHA DE COMPOSIÇÃO DE CUSTOS E FORMAÇÃO DE PREÇOS</t>
    </r>
    <r>
      <rPr>
        <sz val="9"/>
        <color rgb="FFFF0000"/>
        <rFont val="Verdana"/>
        <charset val="134"/>
      </rPr>
      <t xml:space="preserve"> (Anexo VII da I.N. da SLTI/MPOG n.º 5 de 26/Maio/2017			</t>
    </r>
  </si>
  <si>
    <t>Peças para manutenção (50% mão de obra)</t>
  </si>
  <si>
    <r>
      <rPr>
        <b/>
        <sz val="11"/>
        <color theme="1"/>
        <rFont val="Calibri"/>
        <charset val="134"/>
        <scheme val="minor"/>
      </rPr>
      <t xml:space="preserve">TOTAL ITEM 2 </t>
    </r>
    <r>
      <rPr>
        <b/>
        <sz val="11"/>
        <color rgb="FFFF0000"/>
        <rFont val="Calibri"/>
        <charset val="134"/>
        <scheme val="minor"/>
      </rPr>
      <t>(VALOR DO LANCE COMPRASNET)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</si>
</sst>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quot;R$&quot;\ #,##0.00"/>
    <numFmt numFmtId="181" formatCode="#,##0.00_);\(#,##0.00\)"/>
    <numFmt numFmtId="182" formatCode="[$R$-416]#,##0.00&quot; &quot;;&quot;-&quot;[$R$-416]#,##0.00&quot; &quot;;[$R$-416]&quot;-&quot;#&quot; &quot;;&quot; &quot;@"/>
    <numFmt numFmtId="183" formatCode="#,##0.00&quot; &quot;;&quot;(&quot;#,##0.00&quot;)&quot;;&quot;-&quot;#&quot; &quot;;&quot; &quot;@&quot; &quot;"/>
    <numFmt numFmtId="184" formatCode="[$R$-416]&quot; &quot;#,##0.00;[Red]&quot;-&quot;[$R$-416]&quot; &quot;#,##0.00"/>
    <numFmt numFmtId="185" formatCode="00"/>
    <numFmt numFmtId="186" formatCode="0.0"/>
  </numFmts>
  <fonts count="81">
    <font>
      <sz val="11"/>
      <color theme="1"/>
      <name val="Calibri"/>
      <charset val="134"/>
      <scheme val="minor"/>
    </font>
    <font>
      <b/>
      <sz val="14"/>
      <color theme="1"/>
      <name val="Calibri"/>
      <charset val="134"/>
      <scheme val="minor"/>
    </font>
    <font>
      <b/>
      <sz val="9"/>
      <color rgb="FFFF0000"/>
      <name val="Verdana"/>
      <charset val="134"/>
    </font>
    <font>
      <b/>
      <sz val="9"/>
      <name val="Verdana"/>
      <charset val="134"/>
    </font>
    <font>
      <b/>
      <sz val="11"/>
      <name val="Calibri"/>
      <charset val="134"/>
      <scheme val="minor"/>
    </font>
    <font>
      <b/>
      <sz val="10"/>
      <color theme="1"/>
      <name val="Calibri"/>
      <charset val="134"/>
      <scheme val="minor"/>
    </font>
    <font>
      <sz val="11"/>
      <color theme="1"/>
      <name val="Calibri"/>
      <charset val="134"/>
      <scheme val="minor"/>
    </font>
    <font>
      <sz val="11"/>
      <name val="Calibri"/>
      <charset val="134"/>
      <scheme val="minor"/>
    </font>
    <font>
      <b/>
      <sz val="11"/>
      <color theme="1"/>
      <name val="Calibri"/>
      <charset val="134"/>
      <scheme val="minor"/>
    </font>
    <font>
      <b/>
      <sz val="11"/>
      <color rgb="FFFF0000"/>
      <name val="Calibri"/>
      <charset val="134"/>
      <scheme val="minor"/>
    </font>
    <font>
      <sz val="10"/>
      <name val="Verdana"/>
      <charset val="134"/>
    </font>
    <font>
      <b/>
      <sz val="11"/>
      <color theme="9" tint="-0.249977111117893"/>
      <name val="Calibri"/>
      <charset val="134"/>
      <scheme val="minor"/>
    </font>
    <font>
      <b/>
      <sz val="10"/>
      <name val="Verdana"/>
      <charset val="134"/>
    </font>
    <font>
      <i/>
      <sz val="8"/>
      <name val="Verdana"/>
      <charset val="134"/>
    </font>
    <font>
      <i/>
      <sz val="8"/>
      <color indexed="8"/>
      <name val="Verdana"/>
      <charset val="134"/>
    </font>
    <font>
      <b/>
      <sz val="8"/>
      <color indexed="10"/>
      <name val="Verdana"/>
      <charset val="134"/>
    </font>
    <font>
      <sz val="11"/>
      <color theme="1"/>
      <name val="Arial"/>
      <charset val="134"/>
    </font>
    <font>
      <sz val="9"/>
      <name val="Verdana"/>
      <charset val="134"/>
    </font>
    <font>
      <b/>
      <i/>
      <sz val="11"/>
      <name val="Calibri"/>
      <charset val="134"/>
      <scheme val="minor"/>
    </font>
    <font>
      <b/>
      <sz val="10"/>
      <name val="Calibri"/>
      <charset val="134"/>
      <scheme val="minor"/>
    </font>
    <font>
      <sz val="11"/>
      <color rgb="FF000000"/>
      <name val="Calibri"/>
      <charset val="134"/>
      <scheme val="minor"/>
    </font>
    <font>
      <b/>
      <i/>
      <sz val="10"/>
      <name val="Calibri"/>
      <charset val="134"/>
      <scheme val="minor"/>
    </font>
    <font>
      <b/>
      <sz val="11"/>
      <color rgb="FF000000"/>
      <name val="Calibri"/>
      <charset val="134"/>
      <scheme val="minor"/>
    </font>
    <font>
      <sz val="11"/>
      <color indexed="8"/>
      <name val="Calibri"/>
      <charset val="134"/>
      <scheme val="minor"/>
    </font>
    <font>
      <sz val="11"/>
      <color indexed="20"/>
      <name val="Calibri"/>
      <charset val="134"/>
      <scheme val="minor"/>
    </font>
    <font>
      <sz val="11"/>
      <color rgb="FF800080"/>
      <name val="Calibri"/>
      <charset val="134"/>
      <scheme val="minor"/>
    </font>
    <font>
      <b/>
      <sz val="11"/>
      <color indexed="8"/>
      <name val="Calibri"/>
      <charset val="134"/>
      <scheme val="minor"/>
    </font>
    <font>
      <sz val="7"/>
      <name val="Calibri"/>
      <charset val="134"/>
      <scheme val="minor"/>
    </font>
    <font>
      <b/>
      <sz val="9"/>
      <color rgb="FF000000"/>
      <name val="Arial"/>
      <charset val="134"/>
    </font>
    <font>
      <sz val="9"/>
      <color rgb="FF000000"/>
      <name val="Arial"/>
      <charset val="134"/>
    </font>
    <font>
      <b/>
      <sz val="9"/>
      <color rgb="FF111111"/>
      <name val="Arial"/>
      <charset val="134"/>
    </font>
    <font>
      <sz val="9"/>
      <color rgb="FF000000"/>
      <name val="Cambria"/>
      <charset val="134"/>
    </font>
    <font>
      <b/>
      <sz val="12"/>
      <color theme="1"/>
      <name val="Calibri"/>
      <charset val="134"/>
      <scheme val="minor"/>
    </font>
    <font>
      <b/>
      <sz val="12"/>
      <color rgb="FFFF0000"/>
      <name val="Calibri"/>
      <charset val="134"/>
      <scheme val="minor"/>
    </font>
    <font>
      <b/>
      <sz val="10"/>
      <name val="Calibri"/>
      <charset val="134"/>
    </font>
    <font>
      <sz val="10"/>
      <name val="Calibri"/>
      <charset val="134"/>
    </font>
    <font>
      <sz val="10"/>
      <color theme="1"/>
      <name val="Calibri"/>
      <charset val="134"/>
      <scheme val="minor"/>
    </font>
    <font>
      <sz val="11"/>
      <name val="Calibri"/>
      <charset val="134"/>
    </font>
    <font>
      <sz val="10"/>
      <color rgb="FF000000"/>
      <name val="Calibri"/>
      <charset val="134"/>
    </font>
    <font>
      <sz val="10"/>
      <color rgb="FFFF0000"/>
      <name val="Calibri"/>
      <charset val="134"/>
    </font>
    <font>
      <sz val="10"/>
      <color rgb="FF000000"/>
      <name val="Calibri"/>
      <charset val="134"/>
      <scheme val="minor"/>
    </font>
    <font>
      <sz val="10"/>
      <color rgb="FF000000"/>
      <name val="Times New Roman"/>
      <charset val="134"/>
    </font>
    <font>
      <sz val="10"/>
      <name val="Calibri"/>
      <charset val="134"/>
      <scheme val="minor"/>
    </font>
    <font>
      <b/>
      <sz val="11"/>
      <color rgb="FFFF0000"/>
      <name val="Calibri"/>
      <charset val="134"/>
    </font>
    <font>
      <sz val="11"/>
      <color rgb="FFFF0000"/>
      <name val="Calibri"/>
      <charset val="134"/>
    </font>
    <font>
      <b/>
      <sz val="11"/>
      <name val="Calibri"/>
      <charset val="134"/>
    </font>
    <font>
      <b/>
      <sz val="11"/>
      <name val="Arial"/>
      <charset val="134"/>
    </font>
    <font>
      <sz val="11"/>
      <color rgb="FF333333"/>
      <name val="Calibri"/>
      <charset val="134"/>
    </font>
    <font>
      <sz val="10"/>
      <name val="Arial"/>
      <charset val="134"/>
    </font>
    <font>
      <b/>
      <sz val="11"/>
      <color theme="1"/>
      <name val="Calibri"/>
      <charset val="134"/>
    </font>
    <font>
      <b/>
      <sz val="10"/>
      <color rgb="FFFF0000"/>
      <name val="Calibri"/>
      <charset val="134"/>
      <scheme val="minor"/>
    </font>
    <font>
      <i/>
      <sz val="10"/>
      <color theme="1"/>
      <name val="Calibri"/>
      <charset val="134"/>
      <scheme val="minor"/>
    </font>
    <font>
      <b/>
      <sz val="12"/>
      <color rgb="FFFFFFFF"/>
      <name val="Calibri"/>
      <charset val="134"/>
      <scheme val="minor"/>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rgb="FF000000"/>
      <name val="Calibri"/>
      <charset val="134"/>
    </font>
    <font>
      <sz val="9"/>
      <color rgb="FFFF0000"/>
      <name val="Verdana"/>
      <charset val="134"/>
    </font>
    <font>
      <u/>
      <sz val="9"/>
      <name val="Verdana"/>
      <charset val="134"/>
    </font>
    <font>
      <b/>
      <sz val="10"/>
      <color rgb="FF000000"/>
      <name val="Calibri"/>
      <charset val="134"/>
      <scheme val="minor"/>
    </font>
    <font>
      <i/>
      <sz val="8"/>
      <color theme="1"/>
      <name val="Calibri"/>
      <charset val="134"/>
      <scheme val="minor"/>
    </font>
    <font>
      <sz val="11"/>
      <color rgb="FFFF0000"/>
      <name val="Calibri"/>
      <charset val="134"/>
      <scheme val="minor"/>
    </font>
    <font>
      <b/>
      <sz val="9"/>
      <name val="Segoe UI"/>
      <charset val="134"/>
    </font>
    <font>
      <sz val="9"/>
      <name val="Segoe UI"/>
      <charset val="134"/>
    </font>
  </fonts>
  <fills count="49">
    <fill>
      <patternFill patternType="none"/>
    </fill>
    <fill>
      <patternFill patternType="gray125"/>
    </fill>
    <fill>
      <patternFill patternType="solid">
        <fgColor theme="4" tint="0.799981688894314"/>
        <bgColor indexed="64"/>
      </patternFill>
    </fill>
    <fill>
      <patternFill patternType="solid">
        <fgColor theme="4" tint="0.599993896298105"/>
        <bgColor indexed="64"/>
      </patternFill>
    </fill>
    <fill>
      <patternFill patternType="solid">
        <fgColor indexed="22"/>
        <bgColor indexed="31"/>
      </patternFill>
    </fill>
    <fill>
      <patternFill patternType="solid">
        <fgColor theme="0"/>
        <bgColor indexed="64"/>
      </patternFill>
    </fill>
    <fill>
      <patternFill patternType="solid">
        <fgColor indexed="9"/>
        <bgColor indexed="26"/>
      </patternFill>
    </fill>
    <fill>
      <patternFill patternType="solid">
        <fgColor theme="4" tint="0.799981688894314"/>
        <bgColor indexed="26"/>
      </patternFill>
    </fill>
    <fill>
      <patternFill patternType="solid">
        <fgColor theme="0"/>
        <bgColor rgb="FF000000"/>
      </patternFill>
    </fill>
    <fill>
      <patternFill patternType="solid">
        <fgColor theme="0"/>
        <bgColor indexed="26"/>
      </patternFill>
    </fill>
    <fill>
      <patternFill patternType="solid">
        <fgColor rgb="FFCCCCCC"/>
        <bgColor rgb="FFCCCCCC"/>
      </patternFill>
    </fill>
    <fill>
      <patternFill patternType="solid">
        <fgColor rgb="FFFFFF99"/>
        <bgColor rgb="FFFFFF99"/>
      </patternFill>
    </fill>
    <fill>
      <patternFill patternType="solid">
        <fgColor rgb="FFFFCC99"/>
        <bgColor rgb="FFFFCC99"/>
      </patternFill>
    </fill>
    <fill>
      <patternFill patternType="solid">
        <fgColor rgb="FFFFFF00"/>
        <bgColor indexed="64"/>
      </patternFill>
    </fill>
    <fill>
      <patternFill patternType="solid">
        <fgColor rgb="FFB8CCE4"/>
        <bgColor rgb="FFB8CCE4"/>
      </patternFill>
    </fill>
    <fill>
      <patternFill patternType="solid">
        <fgColor rgb="FFB4C6E7"/>
        <bgColor rgb="FFB4C6E7"/>
      </patternFill>
    </fill>
    <fill>
      <patternFill patternType="solid">
        <fgColor theme="0"/>
        <bgColor rgb="FFB8CCE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auto="1"/>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double">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double">
        <color auto="1"/>
      </left>
      <right/>
      <top style="hair">
        <color auto="1"/>
      </top>
      <bottom style="hair">
        <color auto="1"/>
      </bottom>
      <diagonal/>
    </border>
    <border>
      <left/>
      <right/>
      <top style="hair">
        <color auto="1"/>
      </top>
      <bottom style="hair">
        <color auto="1"/>
      </bottom>
      <diagonal/>
    </border>
    <border>
      <left style="double">
        <color auto="1"/>
      </left>
      <right style="hair">
        <color auto="1"/>
      </right>
      <top style="hair">
        <color auto="1"/>
      </top>
      <bottom/>
      <diagonal/>
    </border>
    <border>
      <left style="hair">
        <color auto="1"/>
      </left>
      <right style="hair">
        <color auto="1"/>
      </right>
      <top style="hair">
        <color auto="1"/>
      </top>
      <bottom/>
      <diagonal/>
    </border>
    <border>
      <left style="double">
        <color auto="1"/>
      </left>
      <right style="hair">
        <color auto="1"/>
      </right>
      <top/>
      <bottom/>
      <diagonal/>
    </border>
    <border>
      <left style="hair">
        <color auto="1"/>
      </left>
      <right style="hair">
        <color auto="1"/>
      </right>
      <top/>
      <bottom/>
      <diagonal/>
    </border>
    <border>
      <left/>
      <right style="double">
        <color auto="1"/>
      </right>
      <top style="hair">
        <color auto="1"/>
      </top>
      <bottom style="hair">
        <color auto="1"/>
      </bottom>
      <diagonal/>
    </border>
    <border>
      <left style="double">
        <color auto="1"/>
      </left>
      <right style="hair">
        <color auto="1"/>
      </right>
      <top/>
      <bottom style="hair">
        <color auto="1"/>
      </bottom>
      <diagonal/>
    </border>
    <border>
      <left style="hair">
        <color auto="1"/>
      </left>
      <right style="hair">
        <color auto="1"/>
      </right>
      <top/>
      <bottom style="hair">
        <color auto="1"/>
      </bottom>
      <diagonal/>
    </border>
    <border>
      <left style="double">
        <color auto="1"/>
      </left>
      <right style="hair">
        <color auto="1"/>
      </right>
      <top style="hair">
        <color auto="1"/>
      </top>
      <bottom style="double">
        <color auto="1"/>
      </bottom>
      <diagonal/>
    </border>
    <border>
      <left style="hair">
        <color auto="1"/>
      </left>
      <right style="hair">
        <color auto="1"/>
      </right>
      <top style="hair">
        <color auto="1"/>
      </top>
      <bottom style="double">
        <color auto="1"/>
      </bottom>
      <diagonal/>
    </border>
    <border>
      <left style="hair">
        <color auto="1"/>
      </left>
      <right style="double">
        <color auto="1"/>
      </right>
      <top style="hair">
        <color auto="1"/>
      </top>
      <bottom style="double">
        <color auto="1"/>
      </bottom>
      <diagonal/>
    </border>
    <border>
      <left/>
      <right/>
      <top style="hair">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right/>
      <top/>
      <bottom style="medium">
        <color auto="1"/>
      </bottom>
      <diagonal/>
    </border>
    <border>
      <left style="medium">
        <color auto="1"/>
      </left>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bottom style="thin">
        <color rgb="FF212121"/>
      </bottom>
      <diagonal/>
    </border>
    <border>
      <left style="thin">
        <color rgb="FF212121"/>
      </left>
      <right style="thin">
        <color rgb="FF212121"/>
      </right>
      <top style="thin">
        <color rgb="FF212121"/>
      </top>
      <bottom style="thin">
        <color rgb="FF212121"/>
      </bottom>
      <diagonal/>
    </border>
    <border>
      <left style="thin">
        <color rgb="FF212121"/>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21212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212121"/>
      </top>
      <bottom style="thin">
        <color rgb="FF212121"/>
      </bottom>
      <diagonal/>
    </border>
    <border>
      <left style="thin">
        <color rgb="FF000000"/>
      </left>
      <right/>
      <top/>
      <bottom/>
      <diagonal/>
    </border>
    <border>
      <left style="thin">
        <color rgb="FF212121"/>
      </left>
      <right style="thin">
        <color rgb="FF212121"/>
      </right>
      <top style="thin">
        <color rgb="FF212121"/>
      </top>
      <bottom/>
      <diagonal/>
    </border>
    <border>
      <left style="thin">
        <color rgb="FF000000"/>
      </left>
      <right style="thin">
        <color rgb="FF000000"/>
      </right>
      <top/>
      <bottom style="thin">
        <color rgb="FF000000"/>
      </bottom>
      <diagonal/>
    </border>
    <border>
      <left style="thin">
        <color rgb="FF212121"/>
      </left>
      <right style="thin">
        <color rgb="FF212121"/>
      </right>
      <top/>
      <bottom style="thin">
        <color rgb="FF212121"/>
      </bottom>
      <diagonal/>
    </border>
    <border>
      <left style="medium">
        <color auto="1"/>
      </left>
      <right/>
      <top/>
      <bottom/>
      <diagonal/>
    </border>
    <border>
      <left/>
      <right style="medium">
        <color auto="1"/>
      </right>
      <top style="thin">
        <color auto="1"/>
      </top>
      <bottom style="thin">
        <color auto="1"/>
      </bottom>
      <diagonal/>
    </border>
    <border>
      <left style="thin">
        <color auto="1"/>
      </left>
      <right style="medium">
        <color auto="1"/>
      </right>
      <top/>
      <bottom style="thin">
        <color auto="1"/>
      </bottom>
      <diagonal/>
    </border>
    <border>
      <left/>
      <right style="medium">
        <color auto="1"/>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176" fontId="53" fillId="0" borderId="0" applyFont="0" applyFill="0" applyBorder="0" applyAlignment="0" applyProtection="0">
      <alignment vertical="center"/>
    </xf>
    <xf numFmtId="177" fontId="6" fillId="0" borderId="0" applyFont="0" applyFill="0" applyBorder="0" applyAlignment="0" applyProtection="0"/>
    <xf numFmtId="9" fontId="6" fillId="0" borderId="0" applyFont="0" applyFill="0" applyBorder="0" applyAlignment="0" applyProtection="0"/>
    <xf numFmtId="178" fontId="53" fillId="0" borderId="0" applyFont="0" applyFill="0" applyBorder="0" applyAlignment="0" applyProtection="0">
      <alignment vertical="center"/>
    </xf>
    <xf numFmtId="179" fontId="53" fillId="0" borderId="0" applyFon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3" fillId="18" borderId="60" applyNumberFormat="0" applyFont="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61" applyNumberFormat="0" applyFill="0" applyAlignment="0" applyProtection="0">
      <alignment vertical="center"/>
    </xf>
    <xf numFmtId="0" fontId="60" fillId="0" borderId="61" applyNumberFormat="0" applyFill="0" applyAlignment="0" applyProtection="0">
      <alignment vertical="center"/>
    </xf>
    <xf numFmtId="0" fontId="61" fillId="0" borderId="62" applyNumberFormat="0" applyFill="0" applyAlignment="0" applyProtection="0">
      <alignment vertical="center"/>
    </xf>
    <xf numFmtId="0" fontId="61" fillId="0" borderId="0" applyNumberFormat="0" applyFill="0" applyBorder="0" applyAlignment="0" applyProtection="0">
      <alignment vertical="center"/>
    </xf>
    <xf numFmtId="0" fontId="62" fillId="19" borderId="63" applyNumberFormat="0" applyAlignment="0" applyProtection="0">
      <alignment vertical="center"/>
    </xf>
    <xf numFmtId="0" fontId="63" fillId="20" borderId="64" applyNumberFormat="0" applyAlignment="0" applyProtection="0">
      <alignment vertical="center"/>
    </xf>
    <xf numFmtId="0" fontId="64" fillId="20" borderId="63" applyNumberFormat="0" applyAlignment="0" applyProtection="0">
      <alignment vertical="center"/>
    </xf>
    <xf numFmtId="0" fontId="65" fillId="21" borderId="65" applyNumberFormat="0" applyAlignment="0" applyProtection="0">
      <alignment vertical="center"/>
    </xf>
    <xf numFmtId="0" fontId="66" fillId="0" borderId="66" applyNumberFormat="0" applyFill="0" applyAlignment="0" applyProtection="0">
      <alignment vertical="center"/>
    </xf>
    <xf numFmtId="0" fontId="67" fillId="0" borderId="67" applyNumberFormat="0" applyFill="0" applyAlignment="0" applyProtection="0">
      <alignment vertical="center"/>
    </xf>
    <xf numFmtId="0" fontId="68" fillId="22" borderId="0" applyNumberFormat="0" applyBorder="0" applyAlignment="0" applyProtection="0">
      <alignment vertical="center"/>
    </xf>
    <xf numFmtId="0" fontId="69" fillId="23" borderId="0" applyNumberFormat="0" applyBorder="0" applyAlignment="0" applyProtection="0">
      <alignment vertical="center"/>
    </xf>
    <xf numFmtId="0" fontId="70" fillId="24" borderId="0" applyNumberFormat="0" applyBorder="0" applyAlignment="0" applyProtection="0">
      <alignment vertical="center"/>
    </xf>
    <xf numFmtId="0" fontId="71" fillId="25" borderId="0" applyNumberFormat="0" applyBorder="0" applyAlignment="0" applyProtection="0">
      <alignment vertical="center"/>
    </xf>
    <xf numFmtId="0" fontId="72" fillId="26" borderId="0" applyNumberFormat="0" applyBorder="0" applyAlignment="0" applyProtection="0">
      <alignment vertical="center"/>
    </xf>
    <xf numFmtId="0" fontId="72" fillId="27" borderId="0" applyNumberFormat="0" applyBorder="0" applyAlignment="0" applyProtection="0">
      <alignment vertical="center"/>
    </xf>
    <xf numFmtId="0" fontId="71" fillId="28" borderId="0" applyNumberFormat="0" applyBorder="0" applyAlignment="0" applyProtection="0">
      <alignment vertical="center"/>
    </xf>
    <xf numFmtId="0" fontId="71" fillId="29" borderId="0" applyNumberFormat="0" applyBorder="0" applyAlignment="0" applyProtection="0">
      <alignment vertical="center"/>
    </xf>
    <xf numFmtId="0" fontId="72" fillId="30" borderId="0" applyNumberFormat="0" applyBorder="0" applyAlignment="0" applyProtection="0">
      <alignment vertical="center"/>
    </xf>
    <xf numFmtId="0" fontId="72" fillId="31" borderId="0" applyNumberFormat="0" applyBorder="0" applyAlignment="0" applyProtection="0">
      <alignment vertical="center"/>
    </xf>
    <xf numFmtId="0" fontId="71" fillId="32" borderId="0" applyNumberFormat="0" applyBorder="0" applyAlignment="0" applyProtection="0">
      <alignment vertical="center"/>
    </xf>
    <xf numFmtId="0" fontId="71" fillId="33" borderId="0" applyNumberFormat="0" applyBorder="0" applyAlignment="0" applyProtection="0">
      <alignment vertical="center"/>
    </xf>
    <xf numFmtId="0" fontId="72" fillId="34" borderId="0" applyNumberFormat="0" applyBorder="0" applyAlignment="0" applyProtection="0">
      <alignment vertical="center"/>
    </xf>
    <xf numFmtId="0" fontId="72" fillId="35" borderId="0" applyNumberFormat="0" applyBorder="0" applyAlignment="0" applyProtection="0">
      <alignment vertical="center"/>
    </xf>
    <xf numFmtId="0" fontId="71" fillId="36" borderId="0" applyNumberFormat="0" applyBorder="0" applyAlignment="0" applyProtection="0">
      <alignment vertical="center"/>
    </xf>
    <xf numFmtId="0" fontId="71" fillId="37" borderId="0" applyNumberFormat="0" applyBorder="0" applyAlignment="0" applyProtection="0">
      <alignment vertical="center"/>
    </xf>
    <xf numFmtId="0" fontId="72" fillId="38" borderId="0" applyNumberFormat="0" applyBorder="0" applyAlignment="0" applyProtection="0">
      <alignment vertical="center"/>
    </xf>
    <xf numFmtId="0" fontId="72" fillId="39" borderId="0" applyNumberFormat="0" applyBorder="0" applyAlignment="0" applyProtection="0">
      <alignment vertical="center"/>
    </xf>
    <xf numFmtId="0" fontId="71" fillId="40" borderId="0" applyNumberFormat="0" applyBorder="0" applyAlignment="0" applyProtection="0">
      <alignment vertical="center"/>
    </xf>
    <xf numFmtId="0" fontId="71" fillId="41" borderId="0" applyNumberFormat="0" applyBorder="0" applyAlignment="0" applyProtection="0">
      <alignment vertical="center"/>
    </xf>
    <xf numFmtId="0" fontId="72" fillId="42" borderId="0" applyNumberFormat="0" applyBorder="0" applyAlignment="0" applyProtection="0">
      <alignment vertical="center"/>
    </xf>
    <xf numFmtId="0" fontId="72" fillId="43" borderId="0" applyNumberFormat="0" applyBorder="0" applyAlignment="0" applyProtection="0">
      <alignment vertical="center"/>
    </xf>
    <xf numFmtId="0" fontId="71" fillId="44" borderId="0" applyNumberFormat="0" applyBorder="0" applyAlignment="0" applyProtection="0">
      <alignment vertical="center"/>
    </xf>
    <xf numFmtId="0" fontId="71" fillId="45" borderId="0" applyNumberFormat="0" applyBorder="0" applyAlignment="0" applyProtection="0">
      <alignment vertical="center"/>
    </xf>
    <xf numFmtId="0" fontId="72" fillId="46" borderId="0" applyNumberFormat="0" applyBorder="0" applyAlignment="0" applyProtection="0">
      <alignment vertical="center"/>
    </xf>
    <xf numFmtId="0" fontId="72" fillId="47" borderId="0" applyNumberFormat="0" applyBorder="0" applyAlignment="0" applyProtection="0">
      <alignment vertical="center"/>
    </xf>
    <xf numFmtId="0" fontId="71" fillId="48" borderId="0" applyNumberFormat="0" applyBorder="0" applyAlignment="0" applyProtection="0">
      <alignment vertical="center"/>
    </xf>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0" fontId="16" fillId="0" borderId="0"/>
    <xf numFmtId="0" fontId="48" fillId="0" borderId="0"/>
    <xf numFmtId="0" fontId="17" fillId="0" borderId="0"/>
    <xf numFmtId="0" fontId="73" fillId="0" borderId="0"/>
    <xf numFmtId="0" fontId="6" fillId="0" borderId="0"/>
    <xf numFmtId="0" fontId="6" fillId="0" borderId="0"/>
    <xf numFmtId="0" fontId="37" fillId="0" borderId="0"/>
    <xf numFmtId="0" fontId="6" fillId="0" borderId="0"/>
    <xf numFmtId="0" fontId="6" fillId="0" borderId="0"/>
    <xf numFmtId="0" fontId="7" fillId="0" borderId="0"/>
    <xf numFmtId="0" fontId="6" fillId="0" borderId="0"/>
    <xf numFmtId="0" fontId="17" fillId="0" borderId="0"/>
    <xf numFmtId="9" fontId="17" fillId="0" borderId="0" applyFont="0" applyFill="0" applyBorder="0" applyAlignment="0" applyProtection="0"/>
    <xf numFmtId="9" fontId="6" fillId="0" borderId="0" applyFont="0" applyFill="0" applyBorder="0" applyAlignment="0" applyProtection="0"/>
  </cellStyleXfs>
  <cellXfs count="443">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0" xfId="0" applyFont="1" applyAlignment="1">
      <alignment horizontal="center" vertical="distributed" wrapText="1" shrinkToFit="1" readingOrder="1"/>
    </xf>
    <xf numFmtId="0" fontId="3" fillId="0" borderId="0" xfId="0" applyFont="1" applyAlignment="1">
      <alignment horizontal="center" vertical="center" wrapText="1"/>
    </xf>
    <xf numFmtId="0" fontId="4" fillId="2" borderId="1" xfId="0" applyFont="1" applyFill="1" applyBorder="1" applyAlignment="1">
      <alignment horizontal="center"/>
    </xf>
    <xf numFmtId="0" fontId="5" fillId="3" borderId="1" xfId="0" applyFont="1" applyFill="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180" fontId="0" fillId="0" borderId="1" xfId="0" applyNumberFormat="1" applyBorder="1" applyAlignment="1">
      <alignment horizontal="center" vertical="center"/>
    </xf>
    <xf numFmtId="0" fontId="6" fillId="0" borderId="1" xfId="0" applyFont="1" applyBorder="1" applyAlignment="1">
      <alignment horizontal="center" vertical="center" wrapText="1"/>
    </xf>
    <xf numFmtId="180" fontId="7" fillId="0" borderId="1" xfId="0" applyNumberFormat="1" applyFont="1" applyBorder="1" applyAlignment="1">
      <alignment horizontal="center" vertical="center" wrapText="1"/>
    </xf>
    <xf numFmtId="0" fontId="8" fillId="3" borderId="1" xfId="0" applyFont="1" applyFill="1" applyBorder="1" applyAlignment="1">
      <alignment horizontal="center" vertical="center" wrapText="1"/>
    </xf>
    <xf numFmtId="180" fontId="9" fillId="3" borderId="1" xfId="0" applyNumberFormat="1" applyFont="1" applyFill="1" applyBorder="1" applyAlignment="1">
      <alignment vertical="center" wrapText="1"/>
    </xf>
    <xf numFmtId="180" fontId="0" fillId="0" borderId="0" xfId="0" applyNumberFormat="1"/>
    <xf numFmtId="180" fontId="0" fillId="0" borderId="1" xfId="0" applyNumberFormat="1" applyBorder="1" applyAlignment="1">
      <alignment horizontal="right" vertical="center"/>
    </xf>
    <xf numFmtId="180" fontId="7" fillId="0" borderId="1" xfId="0" applyNumberFormat="1" applyFont="1" applyBorder="1" applyAlignment="1">
      <alignment horizontal="right" vertical="center" wrapText="1"/>
    </xf>
    <xf numFmtId="0" fontId="4" fillId="4" borderId="1" xfId="0" applyFont="1" applyFill="1" applyBorder="1" applyAlignment="1">
      <alignment horizontal="center"/>
    </xf>
    <xf numFmtId="0" fontId="4"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180" fontId="10"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177" fontId="4" fillId="5" borderId="1" xfId="0" applyNumberFormat="1" applyFont="1" applyFill="1" applyBorder="1" applyAlignment="1">
      <alignment horizontal="center" vertical="center" wrapText="1"/>
    </xf>
    <xf numFmtId="1" fontId="4" fillId="5" borderId="1" xfId="0" applyNumberFormat="1" applyFont="1" applyFill="1" applyBorder="1" applyAlignment="1">
      <alignment horizontal="center" vertical="center" wrapText="1"/>
    </xf>
    <xf numFmtId="177" fontId="0" fillId="0" borderId="1" xfId="0" applyNumberFormat="1" applyBorder="1" applyAlignment="1">
      <alignment vertical="center"/>
    </xf>
    <xf numFmtId="0" fontId="4" fillId="3" borderId="1" xfId="0" applyFont="1" applyFill="1" applyBorder="1" applyAlignment="1">
      <alignment horizontal="center" vertical="center"/>
    </xf>
    <xf numFmtId="3" fontId="4" fillId="3" borderId="1" xfId="0" applyNumberFormat="1" applyFont="1" applyFill="1" applyBorder="1" applyAlignment="1">
      <alignment horizontal="center" vertical="center"/>
    </xf>
    <xf numFmtId="180" fontId="4" fillId="3" borderId="1" xfId="0" applyNumberFormat="1" applyFont="1" applyFill="1" applyBorder="1" applyAlignment="1">
      <alignment horizontal="center" vertical="center" wrapText="1"/>
    </xf>
    <xf numFmtId="1" fontId="4" fillId="3" borderId="1" xfId="0" applyNumberFormat="1" applyFont="1" applyFill="1" applyBorder="1" applyAlignment="1">
      <alignment horizontal="center" vertical="center" wrapText="1"/>
    </xf>
    <xf numFmtId="177" fontId="8" fillId="3" borderId="1" xfId="0" applyNumberFormat="1" applyFont="1" applyFill="1" applyBorder="1"/>
    <xf numFmtId="0" fontId="11" fillId="0" borderId="0" xfId="0" applyFont="1"/>
    <xf numFmtId="0" fontId="4" fillId="4" borderId="2" xfId="0" applyFont="1" applyFill="1" applyBorder="1" applyAlignment="1">
      <alignment horizontal="center"/>
    </xf>
    <xf numFmtId="0" fontId="4" fillId="4" borderId="3" xfId="0" applyFont="1" applyFill="1" applyBorder="1" applyAlignment="1">
      <alignment horizontal="center"/>
    </xf>
    <xf numFmtId="0" fontId="4" fillId="4" borderId="4" xfId="0" applyFont="1" applyFill="1" applyBorder="1" applyAlignment="1">
      <alignment horizontal="center"/>
    </xf>
    <xf numFmtId="10" fontId="10" fillId="0" borderId="1" xfId="0" applyNumberFormat="1" applyFont="1" applyBorder="1" applyAlignment="1">
      <alignment horizontal="center" vertical="center" wrapText="1"/>
    </xf>
    <xf numFmtId="9" fontId="10" fillId="0" borderId="1" xfId="3" applyFont="1" applyBorder="1" applyAlignment="1">
      <alignment horizontal="center" vertical="center" wrapText="1"/>
    </xf>
    <xf numFmtId="10" fontId="4" fillId="5" borderId="1" xfId="0" applyNumberFormat="1" applyFont="1" applyFill="1" applyBorder="1" applyAlignment="1">
      <alignment horizontal="center" vertical="center" wrapText="1"/>
    </xf>
    <xf numFmtId="177" fontId="0" fillId="0" borderId="1" xfId="0" applyNumberFormat="1" applyBorder="1" applyAlignment="1">
      <alignment horizontal="center" vertical="center"/>
    </xf>
    <xf numFmtId="180" fontId="8" fillId="3" borderId="1" xfId="0" applyNumberFormat="1" applyFont="1" applyFill="1" applyBorder="1"/>
    <xf numFmtId="0" fontId="1" fillId="0" borderId="0" xfId="0" applyFont="1" applyAlignment="1">
      <alignment wrapText="1"/>
    </xf>
    <xf numFmtId="0" fontId="1" fillId="0" borderId="0" xfId="0" applyFont="1"/>
    <xf numFmtId="0" fontId="2" fillId="0" borderId="0" xfId="0" applyFont="1" applyAlignment="1">
      <alignment vertical="distributed" wrapText="1" shrinkToFit="1" readingOrder="1"/>
    </xf>
    <xf numFmtId="0" fontId="3" fillId="0" borderId="0" xfId="0" applyFont="1" applyAlignment="1">
      <alignment vertical="distributed" wrapText="1" shrinkToFit="1" readingOrder="1"/>
    </xf>
    <xf numFmtId="0" fontId="3" fillId="0" borderId="0" xfId="0" applyFont="1" applyAlignment="1">
      <alignment vertical="center" wrapText="1"/>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left" vertical="center"/>
    </xf>
    <xf numFmtId="10" fontId="10" fillId="0" borderId="10" xfId="3" applyNumberFormat="1" applyFont="1" applyBorder="1" applyAlignment="1">
      <alignment horizontal="center" vertical="center"/>
    </xf>
    <xf numFmtId="0" fontId="10" fillId="0" borderId="11" xfId="0" applyFont="1" applyBorder="1" applyAlignment="1">
      <alignment horizontal="left" vertical="center"/>
    </xf>
    <xf numFmtId="0" fontId="10" fillId="0" borderId="12" xfId="0" applyFont="1" applyBorder="1" applyAlignment="1">
      <alignment horizontal="left"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0" fillId="0" borderId="0" xfId="0" applyAlignment="1">
      <alignment vertical="center"/>
    </xf>
    <xf numFmtId="0" fontId="10" fillId="0" borderId="13" xfId="0" applyFont="1" applyBorder="1" applyAlignment="1">
      <alignment horizontal="center" vertical="center"/>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12" fillId="0" borderId="12" xfId="0" applyFont="1" applyBorder="1" applyAlignment="1">
      <alignment horizontal="center" vertical="center"/>
    </xf>
    <xf numFmtId="10" fontId="12" fillId="0" borderId="10" xfId="64" applyNumberFormat="1" applyFont="1" applyBorder="1" applyAlignment="1">
      <alignment horizontal="center" vertical="center"/>
    </xf>
    <xf numFmtId="0" fontId="10" fillId="0" borderId="15" xfId="0" applyFont="1" applyBorder="1" applyAlignment="1">
      <alignment horizontal="center" vertical="center"/>
    </xf>
    <xf numFmtId="0" fontId="12" fillId="0" borderId="16" xfId="0" applyFont="1" applyBorder="1" applyAlignment="1">
      <alignment horizontal="center" vertical="center" wrapText="1"/>
    </xf>
    <xf numFmtId="0" fontId="10" fillId="0" borderId="17" xfId="0" applyFont="1" applyBorder="1" applyAlignment="1">
      <alignment horizontal="center" vertical="center"/>
    </xf>
    <xf numFmtId="0" fontId="12" fillId="0" borderId="18" xfId="0" applyFont="1" applyBorder="1" applyAlignment="1">
      <alignment horizontal="center" vertical="center" wrapText="1"/>
    </xf>
    <xf numFmtId="0" fontId="10" fillId="0" borderId="16" xfId="0" applyFont="1" applyBorder="1" applyAlignment="1">
      <alignment horizontal="left" vertical="center"/>
    </xf>
    <xf numFmtId="0" fontId="12" fillId="0" borderId="11" xfId="0" applyFont="1" applyBorder="1" applyAlignment="1">
      <alignment vertical="center"/>
    </xf>
    <xf numFmtId="10" fontId="12" fillId="0" borderId="19" xfId="0" applyNumberFormat="1" applyFont="1" applyBorder="1" applyAlignment="1">
      <alignment horizontal="center" vertical="center"/>
    </xf>
    <xf numFmtId="0" fontId="10" fillId="0" borderId="9" xfId="0" applyFont="1" applyBorder="1" applyAlignment="1">
      <alignment horizontal="center" vertical="center"/>
    </xf>
    <xf numFmtId="0" fontId="10" fillId="0" borderId="20" xfId="0" applyFont="1" applyBorder="1" applyAlignment="1">
      <alignment horizontal="center" vertical="center"/>
    </xf>
    <xf numFmtId="0" fontId="12" fillId="0" borderId="21" xfId="0" applyFont="1" applyBorder="1" applyAlignment="1">
      <alignment horizontal="center" vertical="center" wrapText="1"/>
    </xf>
    <xf numFmtId="0" fontId="12" fillId="0" borderId="22" xfId="0" applyFont="1" applyBorder="1" applyAlignment="1">
      <alignment horizontal="center" vertical="center"/>
    </xf>
    <xf numFmtId="0" fontId="12" fillId="0" borderId="23" xfId="0" applyFont="1" applyBorder="1" applyAlignment="1">
      <alignment horizontal="center" vertical="center"/>
    </xf>
    <xf numFmtId="10" fontId="12" fillId="0" borderId="24" xfId="3" applyNumberFormat="1" applyFont="1" applyBorder="1" applyAlignment="1">
      <alignment horizontal="center" vertical="center"/>
    </xf>
    <xf numFmtId="0" fontId="13" fillId="0" borderId="6" xfId="0" applyFont="1" applyBorder="1" applyAlignment="1">
      <alignment horizontal="center" vertical="top" wrapText="1"/>
    </xf>
    <xf numFmtId="0" fontId="14" fillId="0" borderId="9" xfId="0" applyFont="1" applyBorder="1" applyAlignment="1">
      <alignment horizontal="center" vertical="top" wrapText="1"/>
    </xf>
    <xf numFmtId="0" fontId="15" fillId="0" borderId="25" xfId="0" applyFont="1" applyBorder="1" applyAlignment="1">
      <alignment horizontal="center" vertical="distributed" wrapText="1"/>
    </xf>
    <xf numFmtId="0" fontId="15" fillId="0" borderId="0" xfId="0" applyFont="1" applyAlignment="1">
      <alignment horizontal="center" vertical="distributed" wrapText="1"/>
    </xf>
    <xf numFmtId="0" fontId="10" fillId="0" borderId="0" xfId="52" applyFont="1"/>
    <xf numFmtId="0" fontId="10" fillId="0" borderId="0" xfId="0" applyFont="1"/>
    <xf numFmtId="0" fontId="16" fillId="0" borderId="0" xfId="52" applyAlignment="1">
      <alignment horizontal="left"/>
    </xf>
    <xf numFmtId="0" fontId="17" fillId="0" borderId="0" xfId="0" applyFont="1"/>
    <xf numFmtId="0" fontId="16" fillId="0" borderId="0" xfId="52" applyAlignment="1">
      <alignment horizontal="left" vertical="center"/>
    </xf>
    <xf numFmtId="0" fontId="16" fillId="0" borderId="0" xfId="52"/>
    <xf numFmtId="0" fontId="16" fillId="0" borderId="0" xfId="52" applyAlignment="1">
      <alignment horizontal="center"/>
    </xf>
    <xf numFmtId="4" fontId="17" fillId="0" borderId="0" xfId="0" applyNumberFormat="1" applyFont="1" applyAlignment="1">
      <alignment horizontal="left" vertical="center" wrapText="1"/>
    </xf>
    <xf numFmtId="0" fontId="16" fillId="0" borderId="0" xfId="52" applyAlignment="1">
      <alignment horizontal="left" vertical="center" wrapText="1"/>
    </xf>
    <xf numFmtId="0" fontId="17" fillId="0" borderId="0" xfId="0" applyFont="1" applyAlignment="1">
      <alignment horizontal="left"/>
    </xf>
    <xf numFmtId="4" fontId="16" fillId="0" borderId="0" xfId="52" applyNumberFormat="1" applyAlignment="1">
      <alignment horizontal="left" vertical="center" wrapText="1"/>
    </xf>
    <xf numFmtId="0" fontId="17" fillId="0" borderId="0" xfId="0" applyFont="1" applyAlignment="1">
      <alignment horizontal="left" vertical="center"/>
    </xf>
    <xf numFmtId="0" fontId="17" fillId="0" borderId="0" xfId="63"/>
    <xf numFmtId="0" fontId="4" fillId="4" borderId="26" xfId="0" applyFont="1" applyFill="1" applyBorder="1" applyAlignment="1">
      <alignment horizontal="center"/>
    </xf>
    <xf numFmtId="0" fontId="4" fillId="4" borderId="27" xfId="0" applyFont="1" applyFill="1" applyBorder="1" applyAlignment="1">
      <alignment horizontal="center"/>
    </xf>
    <xf numFmtId="0" fontId="4" fillId="4" borderId="28" xfId="0" applyFont="1" applyFill="1" applyBorder="1" applyAlignment="1">
      <alignment horizontal="center"/>
    </xf>
    <xf numFmtId="0" fontId="4"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10" fillId="0" borderId="29" xfId="0" applyFont="1" applyBorder="1" applyAlignment="1">
      <alignment horizontal="center" vertical="center" wrapText="1"/>
    </xf>
    <xf numFmtId="0" fontId="10" fillId="0" borderId="1" xfId="0" applyFont="1" applyBorder="1" applyAlignment="1">
      <alignment horizontal="left" vertical="center" wrapText="1"/>
    </xf>
    <xf numFmtId="3" fontId="10" fillId="0" borderId="1" xfId="0" applyNumberFormat="1" applyFont="1" applyBorder="1" applyAlignment="1">
      <alignment horizontal="center" vertical="center" wrapText="1"/>
    </xf>
    <xf numFmtId="177" fontId="4" fillId="5" borderId="30" xfId="0" applyNumberFormat="1" applyFont="1" applyFill="1" applyBorder="1" applyAlignment="1">
      <alignment horizontal="center" vertical="center" wrapText="1"/>
    </xf>
    <xf numFmtId="0" fontId="4" fillId="3" borderId="31" xfId="0" applyFont="1" applyFill="1" applyBorder="1" applyAlignment="1">
      <alignment horizontal="center" vertical="center"/>
    </xf>
    <xf numFmtId="0" fontId="4" fillId="3" borderId="32" xfId="0" applyFont="1" applyFill="1" applyBorder="1" applyAlignment="1">
      <alignment horizontal="center" vertical="center"/>
    </xf>
    <xf numFmtId="3" fontId="4" fillId="3" borderId="32" xfId="0" applyNumberFormat="1" applyFont="1" applyFill="1" applyBorder="1" applyAlignment="1">
      <alignment horizontal="center" vertical="center"/>
    </xf>
    <xf numFmtId="180" fontId="4" fillId="3" borderId="32" xfId="0" applyNumberFormat="1" applyFont="1" applyFill="1" applyBorder="1" applyAlignment="1">
      <alignment horizontal="center" vertical="center" wrapText="1"/>
    </xf>
    <xf numFmtId="177" fontId="4" fillId="3" borderId="32" xfId="0" applyNumberFormat="1" applyFont="1" applyFill="1" applyBorder="1" applyAlignment="1">
      <alignment horizontal="center" vertical="center" wrapText="1"/>
    </xf>
    <xf numFmtId="177" fontId="4" fillId="3" borderId="33" xfId="0" applyNumberFormat="1" applyFont="1" applyFill="1" applyBorder="1" applyAlignment="1">
      <alignment horizontal="center" vertical="center" wrapText="1"/>
    </xf>
    <xf numFmtId="0" fontId="9" fillId="0" borderId="0" xfId="0" applyFont="1" applyAlignment="1">
      <alignment horizontal="center" vertical="distributed" wrapText="1" shrinkToFit="1" readingOrder="1"/>
    </xf>
    <xf numFmtId="0" fontId="4" fillId="0" borderId="0" xfId="0" applyFont="1" applyAlignment="1">
      <alignment horizontal="center" vertical="center" wrapText="1"/>
    </xf>
    <xf numFmtId="0" fontId="4" fillId="6" borderId="0" xfId="0" applyFont="1" applyFill="1" applyAlignment="1">
      <alignment horizontal="center" vertical="center" wrapText="1"/>
    </xf>
    <xf numFmtId="0" fontId="8" fillId="7" borderId="26" xfId="0" applyFont="1" applyFill="1" applyBorder="1" applyAlignment="1">
      <alignment horizontal="left" vertical="center" wrapText="1"/>
    </xf>
    <xf numFmtId="0" fontId="8" fillId="7" borderId="27" xfId="0" applyFont="1" applyFill="1" applyBorder="1" applyAlignment="1">
      <alignment horizontal="left" vertical="center" wrapText="1"/>
    </xf>
    <xf numFmtId="0" fontId="4" fillId="7" borderId="27" xfId="0" applyFont="1" applyFill="1" applyBorder="1" applyAlignment="1">
      <alignment horizontal="center" vertical="center" wrapText="1"/>
    </xf>
    <xf numFmtId="0" fontId="4" fillId="7" borderId="28" xfId="0" applyFont="1" applyFill="1" applyBorder="1" applyAlignment="1">
      <alignment horizontal="center" vertical="center" wrapText="1"/>
    </xf>
    <xf numFmtId="0" fontId="0" fillId="6" borderId="31" xfId="0" applyFill="1" applyBorder="1" applyAlignment="1">
      <alignment horizontal="center" vertical="center"/>
    </xf>
    <xf numFmtId="0" fontId="0" fillId="6" borderId="32" xfId="0" applyFill="1" applyBorder="1" applyAlignment="1">
      <alignment horizontal="center" vertical="center"/>
    </xf>
    <xf numFmtId="0" fontId="18" fillId="6" borderId="32" xfId="0" applyFont="1" applyFill="1" applyBorder="1" applyAlignment="1">
      <alignment horizontal="center" vertical="center"/>
    </xf>
    <xf numFmtId="0" fontId="18" fillId="6" borderId="33" xfId="0" applyFont="1" applyFill="1" applyBorder="1" applyAlignment="1">
      <alignment horizontal="center" vertical="center"/>
    </xf>
    <xf numFmtId="0" fontId="0" fillId="6" borderId="0" xfId="0" applyFill="1" applyAlignment="1">
      <alignment vertical="center"/>
    </xf>
    <xf numFmtId="0" fontId="19" fillId="6" borderId="0" xfId="0" applyFont="1" applyFill="1" applyAlignment="1">
      <alignment horizontal="left" vertical="center" wrapText="1"/>
    </xf>
    <xf numFmtId="0" fontId="19" fillId="6" borderId="0" xfId="0" applyFont="1" applyFill="1" applyAlignment="1">
      <alignment horizontal="center" vertical="center"/>
    </xf>
    <xf numFmtId="0" fontId="0" fillId="7" borderId="26" xfId="0" applyFill="1" applyBorder="1" applyAlignment="1">
      <alignment horizontal="center" vertical="center"/>
    </xf>
    <xf numFmtId="0" fontId="0" fillId="7" borderId="27" xfId="0" applyFill="1" applyBorder="1" applyAlignment="1">
      <alignment horizontal="center" vertical="center"/>
    </xf>
    <xf numFmtId="0" fontId="0" fillId="7" borderId="28" xfId="0" applyFill="1" applyBorder="1" applyAlignment="1">
      <alignment horizontal="center" vertical="center"/>
    </xf>
    <xf numFmtId="0" fontId="20" fillId="8" borderId="29" xfId="0" applyFont="1" applyFill="1" applyBorder="1" applyAlignment="1">
      <alignment horizontal="left" vertical="center" wrapText="1"/>
    </xf>
    <xf numFmtId="0" fontId="20" fillId="8" borderId="1" xfId="0" applyFont="1" applyFill="1" applyBorder="1" applyAlignment="1">
      <alignment horizontal="left" vertical="center" wrapText="1"/>
    </xf>
    <xf numFmtId="0" fontId="21" fillId="6" borderId="1" xfId="0" applyFont="1" applyFill="1" applyBorder="1" applyAlignment="1">
      <alignment horizontal="center" vertical="center"/>
    </xf>
    <xf numFmtId="0" fontId="21" fillId="6" borderId="30" xfId="0" applyFont="1" applyFill="1" applyBorder="1" applyAlignment="1">
      <alignment horizontal="center" vertical="center"/>
    </xf>
    <xf numFmtId="0" fontId="22" fillId="8" borderId="29" xfId="0" applyFont="1" applyFill="1" applyBorder="1" applyAlignment="1">
      <alignment horizontal="left" vertical="center" wrapText="1"/>
    </xf>
    <xf numFmtId="0" fontId="22" fillId="8" borderId="1" xfId="0" applyFont="1" applyFill="1" applyBorder="1" applyAlignment="1">
      <alignment horizontal="left" vertical="center" wrapText="1"/>
    </xf>
    <xf numFmtId="0" fontId="20" fillId="8" borderId="31" xfId="0" applyFont="1" applyFill="1" applyBorder="1" applyAlignment="1">
      <alignment horizontal="left" vertical="center" wrapText="1"/>
    </xf>
    <xf numFmtId="0" fontId="20" fillId="8" borderId="32" xfId="0" applyFont="1" applyFill="1" applyBorder="1" applyAlignment="1">
      <alignment horizontal="left" vertical="center" wrapText="1"/>
    </xf>
    <xf numFmtId="0" fontId="21" fillId="6" borderId="32" xfId="0" applyFont="1" applyFill="1" applyBorder="1" applyAlignment="1">
      <alignment horizontal="center" vertical="center"/>
    </xf>
    <xf numFmtId="0" fontId="21" fillId="6" borderId="33" xfId="0" applyFont="1" applyFill="1" applyBorder="1" applyAlignment="1">
      <alignment horizontal="center" vertical="center"/>
    </xf>
    <xf numFmtId="0" fontId="8" fillId="7" borderId="26" xfId="0" applyFont="1" applyFill="1" applyBorder="1" applyAlignment="1">
      <alignment horizontal="center" vertical="center"/>
    </xf>
    <xf numFmtId="0" fontId="8" fillId="7" borderId="27" xfId="0" applyFont="1" applyFill="1" applyBorder="1" applyAlignment="1">
      <alignment horizontal="center" vertical="center"/>
    </xf>
    <xf numFmtId="0" fontId="8" fillId="7" borderId="28" xfId="0" applyFont="1" applyFill="1" applyBorder="1" applyAlignment="1">
      <alignment horizontal="center" vertical="center"/>
    </xf>
    <xf numFmtId="0" fontId="8" fillId="9" borderId="0" xfId="0" applyFont="1" applyFill="1" applyAlignment="1">
      <alignment vertical="center"/>
    </xf>
    <xf numFmtId="0" fontId="8" fillId="7" borderId="29" xfId="0" applyFont="1" applyFill="1" applyBorder="1" applyAlignment="1">
      <alignment horizontal="center" vertical="center" wrapText="1"/>
    </xf>
    <xf numFmtId="0" fontId="8" fillId="7" borderId="1" xfId="0" applyFont="1" applyFill="1" applyBorder="1" applyAlignment="1">
      <alignment horizontal="center" vertical="center"/>
    </xf>
    <xf numFmtId="0" fontId="4" fillId="7" borderId="1" xfId="0" applyFont="1" applyFill="1" applyBorder="1" applyAlignment="1">
      <alignment horizontal="center" vertical="center"/>
    </xf>
    <xf numFmtId="0" fontId="4" fillId="7" borderId="30" xfId="0" applyFont="1" applyFill="1" applyBorder="1" applyAlignment="1">
      <alignment horizontal="center" vertical="center"/>
    </xf>
    <xf numFmtId="0" fontId="8" fillId="9" borderId="29" xfId="0" applyFont="1" applyFill="1" applyBorder="1" applyAlignment="1">
      <alignment horizontal="center" vertical="center"/>
    </xf>
    <xf numFmtId="0" fontId="4" fillId="9" borderId="1" xfId="0" applyFont="1" applyFill="1" applyBorder="1" applyAlignment="1">
      <alignment horizontal="center" vertical="center"/>
    </xf>
    <xf numFmtId="180" fontId="4" fillId="9" borderId="30" xfId="0" applyNumberFormat="1" applyFont="1" applyFill="1" applyBorder="1" applyAlignment="1">
      <alignment horizontal="center" vertical="center"/>
    </xf>
    <xf numFmtId="0" fontId="0" fillId="6" borderId="0" xfId="0" applyFill="1" applyAlignment="1">
      <alignment horizontal="center" vertical="center"/>
    </xf>
    <xf numFmtId="0" fontId="4" fillId="2" borderId="26" xfId="0" applyFont="1" applyFill="1" applyBorder="1" applyAlignment="1" applyProtection="1">
      <alignment horizontal="center" vertical="center"/>
      <protection locked="0"/>
    </xf>
    <xf numFmtId="0" fontId="4" fillId="2" borderId="27" xfId="0" applyFont="1" applyFill="1" applyBorder="1" applyAlignment="1" applyProtection="1">
      <alignment horizontal="center" vertical="center"/>
      <protection locked="0"/>
    </xf>
    <xf numFmtId="0" fontId="19" fillId="2" borderId="27" xfId="0" applyFont="1" applyFill="1" applyBorder="1" applyAlignment="1">
      <alignment horizontal="center" vertical="center" wrapText="1"/>
    </xf>
    <xf numFmtId="0" fontId="4" fillId="6" borderId="29" xfId="0" applyFont="1" applyFill="1" applyBorder="1" applyAlignment="1">
      <alignment horizontal="center" vertical="center"/>
    </xf>
    <xf numFmtId="0" fontId="4" fillId="0" borderId="1" xfId="0" applyFont="1" applyBorder="1" applyAlignment="1" applyProtection="1">
      <alignment horizontal="left" vertical="center"/>
      <protection locked="0"/>
    </xf>
    <xf numFmtId="0" fontId="4" fillId="0" borderId="1" xfId="0" applyFont="1" applyBorder="1" applyAlignment="1" applyProtection="1">
      <alignment horizontal="center" vertical="center"/>
      <protection locked="0"/>
    </xf>
    <xf numFmtId="0" fontId="7" fillId="6" borderId="29" xfId="0" applyFont="1" applyFill="1" applyBorder="1" applyAlignment="1">
      <alignment horizontal="center" vertical="center"/>
    </xf>
    <xf numFmtId="0" fontId="7" fillId="0" borderId="1" xfId="0" applyFont="1" applyBorder="1" applyAlignment="1" applyProtection="1">
      <alignment horizontal="left" vertical="center"/>
      <protection locked="0"/>
    </xf>
    <xf numFmtId="177" fontId="23" fillId="6" borderId="1" xfId="49" applyFont="1" applyFill="1" applyBorder="1" applyAlignment="1" applyProtection="1">
      <alignment vertical="center"/>
    </xf>
    <xf numFmtId="180" fontId="23" fillId="6" borderId="1" xfId="49" applyNumberFormat="1" applyFont="1" applyFill="1" applyBorder="1" applyAlignment="1" applyProtection="1">
      <alignment vertical="center"/>
    </xf>
    <xf numFmtId="177" fontId="23" fillId="0" borderId="1" xfId="49" applyFont="1" applyFill="1" applyBorder="1" applyAlignment="1" applyProtection="1">
      <alignment vertical="center"/>
      <protection locked="0"/>
    </xf>
    <xf numFmtId="0" fontId="0" fillId="0" borderId="1" xfId="0" applyBorder="1"/>
    <xf numFmtId="180" fontId="0" fillId="6" borderId="1" xfId="0" applyNumberFormat="1" applyFill="1" applyBorder="1" applyAlignment="1">
      <alignment vertical="center"/>
    </xf>
    <xf numFmtId="0" fontId="7" fillId="0" borderId="1" xfId="0" applyFont="1" applyBorder="1" applyAlignment="1">
      <alignment horizontal="left" vertical="center" wrapText="1"/>
    </xf>
    <xf numFmtId="0" fontId="7" fillId="5" borderId="1" xfId="0" applyFont="1" applyFill="1" applyBorder="1" applyAlignment="1">
      <alignment horizontal="left" vertical="center" wrapText="1"/>
    </xf>
    <xf numFmtId="177" fontId="23" fillId="5" borderId="1" xfId="49" applyFont="1" applyFill="1" applyBorder="1" applyAlignment="1" applyProtection="1">
      <alignment vertical="center"/>
      <protection locked="0"/>
    </xf>
    <xf numFmtId="180" fontId="0" fillId="0" borderId="1" xfId="0" applyNumberFormat="1" applyBorder="1"/>
    <xf numFmtId="0" fontId="7" fillId="6" borderId="31" xfId="0" applyFont="1" applyFill="1" applyBorder="1" applyAlignment="1">
      <alignment vertical="center"/>
    </xf>
    <xf numFmtId="0" fontId="4" fillId="0" borderId="32" xfId="0" applyFont="1" applyBorder="1" applyAlignment="1" applyProtection="1">
      <alignment horizontal="left" vertical="center"/>
      <protection locked="0"/>
    </xf>
    <xf numFmtId="177" fontId="4" fillId="0" borderId="32" xfId="49" applyFont="1" applyFill="1" applyBorder="1" applyAlignment="1" applyProtection="1">
      <alignment vertical="center"/>
    </xf>
    <xf numFmtId="0" fontId="0" fillId="0" borderId="0" xfId="0" applyAlignment="1" applyProtection="1">
      <alignment horizontal="center" vertical="center"/>
      <protection locked="0"/>
    </xf>
    <xf numFmtId="0" fontId="4" fillId="2" borderId="26" xfId="0" applyFont="1" applyFill="1" applyBorder="1" applyAlignment="1" applyProtection="1">
      <alignment horizontal="left" vertical="center"/>
      <protection locked="0"/>
    </xf>
    <xf numFmtId="0" fontId="4" fillId="2" borderId="27" xfId="0" applyFont="1" applyFill="1" applyBorder="1" applyAlignment="1" applyProtection="1">
      <alignment horizontal="left" vertical="center"/>
      <protection locked="0"/>
    </xf>
    <xf numFmtId="0" fontId="4" fillId="0" borderId="29" xfId="0" applyFont="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7" fillId="0" borderId="1" xfId="0" applyFont="1" applyBorder="1" applyAlignment="1">
      <alignment vertical="center"/>
    </xf>
    <xf numFmtId="177" fontId="4" fillId="6" borderId="1" xfId="49" applyFont="1" applyFill="1" applyBorder="1" applyAlignment="1" applyProtection="1">
      <alignment vertical="center"/>
    </xf>
    <xf numFmtId="0" fontId="7" fillId="6" borderId="31" xfId="0" applyFont="1" applyFill="1" applyBorder="1" applyAlignment="1">
      <alignment horizontal="center" vertical="center"/>
    </xf>
    <xf numFmtId="0" fontId="7" fillId="0" borderId="32" xfId="0" applyFont="1" applyBorder="1" applyAlignment="1">
      <alignment vertical="center" wrapText="1"/>
    </xf>
    <xf numFmtId="177" fontId="23" fillId="6" borderId="32" xfId="49" applyFont="1" applyFill="1" applyBorder="1" applyAlignment="1" applyProtection="1">
      <alignment vertical="center"/>
    </xf>
    <xf numFmtId="0" fontId="4" fillId="2" borderId="26" xfId="0" applyFont="1" applyFill="1" applyBorder="1" applyAlignment="1" applyProtection="1">
      <alignment horizontal="left" vertical="center" wrapText="1"/>
      <protection locked="0"/>
    </xf>
    <xf numFmtId="0" fontId="4" fillId="2" borderId="27" xfId="0" applyFont="1" applyFill="1" applyBorder="1" applyAlignment="1" applyProtection="1">
      <alignment horizontal="left" vertical="center" wrapText="1"/>
      <protection locked="0"/>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7" fillId="0" borderId="1" xfId="0" applyFont="1" applyBorder="1" applyAlignment="1">
      <alignment horizontal="justify" vertical="center" wrapText="1"/>
    </xf>
    <xf numFmtId="2" fontId="7" fillId="6" borderId="1" xfId="0" applyNumberFormat="1" applyFont="1" applyFill="1" applyBorder="1" applyAlignment="1">
      <alignment horizontal="center" vertical="center"/>
    </xf>
    <xf numFmtId="0" fontId="24" fillId="0" borderId="1" xfId="0" applyFont="1" applyBorder="1" applyAlignment="1">
      <alignment horizontal="justify" vertical="center" wrapText="1"/>
    </xf>
    <xf numFmtId="2" fontId="24" fillId="6" borderId="1" xfId="0" applyNumberFormat="1" applyFont="1" applyFill="1" applyBorder="1" applyAlignment="1">
      <alignment horizontal="center" vertical="center"/>
    </xf>
    <xf numFmtId="177" fontId="25" fillId="6" borderId="1" xfId="49" applyFont="1" applyFill="1" applyBorder="1" applyAlignment="1" applyProtection="1">
      <alignment vertical="center"/>
    </xf>
    <xf numFmtId="177" fontId="24" fillId="6" borderId="1" xfId="49" applyFont="1" applyFill="1" applyBorder="1" applyAlignment="1" applyProtection="1">
      <alignment vertical="center"/>
    </xf>
    <xf numFmtId="0" fontId="4" fillId="0" borderId="32" xfId="0" applyFont="1" applyBorder="1" applyAlignment="1">
      <alignment horizontal="justify" vertical="center" wrapText="1"/>
    </xf>
    <xf numFmtId="2" fontId="4" fillId="6" borderId="32" xfId="0" applyNumberFormat="1" applyFont="1" applyFill="1" applyBorder="1" applyAlignment="1">
      <alignment horizontal="center" vertical="center"/>
    </xf>
    <xf numFmtId="177" fontId="4" fillId="6" borderId="32" xfId="49" applyFont="1" applyFill="1" applyBorder="1" applyAlignment="1" applyProtection="1">
      <alignment vertical="center"/>
    </xf>
    <xf numFmtId="0" fontId="7" fillId="6" borderId="0" xfId="0" applyFont="1" applyFill="1" applyAlignment="1">
      <alignment vertical="center"/>
    </xf>
    <xf numFmtId="0" fontId="24" fillId="6" borderId="0" xfId="0" applyFont="1" applyFill="1" applyAlignment="1">
      <alignment vertical="center"/>
    </xf>
    <xf numFmtId="0" fontId="26" fillId="7" borderId="26" xfId="0" applyFont="1" applyFill="1" applyBorder="1" applyAlignment="1">
      <alignment horizontal="left" vertical="center"/>
    </xf>
    <xf numFmtId="0" fontId="26" fillId="7" borderId="27" xfId="0" applyFont="1" applyFill="1" applyBorder="1" applyAlignment="1">
      <alignment horizontal="left" vertical="center"/>
    </xf>
    <xf numFmtId="0" fontId="7" fillId="0" borderId="1" xfId="0" applyFont="1" applyBorder="1" applyAlignment="1" applyProtection="1">
      <alignment horizontal="left" vertical="center" wrapText="1"/>
      <protection locked="0"/>
    </xf>
    <xf numFmtId="177" fontId="7" fillId="0" borderId="1" xfId="49" applyFont="1" applyFill="1" applyBorder="1" applyAlignment="1" applyProtection="1">
      <alignment vertical="center"/>
      <protection locked="0"/>
    </xf>
    <xf numFmtId="0" fontId="7" fillId="0" borderId="29" xfId="0" applyFont="1" applyBorder="1" applyAlignment="1">
      <alignment horizontal="center" vertical="center"/>
    </xf>
    <xf numFmtId="0" fontId="4" fillId="0" borderId="0" xfId="0" applyFont="1" applyAlignment="1" applyProtection="1">
      <alignment vertical="center"/>
      <protection locked="0"/>
    </xf>
    <xf numFmtId="181" fontId="4" fillId="0" borderId="0" xfId="0" applyNumberFormat="1" applyFont="1" applyAlignment="1">
      <alignment horizontal="center" vertical="center"/>
    </xf>
    <xf numFmtId="0" fontId="7" fillId="6" borderId="29" xfId="0" applyFont="1" applyFill="1" applyBorder="1" applyAlignment="1">
      <alignment horizontal="left" vertical="center"/>
    </xf>
    <xf numFmtId="181" fontId="4" fillId="0" borderId="1" xfId="0" applyNumberFormat="1" applyFont="1" applyBorder="1" applyAlignment="1">
      <alignment horizontal="center" vertical="center"/>
    </xf>
    <xf numFmtId="177" fontId="23" fillId="0" borderId="1" xfId="49" applyFont="1" applyFill="1" applyBorder="1" applyAlignment="1" applyProtection="1">
      <alignment vertical="center"/>
    </xf>
    <xf numFmtId="0" fontId="7" fillId="6" borderId="31" xfId="0" applyFont="1" applyFill="1" applyBorder="1" applyAlignment="1">
      <alignment horizontal="left" vertical="center"/>
    </xf>
    <xf numFmtId="0" fontId="4" fillId="0" borderId="0" xfId="0" applyFont="1" applyAlignment="1" applyProtection="1">
      <alignment horizontal="center" vertical="center"/>
      <protection locked="0"/>
    </xf>
    <xf numFmtId="0" fontId="4" fillId="0" borderId="1" xfId="0" applyFont="1" applyBorder="1" applyAlignment="1">
      <alignment horizontal="left" vertical="center" wrapText="1"/>
    </xf>
    <xf numFmtId="0" fontId="4" fillId="0" borderId="32" xfId="0" applyFont="1" applyBorder="1" applyAlignment="1">
      <alignment horizontal="left" vertical="center" wrapText="1"/>
    </xf>
    <xf numFmtId="0" fontId="7" fillId="0" borderId="1" xfId="52" applyFont="1" applyBorder="1" applyAlignment="1">
      <alignment horizontal="left" vertical="center" wrapText="1"/>
    </xf>
    <xf numFmtId="0" fontId="4" fillId="2" borderId="34" xfId="0" applyFont="1" applyFill="1" applyBorder="1" applyAlignment="1" applyProtection="1">
      <alignment horizontal="left" vertical="center"/>
      <protection locked="0"/>
    </xf>
    <xf numFmtId="0" fontId="4" fillId="2" borderId="35" xfId="0" applyFont="1" applyFill="1" applyBorder="1" applyAlignment="1" applyProtection="1">
      <alignment horizontal="left" vertical="center"/>
      <protection locked="0"/>
    </xf>
    <xf numFmtId="0" fontId="4" fillId="6" borderId="36" xfId="0" applyFont="1" applyFill="1" applyBorder="1" applyAlignment="1">
      <alignment horizontal="center" vertical="center"/>
    </xf>
    <xf numFmtId="0" fontId="4" fillId="0" borderId="37" xfId="0" applyFont="1" applyBorder="1" applyAlignment="1">
      <alignment horizontal="left" vertical="center" wrapText="1"/>
    </xf>
    <xf numFmtId="0" fontId="4" fillId="0" borderId="37" xfId="0" applyFont="1" applyBorder="1" applyAlignment="1">
      <alignment horizontal="center" vertical="center" wrapText="1"/>
    </xf>
    <xf numFmtId="0" fontId="7" fillId="6" borderId="36" xfId="0" applyFont="1" applyFill="1" applyBorder="1" applyAlignment="1">
      <alignment horizontal="center" vertical="center"/>
    </xf>
    <xf numFmtId="0" fontId="7" fillId="6" borderId="37" xfId="0" applyFont="1" applyFill="1" applyBorder="1" applyAlignment="1">
      <alignment horizontal="left" vertical="center"/>
    </xf>
    <xf numFmtId="177" fontId="23" fillId="6" borderId="37" xfId="49" applyFont="1" applyFill="1" applyBorder="1" applyAlignment="1" applyProtection="1">
      <alignment vertical="center"/>
    </xf>
    <xf numFmtId="0" fontId="7" fillId="6" borderId="38" xfId="0" applyFont="1" applyFill="1" applyBorder="1" applyAlignment="1">
      <alignment horizontal="center" vertical="center"/>
    </xf>
    <xf numFmtId="0" fontId="4" fillId="0" borderId="39" xfId="0" applyFont="1" applyBorder="1" applyAlignment="1">
      <alignment horizontal="left" vertical="center" wrapText="1"/>
    </xf>
    <xf numFmtId="177" fontId="4" fillId="6" borderId="39" xfId="49" applyFont="1" applyFill="1" applyBorder="1" applyAlignment="1" applyProtection="1">
      <alignment vertical="center"/>
    </xf>
    <xf numFmtId="0" fontId="4" fillId="6" borderId="29" xfId="0" applyFont="1" applyFill="1" applyBorder="1" applyAlignment="1">
      <alignment horizontal="left" vertical="center"/>
    </xf>
    <xf numFmtId="0" fontId="4" fillId="0" borderId="29" xfId="0" applyFont="1" applyBorder="1" applyAlignment="1">
      <alignment horizontal="center" vertical="center"/>
    </xf>
    <xf numFmtId="177" fontId="7" fillId="6" borderId="1" xfId="49" applyFont="1" applyFill="1" applyBorder="1" applyAlignment="1" applyProtection="1">
      <alignment vertical="center"/>
    </xf>
    <xf numFmtId="180" fontId="7" fillId="0" borderId="1" xfId="49" applyNumberFormat="1" applyFont="1" applyFill="1" applyBorder="1" applyAlignment="1" applyProtection="1">
      <alignment vertical="center"/>
      <protection locked="0"/>
    </xf>
    <xf numFmtId="177" fontId="7" fillId="9" borderId="1" xfId="49" applyFont="1" applyFill="1" applyBorder="1" applyAlignment="1" applyProtection="1">
      <alignment vertical="center"/>
      <protection locked="0"/>
    </xf>
    <xf numFmtId="0" fontId="7" fillId="0" borderId="31" xfId="0" applyFont="1" applyBorder="1" applyAlignment="1">
      <alignment vertical="center"/>
    </xf>
    <xf numFmtId="0" fontId="4" fillId="0" borderId="0" xfId="0" applyFont="1" applyAlignment="1">
      <alignment horizontal="justify" vertical="center" wrapText="1"/>
    </xf>
    <xf numFmtId="2" fontId="4" fillId="6" borderId="0" xfId="0" applyNumberFormat="1" applyFont="1" applyFill="1" applyAlignment="1">
      <alignment horizontal="center" vertical="center"/>
    </xf>
    <xf numFmtId="0" fontId="4" fillId="2" borderId="27" xfId="0" applyFont="1" applyFill="1" applyBorder="1" applyAlignment="1" applyProtection="1">
      <alignment vertical="center"/>
      <protection locked="0"/>
    </xf>
    <xf numFmtId="0" fontId="7" fillId="6"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31" xfId="0" applyFont="1" applyBorder="1" applyAlignment="1">
      <alignment horizontal="center" vertical="center"/>
    </xf>
    <xf numFmtId="0" fontId="4" fillId="6" borderId="32" xfId="0" applyFont="1" applyFill="1" applyBorder="1" applyAlignment="1">
      <alignment horizontal="center" vertical="center"/>
    </xf>
    <xf numFmtId="0" fontId="4" fillId="4" borderId="40" xfId="0" applyFont="1" applyFill="1" applyBorder="1" applyAlignment="1">
      <alignment horizontal="center" vertical="center"/>
    </xf>
    <xf numFmtId="0" fontId="7" fillId="6" borderId="29" xfId="0" applyFont="1" applyFill="1" applyBorder="1" applyAlignment="1">
      <alignment vertical="center"/>
    </xf>
    <xf numFmtId="0" fontId="4" fillId="6" borderId="0" xfId="0" applyFont="1" applyFill="1" applyAlignment="1">
      <alignment vertical="center"/>
    </xf>
    <xf numFmtId="0" fontId="4" fillId="4" borderId="0" xfId="0" applyFont="1" applyFill="1" applyAlignment="1">
      <alignment horizontal="center" vertical="center"/>
    </xf>
    <xf numFmtId="0" fontId="4" fillId="7" borderId="26" xfId="0" applyFont="1" applyFill="1" applyBorder="1" applyAlignment="1">
      <alignment horizontal="center" vertical="center"/>
    </xf>
    <xf numFmtId="0" fontId="4" fillId="7" borderId="27" xfId="0" applyFont="1" applyFill="1" applyBorder="1" applyAlignment="1">
      <alignment horizontal="center" vertical="center"/>
    </xf>
    <xf numFmtId="0" fontId="0" fillId="0" borderId="0" xfId="0" applyAlignment="1">
      <alignment horizontal="center"/>
    </xf>
    <xf numFmtId="0" fontId="4" fillId="9" borderId="0" xfId="0" applyFont="1" applyFill="1" applyAlignment="1">
      <alignment vertical="center" wrapText="1"/>
    </xf>
    <xf numFmtId="0" fontId="27" fillId="6" borderId="32" xfId="0" applyFont="1" applyFill="1" applyBorder="1" applyAlignment="1">
      <alignment horizontal="center" vertical="center"/>
    </xf>
    <xf numFmtId="0" fontId="27" fillId="6" borderId="33" xfId="0" applyFont="1" applyFill="1" applyBorder="1" applyAlignment="1">
      <alignment horizontal="center" vertical="center"/>
    </xf>
    <xf numFmtId="0" fontId="18" fillId="9" borderId="0" xfId="0" applyFont="1" applyFill="1" applyAlignment="1">
      <alignment vertical="center"/>
    </xf>
    <xf numFmtId="0" fontId="0" fillId="5" borderId="0" xfId="0" applyFill="1"/>
    <xf numFmtId="0" fontId="0" fillId="9" borderId="0" xfId="0" applyFill="1" applyAlignment="1">
      <alignment vertical="center"/>
    </xf>
    <xf numFmtId="0" fontId="27" fillId="6" borderId="1" xfId="0" applyFont="1" applyFill="1" applyBorder="1" applyAlignment="1">
      <alignment horizontal="center" vertical="center"/>
    </xf>
    <xf numFmtId="0" fontId="27" fillId="6" borderId="30" xfId="0" applyFont="1" applyFill="1" applyBorder="1" applyAlignment="1">
      <alignment horizontal="center" vertical="center"/>
    </xf>
    <xf numFmtId="0" fontId="21" fillId="9" borderId="0" xfId="0" applyFont="1" applyFill="1" applyAlignment="1">
      <alignment vertical="center"/>
    </xf>
    <xf numFmtId="0" fontId="8" fillId="6" borderId="29" xfId="0" applyFont="1" applyFill="1" applyBorder="1" applyAlignment="1">
      <alignment horizontal="center" vertical="center"/>
    </xf>
    <xf numFmtId="0" fontId="8" fillId="6" borderId="31" xfId="0" applyFont="1" applyFill="1" applyBorder="1" applyAlignment="1">
      <alignment horizontal="center" vertical="center"/>
    </xf>
    <xf numFmtId="0" fontId="10" fillId="0" borderId="32" xfId="0" applyFont="1" applyBorder="1" applyAlignment="1">
      <alignment horizontal="center" vertical="center" wrapText="1"/>
    </xf>
    <xf numFmtId="177" fontId="23" fillId="6" borderId="1" xfId="49" applyFont="1" applyFill="1" applyBorder="1" applyAlignment="1" applyProtection="1">
      <alignment horizontal="center" vertical="center"/>
    </xf>
    <xf numFmtId="0" fontId="0" fillId="0" borderId="1" xfId="0" applyBorder="1" applyAlignment="1">
      <alignment horizontal="center"/>
    </xf>
    <xf numFmtId="180" fontId="0" fillId="0" borderId="1" xfId="0" applyNumberFormat="1" applyBorder="1" applyAlignment="1">
      <alignment horizontal="center"/>
    </xf>
    <xf numFmtId="177" fontId="4" fillId="0" borderId="32" xfId="49" applyFont="1" applyFill="1" applyBorder="1" applyAlignment="1" applyProtection="1">
      <alignment horizontal="center" vertical="center"/>
    </xf>
    <xf numFmtId="0" fontId="4" fillId="0" borderId="4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7" fillId="0" borderId="2" xfId="0" applyFont="1" applyBorder="1" applyAlignment="1">
      <alignment horizontal="left" vertical="center"/>
    </xf>
    <xf numFmtId="0" fontId="7" fillId="0" borderId="4" xfId="0" applyFont="1" applyBorder="1" applyAlignment="1">
      <alignment horizontal="left" vertical="center"/>
    </xf>
    <xf numFmtId="0" fontId="4" fillId="0" borderId="2" xfId="0" applyFont="1" applyBorder="1" applyAlignment="1">
      <alignment horizontal="left" vertical="center"/>
    </xf>
    <xf numFmtId="177" fontId="4" fillId="6" borderId="1" xfId="49" applyFont="1" applyFill="1" applyBorder="1" applyAlignment="1" applyProtection="1">
      <alignment horizontal="center" vertical="center"/>
    </xf>
    <xf numFmtId="0" fontId="7" fillId="0" borderId="42" xfId="0" applyFont="1" applyBorder="1" applyAlignment="1">
      <alignment horizontal="left" vertical="center" wrapText="1"/>
    </xf>
    <xf numFmtId="0" fontId="7" fillId="0" borderId="43" xfId="0" applyFont="1" applyBorder="1" applyAlignment="1">
      <alignment horizontal="left" vertical="center" wrapText="1"/>
    </xf>
    <xf numFmtId="177" fontId="23" fillId="6" borderId="32" xfId="49" applyFont="1" applyFill="1" applyBorder="1" applyAlignment="1" applyProtection="1">
      <alignment horizontal="center" vertical="center"/>
    </xf>
    <xf numFmtId="177" fontId="24" fillId="6" borderId="1" xfId="49" applyFont="1" applyFill="1" applyBorder="1" applyAlignment="1" applyProtection="1">
      <alignment horizontal="center" vertical="center"/>
    </xf>
    <xf numFmtId="177" fontId="25" fillId="6" borderId="1" xfId="49" applyFont="1" applyFill="1" applyBorder="1" applyAlignment="1" applyProtection="1">
      <alignment horizontal="center" vertical="center"/>
    </xf>
    <xf numFmtId="177" fontId="4" fillId="6" borderId="32" xfId="49" applyFont="1" applyFill="1" applyBorder="1" applyAlignment="1" applyProtection="1">
      <alignment horizontal="center" vertical="center"/>
    </xf>
    <xf numFmtId="177" fontId="7" fillId="0" borderId="1" xfId="49" applyFont="1" applyFill="1" applyBorder="1" applyAlignment="1" applyProtection="1">
      <alignment horizontal="center" vertical="center"/>
      <protection locked="0"/>
    </xf>
    <xf numFmtId="177" fontId="23" fillId="0" borderId="1" xfId="49" applyFont="1" applyFill="1" applyBorder="1" applyAlignment="1" applyProtection="1">
      <alignment horizontal="center" vertical="center"/>
    </xf>
    <xf numFmtId="0" fontId="4" fillId="9" borderId="32" xfId="0" applyFont="1" applyFill="1" applyBorder="1" applyAlignment="1">
      <alignment horizontal="center" vertical="center"/>
    </xf>
    <xf numFmtId="180" fontId="4" fillId="9" borderId="33" xfId="0" applyNumberFormat="1" applyFont="1" applyFill="1" applyBorder="1" applyAlignment="1">
      <alignment horizontal="center" vertical="center"/>
    </xf>
    <xf numFmtId="177" fontId="23" fillId="6" borderId="37" xfId="49" applyFont="1" applyFill="1" applyBorder="1" applyAlignment="1" applyProtection="1">
      <alignment horizontal="center" vertical="center"/>
    </xf>
    <xf numFmtId="177" fontId="4" fillId="6" borderId="39" xfId="49" applyFont="1" applyFill="1" applyBorder="1" applyAlignment="1" applyProtection="1">
      <alignment horizontal="center" vertical="center"/>
    </xf>
    <xf numFmtId="177" fontId="7" fillId="6" borderId="1" xfId="49" applyFont="1" applyFill="1" applyBorder="1" applyAlignment="1" applyProtection="1">
      <alignment horizontal="center" vertical="center"/>
    </xf>
    <xf numFmtId="180" fontId="7" fillId="0" borderId="1" xfId="49" applyNumberFormat="1" applyFont="1" applyFill="1" applyBorder="1" applyAlignment="1" applyProtection="1">
      <alignment horizontal="center" vertical="center"/>
      <protection locked="0"/>
    </xf>
    <xf numFmtId="177" fontId="7" fillId="9" borderId="1" xfId="49" applyFont="1" applyFill="1" applyBorder="1" applyAlignment="1" applyProtection="1">
      <alignment horizontal="center" vertical="center"/>
      <protection locked="0"/>
    </xf>
    <xf numFmtId="0" fontId="0" fillId="0" borderId="0" xfId="0" applyAlignment="1">
      <alignment wrapText="1"/>
    </xf>
    <xf numFmtId="0" fontId="4" fillId="0" borderId="44" xfId="0" applyFont="1" applyBorder="1" applyAlignment="1">
      <alignment horizontal="center" vertical="center" wrapText="1"/>
    </xf>
    <xf numFmtId="0" fontId="28" fillId="10" borderId="45" xfId="0" applyFont="1" applyFill="1" applyBorder="1" applyAlignment="1">
      <alignment horizontal="center" vertical="center"/>
    </xf>
    <xf numFmtId="0" fontId="28" fillId="11" borderId="46" xfId="0" applyFont="1" applyFill="1" applyBorder="1" applyAlignment="1">
      <alignment horizontal="center" vertical="center" wrapText="1"/>
    </xf>
    <xf numFmtId="0" fontId="28" fillId="11" borderId="47" xfId="0" applyFont="1" applyFill="1" applyBorder="1" applyAlignment="1">
      <alignment horizontal="center" vertical="center" wrapText="1"/>
    </xf>
    <xf numFmtId="0" fontId="28" fillId="11" borderId="48" xfId="0" applyFont="1" applyFill="1" applyBorder="1" applyAlignment="1">
      <alignment horizontal="center" vertical="center" wrapText="1"/>
    </xf>
    <xf numFmtId="182" fontId="28" fillId="11" borderId="49" xfId="0" applyNumberFormat="1" applyFont="1" applyFill="1" applyBorder="1" applyAlignment="1">
      <alignment horizontal="center" vertical="center" wrapText="1"/>
    </xf>
    <xf numFmtId="183" fontId="28" fillId="11" borderId="50" xfId="0" applyNumberFormat="1" applyFont="1" applyFill="1" applyBorder="1" applyAlignment="1">
      <alignment horizontal="center" vertical="center" wrapText="1"/>
    </xf>
    <xf numFmtId="183" fontId="28" fillId="11" borderId="45" xfId="0" applyNumberFormat="1" applyFont="1" applyFill="1" applyBorder="1" applyAlignment="1">
      <alignment horizontal="center" vertical="center" wrapText="1"/>
    </xf>
    <xf numFmtId="0" fontId="28" fillId="12" borderId="45" xfId="0" applyFont="1" applyFill="1" applyBorder="1" applyAlignment="1">
      <alignment horizontal="center" vertical="center" wrapText="1"/>
    </xf>
    <xf numFmtId="0" fontId="29" fillId="0" borderId="46" xfId="0" applyFont="1" applyBorder="1" applyAlignment="1">
      <alignment horizontal="center" vertical="center" wrapText="1"/>
    </xf>
    <xf numFmtId="0" fontId="29" fillId="0" borderId="48" xfId="0" applyFont="1" applyBorder="1" applyAlignment="1">
      <alignment horizontal="center" vertical="center" wrapText="1"/>
    </xf>
    <xf numFmtId="0" fontId="29" fillId="0" borderId="45" xfId="0" applyFont="1" applyBorder="1" applyAlignment="1">
      <alignment horizontal="center" vertical="center" wrapText="1"/>
    </xf>
    <xf numFmtId="184" fontId="29" fillId="0" borderId="51" xfId="0" applyNumberFormat="1" applyFont="1" applyBorder="1" applyAlignment="1">
      <alignment horizontal="center" vertical="center" wrapText="1"/>
    </xf>
    <xf numFmtId="184" fontId="29" fillId="0" borderId="45" xfId="0" applyNumberFormat="1" applyFont="1" applyBorder="1" applyAlignment="1">
      <alignment horizontal="center" vertical="center" wrapText="1"/>
    </xf>
    <xf numFmtId="184" fontId="30" fillId="0" borderId="45" xfId="0" applyNumberFormat="1" applyFont="1" applyBorder="1" applyAlignment="1">
      <alignment horizontal="center" vertical="center" wrapText="1"/>
    </xf>
    <xf numFmtId="0" fontId="31" fillId="0" borderId="52" xfId="0" applyFont="1" applyBorder="1" applyAlignment="1">
      <alignment horizontal="center"/>
    </xf>
    <xf numFmtId="0" fontId="29" fillId="0" borderId="52" xfId="0" applyFont="1" applyBorder="1" applyAlignment="1">
      <alignment horizontal="center" vertical="center" wrapText="1"/>
    </xf>
    <xf numFmtId="0" fontId="31" fillId="0" borderId="53" xfId="0" applyFont="1" applyBorder="1" applyAlignment="1">
      <alignment horizontal="center"/>
    </xf>
    <xf numFmtId="0" fontId="29" fillId="0" borderId="45" xfId="0" applyFont="1" applyBorder="1" applyAlignment="1">
      <alignment horizontal="center" vertical="center"/>
    </xf>
    <xf numFmtId="0" fontId="9" fillId="0" borderId="0" xfId="0" applyFont="1" applyAlignment="1">
      <alignment vertical="distributed" wrapText="1" shrinkToFit="1" readingOrder="1"/>
    </xf>
    <xf numFmtId="0" fontId="4" fillId="0" borderId="0" xfId="0" applyFont="1" applyAlignment="1">
      <alignment vertical="center" wrapText="1"/>
    </xf>
    <xf numFmtId="0" fontId="28" fillId="12" borderId="51" xfId="0" applyFont="1" applyFill="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xf>
    <xf numFmtId="184" fontId="29" fillId="0" borderId="1" xfId="0" applyNumberFormat="1" applyFont="1" applyBorder="1" applyAlignment="1">
      <alignment horizontal="center" vertical="center" wrapText="1"/>
    </xf>
    <xf numFmtId="184" fontId="30" fillId="0" borderId="1" xfId="0" applyNumberFormat="1" applyFont="1" applyBorder="1" applyAlignment="1">
      <alignment horizontal="center" vertical="center" wrapText="1"/>
    </xf>
    <xf numFmtId="0" fontId="29" fillId="0" borderId="1" xfId="0" applyFont="1" applyBorder="1" applyAlignment="1">
      <alignment horizontal="center" vertical="center"/>
    </xf>
    <xf numFmtId="1" fontId="0" fillId="0" borderId="0" xfId="0" applyNumberFormat="1"/>
    <xf numFmtId="0" fontId="32" fillId="0" borderId="0" xfId="0" applyFont="1" applyAlignment="1">
      <alignment horizontal="center" wrapText="1"/>
    </xf>
    <xf numFmtId="0" fontId="32" fillId="0" borderId="0" xfId="0" applyFont="1" applyAlignment="1">
      <alignment horizontal="center"/>
    </xf>
    <xf numFmtId="0" fontId="7" fillId="0" borderId="0" xfId="0" applyFont="1" applyAlignment="1">
      <alignment horizontal="center" vertical="center" wrapText="1"/>
    </xf>
    <xf numFmtId="0" fontId="33" fillId="0" borderId="0" xfId="0" applyFont="1" applyAlignment="1">
      <alignment horizontal="center" vertical="top" wrapText="1"/>
    </xf>
    <xf numFmtId="0" fontId="34" fillId="3" borderId="26" xfId="0" applyFont="1" applyFill="1" applyBorder="1" applyAlignment="1">
      <alignment horizontal="center" vertical="center" wrapText="1"/>
    </xf>
    <xf numFmtId="0" fontId="34" fillId="3" borderId="27" xfId="0" applyFont="1" applyFill="1" applyBorder="1" applyAlignment="1">
      <alignment horizontal="center" vertical="center" wrapText="1"/>
    </xf>
    <xf numFmtId="0" fontId="34" fillId="3" borderId="28" xfId="0" applyFont="1" applyFill="1" applyBorder="1" applyAlignment="1">
      <alignment horizontal="center" vertical="center" wrapText="1"/>
    </xf>
    <xf numFmtId="185" fontId="35" fillId="0" borderId="29" xfId="0" applyNumberFormat="1" applyFont="1" applyBorder="1" applyAlignment="1">
      <alignment horizontal="center" vertical="center" shrinkToFit="1"/>
    </xf>
    <xf numFmtId="0" fontId="36" fillId="0" borderId="1" xfId="0" applyFont="1" applyBorder="1" applyAlignment="1">
      <alignment horizontal="justify" vertical="center" wrapText="1"/>
    </xf>
    <xf numFmtId="185" fontId="35" fillId="0" borderId="1" xfId="0" applyNumberFormat="1" applyFont="1" applyBorder="1" applyAlignment="1">
      <alignment horizontal="center" vertical="center" shrinkToFit="1"/>
    </xf>
    <xf numFmtId="177" fontId="37" fillId="5" borderId="1" xfId="54" applyNumberFormat="1" applyFont="1" applyFill="1" applyBorder="1" applyAlignment="1">
      <alignment horizontal="right" vertical="center"/>
    </xf>
    <xf numFmtId="177" fontId="35" fillId="0" borderId="30" xfId="0" applyNumberFormat="1" applyFont="1" applyBorder="1" applyAlignment="1">
      <alignment horizontal="right" vertical="center" wrapText="1"/>
    </xf>
    <xf numFmtId="177" fontId="37" fillId="0" borderId="1" xfId="54" applyNumberFormat="1" applyFont="1" applyBorder="1" applyAlignment="1">
      <alignment horizontal="right" vertical="center"/>
    </xf>
    <xf numFmtId="0" fontId="34" fillId="3" borderId="29" xfId="0" applyFont="1" applyFill="1" applyBorder="1" applyAlignment="1">
      <alignment horizontal="center" vertical="top" wrapText="1"/>
    </xf>
    <xf numFmtId="0" fontId="34" fillId="3" borderId="1" xfId="0" applyFont="1" applyFill="1" applyBorder="1" applyAlignment="1">
      <alignment horizontal="center" vertical="top" wrapText="1"/>
    </xf>
    <xf numFmtId="177" fontId="34" fillId="3" borderId="30" xfId="2" applyFont="1" applyFill="1" applyBorder="1" applyAlignment="1">
      <alignment horizontal="center" vertical="top" wrapText="1"/>
    </xf>
    <xf numFmtId="0" fontId="35" fillId="0" borderId="29" xfId="0" applyFont="1" applyBorder="1" applyAlignment="1">
      <alignment horizontal="center" vertical="top" wrapText="1"/>
    </xf>
    <xf numFmtId="0" fontId="35" fillId="0" borderId="1" xfId="0" applyFont="1" applyBorder="1" applyAlignment="1">
      <alignment horizontal="center" vertical="top" wrapText="1"/>
    </xf>
    <xf numFmtId="9" fontId="38" fillId="0" borderId="30" xfId="0" applyNumberFormat="1" applyFont="1" applyBorder="1" applyAlignment="1">
      <alignment horizontal="right" vertical="top" wrapText="1" shrinkToFit="1"/>
    </xf>
    <xf numFmtId="177" fontId="35" fillId="0" borderId="30" xfId="2" applyFont="1" applyFill="1" applyBorder="1" applyAlignment="1">
      <alignment horizontal="center" vertical="top" wrapText="1"/>
    </xf>
    <xf numFmtId="0" fontId="39" fillId="0" borderId="31" xfId="0" applyFont="1" applyBorder="1" applyAlignment="1">
      <alignment horizontal="center" vertical="top" wrapText="1"/>
    </xf>
    <xf numFmtId="0" fontId="39" fillId="0" borderId="32" xfId="0" applyFont="1" applyBorder="1" applyAlignment="1">
      <alignment horizontal="center" vertical="top" wrapText="1"/>
    </xf>
    <xf numFmtId="177" fontId="39" fillId="0" borderId="33" xfId="2" applyFont="1" applyFill="1" applyBorder="1" applyAlignment="1">
      <alignment horizontal="center" vertical="top" wrapText="1"/>
    </xf>
    <xf numFmtId="0" fontId="39" fillId="13" borderId="31" xfId="0" applyFont="1" applyFill="1" applyBorder="1" applyAlignment="1">
      <alignment horizontal="center" vertical="top" wrapText="1"/>
    </xf>
    <xf numFmtId="0" fontId="39" fillId="13" borderId="32" xfId="0" applyFont="1" applyFill="1" applyBorder="1" applyAlignment="1">
      <alignment horizontal="center" vertical="top" wrapText="1"/>
    </xf>
    <xf numFmtId="0" fontId="36" fillId="0" borderId="0" xfId="0" applyFont="1" applyAlignment="1">
      <alignment horizontal="left" vertical="top"/>
    </xf>
    <xf numFmtId="0" fontId="36" fillId="0" borderId="0" xfId="0" applyFont="1" applyAlignment="1">
      <alignment horizontal="left" vertical="top" wrapText="1"/>
    </xf>
    <xf numFmtId="0" fontId="40" fillId="0" borderId="0" xfId="0" applyFont="1" applyAlignment="1">
      <alignment horizontal="left" vertical="top" wrapText="1"/>
    </xf>
    <xf numFmtId="0" fontId="41" fillId="0" borderId="0" xfId="0" applyFont="1" applyAlignment="1">
      <alignment vertical="top" wrapText="1"/>
    </xf>
    <xf numFmtId="0" fontId="42" fillId="0" borderId="54" xfId="0" applyFont="1" applyBorder="1" applyAlignment="1">
      <alignment horizontal="center" vertical="top" wrapText="1"/>
    </xf>
    <xf numFmtId="0" fontId="42" fillId="0" borderId="0" xfId="0" applyFont="1" applyAlignment="1">
      <alignment horizontal="center" vertical="top" wrapText="1"/>
    </xf>
    <xf numFmtId="177" fontId="42" fillId="0" borderId="0" xfId="2" applyFont="1" applyFill="1" applyBorder="1" applyAlignment="1">
      <alignment horizontal="center" vertical="top" wrapText="1"/>
    </xf>
    <xf numFmtId="0" fontId="6" fillId="0" borderId="0" xfId="0" applyFont="1"/>
    <xf numFmtId="0" fontId="8" fillId="0" borderId="0" xfId="0" applyFont="1" applyAlignment="1">
      <alignment horizontal="center" wrapText="1"/>
    </xf>
    <xf numFmtId="0" fontId="8" fillId="0" borderId="0" xfId="0" applyFont="1" applyAlignment="1">
      <alignment wrapText="1"/>
    </xf>
    <xf numFmtId="0" fontId="8" fillId="0" borderId="0" xfId="0" applyFont="1" applyAlignment="1">
      <alignment horizontal="center"/>
    </xf>
    <xf numFmtId="0" fontId="8" fillId="0" borderId="0" xfId="0" applyFont="1"/>
    <xf numFmtId="0" fontId="4" fillId="0" borderId="0" xfId="0" applyFont="1" applyAlignment="1">
      <alignment vertical="distributed" wrapText="1" shrinkToFit="1" readingOrder="1"/>
    </xf>
    <xf numFmtId="0" fontId="43" fillId="14" borderId="26" xfId="0" applyFont="1" applyFill="1" applyBorder="1" applyAlignment="1">
      <alignment horizontal="center" vertical="center" wrapText="1"/>
    </xf>
    <xf numFmtId="0" fontId="44" fillId="0" borderId="27" xfId="0" applyFont="1" applyBorder="1"/>
    <xf numFmtId="0" fontId="44" fillId="0" borderId="28" xfId="0" applyFont="1" applyBorder="1"/>
    <xf numFmtId="0" fontId="45" fillId="14" borderId="29" xfId="0" applyFont="1" applyFill="1" applyBorder="1" applyAlignment="1">
      <alignment horizontal="center" vertical="center" wrapText="1"/>
    </xf>
    <xf numFmtId="0" fontId="45" fillId="14" borderId="1" xfId="0" applyFont="1" applyFill="1" applyBorder="1" applyAlignment="1">
      <alignment horizontal="center" vertical="center" wrapText="1"/>
    </xf>
    <xf numFmtId="0" fontId="37" fillId="0" borderId="1" xfId="0" applyFont="1" applyBorder="1"/>
    <xf numFmtId="0" fontId="46" fillId="14" borderId="30" xfId="0" applyFont="1" applyFill="1" applyBorder="1" applyAlignment="1">
      <alignment horizontal="center" vertical="center" wrapText="1"/>
    </xf>
    <xf numFmtId="0" fontId="37" fillId="0" borderId="29" xfId="0" applyFont="1" applyBorder="1"/>
    <xf numFmtId="0" fontId="45" fillId="14" borderId="1" xfId="0" applyFont="1" applyFill="1" applyBorder="1" applyAlignment="1">
      <alignment horizontal="center" vertical="center"/>
    </xf>
    <xf numFmtId="0" fontId="37" fillId="0" borderId="30" xfId="0" applyFont="1" applyBorder="1"/>
    <xf numFmtId="0" fontId="37" fillId="0" borderId="29" xfId="0" applyFont="1" applyBorder="1" applyAlignment="1">
      <alignment horizontal="center" vertical="center" wrapText="1"/>
    </xf>
    <xf numFmtId="0" fontId="37" fillId="0" borderId="1" xfId="59" applyFont="1" applyBorder="1" applyAlignment="1">
      <alignment horizontal="center" vertical="center" wrapText="1"/>
    </xf>
    <xf numFmtId="177" fontId="47" fillId="5" borderId="1" xfId="58" applyNumberFormat="1" applyFont="1" applyFill="1" applyBorder="1" applyAlignment="1">
      <alignment horizontal="center" vertical="center"/>
    </xf>
    <xf numFmtId="177" fontId="37" fillId="0" borderId="1" xfId="0" applyNumberFormat="1" applyFont="1" applyBorder="1" applyAlignment="1">
      <alignment horizontal="center" vertical="center" wrapText="1"/>
    </xf>
    <xf numFmtId="0" fontId="48" fillId="0" borderId="30" xfId="0" applyFont="1" applyBorder="1" applyAlignment="1">
      <alignment horizontal="center" vertical="center" wrapText="1"/>
    </xf>
    <xf numFmtId="0" fontId="37" fillId="0" borderId="29" xfId="0" applyFont="1" applyBorder="1" applyAlignment="1">
      <alignment horizontal="center" vertical="center"/>
    </xf>
    <xf numFmtId="0" fontId="35" fillId="0" borderId="30" xfId="0" applyFont="1" applyBorder="1"/>
    <xf numFmtId="0" fontId="37" fillId="0" borderId="1" xfId="0" applyFont="1" applyBorder="1" applyAlignment="1">
      <alignment horizontal="center" vertical="center" wrapText="1"/>
    </xf>
    <xf numFmtId="177" fontId="37" fillId="5" borderId="1" xfId="58" applyNumberFormat="1" applyFill="1" applyBorder="1" applyAlignment="1">
      <alignment horizontal="left" vertical="center"/>
    </xf>
    <xf numFmtId="0" fontId="45" fillId="2" borderId="29" xfId="0" applyFont="1" applyFill="1" applyBorder="1" applyAlignment="1">
      <alignment horizontal="center" vertical="center"/>
    </xf>
    <xf numFmtId="0" fontId="45" fillId="2" borderId="1" xfId="0" applyFont="1" applyFill="1" applyBorder="1"/>
    <xf numFmtId="177" fontId="45" fillId="0" borderId="1" xfId="0" applyNumberFormat="1" applyFont="1" applyBorder="1" applyAlignment="1">
      <alignment vertical="center" wrapText="1"/>
    </xf>
    <xf numFmtId="177" fontId="45" fillId="0" borderId="30" xfId="0" applyNumberFormat="1" applyFont="1" applyBorder="1"/>
    <xf numFmtId="177" fontId="45" fillId="0" borderId="2" xfId="0" applyNumberFormat="1" applyFont="1" applyBorder="1" applyAlignment="1">
      <alignment vertical="center" wrapText="1"/>
    </xf>
    <xf numFmtId="177" fontId="45" fillId="0" borderId="55" xfId="0" applyNumberFormat="1" applyFont="1" applyBorder="1" applyAlignment="1">
      <alignment vertical="center" wrapText="1"/>
    </xf>
    <xf numFmtId="0" fontId="43" fillId="14" borderId="29" xfId="0" applyFont="1" applyFill="1" applyBorder="1" applyAlignment="1">
      <alignment horizontal="center" vertical="center" wrapText="1"/>
    </xf>
    <xf numFmtId="0" fontId="44" fillId="0" borderId="1" xfId="0" applyFont="1" applyBorder="1"/>
    <xf numFmtId="0" fontId="44" fillId="0" borderId="30" xfId="0" applyFont="1" applyBorder="1"/>
    <xf numFmtId="0" fontId="49" fillId="15" borderId="1" xfId="0" applyFont="1" applyFill="1" applyBorder="1" applyAlignment="1">
      <alignment horizontal="center" vertical="center" wrapText="1"/>
    </xf>
    <xf numFmtId="0" fontId="45" fillId="14" borderId="30" xfId="0" applyFont="1" applyFill="1" applyBorder="1" applyAlignment="1">
      <alignment horizontal="center" vertical="center" wrapText="1"/>
    </xf>
    <xf numFmtId="0" fontId="37" fillId="0" borderId="48" xfId="0" applyFont="1" applyBorder="1" applyAlignment="1">
      <alignment horizontal="center" vertical="center" wrapText="1"/>
    </xf>
    <xf numFmtId="0" fontId="37" fillId="0" borderId="48" xfId="0" applyFont="1" applyBorder="1" applyAlignment="1">
      <alignment horizontal="center" vertical="center"/>
    </xf>
    <xf numFmtId="0" fontId="37" fillId="0" borderId="48" xfId="62" applyFont="1" applyBorder="1" applyAlignment="1">
      <alignment horizontal="center" vertical="center"/>
    </xf>
    <xf numFmtId="177" fontId="37" fillId="5" borderId="1" xfId="58" applyNumberFormat="1" applyFill="1" applyBorder="1" applyAlignment="1">
      <alignment horizontal="right" vertical="center"/>
    </xf>
    <xf numFmtId="177" fontId="37" fillId="0" borderId="30" xfId="0" applyNumberFormat="1" applyFont="1" applyBorder="1" applyAlignment="1">
      <alignment horizontal="center" vertical="center"/>
    </xf>
    <xf numFmtId="0" fontId="37" fillId="0" borderId="1" xfId="0" applyFont="1" applyBorder="1" applyAlignment="1">
      <alignment horizontal="center" vertical="center"/>
    </xf>
    <xf numFmtId="0" fontId="45" fillId="14" borderId="29" xfId="0" applyFont="1" applyFill="1" applyBorder="1" applyAlignment="1">
      <alignment horizontal="center" vertical="center"/>
    </xf>
    <xf numFmtId="177" fontId="45" fillId="16" borderId="30" xfId="0" applyNumberFormat="1" applyFont="1" applyFill="1" applyBorder="1" applyAlignment="1">
      <alignment horizontal="center" vertical="center"/>
    </xf>
    <xf numFmtId="0" fontId="43" fillId="14" borderId="31" xfId="0" applyFont="1" applyFill="1" applyBorder="1" applyAlignment="1">
      <alignment horizontal="center" vertical="center"/>
    </xf>
    <xf numFmtId="0" fontId="43" fillId="14" borderId="32" xfId="0" applyFont="1" applyFill="1" applyBorder="1" applyAlignment="1">
      <alignment horizontal="center" vertical="center"/>
    </xf>
    <xf numFmtId="177" fontId="8" fillId="0" borderId="33" xfId="0" applyNumberFormat="1" applyFont="1" applyBorder="1" applyAlignment="1">
      <alignment horizontal="center"/>
    </xf>
    <xf numFmtId="0" fontId="19" fillId="3" borderId="1" xfId="0" applyFont="1" applyFill="1" applyBorder="1" applyAlignment="1">
      <alignment horizontal="center"/>
    </xf>
    <xf numFmtId="0" fontId="19" fillId="5" borderId="0" xfId="0" applyFont="1" applyFill="1"/>
    <xf numFmtId="0" fontId="19" fillId="0" borderId="1" xfId="0" applyFont="1" applyBorder="1" applyAlignment="1">
      <alignment horizontal="center" vertical="center"/>
    </xf>
    <xf numFmtId="0" fontId="19" fillId="0" borderId="1" xfId="53" applyFont="1" applyBorder="1" applyAlignment="1">
      <alignment horizontal="center" vertical="center" wrapText="1"/>
    </xf>
    <xf numFmtId="0" fontId="42" fillId="0" borderId="1" xfId="0" applyFont="1" applyBorder="1" applyAlignment="1">
      <alignment horizontal="center" vertical="center"/>
    </xf>
    <xf numFmtId="186" fontId="42" fillId="0" borderId="1" xfId="53" applyNumberFormat="1" applyFont="1" applyBorder="1" applyAlignment="1">
      <alignment horizontal="center" vertical="center" wrapText="1"/>
    </xf>
    <xf numFmtId="1" fontId="42" fillId="5" borderId="1" xfId="53" applyNumberFormat="1" applyFont="1" applyFill="1" applyBorder="1" applyAlignment="1">
      <alignment horizontal="center" vertical="center"/>
    </xf>
    <xf numFmtId="177" fontId="42" fillId="0" borderId="1" xfId="2" applyFont="1" applyBorder="1" applyAlignment="1">
      <alignment horizontal="center" vertical="center"/>
    </xf>
    <xf numFmtId="1" fontId="42" fillId="0" borderId="1" xfId="53" applyNumberFormat="1" applyFont="1" applyBorder="1" applyAlignment="1">
      <alignment horizontal="center" vertical="center" wrapText="1"/>
    </xf>
    <xf numFmtId="0" fontId="6" fillId="5" borderId="1" xfId="0" applyFont="1" applyFill="1" applyBorder="1" applyAlignment="1">
      <alignment horizontal="center"/>
    </xf>
    <xf numFmtId="0" fontId="6" fillId="0" borderId="1" xfId="0" applyFont="1" applyBorder="1"/>
    <xf numFmtId="177" fontId="8" fillId="0" borderId="1" xfId="0" applyNumberFormat="1" applyFont="1" applyBorder="1"/>
    <xf numFmtId="0" fontId="19" fillId="3" borderId="41" xfId="0" applyFont="1" applyFill="1" applyBorder="1" applyAlignment="1">
      <alignment horizontal="center"/>
    </xf>
    <xf numFmtId="0" fontId="19" fillId="3" borderId="3" xfId="0" applyFont="1" applyFill="1" applyBorder="1" applyAlignment="1">
      <alignment horizontal="center"/>
    </xf>
    <xf numFmtId="0" fontId="19" fillId="3" borderId="55" xfId="0" applyFont="1" applyFill="1" applyBorder="1" applyAlignment="1">
      <alignment horizontal="center"/>
    </xf>
    <xf numFmtId="0" fontId="19" fillId="0" borderId="29" xfId="0" applyFont="1" applyBorder="1" applyAlignment="1">
      <alignment horizontal="center" vertical="center"/>
    </xf>
    <xf numFmtId="0" fontId="19" fillId="0" borderId="1" xfId="0" applyFont="1" applyBorder="1" applyAlignment="1">
      <alignment horizontal="center" vertical="top" wrapText="1"/>
    </xf>
    <xf numFmtId="0" fontId="19" fillId="0" borderId="30" xfId="53" applyFont="1" applyBorder="1" applyAlignment="1">
      <alignment horizontal="center" vertical="center" wrapText="1"/>
    </xf>
    <xf numFmtId="0" fontId="42" fillId="0" borderId="29" xfId="0" applyFont="1" applyBorder="1" applyAlignment="1">
      <alignment horizontal="center" vertical="center"/>
    </xf>
    <xf numFmtId="2" fontId="42" fillId="0" borderId="1" xfId="53" applyNumberFormat="1" applyFont="1" applyBorder="1" applyAlignment="1">
      <alignment horizontal="center" vertical="center"/>
    </xf>
    <xf numFmtId="180" fontId="42" fillId="0" borderId="1" xfId="53" applyNumberFormat="1" applyFont="1" applyBorder="1" applyAlignment="1">
      <alignment horizontal="center" vertical="center"/>
    </xf>
    <xf numFmtId="2" fontId="42" fillId="0" borderId="1" xfId="0" applyNumberFormat="1" applyFont="1" applyBorder="1" applyAlignment="1">
      <alignment horizontal="center" vertical="center"/>
    </xf>
    <xf numFmtId="177" fontId="42" fillId="0" borderId="56" xfId="2" applyFont="1" applyBorder="1" applyAlignment="1">
      <alignment horizontal="center" vertical="center"/>
    </xf>
    <xf numFmtId="0" fontId="36" fillId="0" borderId="54" xfId="0" applyFont="1" applyBorder="1"/>
    <xf numFmtId="0" fontId="36" fillId="0" borderId="0" xfId="0" applyFont="1" applyAlignment="1">
      <alignment wrapText="1"/>
    </xf>
    <xf numFmtId="0" fontId="36" fillId="0" borderId="0" xfId="0" applyFont="1" applyAlignment="1">
      <alignment horizontal="center" vertical="center"/>
    </xf>
    <xf numFmtId="0" fontId="36" fillId="0" borderId="57" xfId="0" applyFont="1" applyBorder="1" applyAlignment="1">
      <alignment horizontal="center" vertical="center"/>
    </xf>
    <xf numFmtId="0" fontId="5" fillId="3" borderId="29" xfId="0" applyFont="1" applyFill="1" applyBorder="1" applyAlignment="1">
      <alignment horizontal="center" vertical="center" wrapText="1"/>
    </xf>
    <xf numFmtId="0" fontId="5" fillId="17" borderId="1" xfId="0" applyFont="1" applyFill="1" applyBorder="1" applyAlignment="1">
      <alignment horizontal="center" vertical="center" wrapText="1"/>
    </xf>
    <xf numFmtId="0" fontId="5" fillId="17" borderId="30" xfId="0" applyFont="1" applyFill="1" applyBorder="1" applyAlignment="1">
      <alignment horizontal="center" vertical="center"/>
    </xf>
    <xf numFmtId="180" fontId="36" fillId="0" borderId="1" xfId="0" applyNumberFormat="1" applyFont="1" applyBorder="1" applyAlignment="1">
      <alignment horizontal="center" vertical="center"/>
    </xf>
    <xf numFmtId="180" fontId="36" fillId="0" borderId="30" xfId="0" applyNumberFormat="1" applyFont="1" applyBorder="1" applyAlignment="1">
      <alignment horizontal="center" vertical="center"/>
    </xf>
    <xf numFmtId="0" fontId="50" fillId="3" borderId="1" xfId="0" applyFont="1" applyFill="1" applyBorder="1" applyAlignment="1">
      <alignment horizontal="center" vertical="center" wrapText="1"/>
    </xf>
    <xf numFmtId="0" fontId="51" fillId="0" borderId="31" xfId="0" applyFont="1" applyBorder="1" applyAlignment="1">
      <alignment horizontal="center" vertical="center" wrapText="1"/>
    </xf>
    <xf numFmtId="0" fontId="51" fillId="0" borderId="32" xfId="0" applyFont="1" applyBorder="1" applyAlignment="1">
      <alignment horizontal="center" vertical="center" wrapText="1"/>
    </xf>
    <xf numFmtId="0" fontId="51" fillId="0" borderId="33" xfId="0" applyFont="1" applyBorder="1" applyAlignment="1">
      <alignment horizontal="center" vertical="center" wrapText="1"/>
    </xf>
    <xf numFmtId="0" fontId="19" fillId="2" borderId="26" xfId="0" applyFont="1" applyFill="1" applyBorder="1" applyAlignment="1">
      <alignment horizontal="center" vertical="center" wrapText="1"/>
    </xf>
    <xf numFmtId="0" fontId="19" fillId="2" borderId="28" xfId="0" applyFont="1" applyFill="1" applyBorder="1" applyAlignment="1">
      <alignment horizontal="center" vertical="center" wrapText="1"/>
    </xf>
    <xf numFmtId="0" fontId="42" fillId="0" borderId="29" xfId="0" applyFont="1" applyBorder="1" applyAlignment="1">
      <alignment horizontal="left" vertical="center" wrapText="1"/>
    </xf>
    <xf numFmtId="0" fontId="42" fillId="0" borderId="30" xfId="0" applyFont="1" applyBorder="1" applyAlignment="1">
      <alignment horizontal="left" vertical="center" wrapText="1"/>
    </xf>
    <xf numFmtId="0" fontId="36" fillId="0" borderId="29" xfId="0" applyFont="1" applyBorder="1" applyAlignment="1">
      <alignment horizontal="left" vertical="center" wrapText="1"/>
    </xf>
    <xf numFmtId="0" fontId="42" fillId="0" borderId="58" xfId="0" applyFont="1" applyBorder="1" applyAlignment="1">
      <alignment horizontal="left" vertical="center" wrapText="1"/>
    </xf>
    <xf numFmtId="0" fontId="42" fillId="0" borderId="59" xfId="0" applyFont="1" applyBorder="1" applyAlignment="1">
      <alignment horizontal="left" vertical="center" wrapText="1"/>
    </xf>
    <xf numFmtId="0" fontId="42" fillId="0" borderId="56" xfId="0" applyFont="1" applyBorder="1" applyAlignment="1">
      <alignment horizontal="left" vertical="center" wrapText="1"/>
    </xf>
    <xf numFmtId="0" fontId="42" fillId="0" borderId="31" xfId="0" applyFont="1" applyBorder="1" applyAlignment="1">
      <alignment horizontal="left" vertical="center" wrapText="1"/>
    </xf>
    <xf numFmtId="0" fontId="42" fillId="0" borderId="33" xfId="0" applyFont="1" applyBorder="1" applyAlignment="1">
      <alignment horizontal="left" vertical="center" wrapText="1"/>
    </xf>
    <xf numFmtId="0" fontId="4" fillId="5" borderId="0" xfId="0" applyFont="1" applyFill="1" applyAlignment="1">
      <alignment horizontal="center" vertical="center"/>
    </xf>
    <xf numFmtId="0" fontId="8" fillId="5" borderId="0" xfId="0" applyFont="1" applyFill="1" applyAlignment="1">
      <alignment horizontal="center" vertical="center"/>
    </xf>
    <xf numFmtId="0" fontId="4" fillId="3" borderId="26"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8" fillId="3" borderId="29" xfId="0" applyFont="1" applyFill="1" applyBorder="1" applyAlignment="1">
      <alignment horizontal="center" vertical="center" wrapText="1"/>
    </xf>
    <xf numFmtId="0" fontId="0" fillId="0" borderId="1" xfId="0" applyBorder="1" applyAlignment="1">
      <alignment wrapText="1"/>
    </xf>
    <xf numFmtId="0" fontId="4" fillId="3" borderId="31" xfId="0" applyFont="1" applyFill="1" applyBorder="1" applyAlignment="1">
      <alignment horizontal="center" vertical="center" wrapText="1"/>
    </xf>
    <xf numFmtId="0" fontId="8" fillId="2" borderId="32" xfId="0" applyFont="1" applyFill="1" applyBorder="1" applyAlignment="1">
      <alignment wrapText="1"/>
    </xf>
    <xf numFmtId="3" fontId="4" fillId="5" borderId="0" xfId="0" applyNumberFormat="1" applyFont="1" applyFill="1" applyAlignment="1">
      <alignment horizontal="center" vertical="center"/>
    </xf>
    <xf numFmtId="0" fontId="4" fillId="3" borderId="28" xfId="0" applyFont="1" applyFill="1" applyBorder="1" applyAlignment="1">
      <alignment horizontal="center" vertical="center" wrapText="1"/>
    </xf>
    <xf numFmtId="0" fontId="12" fillId="2" borderId="30" xfId="0" applyFont="1" applyFill="1" applyBorder="1" applyAlignment="1">
      <alignment horizontal="center" vertical="center" wrapText="1"/>
    </xf>
    <xf numFmtId="0" fontId="8" fillId="0" borderId="30" xfId="0" applyFont="1" applyBorder="1"/>
    <xf numFmtId="0" fontId="4" fillId="0" borderId="0" xfId="0" applyFont="1" applyAlignment="1">
      <alignment horizontal="center" vertical="distributed" wrapText="1" shrinkToFit="1" readingOrder="1"/>
    </xf>
    <xf numFmtId="0" fontId="52" fillId="0" borderId="0" xfId="0" applyFont="1"/>
  </cellXfs>
  <cellStyles count="66">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2 2" xfId="53"/>
    <cellStyle name="Normal 3" xfId="54"/>
    <cellStyle name="Normal 4" xfId="55"/>
    <cellStyle name="Normal 5" xfId="56"/>
    <cellStyle name="Normal 5 2" xfId="57"/>
    <cellStyle name="Normal 6" xfId="58"/>
    <cellStyle name="Normal 7" xfId="59"/>
    <cellStyle name="Normal 7 2" xfId="60"/>
    <cellStyle name="Normal 8" xfId="61"/>
    <cellStyle name="Normal 9" xfId="62"/>
    <cellStyle name="Normal_Anexo VII-C TP -201 Composição do BDI" xfId="63"/>
    <cellStyle name="Porcentagem 2" xfId="64"/>
    <cellStyle name="Porcentagem 3" xfId="65"/>
  </cellStyles>
  <tableStyles count="0" defaultTableStyle="TableStyleMedium2" defaultPivotStyle="PivotStyleLight16"/>
  <colors>
    <mruColors>
      <color rgb="008000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 IIF Dist. Equip.'!A1"/><Relationship Id="rId8" Type="http://schemas.openxmlformats.org/officeDocument/2006/relationships/hyperlink" Target="#'Anexo IV B BDI Servi&#231;os'!A1"/><Relationship Id="rId7" Type="http://schemas.openxmlformats.org/officeDocument/2006/relationships/hyperlink" Target="#'An IIB Rela&#231;&#227;o das Unidades'!A1"/><Relationship Id="rId6" Type="http://schemas.openxmlformats.org/officeDocument/2006/relationships/hyperlink" Target="#'An IIA Distribui&#231;&#227;o Postos'!A1"/><Relationship Id="rId5" Type="http://schemas.openxmlformats.org/officeDocument/2006/relationships/hyperlink" Target="#'An IID Equip Item 1'!A1"/><Relationship Id="rId4" Type="http://schemas.openxmlformats.org/officeDocument/2006/relationships/hyperlink" Target="#'Anexo IVA1 Custos DEMO Item 1'!A1"/><Relationship Id="rId3" Type="http://schemas.openxmlformats.org/officeDocument/2006/relationships/hyperlink" Target="#'An IIIA Item 1'!A1"/><Relationship Id="rId2" Type="http://schemas.openxmlformats.org/officeDocument/2006/relationships/hyperlink" Target="#'An IIC1 Uniformes Item 1'!A1"/><Relationship Id="rId18" Type="http://schemas.openxmlformats.org/officeDocument/2006/relationships/hyperlink" Target="#'Anexo IVE Custos Totais Item2'!A1"/><Relationship Id="rId17" Type="http://schemas.openxmlformats.org/officeDocument/2006/relationships/hyperlink" Target="#'Anexo IVD2 Eventuais Item 2'!A1"/><Relationship Id="rId16" Type="http://schemas.openxmlformats.org/officeDocument/2006/relationships/hyperlink" Target="#'Anexo IVA2 Custos DEMO Item 2'!A1"/><Relationship Id="rId15" Type="http://schemas.openxmlformats.org/officeDocument/2006/relationships/hyperlink" Target="#'An IIC2 Uniformes Item2'!A1"/><Relationship Id="rId14" Type="http://schemas.openxmlformats.org/officeDocument/2006/relationships/hyperlink" Target="#'An IIE Equip Item 2'!A1"/><Relationship Id="rId13" Type="http://schemas.openxmlformats.org/officeDocument/2006/relationships/hyperlink" Target="#'An IIIB Item 2'!A1"/><Relationship Id="rId12" Type="http://schemas.openxmlformats.org/officeDocument/2006/relationships/hyperlink" Target="#'Anexo IVD1 Eventuais Item 1'!A1"/><Relationship Id="rId11" Type="http://schemas.openxmlformats.org/officeDocument/2006/relationships/hyperlink" Target="#'Anexo IVE Custos Totais Item1'!A1"/><Relationship Id="rId10" Type="http://schemas.openxmlformats.org/officeDocument/2006/relationships/hyperlink" Target="#'Anexo IV C BDI Material'!A1"/><Relationship Id="rId1" Type="http://schemas.openxmlformats.org/officeDocument/2006/relationships/hyperlink" Target="#'An IIA Relacao Postos'!A1"/></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7</xdr:row>
      <xdr:rowOff>0</xdr:rowOff>
    </xdr:from>
    <xdr:to>
      <xdr:col>2</xdr:col>
      <xdr:colOff>371475</xdr:colOff>
      <xdr:row>11</xdr:row>
      <xdr:rowOff>47625</xdr:rowOff>
    </xdr:to>
    <xdr:sp>
      <xdr:nvSpPr>
        <xdr:cNvPr id="2" name="Retângulo de cantos arredondados 3">
          <a:hlinkClick xmlns:r="http://schemas.openxmlformats.org/officeDocument/2006/relationships" r:id="rId1"/>
        </xdr:cNvPr>
        <xdr:cNvSpPr/>
      </xdr:nvSpPr>
      <xdr:spPr>
        <a:xfrm>
          <a:off x="0" y="1626870"/>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A - Relação dos Postos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171450</xdr:colOff>
      <xdr:row>6</xdr:row>
      <xdr:rowOff>180975</xdr:rowOff>
    </xdr:from>
    <xdr:to>
      <xdr:col>9</xdr:col>
      <xdr:colOff>78105</xdr:colOff>
      <xdr:row>11</xdr:row>
      <xdr:rowOff>38100</xdr:rowOff>
    </xdr:to>
    <xdr:sp>
      <xdr:nvSpPr>
        <xdr:cNvPr id="5" name="Retângulo de cantos arredondados 3">
          <a:hlinkClick xmlns:r="http://schemas.openxmlformats.org/officeDocument/2006/relationships" r:id="rId2"/>
        </xdr:cNvPr>
        <xdr:cNvSpPr/>
      </xdr:nvSpPr>
      <xdr:spPr>
        <a:xfrm>
          <a:off x="5429250" y="1617345"/>
          <a:ext cx="237363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C1- Relação </a:t>
          </a:r>
          <a:r>
            <a:rPr lang="pt-PT" sz="1100" b="1" baseline="0">
              <a:solidFill>
                <a:schemeClr val="lt1"/>
              </a:solidFill>
              <a:effectLst/>
              <a:latin typeface="+mn-lt"/>
              <a:ea typeface="+mn-ea"/>
              <a:cs typeface="+mn-cs"/>
            </a:rPr>
            <a:t>dos Uniformes,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9</xdr:col>
      <xdr:colOff>361950</xdr:colOff>
      <xdr:row>13</xdr:row>
      <xdr:rowOff>20955</xdr:rowOff>
    </xdr:from>
    <xdr:to>
      <xdr:col>13</xdr:col>
      <xdr:colOff>390525</xdr:colOff>
      <xdr:row>17</xdr:row>
      <xdr:rowOff>53340</xdr:rowOff>
    </xdr:to>
    <xdr:sp>
      <xdr:nvSpPr>
        <xdr:cNvPr id="6" name="Retângulo de cantos arredondados 3">
          <a:hlinkClick xmlns:r="http://schemas.openxmlformats.org/officeDocument/2006/relationships" r:id="rId3"/>
        </xdr:cNvPr>
        <xdr:cNvSpPr/>
      </xdr:nvSpPr>
      <xdr:spPr>
        <a:xfrm>
          <a:off x="8086725" y="2790825"/>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IIIA - Custo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721995</xdr:colOff>
      <xdr:row>18</xdr:row>
      <xdr:rowOff>140970</xdr:rowOff>
    </xdr:from>
    <xdr:to>
      <xdr:col>4</xdr:col>
      <xdr:colOff>683895</xdr:colOff>
      <xdr:row>22</xdr:row>
      <xdr:rowOff>188595</xdr:rowOff>
    </xdr:to>
    <xdr:sp>
      <xdr:nvSpPr>
        <xdr:cNvPr id="15" name="Retângulo de cantos arredondados 3">
          <a:hlinkClick xmlns:r="http://schemas.openxmlformats.org/officeDocument/2006/relationships" r:id="rId4"/>
        </xdr:cNvPr>
        <xdr:cNvSpPr/>
      </xdr:nvSpPr>
      <xdr:spPr>
        <a:xfrm>
          <a:off x="2741295" y="3872865"/>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A1- Composição custos mão de obra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13</xdr:row>
      <xdr:rowOff>9525</xdr:rowOff>
    </xdr:from>
    <xdr:to>
      <xdr:col>2</xdr:col>
      <xdr:colOff>371475</xdr:colOff>
      <xdr:row>17</xdr:row>
      <xdr:rowOff>41910</xdr:rowOff>
    </xdr:to>
    <xdr:sp>
      <xdr:nvSpPr>
        <xdr:cNvPr id="7" name="Retângulo de cantos arredondados 3">
          <a:hlinkClick xmlns:r="http://schemas.openxmlformats.org/officeDocument/2006/relationships" r:id="rId5"/>
        </xdr:cNvPr>
        <xdr:cNvSpPr/>
      </xdr:nvSpPr>
      <xdr:spPr>
        <a:xfrm>
          <a:off x="0" y="2779395"/>
          <a:ext cx="2390775" cy="803910"/>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II-D - Relação dos Equipamentos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7</xdr:row>
      <xdr:rowOff>7620</xdr:rowOff>
    </xdr:from>
    <xdr:to>
      <xdr:col>2</xdr:col>
      <xdr:colOff>371475</xdr:colOff>
      <xdr:row>11</xdr:row>
      <xdr:rowOff>55245</xdr:rowOff>
    </xdr:to>
    <xdr:sp>
      <xdr:nvSpPr>
        <xdr:cNvPr id="11" name="Retângulo de cantos arredondados 3">
          <a:hlinkClick xmlns:r="http://schemas.openxmlformats.org/officeDocument/2006/relationships" r:id="rId6"/>
        </xdr:cNvPr>
        <xdr:cNvSpPr/>
      </xdr:nvSpPr>
      <xdr:spPr>
        <a:xfrm>
          <a:off x="0" y="1634490"/>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A - Distribuição dos Postos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752475</xdr:colOff>
      <xdr:row>6</xdr:row>
      <xdr:rowOff>161925</xdr:rowOff>
    </xdr:from>
    <xdr:to>
      <xdr:col>4</xdr:col>
      <xdr:colOff>723900</xdr:colOff>
      <xdr:row>11</xdr:row>
      <xdr:rowOff>19050</xdr:rowOff>
    </xdr:to>
    <xdr:sp>
      <xdr:nvSpPr>
        <xdr:cNvPr id="12" name="Retângulo de cantos arredondados 3">
          <a:hlinkClick xmlns:r="http://schemas.openxmlformats.org/officeDocument/2006/relationships" r:id="rId7"/>
        </xdr:cNvPr>
        <xdr:cNvSpPr/>
      </xdr:nvSpPr>
      <xdr:spPr>
        <a:xfrm>
          <a:off x="2771775" y="1598295"/>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B - Endereço das Unidades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9</xdr:col>
      <xdr:colOff>400050</xdr:colOff>
      <xdr:row>18</xdr:row>
      <xdr:rowOff>161925</xdr:rowOff>
    </xdr:from>
    <xdr:to>
      <xdr:col>13</xdr:col>
      <xdr:colOff>419100</xdr:colOff>
      <xdr:row>23</xdr:row>
      <xdr:rowOff>19050</xdr:rowOff>
    </xdr:to>
    <xdr:sp>
      <xdr:nvSpPr>
        <xdr:cNvPr id="13" name="Retângulo de cantos arredondados 3">
          <a:hlinkClick xmlns:r="http://schemas.openxmlformats.org/officeDocument/2006/relationships" r:id="rId8"/>
        </xdr:cNvPr>
        <xdr:cNvSpPr/>
      </xdr:nvSpPr>
      <xdr:spPr>
        <a:xfrm>
          <a:off x="8124825" y="389382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B - Composição custos BDI Serviços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209550</xdr:colOff>
      <xdr:row>13</xdr:row>
      <xdr:rowOff>19050</xdr:rowOff>
    </xdr:from>
    <xdr:to>
      <xdr:col>9</xdr:col>
      <xdr:colOff>133350</xdr:colOff>
      <xdr:row>17</xdr:row>
      <xdr:rowOff>51435</xdr:rowOff>
    </xdr:to>
    <xdr:sp>
      <xdr:nvSpPr>
        <xdr:cNvPr id="3" name="Retângulo de cantos arredondados 3">
          <a:hlinkClick xmlns:r="http://schemas.openxmlformats.org/officeDocument/2006/relationships" r:id="rId9"/>
        </xdr:cNvPr>
        <xdr:cNvSpPr/>
      </xdr:nvSpPr>
      <xdr:spPr>
        <a:xfrm>
          <a:off x="5467350" y="2788920"/>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IIF - Distribuição dos Equipamentos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23</xdr:row>
      <xdr:rowOff>161925</xdr:rowOff>
    </xdr:from>
    <xdr:to>
      <xdr:col>2</xdr:col>
      <xdr:colOff>361950</xdr:colOff>
      <xdr:row>28</xdr:row>
      <xdr:rowOff>19050</xdr:rowOff>
    </xdr:to>
    <xdr:sp>
      <xdr:nvSpPr>
        <xdr:cNvPr id="4" name="Retângulo de cantos arredondados 3">
          <a:hlinkClick xmlns:r="http://schemas.openxmlformats.org/officeDocument/2006/relationships" r:id="rId10"/>
        </xdr:cNvPr>
        <xdr:cNvSpPr/>
      </xdr:nvSpPr>
      <xdr:spPr>
        <a:xfrm>
          <a:off x="0" y="484632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C - Composição custos BDI Material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9</xdr:col>
      <xdr:colOff>409575</xdr:colOff>
      <xdr:row>24</xdr:row>
      <xdr:rowOff>0</xdr:rowOff>
    </xdr:from>
    <xdr:to>
      <xdr:col>13</xdr:col>
      <xdr:colOff>428625</xdr:colOff>
      <xdr:row>28</xdr:row>
      <xdr:rowOff>47625</xdr:rowOff>
    </xdr:to>
    <xdr:sp>
      <xdr:nvSpPr>
        <xdr:cNvPr id="8" name="Retângulo de cantos arredondados 3">
          <a:hlinkClick xmlns:r="http://schemas.openxmlformats.org/officeDocument/2006/relationships" r:id="rId11"/>
        </xdr:cNvPr>
        <xdr:cNvSpPr/>
      </xdr:nvSpPr>
      <xdr:spPr>
        <a:xfrm>
          <a:off x="8134350" y="4874895"/>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E1 - Composição custos final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676275</xdr:colOff>
      <xdr:row>24</xdr:row>
      <xdr:rowOff>28575</xdr:rowOff>
    </xdr:from>
    <xdr:to>
      <xdr:col>4</xdr:col>
      <xdr:colOff>638175</xdr:colOff>
      <xdr:row>28</xdr:row>
      <xdr:rowOff>76200</xdr:rowOff>
    </xdr:to>
    <xdr:sp>
      <xdr:nvSpPr>
        <xdr:cNvPr id="9" name="Retângulo de cantos arredondados 3">
          <a:hlinkClick xmlns:r="http://schemas.openxmlformats.org/officeDocument/2006/relationships" r:id="rId12"/>
        </xdr:cNvPr>
        <xdr:cNvSpPr/>
      </xdr:nvSpPr>
      <xdr:spPr>
        <a:xfrm>
          <a:off x="2695575" y="490347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D1 - Composição custos serviços eventuais Item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47625</xdr:colOff>
      <xdr:row>18</xdr:row>
      <xdr:rowOff>144780</xdr:rowOff>
    </xdr:from>
    <xdr:to>
      <xdr:col>2</xdr:col>
      <xdr:colOff>419100</xdr:colOff>
      <xdr:row>22</xdr:row>
      <xdr:rowOff>186690</xdr:rowOff>
    </xdr:to>
    <xdr:sp>
      <xdr:nvSpPr>
        <xdr:cNvPr id="10" name="Retângulo de cantos arredondados 3">
          <a:hlinkClick xmlns:r="http://schemas.openxmlformats.org/officeDocument/2006/relationships" r:id="rId13"/>
        </xdr:cNvPr>
        <xdr:cNvSpPr/>
      </xdr:nvSpPr>
      <xdr:spPr>
        <a:xfrm>
          <a:off x="47625" y="3876675"/>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IIIB - Custo Item 2 </a:t>
          </a:r>
          <a:endParaRPr lang="pt-PT" sz="1200" b="1" baseline="0">
            <a:latin typeface="Calibri" panose="020F0502020204030204" pitchFamily="34" charset="0"/>
            <a:cs typeface="Arial" panose="020B0604020202020204" pitchFamily="7" charset="0"/>
          </a:endParaRPr>
        </a:p>
        <a:p>
          <a:pPr algn="ctr"/>
          <a:r>
            <a:rPr lang="pt-PT" sz="1200" b="1" baseline="0">
              <a:latin typeface="Calibri" panose="020F0502020204030204" pitchFamily="34" charset="0"/>
              <a:cs typeface="Arial" panose="020B0604020202020204" pitchFamily="7" charset="0"/>
            </a:rPr>
            <a:t>(preenchimento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704850</xdr:colOff>
      <xdr:row>12</xdr:row>
      <xdr:rowOff>180975</xdr:rowOff>
    </xdr:from>
    <xdr:to>
      <xdr:col>4</xdr:col>
      <xdr:colOff>676275</xdr:colOff>
      <xdr:row>17</xdr:row>
      <xdr:rowOff>22860</xdr:rowOff>
    </xdr:to>
    <xdr:sp>
      <xdr:nvSpPr>
        <xdr:cNvPr id="14" name="Retângulo de cantos arredondados 3">
          <a:hlinkClick xmlns:r="http://schemas.openxmlformats.org/officeDocument/2006/relationships" r:id="rId14"/>
        </xdr:cNvPr>
        <xdr:cNvSpPr/>
      </xdr:nvSpPr>
      <xdr:spPr>
        <a:xfrm>
          <a:off x="2724150" y="2760345"/>
          <a:ext cx="2390775" cy="803910"/>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II-E - Relação dos Equipamentos Item 2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9</xdr:col>
      <xdr:colOff>323850</xdr:colOff>
      <xdr:row>6</xdr:row>
      <xdr:rowOff>161925</xdr:rowOff>
    </xdr:from>
    <xdr:to>
      <xdr:col>13</xdr:col>
      <xdr:colOff>335280</xdr:colOff>
      <xdr:row>11</xdr:row>
      <xdr:rowOff>19050</xdr:rowOff>
    </xdr:to>
    <xdr:sp>
      <xdr:nvSpPr>
        <xdr:cNvPr id="16" name="Retângulo de cantos arredondados 3">
          <a:hlinkClick xmlns:r="http://schemas.openxmlformats.org/officeDocument/2006/relationships" r:id="rId15"/>
        </xdr:cNvPr>
        <xdr:cNvSpPr/>
      </xdr:nvSpPr>
      <xdr:spPr>
        <a:xfrm>
          <a:off x="8048625" y="1598295"/>
          <a:ext cx="237363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C2- Relação </a:t>
          </a:r>
          <a:r>
            <a:rPr lang="pt-PT" sz="1100" b="1" baseline="0">
              <a:solidFill>
                <a:schemeClr val="lt1"/>
              </a:solidFill>
              <a:effectLst/>
              <a:latin typeface="+mn-lt"/>
              <a:ea typeface="+mn-ea"/>
              <a:cs typeface="+mn-cs"/>
            </a:rPr>
            <a:t>dos Uniformes, Item 2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217170</xdr:colOff>
      <xdr:row>18</xdr:row>
      <xdr:rowOff>150495</xdr:rowOff>
    </xdr:from>
    <xdr:to>
      <xdr:col>9</xdr:col>
      <xdr:colOff>131445</xdr:colOff>
      <xdr:row>23</xdr:row>
      <xdr:rowOff>7620</xdr:rowOff>
    </xdr:to>
    <xdr:sp>
      <xdr:nvSpPr>
        <xdr:cNvPr id="17" name="Retângulo de cantos arredondados 3">
          <a:hlinkClick xmlns:r="http://schemas.openxmlformats.org/officeDocument/2006/relationships" r:id="rId16"/>
        </xdr:cNvPr>
        <xdr:cNvSpPr/>
      </xdr:nvSpPr>
      <xdr:spPr>
        <a:xfrm>
          <a:off x="5474970" y="388239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A2- Composição custos mão de obra Item 2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200025</xdr:colOff>
      <xdr:row>24</xdr:row>
      <xdr:rowOff>28575</xdr:rowOff>
    </xdr:from>
    <xdr:to>
      <xdr:col>9</xdr:col>
      <xdr:colOff>114300</xdr:colOff>
      <xdr:row>28</xdr:row>
      <xdr:rowOff>76200</xdr:rowOff>
    </xdr:to>
    <xdr:sp>
      <xdr:nvSpPr>
        <xdr:cNvPr id="18" name="Retângulo de cantos arredondados 3">
          <a:hlinkClick xmlns:r="http://schemas.openxmlformats.org/officeDocument/2006/relationships" r:id="rId17"/>
        </xdr:cNvPr>
        <xdr:cNvSpPr/>
      </xdr:nvSpPr>
      <xdr:spPr>
        <a:xfrm>
          <a:off x="5457825" y="490347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D2 - Composição custos serviços eventuais Item 2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29</xdr:row>
      <xdr:rowOff>95250</xdr:rowOff>
    </xdr:from>
    <xdr:to>
      <xdr:col>2</xdr:col>
      <xdr:colOff>361950</xdr:colOff>
      <xdr:row>33</xdr:row>
      <xdr:rowOff>142875</xdr:rowOff>
    </xdr:to>
    <xdr:sp>
      <xdr:nvSpPr>
        <xdr:cNvPr id="19" name="Retângulo de cantos arredondados 3">
          <a:hlinkClick xmlns:r="http://schemas.openxmlformats.org/officeDocument/2006/relationships" r:id="rId18"/>
        </xdr:cNvPr>
        <xdr:cNvSpPr/>
      </xdr:nvSpPr>
      <xdr:spPr>
        <a:xfrm>
          <a:off x="0" y="5922645"/>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E2 - Composição custos final Item 2 (preenchimento licitante)</a:t>
          </a:r>
          <a:endParaRPr lang="pt-PT" sz="1200" b="1">
            <a:latin typeface="Calibri" panose="020F0502020204030204" pitchFamily="34" charset="0"/>
            <a:cs typeface="Arial" panose="020B0604020202020204" pitchFamily="7" charset="0"/>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7</xdr:col>
      <xdr:colOff>324907</xdr:colOff>
      <xdr:row>0</xdr:row>
      <xdr:rowOff>0</xdr:rowOff>
    </xdr:from>
    <xdr:ext cx="837143" cy="537016"/>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6972935" y="0"/>
          <a:ext cx="837565" cy="536575"/>
        </a:xfrm>
        <a:prstGeom prst="rect">
          <a:avLst/>
        </a:prstGeom>
      </xdr:spPr>
    </xdr:pic>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1915582</xdr:colOff>
      <xdr:row>0</xdr:row>
      <xdr:rowOff>38100</xdr:rowOff>
    </xdr:from>
    <xdr:to>
      <xdr:col>2</xdr:col>
      <xdr:colOff>3066726</xdr:colOff>
      <xdr:row>3</xdr:row>
      <xdr:rowOff>109793</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4906010" y="38100"/>
          <a:ext cx="1151255" cy="73787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396240</xdr:colOff>
      <xdr:row>0</xdr:row>
      <xdr:rowOff>47625</xdr:rowOff>
    </xdr:from>
    <xdr:to>
      <xdr:col>6</xdr:col>
      <xdr:colOff>562710</xdr:colOff>
      <xdr:row>3</xdr:row>
      <xdr:rowOff>176468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35065" y="47625"/>
          <a:ext cx="1109345" cy="74739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396240</xdr:colOff>
      <xdr:row>0</xdr:row>
      <xdr:rowOff>47625</xdr:rowOff>
    </xdr:from>
    <xdr:to>
      <xdr:col>6</xdr:col>
      <xdr:colOff>562710</xdr:colOff>
      <xdr:row>3</xdr:row>
      <xdr:rowOff>176468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54115" y="47625"/>
          <a:ext cx="1109345" cy="74739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557106</xdr:colOff>
      <xdr:row>0</xdr:row>
      <xdr:rowOff>0</xdr:rowOff>
    </xdr:from>
    <xdr:to>
      <xdr:col>4</xdr:col>
      <xdr:colOff>659017</xdr:colOff>
      <xdr:row>3</xdr:row>
      <xdr:rowOff>123551</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681345" y="0"/>
          <a:ext cx="1101725" cy="75184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557106</xdr:colOff>
      <xdr:row>0</xdr:row>
      <xdr:rowOff>0</xdr:rowOff>
    </xdr:from>
    <xdr:to>
      <xdr:col>4</xdr:col>
      <xdr:colOff>659017</xdr:colOff>
      <xdr:row>3</xdr:row>
      <xdr:rowOff>123551</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681345" y="0"/>
          <a:ext cx="1101725" cy="75184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515407</xdr:colOff>
      <xdr:row>0</xdr:row>
      <xdr:rowOff>19050</xdr:rowOff>
    </xdr:from>
    <xdr:to>
      <xdr:col>7</xdr:col>
      <xdr:colOff>590550</xdr:colOff>
      <xdr:row>2</xdr:row>
      <xdr:rowOff>37045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4772660" y="19050"/>
          <a:ext cx="770890" cy="494030"/>
        </a:xfrm>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36195</xdr:colOff>
      <xdr:row>0</xdr:row>
      <xdr:rowOff>0</xdr:rowOff>
    </xdr:from>
    <xdr:to>
      <xdr:col>9</xdr:col>
      <xdr:colOff>240765</xdr:colOff>
      <xdr:row>3</xdr:row>
      <xdr:rowOff>157418</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10104120" y="0"/>
          <a:ext cx="1109345" cy="814070"/>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1122045</xdr:colOff>
      <xdr:row>0</xdr:row>
      <xdr:rowOff>0</xdr:rowOff>
    </xdr:from>
    <xdr:to>
      <xdr:col>5</xdr:col>
      <xdr:colOff>1002765</xdr:colOff>
      <xdr:row>3</xdr:row>
      <xdr:rowOff>157418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7665720" y="0"/>
          <a:ext cx="1109345" cy="81407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100965</xdr:colOff>
      <xdr:row>0</xdr:row>
      <xdr:rowOff>0</xdr:rowOff>
    </xdr:from>
    <xdr:to>
      <xdr:col>6</xdr:col>
      <xdr:colOff>1009650</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425440" y="0"/>
          <a:ext cx="908685" cy="60198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100965</xdr:colOff>
      <xdr:row>0</xdr:row>
      <xdr:rowOff>0</xdr:rowOff>
    </xdr:from>
    <xdr:to>
      <xdr:col>6</xdr:col>
      <xdr:colOff>1009650</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425440" y="0"/>
          <a:ext cx="908685" cy="60198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4187190</xdr:colOff>
      <xdr:row>0</xdr:row>
      <xdr:rowOff>0</xdr:rowOff>
    </xdr:from>
    <xdr:to>
      <xdr:col>3</xdr:col>
      <xdr:colOff>828675</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73165" y="0"/>
          <a:ext cx="908685" cy="60198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4187190</xdr:colOff>
      <xdr:row>0</xdr:row>
      <xdr:rowOff>0</xdr:rowOff>
    </xdr:from>
    <xdr:to>
      <xdr:col>3</xdr:col>
      <xdr:colOff>828675</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73165" y="0"/>
          <a:ext cx="908685" cy="601980"/>
        </a:xfrm>
        <a:prstGeom prst="rect">
          <a:avLst/>
        </a:prstGeom>
      </xdr:spPr>
    </xdr:pic>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672465</xdr:colOff>
      <xdr:row>0</xdr:row>
      <xdr:rowOff>66675</xdr:rowOff>
    </xdr:from>
    <xdr:to>
      <xdr:col>8</xdr:col>
      <xdr:colOff>523875</xdr:colOff>
      <xdr:row>3</xdr:row>
      <xdr:rowOff>9460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7530465" y="66675"/>
          <a:ext cx="908685" cy="601980"/>
        </a:xfrm>
        <a:prstGeom prst="rect">
          <a:avLst/>
        </a:prstGeom>
      </xdr:spPr>
    </xdr:pic>
    <xdr:clientData/>
  </xdr:twoCellAnchor>
</xdr:wsDr>
</file>

<file path=xl/drawings/drawing16.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672465</xdr:colOff>
      <xdr:row>0</xdr:row>
      <xdr:rowOff>66675</xdr:rowOff>
    </xdr:from>
    <xdr:to>
      <xdr:col>8</xdr:col>
      <xdr:colOff>628650</xdr:colOff>
      <xdr:row>3</xdr:row>
      <xdr:rowOff>9460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7530465" y="66675"/>
          <a:ext cx="908685" cy="601980"/>
        </a:xfrm>
        <a:prstGeom prst="rect">
          <a:avLst/>
        </a:prstGeom>
      </xdr:spPr>
    </xdr:pic>
    <xdr:clientData/>
  </xdr:twoCellAnchor>
</xdr:wsDr>
</file>

<file path=xl/drawings/drawing17.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962025</xdr:colOff>
      <xdr:row>0</xdr:row>
      <xdr:rowOff>0</xdr:rowOff>
    </xdr:from>
    <xdr:to>
      <xdr:col>7</xdr:col>
      <xdr:colOff>241935</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210175" y="0"/>
          <a:ext cx="861060" cy="601980"/>
        </a:xfrm>
        <a:prstGeom prst="rect">
          <a:avLst/>
        </a:prstGeom>
      </xdr:spPr>
    </xdr:pic>
    <xdr:clientData/>
  </xdr:twoCellAnchor>
</xdr:wsDr>
</file>

<file path=xl/drawings/drawing18.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962025</xdr:colOff>
      <xdr:row>0</xdr:row>
      <xdr:rowOff>0</xdr:rowOff>
    </xdr:from>
    <xdr:to>
      <xdr:col>7</xdr:col>
      <xdr:colOff>289560</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210175" y="0"/>
          <a:ext cx="908685" cy="60198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4" Type="http://schemas.openxmlformats.org/officeDocument/2006/relationships/vmlDrawing" Target="../drawings/vmlDrawing16.vml"/><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comments" Target="../comments1.xml"/></Relationships>
</file>

<file path=xl/worksheets/_rels/sheet16.xml.rels><?xml version="1.0" encoding="UTF-8" standalone="yes"?>
<Relationships xmlns="http://schemas.openxmlformats.org/package/2006/relationships"><Relationship Id="rId4" Type="http://schemas.openxmlformats.org/officeDocument/2006/relationships/vmlDrawing" Target="../drawings/vmlDrawing18.vml"/><Relationship Id="rId3" Type="http://schemas.openxmlformats.org/officeDocument/2006/relationships/vmlDrawing" Target="../drawings/vmlDrawing17.vml"/><Relationship Id="rId2" Type="http://schemas.openxmlformats.org/officeDocument/2006/relationships/drawing" Target="../drawings/drawing16.xml"/><Relationship Id="rId1" Type="http://schemas.openxmlformats.org/officeDocument/2006/relationships/comments" Target="../comments2.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view="pageLayout" zoomScaleNormal="100" workbookViewId="0">
      <selection activeCell="A1" sqref="A1:N1"/>
    </sheetView>
  </sheetViews>
  <sheetFormatPr defaultColWidth="8.85714285714286" defaultRowHeight="15"/>
  <cols>
    <col min="2" max="2" width="21.4285714285714" customWidth="1"/>
    <col min="3" max="3" width="17.2857142857143" customWidth="1"/>
    <col min="4" max="4" width="19" customWidth="1"/>
    <col min="5" max="5" width="12.2857142857143" customWidth="1"/>
    <col min="6" max="6" width="8.42857142857143" customWidth="1"/>
    <col min="7" max="7" width="10.8571428571429" customWidth="1"/>
  </cols>
  <sheetData>
    <row r="1" ht="18" customHeight="1" spans="1:14">
      <c r="A1" s="1" t="s">
        <v>0</v>
      </c>
      <c r="B1" s="1"/>
      <c r="C1" s="1"/>
      <c r="D1" s="1"/>
      <c r="E1" s="1"/>
      <c r="F1" s="1"/>
      <c r="G1" s="1"/>
      <c r="H1" s="1"/>
      <c r="I1" s="1"/>
      <c r="J1" s="1"/>
      <c r="K1" s="1"/>
      <c r="L1" s="1"/>
      <c r="M1" s="1"/>
      <c r="N1" s="1"/>
    </row>
    <row r="2" ht="18.75" spans="1:14">
      <c r="A2" s="2" t="s">
        <v>1</v>
      </c>
      <c r="B2" s="2"/>
      <c r="C2" s="2"/>
      <c r="D2" s="2"/>
      <c r="E2" s="2"/>
      <c r="F2" s="2"/>
      <c r="G2" s="2"/>
      <c r="H2" s="2"/>
      <c r="I2" s="2"/>
      <c r="J2" s="2"/>
      <c r="K2" s="2"/>
      <c r="L2" s="2"/>
      <c r="M2" s="2"/>
      <c r="N2" s="2"/>
    </row>
    <row r="4" ht="14.45" customHeight="1" spans="1:8">
      <c r="A4" s="441"/>
      <c r="B4" s="441"/>
      <c r="C4" s="441"/>
      <c r="D4" s="441"/>
      <c r="E4" s="441"/>
      <c r="F4" s="441"/>
      <c r="G4" s="441"/>
      <c r="H4" s="42"/>
    </row>
    <row r="5" ht="31.9" customHeight="1" spans="1:14">
      <c r="A5" s="106" t="s">
        <v>2</v>
      </c>
      <c r="B5" s="106"/>
      <c r="C5" s="106"/>
      <c r="D5" s="106"/>
      <c r="E5" s="106"/>
      <c r="F5" s="106"/>
      <c r="G5" s="106"/>
      <c r="H5" s="106"/>
      <c r="I5" s="106"/>
      <c r="J5" s="106"/>
      <c r="K5" s="106"/>
      <c r="L5" s="106"/>
      <c r="M5" s="106"/>
      <c r="N5" s="106"/>
    </row>
    <row r="16" ht="15.75" spans="5:5">
      <c r="E16" s="442" t="s">
        <v>3</v>
      </c>
    </row>
  </sheetData>
  <mergeCells count="4">
    <mergeCell ref="A1:N1"/>
    <mergeCell ref="A2:N2"/>
    <mergeCell ref="A4:G4"/>
    <mergeCell ref="A5:N5"/>
  </mergeCells>
  <pageMargins left="0.511805555555556" right="0.511805555555556" top="0.786805555555556" bottom="0.786805555555556" header="0.314583333333333" footer="0.314583333333333"/>
  <pageSetup paperSize="9" scale="83" orientation="landscape"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view="pageLayout" zoomScaleSheetLayoutView="90" zoomScaleNormal="100" workbookViewId="0">
      <selection activeCell="A4" sqref="A4:H4"/>
    </sheetView>
  </sheetViews>
  <sheetFormatPr defaultColWidth="9" defaultRowHeight="15"/>
  <cols>
    <col min="1" max="1" width="17" customWidth="1"/>
    <col min="2" max="2" width="14.2857142857143" style="274" customWidth="1"/>
    <col min="3" max="4" width="14.1428571428571" customWidth="1"/>
    <col min="5" max="5" width="14.2857142857143" customWidth="1"/>
    <col min="6" max="6" width="13.5714285714286" customWidth="1"/>
    <col min="7" max="7" width="12.2857142857143" customWidth="1"/>
    <col min="8" max="9" width="11.8571428571429" customWidth="1"/>
    <col min="11" max="13" width="14.1428571428571" customWidth="1"/>
    <col min="14" max="14" width="12" customWidth="1"/>
  </cols>
  <sheetData>
    <row r="1" ht="18" customHeight="1" spans="1:15">
      <c r="A1" s="1" t="s">
        <v>0</v>
      </c>
      <c r="B1" s="1"/>
      <c r="C1" s="1"/>
      <c r="D1" s="1"/>
      <c r="E1" s="1"/>
      <c r="F1" s="1"/>
      <c r="G1" s="1"/>
      <c r="H1" s="1"/>
      <c r="I1" s="1"/>
      <c r="J1" s="39"/>
      <c r="K1" s="39"/>
      <c r="L1" s="39"/>
      <c r="M1" s="39"/>
      <c r="N1" s="39"/>
      <c r="O1" s="39"/>
    </row>
    <row r="2" ht="18.75" spans="1:15">
      <c r="A2" s="2" t="s">
        <v>1</v>
      </c>
      <c r="B2" s="2"/>
      <c r="C2" s="2"/>
      <c r="D2" s="2"/>
      <c r="E2" s="2"/>
      <c r="F2" s="2"/>
      <c r="G2" s="2"/>
      <c r="H2" s="2"/>
      <c r="I2" s="2"/>
      <c r="J2" s="40"/>
      <c r="K2" s="40"/>
      <c r="L2" s="40"/>
      <c r="M2" s="40"/>
      <c r="N2" s="40"/>
      <c r="O2" s="40"/>
    </row>
    <row r="4" ht="14.45" customHeight="1" spans="1:15">
      <c r="A4" s="105" t="s">
        <v>4</v>
      </c>
      <c r="B4" s="105"/>
      <c r="C4" s="105"/>
      <c r="D4" s="105"/>
      <c r="E4" s="105"/>
      <c r="F4" s="105"/>
      <c r="G4" s="105"/>
      <c r="H4" s="105"/>
      <c r="I4" s="294"/>
      <c r="J4" s="294"/>
      <c r="K4" s="294"/>
      <c r="L4" s="294"/>
      <c r="M4" s="294"/>
      <c r="N4" s="294"/>
      <c r="O4" s="294"/>
    </row>
    <row r="5" ht="36.75" customHeight="1" spans="1:15">
      <c r="A5" s="106" t="s">
        <v>2</v>
      </c>
      <c r="B5" s="106"/>
      <c r="C5" s="106"/>
      <c r="D5" s="106"/>
      <c r="E5" s="106"/>
      <c r="F5" s="106"/>
      <c r="G5" s="106"/>
      <c r="H5" s="106"/>
      <c r="I5" s="106"/>
      <c r="J5" s="295"/>
      <c r="K5" s="295"/>
      <c r="L5" s="295"/>
      <c r="M5" s="295"/>
      <c r="N5" s="295"/>
      <c r="O5" s="295"/>
    </row>
    <row r="6" ht="15.75" spans="1:15">
      <c r="A6" s="428"/>
      <c r="B6" s="428"/>
      <c r="C6" s="429"/>
      <c r="D6" s="429"/>
      <c r="E6" s="429"/>
      <c r="F6" s="429"/>
      <c r="G6" s="429"/>
      <c r="H6" s="429"/>
      <c r="I6" s="429"/>
      <c r="J6" s="429"/>
      <c r="K6" s="429"/>
      <c r="L6" s="429"/>
      <c r="M6" s="429"/>
      <c r="N6" s="429"/>
      <c r="O6" s="437"/>
    </row>
    <row r="7" customHeight="1" spans="1:9">
      <c r="A7" s="430" t="s">
        <v>5</v>
      </c>
      <c r="B7" s="431"/>
      <c r="C7" s="431"/>
      <c r="D7" s="431"/>
      <c r="E7" s="431"/>
      <c r="F7" s="431"/>
      <c r="G7" s="431"/>
      <c r="H7" s="431"/>
      <c r="I7" s="438"/>
    </row>
    <row r="8" ht="63.75" spans="1:9">
      <c r="A8" s="93" t="s">
        <v>6</v>
      </c>
      <c r="B8" s="432" t="s">
        <v>7</v>
      </c>
      <c r="C8" s="432" t="s">
        <v>8</v>
      </c>
      <c r="D8" s="432" t="s">
        <v>9</v>
      </c>
      <c r="E8" s="432" t="s">
        <v>10</v>
      </c>
      <c r="F8" s="432" t="s">
        <v>11</v>
      </c>
      <c r="G8" s="432" t="s">
        <v>12</v>
      </c>
      <c r="H8" s="432" t="s">
        <v>13</v>
      </c>
      <c r="I8" s="439" t="s">
        <v>14</v>
      </c>
    </row>
    <row r="9" spans="1:9">
      <c r="A9" s="433" t="s">
        <v>15</v>
      </c>
      <c r="B9" s="434">
        <v>1</v>
      </c>
      <c r="C9" s="155">
        <v>1</v>
      </c>
      <c r="D9" s="155">
        <v>1</v>
      </c>
      <c r="E9" s="155">
        <v>4</v>
      </c>
      <c r="F9" s="155">
        <v>4</v>
      </c>
      <c r="G9" s="155">
        <v>1</v>
      </c>
      <c r="H9" s="155">
        <v>1</v>
      </c>
      <c r="I9" s="440">
        <f>SUM(B9:H9)</f>
        <v>13</v>
      </c>
    </row>
    <row r="10" ht="30" spans="1:9">
      <c r="A10" s="433" t="s">
        <v>16</v>
      </c>
      <c r="B10" s="434">
        <v>1</v>
      </c>
      <c r="C10" s="155">
        <v>0</v>
      </c>
      <c r="D10" s="155">
        <v>0</v>
      </c>
      <c r="E10" s="155">
        <v>2</v>
      </c>
      <c r="F10" s="155">
        <v>1</v>
      </c>
      <c r="G10" s="155">
        <v>0</v>
      </c>
      <c r="H10" s="155">
        <v>0</v>
      </c>
      <c r="I10" s="440">
        <f>SUM(B10:H10)</f>
        <v>4</v>
      </c>
    </row>
    <row r="11" ht="15.75" spans="1:9">
      <c r="A11" s="435" t="s">
        <v>14</v>
      </c>
      <c r="B11" s="436">
        <f t="shared" ref="B11:H11" si="0">SUM(B9:B10)</f>
        <v>2</v>
      </c>
      <c r="C11" s="436">
        <f t="shared" si="0"/>
        <v>1</v>
      </c>
      <c r="D11" s="436">
        <f t="shared" si="0"/>
        <v>1</v>
      </c>
      <c r="E11" s="436">
        <f t="shared" si="0"/>
        <v>6</v>
      </c>
      <c r="F11" s="436">
        <f t="shared" si="0"/>
        <v>5</v>
      </c>
      <c r="G11" s="436">
        <f t="shared" si="0"/>
        <v>1</v>
      </c>
      <c r="H11" s="436">
        <f t="shared" si="0"/>
        <v>1</v>
      </c>
      <c r="I11" s="436">
        <f>SUM(B11:H11)</f>
        <v>17</v>
      </c>
    </row>
  </sheetData>
  <mergeCells count="5">
    <mergeCell ref="A1:I1"/>
    <mergeCell ref="A2:I2"/>
    <mergeCell ref="A4:H4"/>
    <mergeCell ref="A5:I5"/>
    <mergeCell ref="A7:I7"/>
  </mergeCells>
  <pageMargins left="0.511805555555556" right="0.511805555555556" top="0.786805555555556" bottom="0.786805555555556" header="0.314583333333333" footer="0.314583333333333"/>
  <pageSetup paperSize="9" scale="83" orientation="landscape" horizontalDpi="600"/>
  <headerFooter>
    <oddHeader>&amp;L&amp;G&amp;CProcesso 23069.151449/2025-11
PE 90.018/2025</oddHeader>
    <oddFooter>&amp;L&amp;"-,Itálico"&amp;9&amp;A&amp;R&amp;"-,Itálico"&amp;9Página &amp;P de &amp;N</oddFooter>
  </headerFooter>
  <drawing r:id="rId1"/>
  <legacyDrawingHF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view="pageLayout" zoomScaleSheetLayoutView="90" zoomScaleNormal="100" workbookViewId="0">
      <selection activeCell="E5" sqref="E5"/>
    </sheetView>
  </sheetViews>
  <sheetFormatPr defaultColWidth="9" defaultRowHeight="15"/>
  <cols>
    <col min="1" max="1" width="5.42857142857143" customWidth="1"/>
    <col min="2" max="2" width="39.4285714285714" customWidth="1"/>
    <col min="3" max="3" width="62.2857142857143" customWidth="1"/>
    <col min="4" max="4" width="10.8571428571429" customWidth="1"/>
    <col min="6" max="6" width="11.4285714285714" customWidth="1"/>
    <col min="7" max="7" width="10.4285714285714" customWidth="1"/>
    <col min="10" max="10" width="14.1428571428571" customWidth="1"/>
    <col min="11" max="11" width="12" customWidth="1"/>
    <col min="12" max="12" width="11.5714285714286" customWidth="1"/>
  </cols>
  <sheetData>
    <row r="1" ht="18.75" customHeight="1" spans="1:13">
      <c r="A1" s="1" t="s">
        <v>0</v>
      </c>
      <c r="B1" s="1"/>
      <c r="C1" s="1"/>
      <c r="D1" s="39"/>
      <c r="E1" s="39"/>
      <c r="F1" s="39"/>
      <c r="G1" s="39"/>
      <c r="H1" s="39"/>
      <c r="I1" s="39"/>
      <c r="J1" s="39"/>
      <c r="K1" s="39"/>
      <c r="L1" s="39"/>
      <c r="M1" s="39"/>
    </row>
    <row r="2" ht="18.75" spans="1:13">
      <c r="A2" s="2" t="s">
        <v>1</v>
      </c>
      <c r="B2" s="2"/>
      <c r="C2" s="2"/>
      <c r="D2" s="40"/>
      <c r="E2" s="40"/>
      <c r="F2" s="40"/>
      <c r="G2" s="40"/>
      <c r="H2" s="40"/>
      <c r="I2" s="40"/>
      <c r="J2" s="40"/>
      <c r="K2" s="40"/>
      <c r="L2" s="40"/>
      <c r="M2" s="40"/>
    </row>
    <row r="4" customHeight="1" spans="1:13">
      <c r="A4" s="105" t="s">
        <v>17</v>
      </c>
      <c r="B4" s="105"/>
      <c r="C4" s="105"/>
      <c r="D4" s="294"/>
      <c r="E4" s="294"/>
      <c r="F4" s="294"/>
      <c r="G4" s="294"/>
      <c r="H4" s="294"/>
      <c r="I4" s="294"/>
      <c r="J4" s="294"/>
      <c r="K4" s="294"/>
      <c r="L4" s="294"/>
      <c r="M4" s="294"/>
    </row>
    <row r="5" ht="53.25" customHeight="1" spans="1:13">
      <c r="A5" s="106" t="s">
        <v>2</v>
      </c>
      <c r="B5" s="106"/>
      <c r="C5" s="106"/>
      <c r="D5" s="295"/>
      <c r="E5" s="295"/>
      <c r="F5" s="295"/>
      <c r="G5" s="295"/>
      <c r="H5" s="295"/>
      <c r="I5" s="295"/>
      <c r="J5" s="295"/>
      <c r="K5" s="295"/>
      <c r="L5" s="295"/>
      <c r="M5" s="295"/>
    </row>
    <row r="6" ht="15.75" spans="1:13">
      <c r="A6" s="106"/>
      <c r="B6" s="106"/>
      <c r="C6" s="106"/>
      <c r="D6" s="295"/>
      <c r="E6" s="295"/>
      <c r="F6" s="295"/>
      <c r="G6" s="295"/>
      <c r="H6" s="295"/>
      <c r="I6" s="295"/>
      <c r="J6" s="295"/>
      <c r="K6" s="295"/>
      <c r="L6" s="295"/>
      <c r="M6" s="295"/>
    </row>
    <row r="7" spans="2:3">
      <c r="B7" s="418" t="s">
        <v>18</v>
      </c>
      <c r="C7" s="419" t="s">
        <v>19</v>
      </c>
    </row>
    <row r="8" spans="2:3">
      <c r="B8" s="420" t="s">
        <v>20</v>
      </c>
      <c r="C8" s="421" t="s">
        <v>21</v>
      </c>
    </row>
    <row r="9" spans="2:3">
      <c r="B9" s="420" t="s">
        <v>22</v>
      </c>
      <c r="C9" s="421" t="s">
        <v>23</v>
      </c>
    </row>
    <row r="10" spans="2:3">
      <c r="B10" s="420" t="s">
        <v>24</v>
      </c>
      <c r="C10" s="421" t="s">
        <v>25</v>
      </c>
    </row>
    <row r="11" ht="25.5" customHeight="1" spans="2:3">
      <c r="B11" s="422" t="s">
        <v>26</v>
      </c>
      <c r="C11" s="423" t="s">
        <v>27</v>
      </c>
    </row>
    <row r="12" spans="2:3">
      <c r="B12" s="422" t="s">
        <v>28</v>
      </c>
      <c r="C12" s="424"/>
    </row>
    <row r="13" ht="25.5" spans="2:3">
      <c r="B13" s="422" t="s">
        <v>29</v>
      </c>
      <c r="C13" s="424"/>
    </row>
    <row r="14" spans="2:3">
      <c r="B14" s="422" t="s">
        <v>30</v>
      </c>
      <c r="C14" s="424"/>
    </row>
    <row r="15" spans="2:3">
      <c r="B15" s="422" t="s">
        <v>31</v>
      </c>
      <c r="C15" s="424"/>
    </row>
    <row r="16" spans="2:3">
      <c r="B16" s="420" t="s">
        <v>32</v>
      </c>
      <c r="C16" s="424"/>
    </row>
    <row r="17" ht="25.5" spans="2:3">
      <c r="B17" s="422" t="s">
        <v>33</v>
      </c>
      <c r="C17" s="424"/>
    </row>
    <row r="18" spans="2:3">
      <c r="B18" s="422" t="s">
        <v>34</v>
      </c>
      <c r="C18" s="425"/>
    </row>
    <row r="19" ht="25.5" customHeight="1" spans="2:3">
      <c r="B19" s="422" t="s">
        <v>35</v>
      </c>
      <c r="C19" s="423" t="s">
        <v>36</v>
      </c>
    </row>
    <row r="20" spans="2:3">
      <c r="B20" s="422" t="s">
        <v>37</v>
      </c>
      <c r="C20" s="424"/>
    </row>
    <row r="21" ht="15.75" spans="2:3">
      <c r="B21" s="426" t="s">
        <v>38</v>
      </c>
      <c r="C21" s="427" t="s">
        <v>39</v>
      </c>
    </row>
  </sheetData>
  <mergeCells count="6">
    <mergeCell ref="A1:C1"/>
    <mergeCell ref="A2:C2"/>
    <mergeCell ref="A4:C4"/>
    <mergeCell ref="A5:C5"/>
    <mergeCell ref="C11:C18"/>
    <mergeCell ref="C19:C20"/>
  </mergeCells>
  <pageMargins left="0.511805555555556" right="0.511805555555556" top="0.786805555555556" bottom="0.786805555555556" header="0.314583333333333" footer="0.314583333333333"/>
  <pageSetup paperSize="9" scale="83" orientation="portrait" horizontalDpi="600"/>
  <headerFooter>
    <oddHeader>&amp;L&amp;G&amp;CProcesso 23069.151449/2025-11
PE 90.018/2025&amp;R&amp;G</oddHeader>
    <oddFooter>&amp;L&amp;"-,Itálico"&amp;9&amp;A&amp;R&amp;"-,Itálico"&amp;9Página &amp;P de &amp;N</oddFooter>
  </headerFooter>
  <colBreaks count="1" manualBreakCount="1">
    <brk id="3" max="1048575" man="1"/>
  </colBreaks>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view="pageLayout" zoomScaleNormal="100" workbookViewId="0">
      <selection activeCell="I26" sqref="I26"/>
    </sheetView>
  </sheetViews>
  <sheetFormatPr defaultColWidth="8.85714285714286" defaultRowHeight="15" outlineLevelCol="7"/>
  <cols>
    <col min="1" max="1" width="5.28571428571429" style="335" customWidth="1"/>
    <col min="2" max="2" width="46.8571428571429" style="335" customWidth="1"/>
    <col min="3" max="3" width="9.28571428571429" style="335" customWidth="1"/>
    <col min="4" max="4" width="11.5714285714286" style="335" customWidth="1"/>
    <col min="5" max="5" width="14.5714285714286" style="335" customWidth="1"/>
    <col min="6" max="6" width="14.1428571428571" style="335" customWidth="1"/>
    <col min="7" max="7" width="12.1428571428571" style="335" customWidth="1"/>
    <col min="8" max="8" width="12.5714285714286" style="335" customWidth="1"/>
    <col min="9" max="9" width="12.1428571428571" style="335" customWidth="1"/>
    <col min="10" max="16384" width="8.85714285714286" style="335"/>
  </cols>
  <sheetData>
    <row r="1" ht="18.75" customHeight="1" spans="1:8">
      <c r="A1" s="336" t="s">
        <v>0</v>
      </c>
      <c r="B1" s="336"/>
      <c r="C1" s="336"/>
      <c r="D1" s="336"/>
      <c r="E1" s="336"/>
      <c r="F1" s="336"/>
      <c r="G1" s="336"/>
      <c r="H1" s="337"/>
    </row>
    <row r="2" spans="1:8">
      <c r="A2" s="338" t="s">
        <v>1</v>
      </c>
      <c r="B2" s="338"/>
      <c r="C2" s="338"/>
      <c r="D2" s="338"/>
      <c r="E2" s="338"/>
      <c r="F2" s="338"/>
      <c r="G2" s="338"/>
      <c r="H2" s="339"/>
    </row>
    <row r="4" customHeight="1" spans="1:8">
      <c r="A4" s="105" t="s">
        <v>40</v>
      </c>
      <c r="B4" s="105"/>
      <c r="C4" s="105"/>
      <c r="D4" s="105"/>
      <c r="E4" s="105"/>
      <c r="F4" s="105"/>
      <c r="G4" s="105"/>
      <c r="H4" s="340"/>
    </row>
    <row r="5" customHeight="1" spans="1:8">
      <c r="A5" s="105" t="s">
        <v>41</v>
      </c>
      <c r="B5" s="105"/>
      <c r="C5" s="105"/>
      <c r="D5" s="105"/>
      <c r="E5" s="105"/>
      <c r="F5" s="105"/>
      <c r="G5" s="105"/>
      <c r="H5" s="340"/>
    </row>
    <row r="6" ht="38.25" customHeight="1" spans="1:8">
      <c r="A6" s="106" t="s">
        <v>2</v>
      </c>
      <c r="B6" s="106"/>
      <c r="C6" s="106"/>
      <c r="D6" s="106"/>
      <c r="E6" s="106"/>
      <c r="F6" s="106"/>
      <c r="G6" s="106"/>
      <c r="H6" s="295"/>
    </row>
    <row r="7" ht="15.75" customHeight="1" spans="1:7">
      <c r="A7" s="341" t="s">
        <v>42</v>
      </c>
      <c r="B7" s="342"/>
      <c r="C7" s="342"/>
      <c r="D7" s="342"/>
      <c r="E7" s="342"/>
      <c r="F7" s="342"/>
      <c r="G7" s="343"/>
    </row>
    <row r="8" ht="15.75" customHeight="1" spans="1:7">
      <c r="A8" s="344" t="s">
        <v>43</v>
      </c>
      <c r="B8" s="345" t="s">
        <v>44</v>
      </c>
      <c r="C8" s="345" t="s">
        <v>45</v>
      </c>
      <c r="D8" s="345" t="s">
        <v>46</v>
      </c>
      <c r="E8" s="345" t="s">
        <v>47</v>
      </c>
      <c r="F8" s="346"/>
      <c r="G8" s="347" t="s">
        <v>48</v>
      </c>
    </row>
    <row r="9" ht="45" spans="1:7">
      <c r="A9" s="348"/>
      <c r="B9" s="346"/>
      <c r="C9" s="346"/>
      <c r="D9" s="346"/>
      <c r="E9" s="349" t="s">
        <v>49</v>
      </c>
      <c r="F9" s="345" t="s">
        <v>50</v>
      </c>
      <c r="G9" s="350"/>
    </row>
    <row r="10" ht="51.75" customHeight="1" spans="1:7">
      <c r="A10" s="351" t="s">
        <v>51</v>
      </c>
      <c r="B10" s="352" t="s">
        <v>52</v>
      </c>
      <c r="C10" s="352">
        <v>6</v>
      </c>
      <c r="D10" s="352" t="s">
        <v>53</v>
      </c>
      <c r="E10" s="353">
        <v>53.82</v>
      </c>
      <c r="F10" s="354">
        <f t="shared" ref="F10:F15" si="0">E10*C10</f>
        <v>322.92</v>
      </c>
      <c r="G10" s="355" t="s">
        <v>54</v>
      </c>
    </row>
    <row r="11" ht="30" spans="1:7">
      <c r="A11" s="356" t="s">
        <v>55</v>
      </c>
      <c r="B11" s="352" t="s">
        <v>56</v>
      </c>
      <c r="C11" s="352">
        <v>6</v>
      </c>
      <c r="D11" s="352" t="s">
        <v>57</v>
      </c>
      <c r="E11" s="353">
        <v>37.73</v>
      </c>
      <c r="F11" s="354">
        <f t="shared" si="0"/>
        <v>226.38</v>
      </c>
      <c r="G11" s="357"/>
    </row>
    <row r="12" spans="1:7">
      <c r="A12" s="351" t="s">
        <v>58</v>
      </c>
      <c r="B12" s="358" t="s">
        <v>59</v>
      </c>
      <c r="C12" s="358">
        <v>10</v>
      </c>
      <c r="D12" s="358" t="s">
        <v>60</v>
      </c>
      <c r="E12" s="359">
        <v>8.6</v>
      </c>
      <c r="F12" s="354">
        <f t="shared" si="0"/>
        <v>86</v>
      </c>
      <c r="G12" s="357"/>
    </row>
    <row r="13" ht="30" spans="1:7">
      <c r="A13" s="356" t="s">
        <v>61</v>
      </c>
      <c r="B13" s="358" t="s">
        <v>62</v>
      </c>
      <c r="C13" s="358">
        <v>2</v>
      </c>
      <c r="D13" s="358" t="s">
        <v>57</v>
      </c>
      <c r="E13" s="359">
        <v>19.05</v>
      </c>
      <c r="F13" s="354">
        <f t="shared" si="0"/>
        <v>38.1</v>
      </c>
      <c r="G13" s="357"/>
    </row>
    <row r="14" ht="30" spans="1:7">
      <c r="A14" s="351" t="s">
        <v>63</v>
      </c>
      <c r="B14" s="358" t="s">
        <v>64</v>
      </c>
      <c r="C14" s="358">
        <v>2</v>
      </c>
      <c r="D14" s="358" t="s">
        <v>60</v>
      </c>
      <c r="E14" s="359">
        <v>48.07</v>
      </c>
      <c r="F14" s="354">
        <f t="shared" si="0"/>
        <v>96.14</v>
      </c>
      <c r="G14" s="357"/>
    </row>
    <row r="15" ht="36.75" customHeight="1" spans="1:7">
      <c r="A15" s="356" t="s">
        <v>65</v>
      </c>
      <c r="B15" s="358" t="s">
        <v>66</v>
      </c>
      <c r="C15" s="358">
        <v>1</v>
      </c>
      <c r="D15" s="358" t="s">
        <v>57</v>
      </c>
      <c r="E15" s="359">
        <v>2.66</v>
      </c>
      <c r="F15" s="354">
        <f t="shared" si="0"/>
        <v>2.66</v>
      </c>
      <c r="G15" s="357"/>
    </row>
    <row r="16" spans="1:7">
      <c r="A16" s="360" t="s">
        <v>67</v>
      </c>
      <c r="B16" s="361"/>
      <c r="C16" s="361"/>
      <c r="D16" s="361"/>
      <c r="E16" s="361"/>
      <c r="F16" s="362">
        <f>SUM(F10:F15)</f>
        <v>772.2</v>
      </c>
      <c r="G16" s="363"/>
    </row>
    <row r="17" spans="1:7">
      <c r="A17" s="360" t="s">
        <v>68</v>
      </c>
      <c r="B17" s="361"/>
      <c r="C17" s="361"/>
      <c r="D17" s="361"/>
      <c r="E17" s="361"/>
      <c r="F17" s="364">
        <f>F16/12</f>
        <v>64.35</v>
      </c>
      <c r="G17" s="365"/>
    </row>
    <row r="18" ht="15.75"/>
    <row r="19" ht="15.75" customHeight="1" spans="1:7">
      <c r="A19" s="341" t="s">
        <v>69</v>
      </c>
      <c r="B19" s="342"/>
      <c r="C19" s="342"/>
      <c r="D19" s="342"/>
      <c r="E19" s="342"/>
      <c r="F19" s="342"/>
      <c r="G19" s="343"/>
    </row>
    <row r="20" ht="15.75" customHeight="1" spans="1:7">
      <c r="A20" s="344" t="s">
        <v>43</v>
      </c>
      <c r="B20" s="345" t="s">
        <v>44</v>
      </c>
      <c r="C20" s="345" t="s">
        <v>45</v>
      </c>
      <c r="D20" s="345" t="s">
        <v>46</v>
      </c>
      <c r="E20" s="345" t="s">
        <v>47</v>
      </c>
      <c r="F20" s="346"/>
      <c r="G20" s="347" t="s">
        <v>48</v>
      </c>
    </row>
    <row r="21" ht="45" spans="1:7">
      <c r="A21" s="348"/>
      <c r="B21" s="346"/>
      <c r="C21" s="346"/>
      <c r="D21" s="346"/>
      <c r="E21" s="349" t="s">
        <v>49</v>
      </c>
      <c r="F21" s="345" t="s">
        <v>50</v>
      </c>
      <c r="G21" s="350"/>
    </row>
    <row r="22" ht="51.75" customHeight="1" spans="1:7">
      <c r="A22" s="351" t="s">
        <v>70</v>
      </c>
      <c r="B22" s="358" t="s">
        <v>71</v>
      </c>
      <c r="C22" s="358">
        <v>6</v>
      </c>
      <c r="D22" s="358" t="s">
        <v>57</v>
      </c>
      <c r="E22" s="359">
        <v>45.33</v>
      </c>
      <c r="F22" s="354">
        <f t="shared" ref="F22:F27" si="1">E22*C22</f>
        <v>271.98</v>
      </c>
      <c r="G22" s="355" t="s">
        <v>72</v>
      </c>
    </row>
    <row r="23" ht="45" spans="1:7">
      <c r="A23" s="356" t="s">
        <v>73</v>
      </c>
      <c r="B23" s="358" t="s">
        <v>74</v>
      </c>
      <c r="C23" s="358">
        <v>6</v>
      </c>
      <c r="D23" s="358" t="s">
        <v>57</v>
      </c>
      <c r="E23" s="359">
        <v>7.77</v>
      </c>
      <c r="F23" s="354">
        <f t="shared" si="1"/>
        <v>46.62</v>
      </c>
      <c r="G23" s="357"/>
    </row>
    <row r="24" spans="1:7">
      <c r="A24" s="351" t="s">
        <v>75</v>
      </c>
      <c r="B24" s="358" t="s">
        <v>59</v>
      </c>
      <c r="C24" s="358">
        <v>10</v>
      </c>
      <c r="D24" s="358" t="s">
        <v>60</v>
      </c>
      <c r="E24" s="359">
        <v>8.6</v>
      </c>
      <c r="F24" s="354">
        <f t="shared" si="1"/>
        <v>86</v>
      </c>
      <c r="G24" s="357"/>
    </row>
    <row r="25" ht="30" spans="1:7">
      <c r="A25" s="356" t="s">
        <v>76</v>
      </c>
      <c r="B25" s="358" t="s">
        <v>62</v>
      </c>
      <c r="C25" s="358">
        <v>2</v>
      </c>
      <c r="D25" s="358" t="s">
        <v>57</v>
      </c>
      <c r="E25" s="359">
        <v>19.05</v>
      </c>
      <c r="F25" s="354">
        <f t="shared" si="1"/>
        <v>38.1</v>
      </c>
      <c r="G25" s="357"/>
    </row>
    <row r="26" ht="45" spans="1:7">
      <c r="A26" s="351" t="s">
        <v>77</v>
      </c>
      <c r="B26" s="358" t="s">
        <v>78</v>
      </c>
      <c r="C26" s="358">
        <v>4</v>
      </c>
      <c r="D26" s="358" t="s">
        <v>57</v>
      </c>
      <c r="E26" s="359">
        <v>15.77</v>
      </c>
      <c r="F26" s="354">
        <f t="shared" si="1"/>
        <v>63.08</v>
      </c>
      <c r="G26" s="357"/>
    </row>
    <row r="27" spans="1:7">
      <c r="A27" s="356" t="s">
        <v>79</v>
      </c>
      <c r="B27" s="358" t="s">
        <v>66</v>
      </c>
      <c r="C27" s="358">
        <v>1</v>
      </c>
      <c r="D27" s="358" t="s">
        <v>57</v>
      </c>
      <c r="E27" s="359">
        <v>2.66</v>
      </c>
      <c r="F27" s="354">
        <f t="shared" si="1"/>
        <v>2.66</v>
      </c>
      <c r="G27" s="357"/>
    </row>
    <row r="28" spans="1:7">
      <c r="A28" s="360" t="s">
        <v>67</v>
      </c>
      <c r="B28" s="361"/>
      <c r="C28" s="361"/>
      <c r="D28" s="361"/>
      <c r="E28" s="361"/>
      <c r="F28" s="362">
        <f>SUM(F22:F27)</f>
        <v>508.44</v>
      </c>
      <c r="G28" s="363"/>
    </row>
    <row r="29" spans="1:7">
      <c r="A29" s="360" t="s">
        <v>68</v>
      </c>
      <c r="B29" s="361"/>
      <c r="C29" s="361"/>
      <c r="D29" s="361"/>
      <c r="E29" s="361"/>
      <c r="F29" s="364">
        <f>F28/12</f>
        <v>42.37</v>
      </c>
      <c r="G29" s="365"/>
    </row>
    <row r="30" ht="15.75" customHeight="1" spans="1:7">
      <c r="A30" s="366" t="s">
        <v>80</v>
      </c>
      <c r="B30" s="367"/>
      <c r="C30" s="367"/>
      <c r="D30" s="367"/>
      <c r="E30" s="367"/>
      <c r="F30" s="367"/>
      <c r="G30" s="368"/>
    </row>
    <row r="31" ht="45" spans="1:7">
      <c r="A31" s="344" t="s">
        <v>81</v>
      </c>
      <c r="B31" s="345" t="s">
        <v>82</v>
      </c>
      <c r="C31" s="369" t="s">
        <v>83</v>
      </c>
      <c r="D31" s="369" t="s">
        <v>84</v>
      </c>
      <c r="E31" s="345" t="s">
        <v>85</v>
      </c>
      <c r="F31" s="345" t="s">
        <v>86</v>
      </c>
      <c r="G31" s="370" t="s">
        <v>87</v>
      </c>
    </row>
    <row r="32" ht="75" spans="1:7">
      <c r="A32" s="356">
        <v>1</v>
      </c>
      <c r="B32" s="371" t="s">
        <v>88</v>
      </c>
      <c r="C32" s="372">
        <v>1</v>
      </c>
      <c r="D32" s="372">
        <v>1</v>
      </c>
      <c r="E32" s="373">
        <v>2</v>
      </c>
      <c r="F32" s="374">
        <v>52.11</v>
      </c>
      <c r="G32" s="375">
        <f>F32*E32</f>
        <v>104.22</v>
      </c>
    </row>
    <row r="33" spans="1:7">
      <c r="A33" s="356">
        <v>2</v>
      </c>
      <c r="B33" s="371" t="s">
        <v>89</v>
      </c>
      <c r="C33" s="372">
        <v>1</v>
      </c>
      <c r="D33" s="372">
        <v>1</v>
      </c>
      <c r="E33" s="373">
        <v>2</v>
      </c>
      <c r="F33" s="374">
        <v>12</v>
      </c>
      <c r="G33" s="375">
        <f t="shared" ref="G33:G48" si="2">F33*E33</f>
        <v>24</v>
      </c>
    </row>
    <row r="34" spans="1:7">
      <c r="A34" s="356">
        <v>3</v>
      </c>
      <c r="B34" s="371" t="s">
        <v>90</v>
      </c>
      <c r="C34" s="372">
        <v>1</v>
      </c>
      <c r="D34" s="372">
        <v>1</v>
      </c>
      <c r="E34" s="373">
        <v>2</v>
      </c>
      <c r="F34" s="374">
        <v>3.66</v>
      </c>
      <c r="G34" s="375">
        <f t="shared" si="2"/>
        <v>7.32</v>
      </c>
    </row>
    <row r="35" spans="1:7">
      <c r="A35" s="356">
        <v>4</v>
      </c>
      <c r="B35" s="371" t="s">
        <v>91</v>
      </c>
      <c r="C35" s="372">
        <v>2</v>
      </c>
      <c r="D35" s="372">
        <v>2</v>
      </c>
      <c r="E35" s="373">
        <v>4</v>
      </c>
      <c r="F35" s="374">
        <v>6.17</v>
      </c>
      <c r="G35" s="375">
        <f t="shared" si="2"/>
        <v>24.68</v>
      </c>
    </row>
    <row r="36" spans="1:7">
      <c r="A36" s="356">
        <v>5</v>
      </c>
      <c r="B36" s="371" t="s">
        <v>92</v>
      </c>
      <c r="C36" s="372">
        <v>1</v>
      </c>
      <c r="D36" s="372">
        <v>1</v>
      </c>
      <c r="E36" s="373">
        <v>2</v>
      </c>
      <c r="F36" s="374">
        <v>4.33</v>
      </c>
      <c r="G36" s="375">
        <f t="shared" si="2"/>
        <v>8.66</v>
      </c>
    </row>
    <row r="37" ht="30" spans="1:7">
      <c r="A37" s="356">
        <v>6</v>
      </c>
      <c r="B37" s="358" t="s">
        <v>93</v>
      </c>
      <c r="C37" s="376">
        <v>1</v>
      </c>
      <c r="D37" s="376">
        <v>1</v>
      </c>
      <c r="E37" s="373">
        <v>2</v>
      </c>
      <c r="F37" s="374">
        <v>11.57</v>
      </c>
      <c r="G37" s="375">
        <f t="shared" si="2"/>
        <v>23.14</v>
      </c>
    </row>
    <row r="38" spans="1:7">
      <c r="A38" s="356">
        <v>7</v>
      </c>
      <c r="B38" s="358" t="s">
        <v>94</v>
      </c>
      <c r="C38" s="376">
        <v>1</v>
      </c>
      <c r="D38" s="376">
        <v>1</v>
      </c>
      <c r="E38" s="373">
        <v>2</v>
      </c>
      <c r="F38" s="374">
        <v>31.82</v>
      </c>
      <c r="G38" s="375">
        <f t="shared" si="2"/>
        <v>63.64</v>
      </c>
    </row>
    <row r="39" ht="30" spans="1:7">
      <c r="A39" s="356">
        <v>8</v>
      </c>
      <c r="B39" s="358" t="s">
        <v>95</v>
      </c>
      <c r="C39" s="376">
        <v>2</v>
      </c>
      <c r="D39" s="376">
        <v>1</v>
      </c>
      <c r="E39" s="373">
        <v>3</v>
      </c>
      <c r="F39" s="374">
        <v>6.52</v>
      </c>
      <c r="G39" s="375">
        <f t="shared" si="2"/>
        <v>19.56</v>
      </c>
    </row>
    <row r="40" spans="1:7">
      <c r="A40" s="356">
        <v>9</v>
      </c>
      <c r="B40" s="358" t="s">
        <v>96</v>
      </c>
      <c r="C40" s="376">
        <v>2</v>
      </c>
      <c r="D40" s="376">
        <v>1</v>
      </c>
      <c r="E40" s="373">
        <v>3</v>
      </c>
      <c r="F40" s="374">
        <v>6.32</v>
      </c>
      <c r="G40" s="375">
        <f t="shared" si="2"/>
        <v>18.96</v>
      </c>
    </row>
    <row r="41" spans="1:7">
      <c r="A41" s="356">
        <v>10</v>
      </c>
      <c r="B41" s="358" t="s">
        <v>97</v>
      </c>
      <c r="C41" s="376">
        <v>1</v>
      </c>
      <c r="D41" s="376">
        <v>1</v>
      </c>
      <c r="E41" s="373">
        <v>2</v>
      </c>
      <c r="F41" s="374">
        <v>13.2</v>
      </c>
      <c r="G41" s="375">
        <f t="shared" si="2"/>
        <v>26.4</v>
      </c>
    </row>
    <row r="42" spans="1:7">
      <c r="A42" s="356">
        <v>11</v>
      </c>
      <c r="B42" s="358" t="s">
        <v>98</v>
      </c>
      <c r="C42" s="376">
        <v>2</v>
      </c>
      <c r="D42" s="376">
        <v>1</v>
      </c>
      <c r="E42" s="373">
        <v>3</v>
      </c>
      <c r="F42" s="374">
        <v>9.8</v>
      </c>
      <c r="G42" s="375">
        <f t="shared" si="2"/>
        <v>29.4</v>
      </c>
    </row>
    <row r="43" spans="1:7">
      <c r="A43" s="356">
        <v>12</v>
      </c>
      <c r="B43" s="358" t="s">
        <v>99</v>
      </c>
      <c r="C43" s="376">
        <v>1</v>
      </c>
      <c r="D43" s="376">
        <v>1</v>
      </c>
      <c r="E43" s="373">
        <v>2</v>
      </c>
      <c r="F43" s="374">
        <v>20.92</v>
      </c>
      <c r="G43" s="375">
        <f t="shared" si="2"/>
        <v>41.84</v>
      </c>
    </row>
    <row r="44" spans="1:7">
      <c r="A44" s="356">
        <v>13</v>
      </c>
      <c r="B44" s="358" t="s">
        <v>100</v>
      </c>
      <c r="C44" s="376">
        <v>1</v>
      </c>
      <c r="D44" s="376">
        <v>0</v>
      </c>
      <c r="E44" s="373">
        <v>1</v>
      </c>
      <c r="F44" s="374">
        <v>88.51</v>
      </c>
      <c r="G44" s="375">
        <f t="shared" si="2"/>
        <v>88.51</v>
      </c>
    </row>
    <row r="45" ht="30" spans="1:7">
      <c r="A45" s="356">
        <v>14</v>
      </c>
      <c r="B45" s="358" t="s">
        <v>101</v>
      </c>
      <c r="C45" s="376">
        <v>1</v>
      </c>
      <c r="D45" s="376">
        <v>1</v>
      </c>
      <c r="E45" s="373">
        <v>2</v>
      </c>
      <c r="F45" s="374">
        <v>37.07</v>
      </c>
      <c r="G45" s="375">
        <f t="shared" si="2"/>
        <v>74.14</v>
      </c>
    </row>
    <row r="46" ht="30" spans="1:7">
      <c r="A46" s="356">
        <v>15</v>
      </c>
      <c r="B46" s="358" t="s">
        <v>102</v>
      </c>
      <c r="C46" s="376">
        <v>1</v>
      </c>
      <c r="D46" s="376">
        <v>1</v>
      </c>
      <c r="E46" s="373">
        <v>2</v>
      </c>
      <c r="F46" s="374">
        <v>168.53</v>
      </c>
      <c r="G46" s="375">
        <f t="shared" si="2"/>
        <v>337.06</v>
      </c>
    </row>
    <row r="47" spans="1:7">
      <c r="A47" s="356">
        <v>16</v>
      </c>
      <c r="B47" s="358" t="s">
        <v>103</v>
      </c>
      <c r="C47" s="376">
        <v>1</v>
      </c>
      <c r="D47" s="376">
        <v>1</v>
      </c>
      <c r="E47" s="373">
        <v>2</v>
      </c>
      <c r="F47" s="374">
        <v>229.2</v>
      </c>
      <c r="G47" s="375">
        <f t="shared" si="2"/>
        <v>458.4</v>
      </c>
    </row>
    <row r="48" spans="1:7">
      <c r="A48" s="356">
        <v>17</v>
      </c>
      <c r="B48" s="358" t="s">
        <v>104</v>
      </c>
      <c r="C48" s="376">
        <v>1</v>
      </c>
      <c r="D48" s="376">
        <v>1</v>
      </c>
      <c r="E48" s="373">
        <v>2</v>
      </c>
      <c r="F48" s="374">
        <v>125.78</v>
      </c>
      <c r="G48" s="375">
        <f t="shared" si="2"/>
        <v>251.56</v>
      </c>
    </row>
    <row r="49" spans="1:7">
      <c r="A49" s="377" t="s">
        <v>67</v>
      </c>
      <c r="B49" s="349"/>
      <c r="C49" s="349"/>
      <c r="D49" s="349"/>
      <c r="E49" s="349"/>
      <c r="F49" s="349"/>
      <c r="G49" s="378">
        <f>SUM(G32:G48)</f>
        <v>1601.49</v>
      </c>
    </row>
    <row r="50" spans="1:7">
      <c r="A50" s="377" t="s">
        <v>105</v>
      </c>
      <c r="B50" s="349"/>
      <c r="C50" s="349"/>
      <c r="D50" s="349"/>
      <c r="E50" s="349"/>
      <c r="F50" s="349"/>
      <c r="G50" s="378">
        <f>G49/12</f>
        <v>133.4575</v>
      </c>
    </row>
    <row r="51" ht="15.75" spans="1:7">
      <c r="A51" s="379" t="s">
        <v>106</v>
      </c>
      <c r="B51" s="380"/>
      <c r="C51" s="380"/>
      <c r="D51" s="380"/>
      <c r="E51" s="380"/>
      <c r="F51" s="380"/>
      <c r="G51" s="381">
        <f>G50+F29</f>
        <v>175.8275</v>
      </c>
    </row>
    <row r="53" spans="1:6">
      <c r="A53" s="394" t="s">
        <v>107</v>
      </c>
      <c r="B53" s="395"/>
      <c r="C53" s="395"/>
      <c r="D53" s="395"/>
      <c r="E53" s="395"/>
      <c r="F53" s="396"/>
    </row>
    <row r="54" spans="1:6">
      <c r="A54" s="397" t="s">
        <v>108</v>
      </c>
      <c r="B54" s="385" t="s">
        <v>109</v>
      </c>
      <c r="C54" s="385" t="s">
        <v>110</v>
      </c>
      <c r="D54" s="385" t="s">
        <v>111</v>
      </c>
      <c r="E54" s="398" t="s">
        <v>112</v>
      </c>
      <c r="F54" s="399" t="s">
        <v>113</v>
      </c>
    </row>
    <row r="55" ht="38.25" customHeight="1" spans="1:6">
      <c r="A55" s="397"/>
      <c r="B55" s="385"/>
      <c r="C55" s="385"/>
      <c r="D55" s="385"/>
      <c r="E55" s="398"/>
      <c r="F55" s="399"/>
    </row>
    <row r="56" spans="1:6">
      <c r="A56" s="400">
        <v>2</v>
      </c>
      <c r="B56" s="387">
        <v>13.5</v>
      </c>
      <c r="C56" s="401">
        <v>1000</v>
      </c>
      <c r="D56" s="402">
        <v>5.78</v>
      </c>
      <c r="E56" s="403">
        <f>1000/B56</f>
        <v>74.0740740740741</v>
      </c>
      <c r="F56" s="404">
        <f>E56*D56</f>
        <v>428.148148148148</v>
      </c>
    </row>
    <row r="57" spans="1:6">
      <c r="A57" s="405"/>
      <c r="B57" s="406"/>
      <c r="C57" s="407"/>
      <c r="D57" s="407"/>
      <c r="E57" s="407"/>
      <c r="F57" s="408"/>
    </row>
    <row r="58" spans="1:6">
      <c r="A58" s="409" t="s">
        <v>114</v>
      </c>
      <c r="B58" s="6"/>
      <c r="C58" s="6"/>
      <c r="D58" s="6"/>
      <c r="E58" s="410" t="s">
        <v>115</v>
      </c>
      <c r="F58" s="411" t="s">
        <v>116</v>
      </c>
    </row>
    <row r="59" ht="30" customHeight="1" spans="1:6">
      <c r="A59" s="409"/>
      <c r="B59" s="6"/>
      <c r="C59" s="6"/>
      <c r="D59" s="6"/>
      <c r="E59" s="412">
        <f>F56</f>
        <v>428.148148148148</v>
      </c>
      <c r="F59" s="413">
        <f>E59*12</f>
        <v>5137.77777777778</v>
      </c>
    </row>
    <row r="60" spans="1:6">
      <c r="A60" s="414" t="s">
        <v>117</v>
      </c>
      <c r="B60" s="414"/>
      <c r="C60" s="414"/>
      <c r="D60" s="414"/>
      <c r="E60" s="412">
        <f>E59</f>
        <v>428.148148148148</v>
      </c>
      <c r="F60" s="413">
        <f>E60*12</f>
        <v>5137.77777777778</v>
      </c>
    </row>
    <row r="61" ht="45" customHeight="1" spans="1:6">
      <c r="A61" s="415" t="s">
        <v>118</v>
      </c>
      <c r="B61" s="416"/>
      <c r="C61" s="416"/>
      <c r="D61" s="416"/>
      <c r="E61" s="416"/>
      <c r="F61" s="417"/>
    </row>
    <row r="63" spans="1:6">
      <c r="A63" s="382" t="s">
        <v>119</v>
      </c>
      <c r="B63" s="382"/>
      <c r="C63" s="382"/>
      <c r="D63" s="382"/>
      <c r="E63" s="382"/>
      <c r="F63" s="383"/>
    </row>
    <row r="64" spans="1:5">
      <c r="A64" s="384" t="s">
        <v>108</v>
      </c>
      <c r="B64" s="385" t="s">
        <v>82</v>
      </c>
      <c r="C64" s="385" t="s">
        <v>120</v>
      </c>
      <c r="D64" s="385" t="s">
        <v>121</v>
      </c>
      <c r="E64" s="385" t="s">
        <v>113</v>
      </c>
    </row>
    <row r="65" ht="24" customHeight="1" spans="1:5">
      <c r="A65" s="384"/>
      <c r="B65" s="385"/>
      <c r="C65" s="385"/>
      <c r="D65" s="385"/>
      <c r="E65" s="385"/>
    </row>
    <row r="66" spans="1:5">
      <c r="A66" s="386">
        <v>3</v>
      </c>
      <c r="B66" s="387" t="s">
        <v>122</v>
      </c>
      <c r="C66" s="388">
        <v>4</v>
      </c>
      <c r="D66" s="389">
        <v>827.77</v>
      </c>
      <c r="E66" s="389">
        <f>C66*D66</f>
        <v>3311.08</v>
      </c>
    </row>
    <row r="67" spans="1:5">
      <c r="A67" s="390">
        <v>4</v>
      </c>
      <c r="B67" s="387" t="s">
        <v>123</v>
      </c>
      <c r="C67" s="391">
        <v>5</v>
      </c>
      <c r="D67" s="389">
        <v>1023.73</v>
      </c>
      <c r="E67" s="389">
        <f>C67*D67</f>
        <v>5118.65</v>
      </c>
    </row>
    <row r="68" spans="1:5">
      <c r="A68" s="390">
        <v>5</v>
      </c>
      <c r="B68" s="387" t="s">
        <v>124</v>
      </c>
      <c r="C68" s="391">
        <v>10</v>
      </c>
      <c r="D68" s="389">
        <v>650</v>
      </c>
      <c r="E68" s="389">
        <f>C68*D68</f>
        <v>6500</v>
      </c>
    </row>
    <row r="69" spans="1:5">
      <c r="A69" s="392"/>
      <c r="B69" s="392"/>
      <c r="C69" s="392"/>
      <c r="D69" s="392"/>
      <c r="E69" s="393">
        <f>SUM(E66:E68)</f>
        <v>14929.73</v>
      </c>
    </row>
  </sheetData>
  <mergeCells count="45">
    <mergeCell ref="A1:G1"/>
    <mergeCell ref="A2:G2"/>
    <mergeCell ref="A4:G4"/>
    <mergeCell ref="A5:G5"/>
    <mergeCell ref="A6:G6"/>
    <mergeCell ref="A7:G7"/>
    <mergeCell ref="E8:F8"/>
    <mergeCell ref="A16:E16"/>
    <mergeCell ref="A17:E17"/>
    <mergeCell ref="A19:G19"/>
    <mergeCell ref="E20:F20"/>
    <mergeCell ref="A28:E28"/>
    <mergeCell ref="A29:E29"/>
    <mergeCell ref="A30:G30"/>
    <mergeCell ref="A49:F49"/>
    <mergeCell ref="A50:F50"/>
    <mergeCell ref="A51:F51"/>
    <mergeCell ref="A53:F53"/>
    <mergeCell ref="A60:D60"/>
    <mergeCell ref="A61:F61"/>
    <mergeCell ref="A63:E63"/>
    <mergeCell ref="A8:A9"/>
    <mergeCell ref="A20:A21"/>
    <mergeCell ref="A54:A55"/>
    <mergeCell ref="A64:A65"/>
    <mergeCell ref="B8:B9"/>
    <mergeCell ref="B20:B21"/>
    <mergeCell ref="B54:B55"/>
    <mergeCell ref="B64:B65"/>
    <mergeCell ref="C8:C9"/>
    <mergeCell ref="C20:C21"/>
    <mergeCell ref="C54:C55"/>
    <mergeCell ref="C64:C65"/>
    <mergeCell ref="D8:D9"/>
    <mergeCell ref="D20:D21"/>
    <mergeCell ref="D54:D55"/>
    <mergeCell ref="D64:D65"/>
    <mergeCell ref="E54:E55"/>
    <mergeCell ref="E64:E65"/>
    <mergeCell ref="F54:F55"/>
    <mergeCell ref="G8:G9"/>
    <mergeCell ref="G10:G15"/>
    <mergeCell ref="G20:G21"/>
    <mergeCell ref="G22:G27"/>
    <mergeCell ref="A58:D59"/>
  </mergeCells>
  <pageMargins left="0.511805555555556" right="0.511805555555556" top="0.786805555555556" bottom="0.786805555555556" header="0.314583333333333" footer="0.314583333333333"/>
  <pageSetup paperSize="9" scale="80" orientation="portrait" horizontalDpi="600"/>
  <headerFooter>
    <oddHeader>&amp;L&amp;G&amp;CProcesso 23069.151449/2025-11
PE 90.018/2025</oddHeader>
    <oddFooter>&amp;L&amp;"-,Itálico"&amp;9&amp;A&amp;R&amp;"-,Itálico"&amp;9Página &amp;P de &amp;N</oddFooter>
  </headerFooter>
  <drawing r:id="rId1"/>
  <legacyDrawingHF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
  <sheetViews>
    <sheetView view="pageLayout" zoomScaleNormal="100" workbookViewId="0">
      <selection activeCell="I30" sqref="I30"/>
    </sheetView>
  </sheetViews>
  <sheetFormatPr defaultColWidth="8.85714285714286" defaultRowHeight="15" outlineLevelCol="7"/>
  <cols>
    <col min="1" max="1" width="5.28571428571429" style="335" customWidth="1"/>
    <col min="2" max="2" width="46.8571428571429" style="335" customWidth="1"/>
    <col min="3" max="3" width="9.85714285714286" style="335" customWidth="1"/>
    <col min="4" max="4" width="11.7142857142857" style="335" customWidth="1"/>
    <col min="5" max="6" width="14.1428571428571" style="335" customWidth="1"/>
    <col min="7" max="7" width="12.1428571428571" style="335" customWidth="1"/>
    <col min="8" max="8" width="12.5714285714286" style="335" customWidth="1"/>
    <col min="9" max="16384" width="8.85714285714286" style="335"/>
  </cols>
  <sheetData>
    <row r="1" ht="18.75" customHeight="1" spans="1:8">
      <c r="A1" s="336" t="s">
        <v>0</v>
      </c>
      <c r="B1" s="336"/>
      <c r="C1" s="336"/>
      <c r="D1" s="336"/>
      <c r="E1" s="336"/>
      <c r="F1" s="336"/>
      <c r="G1" s="336"/>
      <c r="H1" s="337"/>
    </row>
    <row r="2" spans="1:8">
      <c r="A2" s="338" t="s">
        <v>1</v>
      </c>
      <c r="B2" s="338"/>
      <c r="C2" s="338"/>
      <c r="D2" s="338"/>
      <c r="E2" s="338"/>
      <c r="F2" s="338"/>
      <c r="G2" s="338"/>
      <c r="H2" s="339"/>
    </row>
    <row r="4" customHeight="1" spans="1:8">
      <c r="A4" s="105" t="s">
        <v>125</v>
      </c>
      <c r="B4" s="105"/>
      <c r="C4" s="105"/>
      <c r="D4" s="105"/>
      <c r="E4" s="105"/>
      <c r="F4" s="105"/>
      <c r="G4" s="105"/>
      <c r="H4" s="340"/>
    </row>
    <row r="5" customHeight="1" spans="1:8">
      <c r="A5" s="105" t="s">
        <v>126</v>
      </c>
      <c r="B5" s="105"/>
      <c r="C5" s="105"/>
      <c r="D5" s="105"/>
      <c r="E5" s="105"/>
      <c r="F5" s="105"/>
      <c r="G5" s="105"/>
      <c r="H5" s="340"/>
    </row>
    <row r="6" ht="38.25" customHeight="1" spans="1:8">
      <c r="A6" s="106" t="s">
        <v>2</v>
      </c>
      <c r="B6" s="106"/>
      <c r="C6" s="106"/>
      <c r="D6" s="106"/>
      <c r="E6" s="106"/>
      <c r="F6" s="106"/>
      <c r="G6" s="106"/>
      <c r="H6" s="295"/>
    </row>
    <row r="7" ht="15.75" customHeight="1" spans="1:7">
      <c r="A7" s="341" t="s">
        <v>42</v>
      </c>
      <c r="B7" s="342"/>
      <c r="C7" s="342"/>
      <c r="D7" s="342"/>
      <c r="E7" s="342"/>
      <c r="F7" s="342"/>
      <c r="G7" s="343"/>
    </row>
    <row r="8" ht="15.75" customHeight="1" spans="1:7">
      <c r="A8" s="344" t="s">
        <v>43</v>
      </c>
      <c r="B8" s="345" t="s">
        <v>44</v>
      </c>
      <c r="C8" s="345" t="s">
        <v>45</v>
      </c>
      <c r="D8" s="345" t="s">
        <v>46</v>
      </c>
      <c r="E8" s="345" t="s">
        <v>47</v>
      </c>
      <c r="F8" s="346"/>
      <c r="G8" s="347" t="s">
        <v>48</v>
      </c>
    </row>
    <row r="9" ht="45" spans="1:7">
      <c r="A9" s="348"/>
      <c r="B9" s="346"/>
      <c r="C9" s="346"/>
      <c r="D9" s="346"/>
      <c r="E9" s="349" t="s">
        <v>49</v>
      </c>
      <c r="F9" s="345" t="s">
        <v>50</v>
      </c>
      <c r="G9" s="350"/>
    </row>
    <row r="10" ht="51.75" customHeight="1" spans="1:7">
      <c r="A10" s="351" t="s">
        <v>51</v>
      </c>
      <c r="B10" s="352" t="s">
        <v>52</v>
      </c>
      <c r="C10" s="352">
        <v>6</v>
      </c>
      <c r="D10" s="352" t="s">
        <v>53</v>
      </c>
      <c r="E10" s="353">
        <v>53.82</v>
      </c>
      <c r="F10" s="354">
        <f t="shared" ref="F10:F15" si="0">E10*C10</f>
        <v>322.92</v>
      </c>
      <c r="G10" s="355" t="s">
        <v>127</v>
      </c>
    </row>
    <row r="11" ht="30" spans="1:7">
      <c r="A11" s="356" t="s">
        <v>55</v>
      </c>
      <c r="B11" s="352" t="s">
        <v>56</v>
      </c>
      <c r="C11" s="352">
        <v>6</v>
      </c>
      <c r="D11" s="352" t="s">
        <v>57</v>
      </c>
      <c r="E11" s="353">
        <v>37.73</v>
      </c>
      <c r="F11" s="354">
        <f t="shared" si="0"/>
        <v>226.38</v>
      </c>
      <c r="G11" s="357"/>
    </row>
    <row r="12" spans="1:7">
      <c r="A12" s="351" t="s">
        <v>58</v>
      </c>
      <c r="B12" s="358" t="s">
        <v>59</v>
      </c>
      <c r="C12" s="358">
        <v>10</v>
      </c>
      <c r="D12" s="358" t="s">
        <v>60</v>
      </c>
      <c r="E12" s="359">
        <v>8.6</v>
      </c>
      <c r="F12" s="354">
        <f t="shared" si="0"/>
        <v>86</v>
      </c>
      <c r="G12" s="357"/>
    </row>
    <row r="13" ht="30" spans="1:7">
      <c r="A13" s="356" t="s">
        <v>61</v>
      </c>
      <c r="B13" s="358" t="s">
        <v>62</v>
      </c>
      <c r="C13" s="358">
        <v>2</v>
      </c>
      <c r="D13" s="358" t="s">
        <v>57</v>
      </c>
      <c r="E13" s="359">
        <v>19.05</v>
      </c>
      <c r="F13" s="354">
        <f t="shared" si="0"/>
        <v>38.1</v>
      </c>
      <c r="G13" s="357"/>
    </row>
    <row r="14" ht="30" spans="1:7">
      <c r="A14" s="351" t="s">
        <v>63</v>
      </c>
      <c r="B14" s="358" t="s">
        <v>64</v>
      </c>
      <c r="C14" s="358">
        <v>2</v>
      </c>
      <c r="D14" s="358" t="s">
        <v>60</v>
      </c>
      <c r="E14" s="359">
        <v>48.07</v>
      </c>
      <c r="F14" s="354">
        <f t="shared" si="0"/>
        <v>96.14</v>
      </c>
      <c r="G14" s="357"/>
    </row>
    <row r="15" ht="36.75" customHeight="1" spans="1:7">
      <c r="A15" s="356" t="s">
        <v>65</v>
      </c>
      <c r="B15" s="358" t="s">
        <v>66</v>
      </c>
      <c r="C15" s="358">
        <v>1</v>
      </c>
      <c r="D15" s="358" t="s">
        <v>57</v>
      </c>
      <c r="E15" s="359">
        <v>2.66</v>
      </c>
      <c r="F15" s="354">
        <f t="shared" si="0"/>
        <v>2.66</v>
      </c>
      <c r="G15" s="357"/>
    </row>
    <row r="16" spans="1:7">
      <c r="A16" s="360" t="s">
        <v>67</v>
      </c>
      <c r="B16" s="361"/>
      <c r="C16" s="361"/>
      <c r="D16" s="361"/>
      <c r="E16" s="361"/>
      <c r="F16" s="362">
        <f>SUM(F10:F15)</f>
        <v>772.2</v>
      </c>
      <c r="G16" s="363"/>
    </row>
    <row r="17" spans="1:7">
      <c r="A17" s="360" t="s">
        <v>68</v>
      </c>
      <c r="B17" s="361"/>
      <c r="C17" s="361"/>
      <c r="D17" s="361"/>
      <c r="E17" s="361"/>
      <c r="F17" s="364">
        <f>F16/12</f>
        <v>64.35</v>
      </c>
      <c r="G17" s="365"/>
    </row>
    <row r="18" ht="15.75"/>
    <row r="19" ht="15.75" customHeight="1" spans="1:7">
      <c r="A19" s="341" t="s">
        <v>69</v>
      </c>
      <c r="B19" s="342"/>
      <c r="C19" s="342"/>
      <c r="D19" s="342"/>
      <c r="E19" s="342"/>
      <c r="F19" s="342"/>
      <c r="G19" s="343"/>
    </row>
    <row r="20" ht="15.75" customHeight="1" spans="1:7">
      <c r="A20" s="344" t="s">
        <v>43</v>
      </c>
      <c r="B20" s="345" t="s">
        <v>44</v>
      </c>
      <c r="C20" s="345" t="s">
        <v>45</v>
      </c>
      <c r="D20" s="345" t="s">
        <v>46</v>
      </c>
      <c r="E20" s="345" t="s">
        <v>47</v>
      </c>
      <c r="F20" s="346"/>
      <c r="G20" s="347" t="s">
        <v>48</v>
      </c>
    </row>
    <row r="21" ht="45" spans="1:7">
      <c r="A21" s="348"/>
      <c r="B21" s="346"/>
      <c r="C21" s="346"/>
      <c r="D21" s="346"/>
      <c r="E21" s="349" t="s">
        <v>49</v>
      </c>
      <c r="F21" s="345" t="s">
        <v>50</v>
      </c>
      <c r="G21" s="350"/>
    </row>
    <row r="22" ht="51.75" customHeight="1" spans="1:7">
      <c r="A22" s="351" t="s">
        <v>70</v>
      </c>
      <c r="B22" s="358" t="s">
        <v>71</v>
      </c>
      <c r="C22" s="358">
        <v>6</v>
      </c>
      <c r="D22" s="358" t="s">
        <v>57</v>
      </c>
      <c r="E22" s="359">
        <v>45.33</v>
      </c>
      <c r="F22" s="354">
        <f t="shared" ref="F22:F27" si="1">E22*C22</f>
        <v>271.98</v>
      </c>
      <c r="G22" s="355" t="s">
        <v>72</v>
      </c>
    </row>
    <row r="23" ht="45" spans="1:7">
      <c r="A23" s="356" t="s">
        <v>73</v>
      </c>
      <c r="B23" s="358" t="s">
        <v>74</v>
      </c>
      <c r="C23" s="358">
        <v>6</v>
      </c>
      <c r="D23" s="358" t="s">
        <v>57</v>
      </c>
      <c r="E23" s="359">
        <v>7.77</v>
      </c>
      <c r="F23" s="354">
        <f t="shared" si="1"/>
        <v>46.62</v>
      </c>
      <c r="G23" s="357"/>
    </row>
    <row r="24" spans="1:7">
      <c r="A24" s="351" t="s">
        <v>75</v>
      </c>
      <c r="B24" s="358" t="s">
        <v>59</v>
      </c>
      <c r="C24" s="358">
        <v>10</v>
      </c>
      <c r="D24" s="358" t="s">
        <v>60</v>
      </c>
      <c r="E24" s="359">
        <v>8.6</v>
      </c>
      <c r="F24" s="354">
        <f t="shared" si="1"/>
        <v>86</v>
      </c>
      <c r="G24" s="357"/>
    </row>
    <row r="25" ht="30" spans="1:7">
      <c r="A25" s="356" t="s">
        <v>76</v>
      </c>
      <c r="B25" s="358" t="s">
        <v>62</v>
      </c>
      <c r="C25" s="358">
        <v>2</v>
      </c>
      <c r="D25" s="358" t="s">
        <v>57</v>
      </c>
      <c r="E25" s="359">
        <v>19.05</v>
      </c>
      <c r="F25" s="354">
        <f t="shared" si="1"/>
        <v>38.1</v>
      </c>
      <c r="G25" s="357"/>
    </row>
    <row r="26" ht="45" spans="1:7">
      <c r="A26" s="351" t="s">
        <v>77</v>
      </c>
      <c r="B26" s="358" t="s">
        <v>78</v>
      </c>
      <c r="C26" s="358">
        <v>4</v>
      </c>
      <c r="D26" s="358" t="s">
        <v>57</v>
      </c>
      <c r="E26" s="359">
        <v>15.77</v>
      </c>
      <c r="F26" s="354">
        <f t="shared" si="1"/>
        <v>63.08</v>
      </c>
      <c r="G26" s="357"/>
    </row>
    <row r="27" spans="1:7">
      <c r="A27" s="356" t="s">
        <v>79</v>
      </c>
      <c r="B27" s="358" t="s">
        <v>66</v>
      </c>
      <c r="C27" s="358">
        <v>1</v>
      </c>
      <c r="D27" s="358" t="s">
        <v>57</v>
      </c>
      <c r="E27" s="359">
        <v>2.66</v>
      </c>
      <c r="F27" s="354">
        <f t="shared" si="1"/>
        <v>2.66</v>
      </c>
      <c r="G27" s="357"/>
    </row>
    <row r="28" spans="1:7">
      <c r="A28" s="360" t="s">
        <v>67</v>
      </c>
      <c r="B28" s="361"/>
      <c r="C28" s="361"/>
      <c r="D28" s="361"/>
      <c r="E28" s="361"/>
      <c r="F28" s="362">
        <f>SUM(F22:F27)</f>
        <v>508.44</v>
      </c>
      <c r="G28" s="363"/>
    </row>
    <row r="29" spans="1:7">
      <c r="A29" s="360" t="s">
        <v>68</v>
      </c>
      <c r="B29" s="361"/>
      <c r="C29" s="361"/>
      <c r="D29" s="361"/>
      <c r="E29" s="361"/>
      <c r="F29" s="364">
        <f>F28/12</f>
        <v>42.37</v>
      </c>
      <c r="G29" s="365"/>
    </row>
    <row r="30" ht="15.75" customHeight="1" spans="1:7">
      <c r="A30" s="366" t="s">
        <v>80</v>
      </c>
      <c r="B30" s="367"/>
      <c r="C30" s="367"/>
      <c r="D30" s="367"/>
      <c r="E30" s="367"/>
      <c r="F30" s="367"/>
      <c r="G30" s="368"/>
    </row>
    <row r="31" ht="45" spans="1:7">
      <c r="A31" s="344" t="s">
        <v>81</v>
      </c>
      <c r="B31" s="345" t="s">
        <v>82</v>
      </c>
      <c r="C31" s="369" t="s">
        <v>83</v>
      </c>
      <c r="D31" s="369" t="s">
        <v>84</v>
      </c>
      <c r="E31" s="345" t="s">
        <v>85</v>
      </c>
      <c r="F31" s="345" t="s">
        <v>86</v>
      </c>
      <c r="G31" s="370" t="s">
        <v>87</v>
      </c>
    </row>
    <row r="32" ht="75" spans="1:7">
      <c r="A32" s="356">
        <v>1</v>
      </c>
      <c r="B32" s="371" t="s">
        <v>88</v>
      </c>
      <c r="C32" s="372">
        <v>1</v>
      </c>
      <c r="D32" s="372">
        <v>1</v>
      </c>
      <c r="E32" s="373">
        <v>2</v>
      </c>
      <c r="F32" s="374">
        <v>52.11</v>
      </c>
      <c r="G32" s="375">
        <f>F32*E32</f>
        <v>104.22</v>
      </c>
    </row>
    <row r="33" spans="1:7">
      <c r="A33" s="356">
        <v>2</v>
      </c>
      <c r="B33" s="371" t="s">
        <v>89</v>
      </c>
      <c r="C33" s="372">
        <v>1</v>
      </c>
      <c r="D33" s="372">
        <v>1</v>
      </c>
      <c r="E33" s="373">
        <v>2</v>
      </c>
      <c r="F33" s="374">
        <v>12</v>
      </c>
      <c r="G33" s="375">
        <f t="shared" ref="G33:G48" si="2">F33*E33</f>
        <v>24</v>
      </c>
    </row>
    <row r="34" spans="1:7">
      <c r="A34" s="356">
        <v>3</v>
      </c>
      <c r="B34" s="371" t="s">
        <v>90</v>
      </c>
      <c r="C34" s="372">
        <v>1</v>
      </c>
      <c r="D34" s="372">
        <v>1</v>
      </c>
      <c r="E34" s="373">
        <v>2</v>
      </c>
      <c r="F34" s="374">
        <v>3.66</v>
      </c>
      <c r="G34" s="375">
        <f t="shared" si="2"/>
        <v>7.32</v>
      </c>
    </row>
    <row r="35" spans="1:7">
      <c r="A35" s="356">
        <v>4</v>
      </c>
      <c r="B35" s="371" t="s">
        <v>91</v>
      </c>
      <c r="C35" s="372">
        <v>2</v>
      </c>
      <c r="D35" s="372">
        <v>2</v>
      </c>
      <c r="E35" s="373">
        <v>4</v>
      </c>
      <c r="F35" s="374">
        <v>6.17</v>
      </c>
      <c r="G35" s="375">
        <f t="shared" si="2"/>
        <v>24.68</v>
      </c>
    </row>
    <row r="36" spans="1:7">
      <c r="A36" s="356">
        <v>5</v>
      </c>
      <c r="B36" s="371" t="s">
        <v>92</v>
      </c>
      <c r="C36" s="372">
        <v>1</v>
      </c>
      <c r="D36" s="372">
        <v>1</v>
      </c>
      <c r="E36" s="373">
        <v>2</v>
      </c>
      <c r="F36" s="374">
        <v>4.33</v>
      </c>
      <c r="G36" s="375">
        <f t="shared" si="2"/>
        <v>8.66</v>
      </c>
    </row>
    <row r="37" ht="30" spans="1:7">
      <c r="A37" s="356">
        <v>6</v>
      </c>
      <c r="B37" s="358" t="s">
        <v>93</v>
      </c>
      <c r="C37" s="376">
        <v>1</v>
      </c>
      <c r="D37" s="376">
        <v>1</v>
      </c>
      <c r="E37" s="373">
        <v>2</v>
      </c>
      <c r="F37" s="374">
        <v>11.57</v>
      </c>
      <c r="G37" s="375">
        <f t="shared" si="2"/>
        <v>23.14</v>
      </c>
    </row>
    <row r="38" spans="1:7">
      <c r="A38" s="356">
        <v>7</v>
      </c>
      <c r="B38" s="358" t="s">
        <v>94</v>
      </c>
      <c r="C38" s="376">
        <v>1</v>
      </c>
      <c r="D38" s="376">
        <v>1</v>
      </c>
      <c r="E38" s="373">
        <v>2</v>
      </c>
      <c r="F38" s="374">
        <v>31.82</v>
      </c>
      <c r="G38" s="375">
        <f t="shared" si="2"/>
        <v>63.64</v>
      </c>
    </row>
    <row r="39" ht="30" spans="1:7">
      <c r="A39" s="356">
        <v>8</v>
      </c>
      <c r="B39" s="358" t="s">
        <v>95</v>
      </c>
      <c r="C39" s="376">
        <v>2</v>
      </c>
      <c r="D39" s="376">
        <v>1</v>
      </c>
      <c r="E39" s="373">
        <v>3</v>
      </c>
      <c r="F39" s="374">
        <v>6.52</v>
      </c>
      <c r="G39" s="375">
        <f t="shared" si="2"/>
        <v>19.56</v>
      </c>
    </row>
    <row r="40" spans="1:7">
      <c r="A40" s="356">
        <v>9</v>
      </c>
      <c r="B40" s="358" t="s">
        <v>96</v>
      </c>
      <c r="C40" s="376">
        <v>2</v>
      </c>
      <c r="D40" s="376">
        <v>1</v>
      </c>
      <c r="E40" s="373">
        <v>3</v>
      </c>
      <c r="F40" s="374">
        <v>6.32</v>
      </c>
      <c r="G40" s="375">
        <f t="shared" si="2"/>
        <v>18.96</v>
      </c>
    </row>
    <row r="41" spans="1:7">
      <c r="A41" s="356">
        <v>10</v>
      </c>
      <c r="B41" s="358" t="s">
        <v>97</v>
      </c>
      <c r="C41" s="376">
        <v>1</v>
      </c>
      <c r="D41" s="376">
        <v>1</v>
      </c>
      <c r="E41" s="373">
        <v>2</v>
      </c>
      <c r="F41" s="374">
        <v>13.2</v>
      </c>
      <c r="G41" s="375">
        <f t="shared" si="2"/>
        <v>26.4</v>
      </c>
    </row>
    <row r="42" spans="1:7">
      <c r="A42" s="356">
        <v>11</v>
      </c>
      <c r="B42" s="358" t="s">
        <v>98</v>
      </c>
      <c r="C42" s="376">
        <v>2</v>
      </c>
      <c r="D42" s="376">
        <v>1</v>
      </c>
      <c r="E42" s="373">
        <v>3</v>
      </c>
      <c r="F42" s="374">
        <v>9.8</v>
      </c>
      <c r="G42" s="375">
        <f t="shared" si="2"/>
        <v>29.4</v>
      </c>
    </row>
    <row r="43" spans="1:7">
      <c r="A43" s="356">
        <v>12</v>
      </c>
      <c r="B43" s="358" t="s">
        <v>99</v>
      </c>
      <c r="C43" s="376">
        <v>1</v>
      </c>
      <c r="D43" s="376">
        <v>1</v>
      </c>
      <c r="E43" s="373">
        <v>2</v>
      </c>
      <c r="F43" s="374">
        <v>20.92</v>
      </c>
      <c r="G43" s="375">
        <f t="shared" si="2"/>
        <v>41.84</v>
      </c>
    </row>
    <row r="44" spans="1:7">
      <c r="A44" s="356">
        <v>13</v>
      </c>
      <c r="B44" s="358" t="s">
        <v>100</v>
      </c>
      <c r="C44" s="376">
        <v>1</v>
      </c>
      <c r="D44" s="376">
        <v>0</v>
      </c>
      <c r="E44" s="373">
        <v>1</v>
      </c>
      <c r="F44" s="374">
        <v>88.51</v>
      </c>
      <c r="G44" s="375">
        <f t="shared" si="2"/>
        <v>88.51</v>
      </c>
    </row>
    <row r="45" ht="30" spans="1:7">
      <c r="A45" s="356">
        <v>14</v>
      </c>
      <c r="B45" s="358" t="s">
        <v>101</v>
      </c>
      <c r="C45" s="376">
        <v>1</v>
      </c>
      <c r="D45" s="376">
        <v>1</v>
      </c>
      <c r="E45" s="373">
        <v>2</v>
      </c>
      <c r="F45" s="374">
        <v>37.07</v>
      </c>
      <c r="G45" s="375">
        <f t="shared" si="2"/>
        <v>74.14</v>
      </c>
    </row>
    <row r="46" ht="30" spans="1:7">
      <c r="A46" s="356">
        <v>15</v>
      </c>
      <c r="B46" s="358" t="s">
        <v>102</v>
      </c>
      <c r="C46" s="376">
        <v>1</v>
      </c>
      <c r="D46" s="376">
        <v>1</v>
      </c>
      <c r="E46" s="373">
        <v>2</v>
      </c>
      <c r="F46" s="374">
        <v>168.53</v>
      </c>
      <c r="G46" s="375">
        <f t="shared" si="2"/>
        <v>337.06</v>
      </c>
    </row>
    <row r="47" spans="1:7">
      <c r="A47" s="356">
        <v>16</v>
      </c>
      <c r="B47" s="358" t="s">
        <v>103</v>
      </c>
      <c r="C47" s="376">
        <v>1</v>
      </c>
      <c r="D47" s="376">
        <v>1</v>
      </c>
      <c r="E47" s="373">
        <v>2</v>
      </c>
      <c r="F47" s="374">
        <v>229.2</v>
      </c>
      <c r="G47" s="375">
        <f t="shared" si="2"/>
        <v>458.4</v>
      </c>
    </row>
    <row r="48" spans="1:7">
      <c r="A48" s="356">
        <v>17</v>
      </c>
      <c r="B48" s="358" t="s">
        <v>104</v>
      </c>
      <c r="C48" s="376">
        <v>1</v>
      </c>
      <c r="D48" s="376">
        <v>1</v>
      </c>
      <c r="E48" s="373">
        <v>2</v>
      </c>
      <c r="F48" s="374">
        <v>125.78</v>
      </c>
      <c r="G48" s="375">
        <f t="shared" si="2"/>
        <v>251.56</v>
      </c>
    </row>
    <row r="49" spans="1:7">
      <c r="A49" s="377" t="s">
        <v>67</v>
      </c>
      <c r="B49" s="349"/>
      <c r="C49" s="349"/>
      <c r="D49" s="349"/>
      <c r="E49" s="349"/>
      <c r="F49" s="349"/>
      <c r="G49" s="378">
        <f>SUM(G32:G48)</f>
        <v>1601.49</v>
      </c>
    </row>
    <row r="50" spans="1:7">
      <c r="A50" s="377" t="s">
        <v>105</v>
      </c>
      <c r="B50" s="349"/>
      <c r="C50" s="349"/>
      <c r="D50" s="349"/>
      <c r="E50" s="349"/>
      <c r="F50" s="349"/>
      <c r="G50" s="378">
        <f>G49/12</f>
        <v>133.4575</v>
      </c>
    </row>
    <row r="51" ht="15.75" spans="1:7">
      <c r="A51" s="379" t="s">
        <v>106</v>
      </c>
      <c r="B51" s="380"/>
      <c r="C51" s="380"/>
      <c r="D51" s="380"/>
      <c r="E51" s="380"/>
      <c r="F51" s="380"/>
      <c r="G51" s="381">
        <f>G50+F29</f>
        <v>175.8275</v>
      </c>
    </row>
    <row r="54" spans="1:6">
      <c r="A54" s="382" t="s">
        <v>119</v>
      </c>
      <c r="B54" s="382"/>
      <c r="C54" s="382"/>
      <c r="D54" s="382"/>
      <c r="E54" s="382"/>
      <c r="F54" s="383"/>
    </row>
    <row r="55" spans="1:5">
      <c r="A55" s="384" t="s">
        <v>108</v>
      </c>
      <c r="B55" s="385" t="s">
        <v>82</v>
      </c>
      <c r="C55" s="385" t="s">
        <v>120</v>
      </c>
      <c r="D55" s="385" t="s">
        <v>121</v>
      </c>
      <c r="E55" s="385" t="s">
        <v>113</v>
      </c>
    </row>
    <row r="56" ht="24" customHeight="1" spans="1:5">
      <c r="A56" s="384"/>
      <c r="B56" s="385"/>
      <c r="C56" s="385"/>
      <c r="D56" s="385"/>
      <c r="E56" s="385"/>
    </row>
    <row r="57" spans="1:5">
      <c r="A57" s="386">
        <v>3</v>
      </c>
      <c r="B57" s="387" t="s">
        <v>122</v>
      </c>
      <c r="C57" s="388">
        <v>2</v>
      </c>
      <c r="D57" s="389">
        <v>827.77</v>
      </c>
      <c r="E57" s="389">
        <f>C57*D57</f>
        <v>1655.54</v>
      </c>
    </row>
    <row r="58" spans="1:5">
      <c r="A58" s="390">
        <v>4</v>
      </c>
      <c r="B58" s="387" t="s">
        <v>123</v>
      </c>
      <c r="C58" s="391">
        <v>2</v>
      </c>
      <c r="D58" s="389">
        <v>1023.73</v>
      </c>
      <c r="E58" s="389">
        <f>C58*D58</f>
        <v>2047.46</v>
      </c>
    </row>
    <row r="59" spans="1:5">
      <c r="A59" s="390">
        <v>5</v>
      </c>
      <c r="B59" s="387" t="s">
        <v>124</v>
      </c>
      <c r="C59" s="391">
        <v>2</v>
      </c>
      <c r="D59" s="389">
        <v>650</v>
      </c>
      <c r="E59" s="389">
        <f>C59*D59</f>
        <v>1300</v>
      </c>
    </row>
    <row r="60" spans="1:5">
      <c r="A60" s="392"/>
      <c r="B60" s="392"/>
      <c r="C60" s="392"/>
      <c r="D60" s="392"/>
      <c r="E60" s="393">
        <f>SUM(E57:E59)</f>
        <v>5003</v>
      </c>
    </row>
  </sheetData>
  <mergeCells count="35">
    <mergeCell ref="A1:G1"/>
    <mergeCell ref="A2:G2"/>
    <mergeCell ref="A4:G4"/>
    <mergeCell ref="A5:G5"/>
    <mergeCell ref="A6:G6"/>
    <mergeCell ref="A7:G7"/>
    <mergeCell ref="E8:F8"/>
    <mergeCell ref="A16:E16"/>
    <mergeCell ref="A17:E17"/>
    <mergeCell ref="A19:G19"/>
    <mergeCell ref="E20:F20"/>
    <mergeCell ref="A28:E28"/>
    <mergeCell ref="A29:E29"/>
    <mergeCell ref="A30:G30"/>
    <mergeCell ref="A49:F49"/>
    <mergeCell ref="A50:F50"/>
    <mergeCell ref="A51:F51"/>
    <mergeCell ref="A54:E54"/>
    <mergeCell ref="A8:A9"/>
    <mergeCell ref="A20:A21"/>
    <mergeCell ref="A55:A56"/>
    <mergeCell ref="B8:B9"/>
    <mergeCell ref="B20:B21"/>
    <mergeCell ref="B55:B56"/>
    <mergeCell ref="C8:C9"/>
    <mergeCell ref="C20:C21"/>
    <mergeCell ref="C55:C56"/>
    <mergeCell ref="D8:D9"/>
    <mergeCell ref="D20:D21"/>
    <mergeCell ref="D55:D56"/>
    <mergeCell ref="E55:E56"/>
    <mergeCell ref="G8:G9"/>
    <mergeCell ref="G10:G15"/>
    <mergeCell ref="G20:G21"/>
    <mergeCell ref="G22:G27"/>
  </mergeCells>
  <pageMargins left="0.511805555555556" right="0.511805555555556" top="0.786805555555556" bottom="0.786805555555556" header="0.314583333333333" footer="0.314583333333333"/>
  <pageSetup paperSize="9" scale="80"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7"/>
  <sheetViews>
    <sheetView view="pageLayout" zoomScaleNormal="100" workbookViewId="0">
      <selection activeCell="A4" sqref="A4:E4"/>
    </sheetView>
  </sheetViews>
  <sheetFormatPr defaultColWidth="8.85714285714286" defaultRowHeight="15" outlineLevelCol="4"/>
  <cols>
    <col min="1" max="1" width="8.42857142857143" customWidth="1"/>
    <col min="2" max="2" width="58.5714285714286" style="274" customWidth="1"/>
    <col min="3" max="3" width="9.85714285714286" customWidth="1"/>
    <col min="4" max="4" width="15" customWidth="1"/>
    <col min="5" max="5" width="14.7142857142857" customWidth="1"/>
  </cols>
  <sheetData>
    <row r="1" ht="18.75" customHeight="1" spans="1:5">
      <c r="A1" s="303" t="s">
        <v>0</v>
      </c>
      <c r="B1" s="303"/>
      <c r="C1" s="303"/>
      <c r="D1" s="303"/>
      <c r="E1" s="303"/>
    </row>
    <row r="2" ht="15.75" spans="1:5">
      <c r="A2" s="304" t="s">
        <v>1</v>
      </c>
      <c r="B2" s="304"/>
      <c r="C2" s="304"/>
      <c r="D2" s="304"/>
      <c r="E2" s="304"/>
    </row>
    <row r="4" customHeight="1" spans="1:5">
      <c r="A4" s="105" t="s">
        <v>128</v>
      </c>
      <c r="B4" s="105"/>
      <c r="C4" s="105"/>
      <c r="D4" s="105"/>
      <c r="E4" s="105"/>
    </row>
    <row r="5" customHeight="1" spans="1:5">
      <c r="A5" s="105" t="s">
        <v>41</v>
      </c>
      <c r="B5" s="105"/>
      <c r="C5" s="105"/>
      <c r="D5" s="105"/>
      <c r="E5" s="105"/>
    </row>
    <row r="6" ht="47.25" customHeight="1" spans="1:5">
      <c r="A6" s="305" t="s">
        <v>2</v>
      </c>
      <c r="B6" s="305"/>
      <c r="C6" s="305"/>
      <c r="D6" s="305"/>
      <c r="E6" s="305"/>
    </row>
    <row r="7" ht="16.5" spans="1:5">
      <c r="A7" s="306"/>
      <c r="B7" s="306"/>
      <c r="C7" s="306"/>
      <c r="D7" s="306"/>
      <c r="E7" s="306"/>
    </row>
    <row r="8" ht="25.5" spans="1:5">
      <c r="A8" s="307" t="s">
        <v>43</v>
      </c>
      <c r="B8" s="308" t="s">
        <v>129</v>
      </c>
      <c r="C8" s="308" t="s">
        <v>130</v>
      </c>
      <c r="D8" s="308" t="s">
        <v>131</v>
      </c>
      <c r="E8" s="309" t="s">
        <v>132</v>
      </c>
    </row>
    <row r="9" spans="1:5">
      <c r="A9" s="310">
        <v>1</v>
      </c>
      <c r="B9" s="311" t="s">
        <v>133</v>
      </c>
      <c r="C9" s="312">
        <v>7</v>
      </c>
      <c r="D9" s="313">
        <v>3.87</v>
      </c>
      <c r="E9" s="314">
        <f>D9*C9</f>
        <v>27.09</v>
      </c>
    </row>
    <row r="10" spans="1:5">
      <c r="A10" s="310">
        <v>2</v>
      </c>
      <c r="B10" s="311" t="s">
        <v>134</v>
      </c>
      <c r="C10" s="312">
        <v>7</v>
      </c>
      <c r="D10" s="313">
        <v>6.83</v>
      </c>
      <c r="E10" s="314">
        <f t="shared" ref="E10:E67" si="0">D10*C10</f>
        <v>47.81</v>
      </c>
    </row>
    <row r="11" spans="1:5">
      <c r="A11" s="310">
        <v>3</v>
      </c>
      <c r="B11" s="311" t="s">
        <v>135</v>
      </c>
      <c r="C11" s="312">
        <v>7</v>
      </c>
      <c r="D11" s="313">
        <v>8.61</v>
      </c>
      <c r="E11" s="314">
        <f t="shared" si="0"/>
        <v>60.27</v>
      </c>
    </row>
    <row r="12" spans="1:5">
      <c r="A12" s="310">
        <v>4</v>
      </c>
      <c r="B12" s="311" t="s">
        <v>136</v>
      </c>
      <c r="C12" s="312">
        <v>7</v>
      </c>
      <c r="D12" s="313">
        <v>3.41</v>
      </c>
      <c r="E12" s="314">
        <f t="shared" si="0"/>
        <v>23.87</v>
      </c>
    </row>
    <row r="13" spans="1:5">
      <c r="A13" s="310">
        <v>5</v>
      </c>
      <c r="B13" s="311" t="s">
        <v>137</v>
      </c>
      <c r="C13" s="312">
        <v>7</v>
      </c>
      <c r="D13" s="313">
        <v>4.35</v>
      </c>
      <c r="E13" s="314">
        <f t="shared" si="0"/>
        <v>30.45</v>
      </c>
    </row>
    <row r="14" spans="1:5">
      <c r="A14" s="310">
        <v>6</v>
      </c>
      <c r="B14" s="311" t="s">
        <v>138</v>
      </c>
      <c r="C14" s="312">
        <v>7</v>
      </c>
      <c r="D14" s="313">
        <v>2.04</v>
      </c>
      <c r="E14" s="314">
        <f t="shared" si="0"/>
        <v>14.28</v>
      </c>
    </row>
    <row r="15" spans="1:5">
      <c r="A15" s="310">
        <v>7</v>
      </c>
      <c r="B15" s="311" t="s">
        <v>139</v>
      </c>
      <c r="C15" s="312">
        <v>7</v>
      </c>
      <c r="D15" s="313">
        <v>4.1</v>
      </c>
      <c r="E15" s="314">
        <f t="shared" si="0"/>
        <v>28.7</v>
      </c>
    </row>
    <row r="16" spans="1:5">
      <c r="A16" s="310">
        <v>8</v>
      </c>
      <c r="B16" s="311" t="s">
        <v>140</v>
      </c>
      <c r="C16" s="312">
        <v>7</v>
      </c>
      <c r="D16" s="313">
        <v>7.97</v>
      </c>
      <c r="E16" s="314">
        <f t="shared" si="0"/>
        <v>55.79</v>
      </c>
    </row>
    <row r="17" spans="1:5">
      <c r="A17" s="310">
        <v>9</v>
      </c>
      <c r="B17" s="311" t="s">
        <v>141</v>
      </c>
      <c r="C17" s="312">
        <v>7</v>
      </c>
      <c r="D17" s="313">
        <v>24.12</v>
      </c>
      <c r="E17" s="314">
        <f t="shared" si="0"/>
        <v>168.84</v>
      </c>
    </row>
    <row r="18" spans="1:5">
      <c r="A18" s="310">
        <v>10</v>
      </c>
      <c r="B18" s="311" t="s">
        <v>142</v>
      </c>
      <c r="C18" s="312">
        <v>7</v>
      </c>
      <c r="D18" s="315">
        <v>31.64</v>
      </c>
      <c r="E18" s="314">
        <f t="shared" si="0"/>
        <v>221.48</v>
      </c>
    </row>
    <row r="19" spans="1:5">
      <c r="A19" s="310">
        <v>11</v>
      </c>
      <c r="B19" s="311" t="s">
        <v>143</v>
      </c>
      <c r="C19" s="312">
        <v>7</v>
      </c>
      <c r="D19" s="313">
        <v>37.86</v>
      </c>
      <c r="E19" s="314">
        <f t="shared" si="0"/>
        <v>265.02</v>
      </c>
    </row>
    <row r="20" spans="1:5">
      <c r="A20" s="310">
        <v>12</v>
      </c>
      <c r="B20" s="311" t="s">
        <v>144</v>
      </c>
      <c r="C20" s="312">
        <v>7</v>
      </c>
      <c r="D20" s="313">
        <v>37.12</v>
      </c>
      <c r="E20" s="314">
        <f t="shared" si="0"/>
        <v>259.84</v>
      </c>
    </row>
    <row r="21" spans="1:5">
      <c r="A21" s="310">
        <v>13</v>
      </c>
      <c r="B21" s="311" t="s">
        <v>145</v>
      </c>
      <c r="C21" s="312">
        <v>7</v>
      </c>
      <c r="D21" s="313">
        <v>38.1</v>
      </c>
      <c r="E21" s="314">
        <f t="shared" si="0"/>
        <v>266.7</v>
      </c>
    </row>
    <row r="22" spans="1:5">
      <c r="A22" s="310">
        <v>14</v>
      </c>
      <c r="B22" s="311" t="s">
        <v>146</v>
      </c>
      <c r="C22" s="312">
        <v>7</v>
      </c>
      <c r="D22" s="313">
        <v>22.28</v>
      </c>
      <c r="E22" s="314">
        <f t="shared" si="0"/>
        <v>155.96</v>
      </c>
    </row>
    <row r="23" spans="1:5">
      <c r="A23" s="310">
        <v>15</v>
      </c>
      <c r="B23" s="311" t="s">
        <v>147</v>
      </c>
      <c r="C23" s="312">
        <v>7</v>
      </c>
      <c r="D23" s="313">
        <v>29.14</v>
      </c>
      <c r="E23" s="314">
        <f t="shared" si="0"/>
        <v>203.98</v>
      </c>
    </row>
    <row r="24" spans="1:5">
      <c r="A24" s="310">
        <v>16</v>
      </c>
      <c r="B24" s="311" t="s">
        <v>148</v>
      </c>
      <c r="C24" s="312">
        <v>7</v>
      </c>
      <c r="D24" s="313">
        <v>36.17</v>
      </c>
      <c r="E24" s="314">
        <f t="shared" si="0"/>
        <v>253.19</v>
      </c>
    </row>
    <row r="25" spans="1:5">
      <c r="A25" s="310">
        <v>17</v>
      </c>
      <c r="B25" s="311" t="s">
        <v>149</v>
      </c>
      <c r="C25" s="312">
        <v>7</v>
      </c>
      <c r="D25" s="313">
        <v>38.48</v>
      </c>
      <c r="E25" s="314">
        <f t="shared" si="0"/>
        <v>269.36</v>
      </c>
    </row>
    <row r="26" spans="1:5">
      <c r="A26" s="310">
        <v>18</v>
      </c>
      <c r="B26" s="311" t="s">
        <v>150</v>
      </c>
      <c r="C26" s="312">
        <v>7</v>
      </c>
      <c r="D26" s="313">
        <v>42.98</v>
      </c>
      <c r="E26" s="314">
        <f t="shared" si="0"/>
        <v>300.86</v>
      </c>
    </row>
    <row r="27" spans="1:5">
      <c r="A27" s="310">
        <v>19</v>
      </c>
      <c r="B27" s="311" t="s">
        <v>151</v>
      </c>
      <c r="C27" s="312">
        <v>7</v>
      </c>
      <c r="D27" s="313">
        <v>24.32</v>
      </c>
      <c r="E27" s="314">
        <f t="shared" si="0"/>
        <v>170.24</v>
      </c>
    </row>
    <row r="28" spans="1:5">
      <c r="A28" s="310">
        <v>20</v>
      </c>
      <c r="B28" s="311" t="s">
        <v>152</v>
      </c>
      <c r="C28" s="312">
        <v>7</v>
      </c>
      <c r="D28" s="313">
        <v>102.45</v>
      </c>
      <c r="E28" s="314">
        <f t="shared" si="0"/>
        <v>717.15</v>
      </c>
    </row>
    <row r="29" spans="1:5">
      <c r="A29" s="310">
        <v>21</v>
      </c>
      <c r="B29" s="311" t="s">
        <v>153</v>
      </c>
      <c r="C29" s="312">
        <v>7</v>
      </c>
      <c r="D29" s="315">
        <v>33.68</v>
      </c>
      <c r="E29" s="314">
        <f t="shared" si="0"/>
        <v>235.76</v>
      </c>
    </row>
    <row r="30" spans="1:5">
      <c r="A30" s="310">
        <v>22</v>
      </c>
      <c r="B30" s="311" t="s">
        <v>154</v>
      </c>
      <c r="C30" s="312">
        <v>7</v>
      </c>
      <c r="D30" s="313">
        <v>9.31</v>
      </c>
      <c r="E30" s="314">
        <f t="shared" si="0"/>
        <v>65.17</v>
      </c>
    </row>
    <row r="31" spans="1:5">
      <c r="A31" s="310">
        <v>23</v>
      </c>
      <c r="B31" s="311" t="s">
        <v>155</v>
      </c>
      <c r="C31" s="312">
        <v>7</v>
      </c>
      <c r="D31" s="313">
        <v>17.23</v>
      </c>
      <c r="E31" s="314">
        <f t="shared" si="0"/>
        <v>120.61</v>
      </c>
    </row>
    <row r="32" spans="1:5">
      <c r="A32" s="310">
        <v>24</v>
      </c>
      <c r="B32" s="311" t="s">
        <v>156</v>
      </c>
      <c r="C32" s="312">
        <v>7</v>
      </c>
      <c r="D32" s="313">
        <v>275.01</v>
      </c>
      <c r="E32" s="314">
        <f t="shared" si="0"/>
        <v>1925.07</v>
      </c>
    </row>
    <row r="33" spans="1:5">
      <c r="A33" s="310">
        <v>25</v>
      </c>
      <c r="B33" s="311" t="s">
        <v>157</v>
      </c>
      <c r="C33" s="312">
        <v>7</v>
      </c>
      <c r="D33" s="313">
        <v>49.46</v>
      </c>
      <c r="E33" s="314">
        <f t="shared" si="0"/>
        <v>346.22</v>
      </c>
    </row>
    <row r="34" spans="1:5">
      <c r="A34" s="310">
        <v>26</v>
      </c>
      <c r="B34" s="311" t="s">
        <v>158</v>
      </c>
      <c r="C34" s="312">
        <v>7</v>
      </c>
      <c r="D34" s="313">
        <v>334.47</v>
      </c>
      <c r="E34" s="314">
        <f t="shared" si="0"/>
        <v>2341.29</v>
      </c>
    </row>
    <row r="35" spans="1:5">
      <c r="A35" s="310">
        <v>27</v>
      </c>
      <c r="B35" s="311" t="s">
        <v>159</v>
      </c>
      <c r="C35" s="312">
        <v>7</v>
      </c>
      <c r="D35" s="313">
        <v>418.66</v>
      </c>
      <c r="E35" s="314">
        <f t="shared" si="0"/>
        <v>2930.62</v>
      </c>
    </row>
    <row r="36" spans="1:5">
      <c r="A36" s="310">
        <v>28</v>
      </c>
      <c r="B36" s="311" t="s">
        <v>160</v>
      </c>
      <c r="C36" s="312">
        <v>7</v>
      </c>
      <c r="D36" s="313">
        <v>235.33</v>
      </c>
      <c r="E36" s="314">
        <f t="shared" si="0"/>
        <v>1647.31</v>
      </c>
    </row>
    <row r="37" spans="1:5">
      <c r="A37" s="310">
        <v>29</v>
      </c>
      <c r="B37" s="311" t="s">
        <v>161</v>
      </c>
      <c r="C37" s="312">
        <v>7</v>
      </c>
      <c r="D37" s="313">
        <v>34.95</v>
      </c>
      <c r="E37" s="314">
        <f t="shared" si="0"/>
        <v>244.65</v>
      </c>
    </row>
    <row r="38" spans="1:5">
      <c r="A38" s="310">
        <v>30</v>
      </c>
      <c r="B38" s="311" t="s">
        <v>162</v>
      </c>
      <c r="C38" s="312">
        <v>7</v>
      </c>
      <c r="D38" s="313">
        <v>23.43</v>
      </c>
      <c r="E38" s="314">
        <f t="shared" si="0"/>
        <v>164.01</v>
      </c>
    </row>
    <row r="39" spans="1:5">
      <c r="A39" s="310">
        <v>31</v>
      </c>
      <c r="B39" s="311" t="s">
        <v>163</v>
      </c>
      <c r="C39" s="312">
        <v>7</v>
      </c>
      <c r="D39" s="315">
        <v>647.7</v>
      </c>
      <c r="E39" s="314">
        <f t="shared" si="0"/>
        <v>4533.9</v>
      </c>
    </row>
    <row r="40" spans="1:5">
      <c r="A40" s="310">
        <v>32</v>
      </c>
      <c r="B40" s="311" t="s">
        <v>164</v>
      </c>
      <c r="C40" s="312">
        <v>7</v>
      </c>
      <c r="D40" s="313">
        <v>1057</v>
      </c>
      <c r="E40" s="314">
        <f t="shared" si="0"/>
        <v>7399</v>
      </c>
    </row>
    <row r="41" spans="1:5">
      <c r="A41" s="310">
        <v>33</v>
      </c>
      <c r="B41" s="311" t="s">
        <v>165</v>
      </c>
      <c r="C41" s="312">
        <v>7</v>
      </c>
      <c r="D41" s="313">
        <v>46.7</v>
      </c>
      <c r="E41" s="314">
        <f t="shared" si="0"/>
        <v>326.9</v>
      </c>
    </row>
    <row r="42" spans="1:5">
      <c r="A42" s="310">
        <v>34</v>
      </c>
      <c r="B42" s="311" t="s">
        <v>166</v>
      </c>
      <c r="C42" s="312">
        <v>4</v>
      </c>
      <c r="D42" s="313">
        <v>286.47</v>
      </c>
      <c r="E42" s="314">
        <f t="shared" si="0"/>
        <v>1145.88</v>
      </c>
    </row>
    <row r="43" spans="1:5">
      <c r="A43" s="310">
        <v>35</v>
      </c>
      <c r="B43" s="311" t="s">
        <v>167</v>
      </c>
      <c r="C43" s="312">
        <v>4</v>
      </c>
      <c r="D43" s="313">
        <v>51.9</v>
      </c>
      <c r="E43" s="314">
        <f t="shared" si="0"/>
        <v>207.6</v>
      </c>
    </row>
    <row r="44" spans="1:5">
      <c r="A44" s="310">
        <v>36</v>
      </c>
      <c r="B44" s="311" t="s">
        <v>168</v>
      </c>
      <c r="C44" s="312">
        <v>3</v>
      </c>
      <c r="D44" s="313">
        <v>266.4</v>
      </c>
      <c r="E44" s="314">
        <f t="shared" si="0"/>
        <v>799.2</v>
      </c>
    </row>
    <row r="45" spans="1:5">
      <c r="A45" s="310">
        <v>37</v>
      </c>
      <c r="B45" s="311" t="s">
        <v>169</v>
      </c>
      <c r="C45" s="312">
        <v>3</v>
      </c>
      <c r="D45" s="313">
        <v>977.37</v>
      </c>
      <c r="E45" s="314">
        <f t="shared" si="0"/>
        <v>2932.11</v>
      </c>
    </row>
    <row r="46" spans="1:5">
      <c r="A46" s="310">
        <v>38</v>
      </c>
      <c r="B46" s="311" t="s">
        <v>170</v>
      </c>
      <c r="C46" s="312">
        <v>3</v>
      </c>
      <c r="D46" s="313">
        <v>3345</v>
      </c>
      <c r="E46" s="314">
        <f t="shared" si="0"/>
        <v>10035</v>
      </c>
    </row>
    <row r="47" spans="1:5">
      <c r="A47" s="310">
        <v>39</v>
      </c>
      <c r="B47" s="311" t="s">
        <v>171</v>
      </c>
      <c r="C47" s="312">
        <v>7</v>
      </c>
      <c r="D47" s="313">
        <v>41.79</v>
      </c>
      <c r="E47" s="314">
        <f t="shared" si="0"/>
        <v>292.53</v>
      </c>
    </row>
    <row r="48" spans="1:5">
      <c r="A48" s="310">
        <v>40</v>
      </c>
      <c r="B48" s="311" t="s">
        <v>172</v>
      </c>
      <c r="C48" s="312">
        <v>7</v>
      </c>
      <c r="D48" s="313">
        <v>61.16</v>
      </c>
      <c r="E48" s="314">
        <f t="shared" si="0"/>
        <v>428.12</v>
      </c>
    </row>
    <row r="49" spans="1:5">
      <c r="A49" s="310">
        <v>41</v>
      </c>
      <c r="B49" s="311" t="s">
        <v>173</v>
      </c>
      <c r="C49" s="312">
        <v>7</v>
      </c>
      <c r="D49" s="313">
        <v>25.51</v>
      </c>
      <c r="E49" s="314">
        <f t="shared" si="0"/>
        <v>178.57</v>
      </c>
    </row>
    <row r="50" spans="1:5">
      <c r="A50" s="310">
        <v>42</v>
      </c>
      <c r="B50" s="311" t="s">
        <v>174</v>
      </c>
      <c r="C50" s="312">
        <v>7</v>
      </c>
      <c r="D50" s="313">
        <v>238.85</v>
      </c>
      <c r="E50" s="314">
        <f t="shared" si="0"/>
        <v>1671.95</v>
      </c>
    </row>
    <row r="51" spans="1:5">
      <c r="A51" s="310">
        <v>43</v>
      </c>
      <c r="B51" s="311" t="s">
        <v>175</v>
      </c>
      <c r="C51" s="312">
        <v>7</v>
      </c>
      <c r="D51" s="313">
        <v>191</v>
      </c>
      <c r="E51" s="314">
        <f t="shared" si="0"/>
        <v>1337</v>
      </c>
    </row>
    <row r="52" spans="1:5">
      <c r="A52" s="310">
        <v>44</v>
      </c>
      <c r="B52" s="311" t="s">
        <v>176</v>
      </c>
      <c r="C52" s="312">
        <v>7</v>
      </c>
      <c r="D52" s="313">
        <v>3.78</v>
      </c>
      <c r="E52" s="314">
        <f t="shared" si="0"/>
        <v>26.46</v>
      </c>
    </row>
    <row r="53" spans="1:5">
      <c r="A53" s="310">
        <v>45</v>
      </c>
      <c r="B53" s="311" t="s">
        <v>177</v>
      </c>
      <c r="C53" s="312">
        <v>7</v>
      </c>
      <c r="D53" s="313">
        <v>81.84</v>
      </c>
      <c r="E53" s="314">
        <f t="shared" si="0"/>
        <v>572.88</v>
      </c>
    </row>
    <row r="54" ht="38.25" spans="1:5">
      <c r="A54" s="310">
        <v>46</v>
      </c>
      <c r="B54" s="311" t="s">
        <v>178</v>
      </c>
      <c r="C54" s="312">
        <v>7</v>
      </c>
      <c r="D54" s="313">
        <v>40.65</v>
      </c>
      <c r="E54" s="314">
        <f t="shared" si="0"/>
        <v>284.55</v>
      </c>
    </row>
    <row r="55" spans="1:5">
      <c r="A55" s="310">
        <v>47</v>
      </c>
      <c r="B55" s="311" t="s">
        <v>179</v>
      </c>
      <c r="C55" s="312">
        <v>7</v>
      </c>
      <c r="D55" s="313">
        <v>10.12</v>
      </c>
      <c r="E55" s="314">
        <f t="shared" si="0"/>
        <v>70.84</v>
      </c>
    </row>
    <row r="56" spans="1:5">
      <c r="A56" s="310">
        <v>48</v>
      </c>
      <c r="B56" s="311" t="s">
        <v>180</v>
      </c>
      <c r="C56" s="312">
        <v>7</v>
      </c>
      <c r="D56" s="313">
        <v>9.06</v>
      </c>
      <c r="E56" s="314">
        <f t="shared" si="0"/>
        <v>63.42</v>
      </c>
    </row>
    <row r="57" spans="1:5">
      <c r="A57" s="310">
        <v>49</v>
      </c>
      <c r="B57" s="311" t="s">
        <v>181</v>
      </c>
      <c r="C57" s="312">
        <v>2</v>
      </c>
      <c r="D57" s="313">
        <v>1321.97</v>
      </c>
      <c r="E57" s="314">
        <f t="shared" si="0"/>
        <v>2643.94</v>
      </c>
    </row>
    <row r="58" spans="1:5">
      <c r="A58" s="310">
        <v>50</v>
      </c>
      <c r="B58" s="311" t="s">
        <v>182</v>
      </c>
      <c r="C58" s="312">
        <v>2</v>
      </c>
      <c r="D58" s="313">
        <v>2107.84</v>
      </c>
      <c r="E58" s="314">
        <f t="shared" si="0"/>
        <v>4215.68</v>
      </c>
    </row>
    <row r="59" spans="1:5">
      <c r="A59" s="310">
        <v>51</v>
      </c>
      <c r="B59" s="311" t="s">
        <v>183</v>
      </c>
      <c r="C59" s="312">
        <v>3</v>
      </c>
      <c r="D59" s="313">
        <v>865.92</v>
      </c>
      <c r="E59" s="314">
        <f t="shared" si="0"/>
        <v>2597.76</v>
      </c>
    </row>
    <row r="60" spans="1:5">
      <c r="A60" s="310">
        <v>52</v>
      </c>
      <c r="B60" s="311" t="s">
        <v>184</v>
      </c>
      <c r="C60" s="312">
        <v>1</v>
      </c>
      <c r="D60" s="313">
        <v>1906.17</v>
      </c>
      <c r="E60" s="314">
        <f t="shared" si="0"/>
        <v>1906.17</v>
      </c>
    </row>
    <row r="61" spans="1:5">
      <c r="A61" s="310">
        <v>53</v>
      </c>
      <c r="B61" s="311" t="s">
        <v>185</v>
      </c>
      <c r="C61" s="312">
        <v>1</v>
      </c>
      <c r="D61" s="313">
        <v>144.64</v>
      </c>
      <c r="E61" s="314">
        <f t="shared" si="0"/>
        <v>144.64</v>
      </c>
    </row>
    <row r="62" spans="1:5">
      <c r="A62" s="310">
        <v>54</v>
      </c>
      <c r="B62" s="311" t="s">
        <v>186</v>
      </c>
      <c r="C62" s="312">
        <v>1</v>
      </c>
      <c r="D62" s="313">
        <v>17644</v>
      </c>
      <c r="E62" s="314">
        <f t="shared" si="0"/>
        <v>17644</v>
      </c>
    </row>
    <row r="63" spans="1:5">
      <c r="A63" s="310">
        <v>55</v>
      </c>
      <c r="B63" s="311" t="s">
        <v>187</v>
      </c>
      <c r="C63" s="312">
        <v>1</v>
      </c>
      <c r="D63" s="315">
        <v>1161.67</v>
      </c>
      <c r="E63" s="314">
        <f t="shared" si="0"/>
        <v>1161.67</v>
      </c>
    </row>
    <row r="64" ht="52.5" customHeight="1" spans="1:5">
      <c r="A64" s="310">
        <v>56</v>
      </c>
      <c r="B64" s="311" t="s">
        <v>188</v>
      </c>
      <c r="C64" s="312">
        <v>7</v>
      </c>
      <c r="D64" s="313">
        <v>153.18</v>
      </c>
      <c r="E64" s="314">
        <f t="shared" si="0"/>
        <v>1072.26</v>
      </c>
    </row>
    <row r="65" ht="63.75" spans="1:5">
      <c r="A65" s="310">
        <v>57</v>
      </c>
      <c r="B65" s="311" t="s">
        <v>189</v>
      </c>
      <c r="C65" s="312">
        <v>7</v>
      </c>
      <c r="D65" s="313">
        <v>160</v>
      </c>
      <c r="E65" s="314">
        <f t="shared" si="0"/>
        <v>1120</v>
      </c>
    </row>
    <row r="66" spans="1:5">
      <c r="A66" s="310">
        <v>58</v>
      </c>
      <c r="B66" s="311" t="s">
        <v>190</v>
      </c>
      <c r="C66" s="312">
        <v>1</v>
      </c>
      <c r="D66" s="313">
        <v>1863.33</v>
      </c>
      <c r="E66" s="314">
        <f t="shared" si="0"/>
        <v>1863.33</v>
      </c>
    </row>
    <row r="67" ht="87" customHeight="1" spans="1:5">
      <c r="A67" s="310">
        <v>59</v>
      </c>
      <c r="B67" s="311" t="s">
        <v>191</v>
      </c>
      <c r="C67" s="312">
        <v>1</v>
      </c>
      <c r="D67" s="313">
        <v>110413</v>
      </c>
      <c r="E67" s="314">
        <f t="shared" si="0"/>
        <v>110413</v>
      </c>
    </row>
    <row r="68" spans="1:5">
      <c r="A68" s="316" t="s">
        <v>192</v>
      </c>
      <c r="B68" s="317"/>
      <c r="C68" s="317"/>
      <c r="D68" s="317"/>
      <c r="E68" s="318">
        <f>SUM(E9:E67)</f>
        <v>190649.95</v>
      </c>
    </row>
    <row r="69" ht="31.5" customHeight="1" spans="1:5">
      <c r="A69" s="319" t="s">
        <v>193</v>
      </c>
      <c r="B69" s="320"/>
      <c r="C69" s="320"/>
      <c r="D69" s="320"/>
      <c r="E69" s="321">
        <v>0.2</v>
      </c>
    </row>
    <row r="70" spans="1:5">
      <c r="A70" s="319" t="s">
        <v>194</v>
      </c>
      <c r="B70" s="320"/>
      <c r="C70" s="320"/>
      <c r="D70" s="320"/>
      <c r="E70" s="322">
        <f>ROUND(E68*E69,2)</f>
        <v>38129.99</v>
      </c>
    </row>
    <row r="71" ht="15.75" spans="1:5">
      <c r="A71" s="323" t="s">
        <v>195</v>
      </c>
      <c r="B71" s="324"/>
      <c r="C71" s="324"/>
      <c r="D71" s="324"/>
      <c r="E71" s="325">
        <f>E70/12</f>
        <v>3177.49916666667</v>
      </c>
    </row>
    <row r="72" ht="15.75" spans="1:5">
      <c r="A72" s="326" t="s">
        <v>196</v>
      </c>
      <c r="B72" s="327"/>
      <c r="C72" s="327"/>
      <c r="D72" s="327"/>
      <c r="E72" s="325">
        <f>E71/13</f>
        <v>244.423012820513</v>
      </c>
    </row>
    <row r="73" spans="1:5">
      <c r="A73" s="328"/>
      <c r="B73" s="329"/>
      <c r="C73" s="328"/>
      <c r="D73" s="328"/>
      <c r="E73" s="328"/>
    </row>
    <row r="74" ht="147.75" customHeight="1" spans="1:5">
      <c r="A74" s="330" t="s">
        <v>197</v>
      </c>
      <c r="B74" s="330"/>
      <c r="C74" s="330"/>
      <c r="D74" s="330"/>
      <c r="E74" s="330"/>
    </row>
    <row r="75" spans="1:5">
      <c r="A75" s="331"/>
      <c r="B75" s="331"/>
      <c r="C75" s="331"/>
      <c r="D75" s="331"/>
      <c r="E75" s="331"/>
    </row>
    <row r="76" ht="15.75" spans="1:5">
      <c r="A76" s="306"/>
      <c r="B76" s="306"/>
      <c r="C76" s="306"/>
      <c r="D76" s="306"/>
      <c r="E76" s="306"/>
    </row>
    <row r="77" spans="1:5">
      <c r="A77" s="332"/>
      <c r="B77" s="333"/>
      <c r="C77" s="333"/>
      <c r="D77" s="333"/>
      <c r="E77" s="334"/>
    </row>
  </sheetData>
  <mergeCells count="13">
    <mergeCell ref="A1:E1"/>
    <mergeCell ref="A2:E2"/>
    <mergeCell ref="A4:E4"/>
    <mergeCell ref="A5:E5"/>
    <mergeCell ref="A6:E6"/>
    <mergeCell ref="A7:E7"/>
    <mergeCell ref="A68:D68"/>
    <mergeCell ref="A69:D69"/>
    <mergeCell ref="A70:D70"/>
    <mergeCell ref="A71:D71"/>
    <mergeCell ref="A72:D72"/>
    <mergeCell ref="A74:E74"/>
    <mergeCell ref="A76:E76"/>
  </mergeCells>
  <pageMargins left="0.511805555555556" right="0.511805555555556" top="0.786805555555556" bottom="0.786805555555556" header="0.314583333333333" footer="0.314583333333333"/>
  <pageSetup paperSize="9" scale="83"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6"/>
  <sheetViews>
    <sheetView view="pageLayout" zoomScaleNormal="100" workbookViewId="0">
      <selection activeCell="A4" sqref="A4:E4"/>
    </sheetView>
  </sheetViews>
  <sheetFormatPr defaultColWidth="8.85714285714286" defaultRowHeight="15" outlineLevelCol="4"/>
  <cols>
    <col min="1" max="1" width="8.42857142857143" customWidth="1"/>
    <col min="2" max="2" width="58.5714285714286" style="274" customWidth="1"/>
    <col min="3" max="3" width="9.85714285714286" customWidth="1"/>
    <col min="4" max="4" width="15" customWidth="1"/>
    <col min="5" max="5" width="14.7142857142857" customWidth="1"/>
  </cols>
  <sheetData>
    <row r="1" ht="18.75" customHeight="1" spans="1:5">
      <c r="A1" s="303" t="s">
        <v>0</v>
      </c>
      <c r="B1" s="303"/>
      <c r="C1" s="303"/>
      <c r="D1" s="303"/>
      <c r="E1" s="303"/>
    </row>
    <row r="2" ht="15.75" spans="1:5">
      <c r="A2" s="304" t="s">
        <v>1</v>
      </c>
      <c r="B2" s="304"/>
      <c r="C2" s="304"/>
      <c r="D2" s="304"/>
      <c r="E2" s="304"/>
    </row>
    <row r="4" customHeight="1" spans="1:5">
      <c r="A4" s="105" t="s">
        <v>198</v>
      </c>
      <c r="B4" s="105"/>
      <c r="C4" s="105"/>
      <c r="D4" s="105"/>
      <c r="E4" s="105"/>
    </row>
    <row r="5" customHeight="1" spans="1:5">
      <c r="A5" s="105" t="s">
        <v>126</v>
      </c>
      <c r="B5" s="105"/>
      <c r="C5" s="105"/>
      <c r="D5" s="105"/>
      <c r="E5" s="105"/>
    </row>
    <row r="6" ht="47.25" customHeight="1" spans="1:5">
      <c r="A6" s="305" t="s">
        <v>2</v>
      </c>
      <c r="B6" s="305"/>
      <c r="C6" s="305"/>
      <c r="D6" s="305"/>
      <c r="E6" s="305"/>
    </row>
    <row r="7" ht="16.5" spans="1:5">
      <c r="A7" s="306"/>
      <c r="B7" s="306"/>
      <c r="C7" s="306"/>
      <c r="D7" s="306"/>
      <c r="E7" s="306"/>
    </row>
    <row r="8" ht="25.5" spans="1:5">
      <c r="A8" s="307" t="s">
        <v>43</v>
      </c>
      <c r="B8" s="308" t="s">
        <v>129</v>
      </c>
      <c r="C8" s="308" t="s">
        <v>130</v>
      </c>
      <c r="D8" s="308" t="s">
        <v>131</v>
      </c>
      <c r="E8" s="309" t="s">
        <v>132</v>
      </c>
    </row>
    <row r="9" spans="1:5">
      <c r="A9" s="310">
        <v>1</v>
      </c>
      <c r="B9" s="311" t="s">
        <v>133</v>
      </c>
      <c r="C9" s="312">
        <v>2</v>
      </c>
      <c r="D9" s="313">
        <v>3.87</v>
      </c>
      <c r="E9" s="314">
        <f>D9*C9</f>
        <v>7.74</v>
      </c>
    </row>
    <row r="10" spans="1:5">
      <c r="A10" s="310">
        <v>2</v>
      </c>
      <c r="B10" s="311" t="s">
        <v>134</v>
      </c>
      <c r="C10" s="312">
        <v>2</v>
      </c>
      <c r="D10" s="313">
        <v>6.83</v>
      </c>
      <c r="E10" s="314">
        <f t="shared" ref="E10:E66" si="0">D10*C10</f>
        <v>13.66</v>
      </c>
    </row>
    <row r="11" spans="1:5">
      <c r="A11" s="310">
        <v>3</v>
      </c>
      <c r="B11" s="311" t="s">
        <v>135</v>
      </c>
      <c r="C11" s="312">
        <v>2</v>
      </c>
      <c r="D11" s="313">
        <v>8.61</v>
      </c>
      <c r="E11" s="314">
        <f t="shared" si="0"/>
        <v>17.22</v>
      </c>
    </row>
    <row r="12" spans="1:5">
      <c r="A12" s="310">
        <v>4</v>
      </c>
      <c r="B12" s="311" t="s">
        <v>136</v>
      </c>
      <c r="C12" s="312">
        <v>2</v>
      </c>
      <c r="D12" s="313">
        <v>3.41</v>
      </c>
      <c r="E12" s="314">
        <f t="shared" si="0"/>
        <v>6.82</v>
      </c>
    </row>
    <row r="13" spans="1:5">
      <c r="A13" s="310">
        <v>5</v>
      </c>
      <c r="B13" s="311" t="s">
        <v>199</v>
      </c>
      <c r="C13" s="312">
        <v>2</v>
      </c>
      <c r="D13" s="313">
        <v>4.35</v>
      </c>
      <c r="E13" s="314">
        <f t="shared" si="0"/>
        <v>8.7</v>
      </c>
    </row>
    <row r="14" spans="1:5">
      <c r="A14" s="310">
        <v>6</v>
      </c>
      <c r="B14" s="311" t="s">
        <v>138</v>
      </c>
      <c r="C14" s="312">
        <v>2</v>
      </c>
      <c r="D14" s="313">
        <v>2.04</v>
      </c>
      <c r="E14" s="314">
        <f t="shared" si="0"/>
        <v>4.08</v>
      </c>
    </row>
    <row r="15" spans="1:5">
      <c r="A15" s="310">
        <v>7</v>
      </c>
      <c r="B15" s="311" t="s">
        <v>139</v>
      </c>
      <c r="C15" s="312">
        <v>2</v>
      </c>
      <c r="D15" s="313">
        <v>4.1</v>
      </c>
      <c r="E15" s="314">
        <f t="shared" si="0"/>
        <v>8.2</v>
      </c>
    </row>
    <row r="16" spans="1:5">
      <c r="A16" s="310">
        <v>8</v>
      </c>
      <c r="B16" s="311" t="s">
        <v>140</v>
      </c>
      <c r="C16" s="312">
        <v>2</v>
      </c>
      <c r="D16" s="313">
        <v>7.97</v>
      </c>
      <c r="E16" s="314">
        <f t="shared" si="0"/>
        <v>15.94</v>
      </c>
    </row>
    <row r="17" spans="1:5">
      <c r="A17" s="310">
        <v>9</v>
      </c>
      <c r="B17" s="311" t="s">
        <v>141</v>
      </c>
      <c r="C17" s="312">
        <v>2</v>
      </c>
      <c r="D17" s="313">
        <v>24.12</v>
      </c>
      <c r="E17" s="314">
        <f t="shared" si="0"/>
        <v>48.24</v>
      </c>
    </row>
    <row r="18" spans="1:5">
      <c r="A18" s="310">
        <v>10</v>
      </c>
      <c r="B18" s="311" t="s">
        <v>142</v>
      </c>
      <c r="C18" s="312">
        <v>2</v>
      </c>
      <c r="D18" s="315">
        <v>31.64</v>
      </c>
      <c r="E18" s="314">
        <f t="shared" si="0"/>
        <v>63.28</v>
      </c>
    </row>
    <row r="19" spans="1:5">
      <c r="A19" s="310">
        <v>11</v>
      </c>
      <c r="B19" s="311" t="s">
        <v>143</v>
      </c>
      <c r="C19" s="312">
        <v>2</v>
      </c>
      <c r="D19" s="313">
        <v>37.86</v>
      </c>
      <c r="E19" s="314">
        <f t="shared" si="0"/>
        <v>75.72</v>
      </c>
    </row>
    <row r="20" spans="1:5">
      <c r="A20" s="310">
        <v>12</v>
      </c>
      <c r="B20" s="311" t="s">
        <v>144</v>
      </c>
      <c r="C20" s="312">
        <v>2</v>
      </c>
      <c r="D20" s="313">
        <v>37.12</v>
      </c>
      <c r="E20" s="314">
        <f t="shared" si="0"/>
        <v>74.24</v>
      </c>
    </row>
    <row r="21" spans="1:5">
      <c r="A21" s="310">
        <v>13</v>
      </c>
      <c r="B21" s="311" t="s">
        <v>145</v>
      </c>
      <c r="C21" s="312">
        <v>2</v>
      </c>
      <c r="D21" s="313">
        <v>38.1</v>
      </c>
      <c r="E21" s="314">
        <f t="shared" si="0"/>
        <v>76.2</v>
      </c>
    </row>
    <row r="22" spans="1:5">
      <c r="A22" s="310">
        <v>14</v>
      </c>
      <c r="B22" s="311" t="s">
        <v>146</v>
      </c>
      <c r="C22" s="312">
        <v>2</v>
      </c>
      <c r="D22" s="313">
        <v>22.28</v>
      </c>
      <c r="E22" s="314">
        <f t="shared" si="0"/>
        <v>44.56</v>
      </c>
    </row>
    <row r="23" spans="1:5">
      <c r="A23" s="310">
        <v>15</v>
      </c>
      <c r="B23" s="311" t="s">
        <v>147</v>
      </c>
      <c r="C23" s="312">
        <v>2</v>
      </c>
      <c r="D23" s="313">
        <v>29.14</v>
      </c>
      <c r="E23" s="314">
        <f t="shared" si="0"/>
        <v>58.28</v>
      </c>
    </row>
    <row r="24" spans="1:5">
      <c r="A24" s="310">
        <v>16</v>
      </c>
      <c r="B24" s="311" t="s">
        <v>148</v>
      </c>
      <c r="C24" s="312">
        <v>2</v>
      </c>
      <c r="D24" s="313">
        <v>36.17</v>
      </c>
      <c r="E24" s="314">
        <f t="shared" si="0"/>
        <v>72.34</v>
      </c>
    </row>
    <row r="25" spans="1:5">
      <c r="A25" s="310">
        <v>17</v>
      </c>
      <c r="B25" s="311" t="s">
        <v>149</v>
      </c>
      <c r="C25" s="312">
        <v>2</v>
      </c>
      <c r="D25" s="313">
        <v>38.48</v>
      </c>
      <c r="E25" s="314">
        <f t="shared" si="0"/>
        <v>76.96</v>
      </c>
    </row>
    <row r="26" spans="1:5">
      <c r="A26" s="310">
        <v>18</v>
      </c>
      <c r="B26" s="311" t="s">
        <v>150</v>
      </c>
      <c r="C26" s="312">
        <v>2</v>
      </c>
      <c r="D26" s="313">
        <v>42.98</v>
      </c>
      <c r="E26" s="314">
        <f t="shared" si="0"/>
        <v>85.96</v>
      </c>
    </row>
    <row r="27" spans="1:5">
      <c r="A27" s="310">
        <v>19</v>
      </c>
      <c r="B27" s="311" t="s">
        <v>151</v>
      </c>
      <c r="C27" s="312">
        <v>2</v>
      </c>
      <c r="D27" s="313">
        <v>24.32</v>
      </c>
      <c r="E27" s="314">
        <f t="shared" si="0"/>
        <v>48.64</v>
      </c>
    </row>
    <row r="28" spans="1:5">
      <c r="A28" s="310">
        <v>20</v>
      </c>
      <c r="B28" s="311" t="s">
        <v>152</v>
      </c>
      <c r="C28" s="312">
        <v>2</v>
      </c>
      <c r="D28" s="313">
        <v>102.45</v>
      </c>
      <c r="E28" s="314">
        <f t="shared" si="0"/>
        <v>204.9</v>
      </c>
    </row>
    <row r="29" spans="1:5">
      <c r="A29" s="310">
        <v>21</v>
      </c>
      <c r="B29" s="311" t="s">
        <v>153</v>
      </c>
      <c r="C29" s="312">
        <v>2</v>
      </c>
      <c r="D29" s="315">
        <v>33.68</v>
      </c>
      <c r="E29" s="314">
        <f t="shared" si="0"/>
        <v>67.36</v>
      </c>
    </row>
    <row r="30" spans="1:5">
      <c r="A30" s="310">
        <v>22</v>
      </c>
      <c r="B30" s="311" t="s">
        <v>154</v>
      </c>
      <c r="C30" s="312">
        <v>2</v>
      </c>
      <c r="D30" s="313">
        <v>9.31</v>
      </c>
      <c r="E30" s="314">
        <f t="shared" si="0"/>
        <v>18.62</v>
      </c>
    </row>
    <row r="31" spans="1:5">
      <c r="A31" s="310">
        <v>23</v>
      </c>
      <c r="B31" s="311" t="s">
        <v>155</v>
      </c>
      <c r="C31" s="312">
        <v>2</v>
      </c>
      <c r="D31" s="313">
        <v>17.23</v>
      </c>
      <c r="E31" s="314">
        <f t="shared" si="0"/>
        <v>34.46</v>
      </c>
    </row>
    <row r="32" spans="1:5">
      <c r="A32" s="310">
        <v>24</v>
      </c>
      <c r="B32" s="311" t="s">
        <v>156</v>
      </c>
      <c r="C32" s="312">
        <v>2</v>
      </c>
      <c r="D32" s="313">
        <v>275.01</v>
      </c>
      <c r="E32" s="314">
        <f t="shared" si="0"/>
        <v>550.02</v>
      </c>
    </row>
    <row r="33" spans="1:5">
      <c r="A33" s="310">
        <v>25</v>
      </c>
      <c r="B33" s="311" t="s">
        <v>157</v>
      </c>
      <c r="C33" s="312">
        <v>2</v>
      </c>
      <c r="D33" s="313">
        <v>49.46</v>
      </c>
      <c r="E33" s="314">
        <f t="shared" si="0"/>
        <v>98.92</v>
      </c>
    </row>
    <row r="34" spans="1:5">
      <c r="A34" s="310">
        <v>26</v>
      </c>
      <c r="B34" s="311" t="s">
        <v>158</v>
      </c>
      <c r="C34" s="312">
        <v>2</v>
      </c>
      <c r="D34" s="313">
        <v>334.47</v>
      </c>
      <c r="E34" s="314">
        <f t="shared" si="0"/>
        <v>668.94</v>
      </c>
    </row>
    <row r="35" spans="1:5">
      <c r="A35" s="310">
        <v>27</v>
      </c>
      <c r="B35" s="311" t="s">
        <v>159</v>
      </c>
      <c r="C35" s="312">
        <v>2</v>
      </c>
      <c r="D35" s="313">
        <v>418.66</v>
      </c>
      <c r="E35" s="314">
        <f t="shared" si="0"/>
        <v>837.32</v>
      </c>
    </row>
    <row r="36" spans="1:5">
      <c r="A36" s="310">
        <v>28</v>
      </c>
      <c r="B36" s="311" t="s">
        <v>160</v>
      </c>
      <c r="C36" s="312">
        <v>2</v>
      </c>
      <c r="D36" s="313">
        <v>235.33</v>
      </c>
      <c r="E36" s="314">
        <f t="shared" si="0"/>
        <v>470.66</v>
      </c>
    </row>
    <row r="37" spans="1:5">
      <c r="A37" s="310">
        <v>29</v>
      </c>
      <c r="B37" s="311" t="s">
        <v>161</v>
      </c>
      <c r="C37" s="312">
        <v>2</v>
      </c>
      <c r="D37" s="313">
        <v>34.95</v>
      </c>
      <c r="E37" s="314">
        <f t="shared" si="0"/>
        <v>69.9</v>
      </c>
    </row>
    <row r="38" spans="1:5">
      <c r="A38" s="310">
        <v>30</v>
      </c>
      <c r="B38" s="311" t="s">
        <v>162</v>
      </c>
      <c r="C38" s="312">
        <v>2</v>
      </c>
      <c r="D38" s="313">
        <v>23.43</v>
      </c>
      <c r="E38" s="314">
        <f t="shared" si="0"/>
        <v>46.86</v>
      </c>
    </row>
    <row r="39" spans="1:5">
      <c r="A39" s="310">
        <v>31</v>
      </c>
      <c r="B39" s="311" t="s">
        <v>163</v>
      </c>
      <c r="C39" s="312">
        <v>2</v>
      </c>
      <c r="D39" s="315">
        <v>647.7</v>
      </c>
      <c r="E39" s="314">
        <f t="shared" si="0"/>
        <v>1295.4</v>
      </c>
    </row>
    <row r="40" spans="1:5">
      <c r="A40" s="310">
        <v>32</v>
      </c>
      <c r="B40" s="311" t="s">
        <v>164</v>
      </c>
      <c r="C40" s="312">
        <v>2</v>
      </c>
      <c r="D40" s="313">
        <v>1057</v>
      </c>
      <c r="E40" s="314">
        <f t="shared" si="0"/>
        <v>2114</v>
      </c>
    </row>
    <row r="41" spans="1:5">
      <c r="A41" s="310">
        <v>33</v>
      </c>
      <c r="B41" s="311" t="s">
        <v>165</v>
      </c>
      <c r="C41" s="312">
        <v>2</v>
      </c>
      <c r="D41" s="313">
        <v>46.7</v>
      </c>
      <c r="E41" s="314">
        <f t="shared" si="0"/>
        <v>93.4</v>
      </c>
    </row>
    <row r="42" spans="1:5">
      <c r="A42" s="310">
        <v>34</v>
      </c>
      <c r="B42" s="311" t="s">
        <v>166</v>
      </c>
      <c r="C42" s="312">
        <v>1</v>
      </c>
      <c r="D42" s="313">
        <v>286.47</v>
      </c>
      <c r="E42" s="314">
        <f t="shared" si="0"/>
        <v>286.47</v>
      </c>
    </row>
    <row r="43" spans="1:5">
      <c r="A43" s="310">
        <v>35</v>
      </c>
      <c r="B43" s="311" t="s">
        <v>167</v>
      </c>
      <c r="C43" s="312">
        <v>2</v>
      </c>
      <c r="D43" s="313">
        <v>51.9</v>
      </c>
      <c r="E43" s="314">
        <f t="shared" si="0"/>
        <v>103.8</v>
      </c>
    </row>
    <row r="44" spans="1:5">
      <c r="A44" s="310">
        <v>36</v>
      </c>
      <c r="B44" s="311" t="s">
        <v>168</v>
      </c>
      <c r="C44" s="312">
        <v>2</v>
      </c>
      <c r="D44" s="313">
        <v>266.4</v>
      </c>
      <c r="E44" s="314">
        <f t="shared" si="0"/>
        <v>532.8</v>
      </c>
    </row>
    <row r="45" spans="1:5">
      <c r="A45" s="310">
        <v>37</v>
      </c>
      <c r="B45" s="311" t="s">
        <v>169</v>
      </c>
      <c r="C45" s="312">
        <v>1</v>
      </c>
      <c r="D45" s="313">
        <v>977.37</v>
      </c>
      <c r="E45" s="314">
        <f t="shared" si="0"/>
        <v>977.37</v>
      </c>
    </row>
    <row r="46" spans="1:5">
      <c r="A46" s="310">
        <v>38</v>
      </c>
      <c r="B46" s="311" t="s">
        <v>170</v>
      </c>
      <c r="C46" s="312">
        <v>1</v>
      </c>
      <c r="D46" s="313">
        <v>3345</v>
      </c>
      <c r="E46" s="314">
        <f t="shared" si="0"/>
        <v>3345</v>
      </c>
    </row>
    <row r="47" spans="1:5">
      <c r="A47" s="310">
        <v>39</v>
      </c>
      <c r="B47" s="311" t="s">
        <v>171</v>
      </c>
      <c r="C47" s="312">
        <v>2</v>
      </c>
      <c r="D47" s="313">
        <v>41.79</v>
      </c>
      <c r="E47" s="314">
        <f t="shared" si="0"/>
        <v>83.58</v>
      </c>
    </row>
    <row r="48" spans="1:5">
      <c r="A48" s="310">
        <v>40</v>
      </c>
      <c r="B48" s="311" t="s">
        <v>172</v>
      </c>
      <c r="C48" s="312">
        <v>2</v>
      </c>
      <c r="D48" s="313">
        <v>61.16</v>
      </c>
      <c r="E48" s="314">
        <f t="shared" si="0"/>
        <v>122.32</v>
      </c>
    </row>
    <row r="49" spans="1:5">
      <c r="A49" s="310">
        <v>41</v>
      </c>
      <c r="B49" s="311" t="s">
        <v>173</v>
      </c>
      <c r="C49" s="312">
        <v>2</v>
      </c>
      <c r="D49" s="313">
        <v>25.51</v>
      </c>
      <c r="E49" s="314">
        <f t="shared" si="0"/>
        <v>51.02</v>
      </c>
    </row>
    <row r="50" spans="1:5">
      <c r="A50" s="310">
        <v>42</v>
      </c>
      <c r="B50" s="311" t="s">
        <v>174</v>
      </c>
      <c r="C50" s="312">
        <v>2</v>
      </c>
      <c r="D50" s="313">
        <v>238.85</v>
      </c>
      <c r="E50" s="314">
        <f t="shared" si="0"/>
        <v>477.7</v>
      </c>
    </row>
    <row r="51" spans="1:5">
      <c r="A51" s="310">
        <v>43</v>
      </c>
      <c r="B51" s="311" t="s">
        <v>175</v>
      </c>
      <c r="C51" s="312">
        <v>2</v>
      </c>
      <c r="D51" s="313">
        <v>191</v>
      </c>
      <c r="E51" s="314">
        <f t="shared" si="0"/>
        <v>382</v>
      </c>
    </row>
    <row r="52" spans="1:5">
      <c r="A52" s="310">
        <v>44</v>
      </c>
      <c r="B52" s="311" t="s">
        <v>176</v>
      </c>
      <c r="C52" s="312">
        <v>2</v>
      </c>
      <c r="D52" s="313">
        <v>3.78</v>
      </c>
      <c r="E52" s="314">
        <f t="shared" si="0"/>
        <v>7.56</v>
      </c>
    </row>
    <row r="53" spans="1:5">
      <c r="A53" s="310">
        <v>45</v>
      </c>
      <c r="B53" s="311" t="s">
        <v>177</v>
      </c>
      <c r="C53" s="312">
        <v>2</v>
      </c>
      <c r="D53" s="313">
        <v>81.84</v>
      </c>
      <c r="E53" s="314">
        <f t="shared" si="0"/>
        <v>163.68</v>
      </c>
    </row>
    <row r="54" ht="38.25" spans="1:5">
      <c r="A54" s="310">
        <v>46</v>
      </c>
      <c r="B54" s="311" t="s">
        <v>178</v>
      </c>
      <c r="C54" s="312">
        <v>2</v>
      </c>
      <c r="D54" s="313">
        <v>40.65</v>
      </c>
      <c r="E54" s="314">
        <f t="shared" si="0"/>
        <v>81.3</v>
      </c>
    </row>
    <row r="55" spans="1:5">
      <c r="A55" s="310">
        <v>47</v>
      </c>
      <c r="B55" s="311" t="s">
        <v>179</v>
      </c>
      <c r="C55" s="312">
        <v>2</v>
      </c>
      <c r="D55" s="313">
        <v>10.12</v>
      </c>
      <c r="E55" s="314">
        <f t="shared" si="0"/>
        <v>20.24</v>
      </c>
    </row>
    <row r="56" spans="1:5">
      <c r="A56" s="310">
        <v>48</v>
      </c>
      <c r="B56" s="311" t="s">
        <v>180</v>
      </c>
      <c r="C56" s="312">
        <v>2</v>
      </c>
      <c r="D56" s="313">
        <v>9.06</v>
      </c>
      <c r="E56" s="314">
        <f t="shared" si="0"/>
        <v>18.12</v>
      </c>
    </row>
    <row r="57" spans="1:5">
      <c r="A57" s="310">
        <v>49</v>
      </c>
      <c r="B57" s="311" t="s">
        <v>181</v>
      </c>
      <c r="C57" s="312">
        <v>1</v>
      </c>
      <c r="D57" s="313">
        <v>1321.97</v>
      </c>
      <c r="E57" s="314">
        <f t="shared" si="0"/>
        <v>1321.97</v>
      </c>
    </row>
    <row r="58" spans="1:5">
      <c r="A58" s="310">
        <v>50</v>
      </c>
      <c r="B58" s="311" t="s">
        <v>182</v>
      </c>
      <c r="C58" s="312">
        <v>1</v>
      </c>
      <c r="D58" s="313">
        <v>2107.84</v>
      </c>
      <c r="E58" s="314">
        <f t="shared" si="0"/>
        <v>2107.84</v>
      </c>
    </row>
    <row r="59" spans="1:5">
      <c r="A59" s="310">
        <v>51</v>
      </c>
      <c r="B59" s="311" t="s">
        <v>183</v>
      </c>
      <c r="C59" s="312">
        <v>1</v>
      </c>
      <c r="D59" s="313">
        <v>865.92</v>
      </c>
      <c r="E59" s="314">
        <f t="shared" si="0"/>
        <v>865.92</v>
      </c>
    </row>
    <row r="60" spans="1:5">
      <c r="A60" s="310">
        <v>52</v>
      </c>
      <c r="B60" s="311" t="s">
        <v>184</v>
      </c>
      <c r="C60" s="312">
        <v>1</v>
      </c>
      <c r="D60" s="313">
        <v>1906.17</v>
      </c>
      <c r="E60" s="314">
        <f t="shared" si="0"/>
        <v>1906.17</v>
      </c>
    </row>
    <row r="61" spans="1:5">
      <c r="A61" s="310">
        <v>53</v>
      </c>
      <c r="B61" s="311" t="s">
        <v>185</v>
      </c>
      <c r="C61" s="312">
        <v>1</v>
      </c>
      <c r="D61" s="313">
        <v>144.64</v>
      </c>
      <c r="E61" s="314">
        <f t="shared" si="0"/>
        <v>144.64</v>
      </c>
    </row>
    <row r="62" spans="1:5">
      <c r="A62" s="310">
        <v>54</v>
      </c>
      <c r="B62" s="311" t="s">
        <v>186</v>
      </c>
      <c r="C62" s="312">
        <v>1</v>
      </c>
      <c r="D62" s="313">
        <v>17644</v>
      </c>
      <c r="E62" s="314">
        <f t="shared" si="0"/>
        <v>17644</v>
      </c>
    </row>
    <row r="63" spans="1:5">
      <c r="A63" s="310">
        <v>55</v>
      </c>
      <c r="B63" s="311" t="s">
        <v>187</v>
      </c>
      <c r="C63" s="312">
        <v>1</v>
      </c>
      <c r="D63" s="315">
        <v>1161.67</v>
      </c>
      <c r="E63" s="314">
        <f t="shared" si="0"/>
        <v>1161.67</v>
      </c>
    </row>
    <row r="64" ht="52.5" customHeight="1" spans="1:5">
      <c r="A64" s="310">
        <v>56</v>
      </c>
      <c r="B64" s="311" t="s">
        <v>188</v>
      </c>
      <c r="C64" s="312">
        <v>2</v>
      </c>
      <c r="D64" s="313">
        <v>153.18</v>
      </c>
      <c r="E64" s="314">
        <f t="shared" si="0"/>
        <v>306.36</v>
      </c>
    </row>
    <row r="65" ht="63.75" spans="1:5">
      <c r="A65" s="310">
        <v>57</v>
      </c>
      <c r="B65" s="311" t="s">
        <v>189</v>
      </c>
      <c r="C65" s="312">
        <v>2</v>
      </c>
      <c r="D65" s="313">
        <v>160</v>
      </c>
      <c r="E65" s="314">
        <f t="shared" si="0"/>
        <v>320</v>
      </c>
    </row>
    <row r="66" spans="1:5">
      <c r="A66" s="310">
        <v>58</v>
      </c>
      <c r="B66" s="311" t="s">
        <v>190</v>
      </c>
      <c r="C66" s="312">
        <v>1</v>
      </c>
      <c r="D66" s="313">
        <v>1863.33</v>
      </c>
      <c r="E66" s="314">
        <f t="shared" si="0"/>
        <v>1863.33</v>
      </c>
    </row>
    <row r="67" spans="1:5">
      <c r="A67" s="316" t="s">
        <v>192</v>
      </c>
      <c r="B67" s="317"/>
      <c r="C67" s="317"/>
      <c r="D67" s="317"/>
      <c r="E67" s="318">
        <f>SUM(E9:E66)</f>
        <v>41672.4</v>
      </c>
    </row>
    <row r="68" ht="31.5" customHeight="1" spans="1:5">
      <c r="A68" s="319" t="s">
        <v>193</v>
      </c>
      <c r="B68" s="320"/>
      <c r="C68" s="320"/>
      <c r="D68" s="320"/>
      <c r="E68" s="321">
        <v>0.2</v>
      </c>
    </row>
    <row r="69" spans="1:5">
      <c r="A69" s="319" t="s">
        <v>194</v>
      </c>
      <c r="B69" s="320"/>
      <c r="C69" s="320"/>
      <c r="D69" s="320"/>
      <c r="E69" s="322">
        <f>ROUND(E67*E68,2)</f>
        <v>8334.48</v>
      </c>
    </row>
    <row r="70" ht="15.75" spans="1:5">
      <c r="A70" s="323" t="s">
        <v>195</v>
      </c>
      <c r="B70" s="324"/>
      <c r="C70" s="324"/>
      <c r="D70" s="324"/>
      <c r="E70" s="325">
        <f>E69/12</f>
        <v>694.54</v>
      </c>
    </row>
    <row r="71" ht="15.75" spans="1:5">
      <c r="A71" s="326" t="s">
        <v>200</v>
      </c>
      <c r="B71" s="327"/>
      <c r="C71" s="327"/>
      <c r="D71" s="327"/>
      <c r="E71" s="325">
        <f>E70/4</f>
        <v>173.635</v>
      </c>
    </row>
    <row r="72" spans="1:5">
      <c r="A72" s="328"/>
      <c r="B72" s="329"/>
      <c r="C72" s="328"/>
      <c r="D72" s="328"/>
      <c r="E72" s="328"/>
    </row>
    <row r="73" ht="147.75" customHeight="1" spans="1:5">
      <c r="A73" s="330" t="s">
        <v>201</v>
      </c>
      <c r="B73" s="330"/>
      <c r="C73" s="330"/>
      <c r="D73" s="330"/>
      <c r="E73" s="330"/>
    </row>
    <row r="74" spans="1:5">
      <c r="A74" s="331"/>
      <c r="B74" s="331"/>
      <c r="C74" s="331"/>
      <c r="D74" s="331"/>
      <c r="E74" s="331"/>
    </row>
    <row r="75" ht="15.75" spans="1:5">
      <c r="A75" s="306"/>
      <c r="B75" s="306"/>
      <c r="C75" s="306"/>
      <c r="D75" s="306"/>
      <c r="E75" s="306"/>
    </row>
    <row r="76" spans="1:5">
      <c r="A76" s="332"/>
      <c r="B76" s="333"/>
      <c r="C76" s="333"/>
      <c r="D76" s="333"/>
      <c r="E76" s="334"/>
    </row>
  </sheetData>
  <mergeCells count="13">
    <mergeCell ref="A1:E1"/>
    <mergeCell ref="A2:E2"/>
    <mergeCell ref="A4:E4"/>
    <mergeCell ref="A5:E5"/>
    <mergeCell ref="A6:E6"/>
    <mergeCell ref="A7:E7"/>
    <mergeCell ref="A67:D67"/>
    <mergeCell ref="A68:D68"/>
    <mergeCell ref="A69:D69"/>
    <mergeCell ref="A70:D70"/>
    <mergeCell ref="A71:D71"/>
    <mergeCell ref="A73:E73"/>
    <mergeCell ref="A75:E75"/>
  </mergeCells>
  <pageMargins left="0.511805555555556" right="0.511805555555556" top="0.786805555555556" bottom="0.786805555555556" header="0.314583333333333" footer="0.314583333333333"/>
  <pageSetup paperSize="9" scale="83"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1"/>
  <sheetViews>
    <sheetView view="pageLayout" zoomScaleSheetLayoutView="115" zoomScaleNormal="100" topLeftCell="A146" workbookViewId="0">
      <selection activeCell="J152" sqref="J152"/>
    </sheetView>
  </sheetViews>
  <sheetFormatPr defaultColWidth="9" defaultRowHeight="15"/>
  <cols>
    <col min="1" max="1" width="5.42857142857143" customWidth="1"/>
    <col min="2" max="2" width="10.7142857142857" style="274" customWidth="1"/>
    <col min="3" max="3" width="11.1428571428571" customWidth="1"/>
    <col min="4" max="4" width="14.7142857142857" customWidth="1"/>
    <col min="5" max="5" width="10.4285714285714" customWidth="1"/>
    <col min="6" max="6" width="11.4285714285714" customWidth="1"/>
    <col min="7" max="7" width="10.4285714285714" customWidth="1"/>
    <col min="8" max="8" width="14.7142857142857" customWidth="1"/>
    <col min="10" max="10" width="14.1428571428571" customWidth="1"/>
    <col min="11" max="11" width="12" customWidth="1"/>
    <col min="12" max="12" width="11.5714285714286" customWidth="1"/>
  </cols>
  <sheetData>
    <row r="1" ht="18.75" customHeight="1" spans="1:13">
      <c r="A1" s="1" t="s">
        <v>0</v>
      </c>
      <c r="B1" s="1"/>
      <c r="C1" s="1"/>
      <c r="D1" s="1"/>
      <c r="E1" s="1"/>
      <c r="F1" s="1"/>
      <c r="G1" s="1"/>
      <c r="H1" s="1"/>
      <c r="I1" s="39"/>
      <c r="J1" s="39"/>
      <c r="K1" s="39"/>
      <c r="L1" s="39"/>
      <c r="M1" s="39"/>
    </row>
    <row r="2" ht="18.75" spans="1:13">
      <c r="A2" s="2" t="s">
        <v>1</v>
      </c>
      <c r="B2" s="2"/>
      <c r="C2" s="2"/>
      <c r="D2" s="2"/>
      <c r="E2" s="2"/>
      <c r="F2" s="2"/>
      <c r="G2" s="2"/>
      <c r="H2" s="2"/>
      <c r="I2" s="40"/>
      <c r="J2" s="40"/>
      <c r="K2" s="40"/>
      <c r="L2" s="40"/>
      <c r="M2" s="40"/>
    </row>
    <row r="4" customHeight="1" spans="1:13">
      <c r="A4" s="105" t="s">
        <v>202</v>
      </c>
      <c r="B4" s="105"/>
      <c r="C4" s="105"/>
      <c r="D4" s="105"/>
      <c r="E4" s="105"/>
      <c r="F4" s="105"/>
      <c r="G4" s="105"/>
      <c r="H4" s="105"/>
      <c r="I4" s="294"/>
      <c r="J4" s="294"/>
      <c r="K4" s="294"/>
      <c r="L4" s="294"/>
      <c r="M4" s="294"/>
    </row>
    <row r="5" ht="53.25" customHeight="1" spans="1:13">
      <c r="A5" s="275" t="s">
        <v>2</v>
      </c>
      <c r="B5" s="275"/>
      <c r="C5" s="275"/>
      <c r="D5" s="275"/>
      <c r="E5" s="275"/>
      <c r="F5" s="275"/>
      <c r="G5" s="275"/>
      <c r="H5" s="275"/>
      <c r="I5" s="295"/>
      <c r="J5" s="295"/>
      <c r="K5" s="295"/>
      <c r="L5" s="295"/>
      <c r="M5" s="295"/>
    </row>
    <row r="6" spans="1:13">
      <c r="A6" s="276" t="s">
        <v>203</v>
      </c>
      <c r="B6" s="276"/>
      <c r="C6" s="276"/>
      <c r="D6" s="276"/>
      <c r="E6" s="276"/>
      <c r="F6" s="276"/>
      <c r="G6" s="276"/>
      <c r="H6" s="276"/>
      <c r="I6" s="295"/>
      <c r="J6" s="295"/>
      <c r="K6" s="295"/>
      <c r="L6" s="295"/>
      <c r="M6" s="295"/>
    </row>
    <row r="7" ht="36" spans="1:8">
      <c r="A7" s="277" t="s">
        <v>43</v>
      </c>
      <c r="B7" s="278" t="s">
        <v>204</v>
      </c>
      <c r="C7" s="279" t="s">
        <v>205</v>
      </c>
      <c r="D7" s="280" t="s">
        <v>206</v>
      </c>
      <c r="E7" s="281" t="s">
        <v>207</v>
      </c>
      <c r="F7" s="282" t="s">
        <v>208</v>
      </c>
      <c r="G7" s="280" t="s">
        <v>209</v>
      </c>
      <c r="H7" s="282" t="s">
        <v>210</v>
      </c>
    </row>
    <row r="8" spans="1:8">
      <c r="A8" s="283" t="s">
        <v>211</v>
      </c>
      <c r="B8" s="283"/>
      <c r="C8" s="283"/>
      <c r="D8" s="283"/>
      <c r="E8" s="283"/>
      <c r="F8" s="283"/>
      <c r="G8" s="283"/>
      <c r="H8" s="283"/>
    </row>
    <row r="9" spans="1:8">
      <c r="A9" s="284">
        <v>1</v>
      </c>
      <c r="B9" s="285" t="s">
        <v>212</v>
      </c>
      <c r="C9" s="285" t="s">
        <v>213</v>
      </c>
      <c r="D9" s="286">
        <v>150</v>
      </c>
      <c r="E9" s="287" t="s">
        <v>214</v>
      </c>
      <c r="F9" s="288" t="s">
        <v>215</v>
      </c>
      <c r="G9" s="288" t="s">
        <v>215</v>
      </c>
      <c r="H9" s="289" t="s">
        <v>216</v>
      </c>
    </row>
    <row r="10" spans="1:8">
      <c r="A10" s="284">
        <v>2</v>
      </c>
      <c r="B10" s="285" t="s">
        <v>212</v>
      </c>
      <c r="C10" s="285"/>
      <c r="D10" s="286">
        <v>150</v>
      </c>
      <c r="E10" s="287" t="s">
        <v>214</v>
      </c>
      <c r="F10" s="288" t="s">
        <v>215</v>
      </c>
      <c r="G10" s="288" t="s">
        <v>215</v>
      </c>
      <c r="H10" s="289" t="s">
        <v>216</v>
      </c>
    </row>
    <row r="11" spans="1:8">
      <c r="A11" s="284">
        <v>3</v>
      </c>
      <c r="B11" s="285" t="s">
        <v>212</v>
      </c>
      <c r="C11" s="285"/>
      <c r="D11" s="286">
        <v>150</v>
      </c>
      <c r="E11" s="287" t="s">
        <v>214</v>
      </c>
      <c r="F11" s="288" t="s">
        <v>215</v>
      </c>
      <c r="G11" s="288" t="s">
        <v>217</v>
      </c>
      <c r="H11" s="289" t="s">
        <v>216</v>
      </c>
    </row>
    <row r="12" spans="1:8">
      <c r="A12" s="284">
        <v>4</v>
      </c>
      <c r="B12" s="285" t="s">
        <v>212</v>
      </c>
      <c r="C12" s="285"/>
      <c r="D12" s="286">
        <v>100</v>
      </c>
      <c r="E12" s="287" t="s">
        <v>214</v>
      </c>
      <c r="F12" s="288" t="s">
        <v>215</v>
      </c>
      <c r="G12" s="288" t="s">
        <v>217</v>
      </c>
      <c r="H12" s="289" t="s">
        <v>216</v>
      </c>
    </row>
    <row r="13" spans="1:8">
      <c r="A13" s="284">
        <v>5</v>
      </c>
      <c r="B13" s="285" t="s">
        <v>212</v>
      </c>
      <c r="C13" s="285"/>
      <c r="D13" s="286">
        <v>100</v>
      </c>
      <c r="E13" s="287" t="s">
        <v>214</v>
      </c>
      <c r="F13" s="288" t="s">
        <v>215</v>
      </c>
      <c r="G13" s="288" t="s">
        <v>217</v>
      </c>
      <c r="H13" s="289" t="s">
        <v>216</v>
      </c>
    </row>
    <row r="14" spans="1:8">
      <c r="A14" s="284">
        <v>6</v>
      </c>
      <c r="B14" s="285" t="s">
        <v>218</v>
      </c>
      <c r="C14" s="290" t="s">
        <v>219</v>
      </c>
      <c r="D14" s="286">
        <v>3</v>
      </c>
      <c r="E14" s="287" t="s">
        <v>220</v>
      </c>
      <c r="F14" s="288" t="s">
        <v>217</v>
      </c>
      <c r="G14" s="288" t="s">
        <v>215</v>
      </c>
      <c r="H14" s="289" t="s">
        <v>216</v>
      </c>
    </row>
    <row r="15" spans="1:8">
      <c r="A15" s="284">
        <v>7</v>
      </c>
      <c r="B15" s="285" t="s">
        <v>221</v>
      </c>
      <c r="C15" s="290" t="s">
        <v>213</v>
      </c>
      <c r="D15" s="286">
        <v>15</v>
      </c>
      <c r="E15" s="287" t="s">
        <v>214</v>
      </c>
      <c r="F15" s="288" t="s">
        <v>215</v>
      </c>
      <c r="G15" s="288" t="s">
        <v>215</v>
      </c>
      <c r="H15" s="289" t="s">
        <v>216</v>
      </c>
    </row>
    <row r="16" spans="1:8">
      <c r="A16" s="283" t="s">
        <v>222</v>
      </c>
      <c r="B16" s="283"/>
      <c r="C16" s="283"/>
      <c r="D16" s="283"/>
      <c r="E16" s="283"/>
      <c r="F16" s="283"/>
      <c r="G16" s="283"/>
      <c r="H16" s="283"/>
    </row>
    <row r="17" spans="1:8">
      <c r="A17" s="284">
        <v>1</v>
      </c>
      <c r="B17" s="285" t="s">
        <v>212</v>
      </c>
      <c r="C17" s="291" t="s">
        <v>213</v>
      </c>
      <c r="D17" s="286">
        <v>225</v>
      </c>
      <c r="E17" s="287" t="s">
        <v>214</v>
      </c>
      <c r="F17" s="288" t="s">
        <v>215</v>
      </c>
      <c r="G17" s="288" t="s">
        <v>215</v>
      </c>
      <c r="H17" s="289" t="s">
        <v>216</v>
      </c>
    </row>
    <row r="18" spans="1:8">
      <c r="A18" s="284">
        <v>2</v>
      </c>
      <c r="B18" s="285" t="s">
        <v>212</v>
      </c>
      <c r="C18" s="291"/>
      <c r="D18" s="286">
        <v>225</v>
      </c>
      <c r="E18" s="287" t="s">
        <v>214</v>
      </c>
      <c r="F18" s="288" t="s">
        <v>215</v>
      </c>
      <c r="G18" s="288" t="s">
        <v>217</v>
      </c>
      <c r="H18" s="289" t="s">
        <v>216</v>
      </c>
    </row>
    <row r="19" spans="1:8">
      <c r="A19" s="283" t="s">
        <v>223</v>
      </c>
      <c r="B19" s="283"/>
      <c r="C19" s="283"/>
      <c r="D19" s="283"/>
      <c r="E19" s="283"/>
      <c r="F19" s="283"/>
      <c r="G19" s="283"/>
      <c r="H19" s="283"/>
    </row>
    <row r="20" spans="1:8">
      <c r="A20" s="284">
        <v>1</v>
      </c>
      <c r="B20" s="285" t="s">
        <v>212</v>
      </c>
      <c r="C20" s="292" t="s">
        <v>224</v>
      </c>
      <c r="D20" s="286">
        <v>15</v>
      </c>
      <c r="E20" s="287" t="s">
        <v>214</v>
      </c>
      <c r="F20" s="288" t="s">
        <v>217</v>
      </c>
      <c r="G20" s="288" t="s">
        <v>215</v>
      </c>
      <c r="H20" s="289" t="s">
        <v>216</v>
      </c>
    </row>
    <row r="21" spans="1:8">
      <c r="A21" s="284">
        <v>2</v>
      </c>
      <c r="B21" s="285" t="s">
        <v>212</v>
      </c>
      <c r="C21" s="292" t="s">
        <v>224</v>
      </c>
      <c r="D21" s="286">
        <v>15</v>
      </c>
      <c r="E21" s="287" t="s">
        <v>214</v>
      </c>
      <c r="F21" s="288" t="s">
        <v>217</v>
      </c>
      <c r="G21" s="288" t="s">
        <v>215</v>
      </c>
      <c r="H21" s="289" t="s">
        <v>216</v>
      </c>
    </row>
    <row r="22" spans="1:8">
      <c r="A22" s="284">
        <v>3</v>
      </c>
      <c r="B22" s="285" t="s">
        <v>212</v>
      </c>
      <c r="C22" s="292" t="s">
        <v>224</v>
      </c>
      <c r="D22" s="286">
        <v>15</v>
      </c>
      <c r="E22" s="287" t="s">
        <v>214</v>
      </c>
      <c r="F22" s="288" t="s">
        <v>217</v>
      </c>
      <c r="G22" s="288" t="s">
        <v>215</v>
      </c>
      <c r="H22" s="289" t="s">
        <v>216</v>
      </c>
    </row>
    <row r="23" spans="1:8">
      <c r="A23" s="284">
        <v>4</v>
      </c>
      <c r="B23" s="285" t="s">
        <v>212</v>
      </c>
      <c r="C23" s="292" t="s">
        <v>224</v>
      </c>
      <c r="D23" s="286">
        <v>15</v>
      </c>
      <c r="E23" s="287" t="s">
        <v>214</v>
      </c>
      <c r="F23" s="288" t="s">
        <v>217</v>
      </c>
      <c r="G23" s="288" t="s">
        <v>215</v>
      </c>
      <c r="H23" s="289" t="s">
        <v>216</v>
      </c>
    </row>
    <row r="24" spans="1:8">
      <c r="A24" s="284">
        <v>5</v>
      </c>
      <c r="B24" s="285" t="s">
        <v>212</v>
      </c>
      <c r="C24" s="292" t="s">
        <v>224</v>
      </c>
      <c r="D24" s="286">
        <v>15</v>
      </c>
      <c r="E24" s="287" t="s">
        <v>214</v>
      </c>
      <c r="F24" s="288" t="s">
        <v>217</v>
      </c>
      <c r="G24" s="288" t="s">
        <v>215</v>
      </c>
      <c r="H24" s="289" t="s">
        <v>216</v>
      </c>
    </row>
    <row r="25" spans="1:8">
      <c r="A25" s="284">
        <v>6</v>
      </c>
      <c r="B25" s="285" t="s">
        <v>212</v>
      </c>
      <c r="C25" s="292" t="s">
        <v>224</v>
      </c>
      <c r="D25" s="286">
        <v>15</v>
      </c>
      <c r="E25" s="287" t="s">
        <v>214</v>
      </c>
      <c r="F25" s="288" t="s">
        <v>217</v>
      </c>
      <c r="G25" s="288" t="s">
        <v>215</v>
      </c>
      <c r="H25" s="289" t="s">
        <v>216</v>
      </c>
    </row>
    <row r="26" spans="1:8">
      <c r="A26" s="284">
        <v>7</v>
      </c>
      <c r="B26" s="285" t="s">
        <v>212</v>
      </c>
      <c r="C26" s="292" t="s">
        <v>224</v>
      </c>
      <c r="D26" s="286">
        <v>15</v>
      </c>
      <c r="E26" s="287" t="s">
        <v>214</v>
      </c>
      <c r="F26" s="288" t="s">
        <v>217</v>
      </c>
      <c r="G26" s="288" t="s">
        <v>215</v>
      </c>
      <c r="H26" s="289" t="s">
        <v>216</v>
      </c>
    </row>
    <row r="27" spans="1:8">
      <c r="A27" s="284">
        <v>8</v>
      </c>
      <c r="B27" s="285" t="s">
        <v>212</v>
      </c>
      <c r="C27" s="292" t="s">
        <v>224</v>
      </c>
      <c r="D27" s="286">
        <v>15</v>
      </c>
      <c r="E27" s="287" t="s">
        <v>214</v>
      </c>
      <c r="F27" s="288" t="s">
        <v>217</v>
      </c>
      <c r="G27" s="288" t="s">
        <v>215</v>
      </c>
      <c r="H27" s="289" t="s">
        <v>216</v>
      </c>
    </row>
    <row r="28" spans="1:8">
      <c r="A28" s="284">
        <v>9</v>
      </c>
      <c r="B28" s="285" t="s">
        <v>212</v>
      </c>
      <c r="C28" s="292" t="s">
        <v>224</v>
      </c>
      <c r="D28" s="286">
        <v>15</v>
      </c>
      <c r="E28" s="287" t="s">
        <v>214</v>
      </c>
      <c r="F28" s="288" t="s">
        <v>217</v>
      </c>
      <c r="G28" s="288" t="s">
        <v>215</v>
      </c>
      <c r="H28" s="289" t="s">
        <v>216</v>
      </c>
    </row>
    <row r="29" spans="1:8">
      <c r="A29" s="284">
        <v>10</v>
      </c>
      <c r="B29" s="285" t="s">
        <v>212</v>
      </c>
      <c r="C29" s="292" t="s">
        <v>224</v>
      </c>
      <c r="D29" s="286">
        <v>15</v>
      </c>
      <c r="E29" s="287" t="s">
        <v>214</v>
      </c>
      <c r="F29" s="288" t="s">
        <v>217</v>
      </c>
      <c r="G29" s="288" t="s">
        <v>215</v>
      </c>
      <c r="H29" s="289" t="s">
        <v>216</v>
      </c>
    </row>
    <row r="30" spans="1:8">
      <c r="A30" s="284">
        <v>11</v>
      </c>
      <c r="B30" s="285" t="s">
        <v>212</v>
      </c>
      <c r="C30" s="292" t="s">
        <v>224</v>
      </c>
      <c r="D30" s="286">
        <v>15</v>
      </c>
      <c r="E30" s="287" t="s">
        <v>214</v>
      </c>
      <c r="F30" s="288" t="s">
        <v>217</v>
      </c>
      <c r="G30" s="288" t="s">
        <v>215</v>
      </c>
      <c r="H30" s="289" t="s">
        <v>216</v>
      </c>
    </row>
    <row r="31" spans="1:8">
      <c r="A31" s="284">
        <v>12</v>
      </c>
      <c r="B31" s="285" t="s">
        <v>212</v>
      </c>
      <c r="C31" s="292" t="s">
        <v>224</v>
      </c>
      <c r="D31" s="286">
        <v>15</v>
      </c>
      <c r="E31" s="287" t="s">
        <v>214</v>
      </c>
      <c r="F31" s="288" t="s">
        <v>217</v>
      </c>
      <c r="G31" s="288" t="s">
        <v>217</v>
      </c>
      <c r="H31" s="289" t="s">
        <v>216</v>
      </c>
    </row>
    <row r="32" spans="1:8">
      <c r="A32" s="284">
        <v>13</v>
      </c>
      <c r="B32" s="285" t="s">
        <v>212</v>
      </c>
      <c r="C32" s="292" t="s">
        <v>224</v>
      </c>
      <c r="D32" s="286">
        <v>15</v>
      </c>
      <c r="E32" s="287" t="s">
        <v>214</v>
      </c>
      <c r="F32" s="288" t="s">
        <v>217</v>
      </c>
      <c r="G32" s="288" t="s">
        <v>217</v>
      </c>
      <c r="H32" s="289" t="s">
        <v>216</v>
      </c>
    </row>
    <row r="33" spans="1:8">
      <c r="A33" s="284">
        <v>14</v>
      </c>
      <c r="B33" s="285" t="s">
        <v>212</v>
      </c>
      <c r="C33" s="292" t="s">
        <v>224</v>
      </c>
      <c r="D33" s="286">
        <v>15</v>
      </c>
      <c r="E33" s="287" t="s">
        <v>214</v>
      </c>
      <c r="F33" s="288" t="s">
        <v>217</v>
      </c>
      <c r="G33" s="288" t="s">
        <v>217</v>
      </c>
      <c r="H33" s="289" t="s">
        <v>216</v>
      </c>
    </row>
    <row r="34" spans="1:8">
      <c r="A34" s="284">
        <v>15</v>
      </c>
      <c r="B34" s="285" t="s">
        <v>212</v>
      </c>
      <c r="C34" s="292" t="s">
        <v>224</v>
      </c>
      <c r="D34" s="286">
        <v>15</v>
      </c>
      <c r="E34" s="287" t="s">
        <v>214</v>
      </c>
      <c r="F34" s="288" t="s">
        <v>217</v>
      </c>
      <c r="G34" s="288" t="s">
        <v>217</v>
      </c>
      <c r="H34" s="289" t="s">
        <v>216</v>
      </c>
    </row>
    <row r="35" spans="1:8">
      <c r="A35" s="284">
        <v>16</v>
      </c>
      <c r="B35" s="285" t="s">
        <v>212</v>
      </c>
      <c r="C35" s="292" t="s">
        <v>224</v>
      </c>
      <c r="D35" s="286">
        <v>15</v>
      </c>
      <c r="E35" s="287" t="s">
        <v>214</v>
      </c>
      <c r="F35" s="288" t="s">
        <v>217</v>
      </c>
      <c r="G35" s="288" t="s">
        <v>217</v>
      </c>
      <c r="H35" s="289" t="s">
        <v>216</v>
      </c>
    </row>
    <row r="36" spans="1:8">
      <c r="A36" s="284">
        <v>17</v>
      </c>
      <c r="B36" s="285" t="s">
        <v>212</v>
      </c>
      <c r="C36" s="292" t="s">
        <v>224</v>
      </c>
      <c r="D36" s="286">
        <v>15</v>
      </c>
      <c r="E36" s="287" t="s">
        <v>214</v>
      </c>
      <c r="F36" s="288" t="s">
        <v>217</v>
      </c>
      <c r="G36" s="288" t="s">
        <v>217</v>
      </c>
      <c r="H36" s="289" t="s">
        <v>216</v>
      </c>
    </row>
    <row r="37" spans="1:8">
      <c r="A37" s="284">
        <v>18</v>
      </c>
      <c r="B37" s="285" t="s">
        <v>212</v>
      </c>
      <c r="C37" s="292" t="s">
        <v>224</v>
      </c>
      <c r="D37" s="286">
        <v>15</v>
      </c>
      <c r="E37" s="287" t="s">
        <v>214</v>
      </c>
      <c r="F37" s="288" t="s">
        <v>217</v>
      </c>
      <c r="G37" s="288" t="s">
        <v>217</v>
      </c>
      <c r="H37" s="289" t="s">
        <v>216</v>
      </c>
    </row>
    <row r="38" spans="1:8">
      <c r="A38" s="284">
        <v>19</v>
      </c>
      <c r="B38" s="285" t="s">
        <v>212</v>
      </c>
      <c r="C38" s="292" t="s">
        <v>224</v>
      </c>
      <c r="D38" s="286">
        <v>15</v>
      </c>
      <c r="E38" s="287" t="s">
        <v>214</v>
      </c>
      <c r="F38" s="288" t="s">
        <v>217</v>
      </c>
      <c r="G38" s="288" t="s">
        <v>217</v>
      </c>
      <c r="H38" s="289" t="s">
        <v>216</v>
      </c>
    </row>
    <row r="39" spans="1:8">
      <c r="A39" s="284">
        <v>20</v>
      </c>
      <c r="B39" s="285" t="s">
        <v>212</v>
      </c>
      <c r="C39" s="292" t="s">
        <v>224</v>
      </c>
      <c r="D39" s="286">
        <v>15</v>
      </c>
      <c r="E39" s="287" t="s">
        <v>214</v>
      </c>
      <c r="F39" s="288" t="s">
        <v>217</v>
      </c>
      <c r="G39" s="288" t="s">
        <v>217</v>
      </c>
      <c r="H39" s="289" t="s">
        <v>216</v>
      </c>
    </row>
    <row r="40" spans="1:8">
      <c r="A40" s="284">
        <v>21</v>
      </c>
      <c r="B40" s="285" t="s">
        <v>212</v>
      </c>
      <c r="C40" s="292" t="s">
        <v>224</v>
      </c>
      <c r="D40" s="286">
        <v>15</v>
      </c>
      <c r="E40" s="287" t="s">
        <v>214</v>
      </c>
      <c r="F40" s="288" t="s">
        <v>217</v>
      </c>
      <c r="G40" s="288" t="s">
        <v>217</v>
      </c>
      <c r="H40" s="289" t="s">
        <v>216</v>
      </c>
    </row>
    <row r="41" spans="1:8">
      <c r="A41" s="284">
        <v>22</v>
      </c>
      <c r="B41" s="285" t="s">
        <v>212</v>
      </c>
      <c r="C41" s="292" t="s">
        <v>224</v>
      </c>
      <c r="D41" s="286">
        <v>15</v>
      </c>
      <c r="E41" s="287" t="s">
        <v>214</v>
      </c>
      <c r="F41" s="288" t="s">
        <v>217</v>
      </c>
      <c r="G41" s="288" t="s">
        <v>217</v>
      </c>
      <c r="H41" s="289" t="s">
        <v>216</v>
      </c>
    </row>
    <row r="42" spans="1:8">
      <c r="A42" s="284">
        <v>23</v>
      </c>
      <c r="B42" s="285" t="s">
        <v>212</v>
      </c>
      <c r="C42" s="292" t="s">
        <v>224</v>
      </c>
      <c r="D42" s="286">
        <v>15</v>
      </c>
      <c r="E42" s="287" t="s">
        <v>214</v>
      </c>
      <c r="F42" s="288" t="s">
        <v>217</v>
      </c>
      <c r="G42" s="288" t="s">
        <v>217</v>
      </c>
      <c r="H42" s="289" t="s">
        <v>216</v>
      </c>
    </row>
    <row r="43" spans="1:8">
      <c r="A43" s="284">
        <v>24</v>
      </c>
      <c r="B43" s="285" t="s">
        <v>212</v>
      </c>
      <c r="C43" s="292" t="s">
        <v>224</v>
      </c>
      <c r="D43" s="286">
        <v>15</v>
      </c>
      <c r="E43" s="287" t="s">
        <v>214</v>
      </c>
      <c r="F43" s="288" t="s">
        <v>217</v>
      </c>
      <c r="G43" s="288" t="s">
        <v>217</v>
      </c>
      <c r="H43" s="289" t="s">
        <v>216</v>
      </c>
    </row>
    <row r="44" spans="1:8">
      <c r="A44" s="284">
        <v>25</v>
      </c>
      <c r="B44" s="285" t="s">
        <v>212</v>
      </c>
      <c r="C44" s="292" t="s">
        <v>224</v>
      </c>
      <c r="D44" s="286">
        <v>15</v>
      </c>
      <c r="E44" s="287" t="s">
        <v>214</v>
      </c>
      <c r="F44" s="288" t="s">
        <v>217</v>
      </c>
      <c r="G44" s="288" t="s">
        <v>217</v>
      </c>
      <c r="H44" s="289" t="s">
        <v>216</v>
      </c>
    </row>
    <row r="45" spans="1:8">
      <c r="A45" s="284">
        <v>26</v>
      </c>
      <c r="B45" s="285" t="s">
        <v>212</v>
      </c>
      <c r="C45" s="292" t="s">
        <v>224</v>
      </c>
      <c r="D45" s="286">
        <v>15</v>
      </c>
      <c r="E45" s="287" t="s">
        <v>214</v>
      </c>
      <c r="F45" s="288" t="s">
        <v>217</v>
      </c>
      <c r="G45" s="288" t="s">
        <v>217</v>
      </c>
      <c r="H45" s="289" t="s">
        <v>216</v>
      </c>
    </row>
    <row r="46" spans="1:8">
      <c r="A46" s="284">
        <v>27</v>
      </c>
      <c r="B46" s="285" t="s">
        <v>212</v>
      </c>
      <c r="C46" s="292" t="s">
        <v>224</v>
      </c>
      <c r="D46" s="286">
        <v>15</v>
      </c>
      <c r="E46" s="287" t="s">
        <v>214</v>
      </c>
      <c r="F46" s="288" t="s">
        <v>217</v>
      </c>
      <c r="G46" s="288" t="s">
        <v>217</v>
      </c>
      <c r="H46" s="289" t="s">
        <v>216</v>
      </c>
    </row>
    <row r="47" spans="1:8">
      <c r="A47" s="284">
        <v>28</v>
      </c>
      <c r="B47" s="285" t="s">
        <v>212</v>
      </c>
      <c r="C47" s="292" t="s">
        <v>224</v>
      </c>
      <c r="D47" s="286">
        <v>15</v>
      </c>
      <c r="E47" s="287" t="s">
        <v>214</v>
      </c>
      <c r="F47" s="288" t="s">
        <v>217</v>
      </c>
      <c r="G47" s="288" t="s">
        <v>217</v>
      </c>
      <c r="H47" s="289" t="s">
        <v>216</v>
      </c>
    </row>
    <row r="48" spans="1:8">
      <c r="A48" s="284">
        <v>29</v>
      </c>
      <c r="B48" s="285" t="s">
        <v>212</v>
      </c>
      <c r="C48" s="292" t="s">
        <v>224</v>
      </c>
      <c r="D48" s="286">
        <v>15</v>
      </c>
      <c r="E48" s="287" t="s">
        <v>214</v>
      </c>
      <c r="F48" s="288" t="s">
        <v>217</v>
      </c>
      <c r="G48" s="288" t="s">
        <v>217</v>
      </c>
      <c r="H48" s="289" t="s">
        <v>216</v>
      </c>
    </row>
    <row r="49" spans="1:8">
      <c r="A49" s="284">
        <v>30</v>
      </c>
      <c r="B49" s="285" t="s">
        <v>212</v>
      </c>
      <c r="C49" s="292" t="s">
        <v>224</v>
      </c>
      <c r="D49" s="286">
        <v>15</v>
      </c>
      <c r="E49" s="287" t="s">
        <v>214</v>
      </c>
      <c r="F49" s="288" t="s">
        <v>217</v>
      </c>
      <c r="G49" s="288" t="s">
        <v>217</v>
      </c>
      <c r="H49" s="289" t="s">
        <v>216</v>
      </c>
    </row>
    <row r="50" spans="1:8">
      <c r="A50" s="284">
        <v>31</v>
      </c>
      <c r="B50" s="285" t="s">
        <v>212</v>
      </c>
      <c r="C50" s="292" t="s">
        <v>224</v>
      </c>
      <c r="D50" s="286">
        <v>15</v>
      </c>
      <c r="E50" s="287" t="s">
        <v>214</v>
      </c>
      <c r="F50" s="288" t="s">
        <v>217</v>
      </c>
      <c r="G50" s="288" t="s">
        <v>217</v>
      </c>
      <c r="H50" s="289" t="s">
        <v>216</v>
      </c>
    </row>
    <row r="51" spans="1:8">
      <c r="A51" s="284">
        <v>32</v>
      </c>
      <c r="B51" s="285" t="s">
        <v>212</v>
      </c>
      <c r="C51" s="292" t="s">
        <v>224</v>
      </c>
      <c r="D51" s="286">
        <v>15</v>
      </c>
      <c r="E51" s="287" t="s">
        <v>214</v>
      </c>
      <c r="F51" s="288" t="s">
        <v>217</v>
      </c>
      <c r="G51" s="288" t="s">
        <v>217</v>
      </c>
      <c r="H51" s="289" t="s">
        <v>216</v>
      </c>
    </row>
    <row r="52" spans="1:8">
      <c r="A52" s="284">
        <v>33</v>
      </c>
      <c r="B52" s="285" t="s">
        <v>212</v>
      </c>
      <c r="C52" s="292" t="s">
        <v>224</v>
      </c>
      <c r="D52" s="286">
        <v>15</v>
      </c>
      <c r="E52" s="287" t="s">
        <v>214</v>
      </c>
      <c r="F52" s="288" t="s">
        <v>217</v>
      </c>
      <c r="G52" s="288" t="s">
        <v>217</v>
      </c>
      <c r="H52" s="289" t="s">
        <v>216</v>
      </c>
    </row>
    <row r="53" spans="1:8">
      <c r="A53" s="284">
        <v>34</v>
      </c>
      <c r="B53" s="285" t="s">
        <v>212</v>
      </c>
      <c r="C53" s="292" t="s">
        <v>224</v>
      </c>
      <c r="D53" s="286">
        <v>15</v>
      </c>
      <c r="E53" s="287" t="s">
        <v>214</v>
      </c>
      <c r="F53" s="288" t="s">
        <v>217</v>
      </c>
      <c r="G53" s="288" t="s">
        <v>217</v>
      </c>
      <c r="H53" s="289" t="s">
        <v>216</v>
      </c>
    </row>
    <row r="54" spans="1:8">
      <c r="A54" s="284">
        <v>35</v>
      </c>
      <c r="B54" s="285" t="s">
        <v>212</v>
      </c>
      <c r="C54" s="292" t="s">
        <v>224</v>
      </c>
      <c r="D54" s="286">
        <v>15</v>
      </c>
      <c r="E54" s="287" t="s">
        <v>214</v>
      </c>
      <c r="F54" s="288" t="s">
        <v>217</v>
      </c>
      <c r="G54" s="288" t="s">
        <v>217</v>
      </c>
      <c r="H54" s="289" t="s">
        <v>216</v>
      </c>
    </row>
    <row r="55" spans="1:8">
      <c r="A55" s="284">
        <v>36</v>
      </c>
      <c r="B55" s="285" t="s">
        <v>212</v>
      </c>
      <c r="C55" s="292" t="s">
        <v>224</v>
      </c>
      <c r="D55" s="286">
        <v>15</v>
      </c>
      <c r="E55" s="287" t="s">
        <v>214</v>
      </c>
      <c r="F55" s="288" t="s">
        <v>217</v>
      </c>
      <c r="G55" s="288" t="s">
        <v>217</v>
      </c>
      <c r="H55" s="289" t="s">
        <v>216</v>
      </c>
    </row>
    <row r="56" spans="1:8">
      <c r="A56" s="284">
        <v>37</v>
      </c>
      <c r="B56" s="285" t="s">
        <v>212</v>
      </c>
      <c r="C56" s="292" t="s">
        <v>224</v>
      </c>
      <c r="D56" s="286">
        <v>15</v>
      </c>
      <c r="E56" s="287" t="s">
        <v>214</v>
      </c>
      <c r="F56" s="288" t="s">
        <v>217</v>
      </c>
      <c r="G56" s="288" t="s">
        <v>217</v>
      </c>
      <c r="H56" s="289" t="s">
        <v>216</v>
      </c>
    </row>
    <row r="57" spans="1:8">
      <c r="A57" s="284">
        <v>38</v>
      </c>
      <c r="B57" s="285" t="s">
        <v>212</v>
      </c>
      <c r="C57" s="292" t="s">
        <v>224</v>
      </c>
      <c r="D57" s="286">
        <v>15</v>
      </c>
      <c r="E57" s="287" t="s">
        <v>214</v>
      </c>
      <c r="F57" s="288" t="s">
        <v>217</v>
      </c>
      <c r="G57" s="288" t="s">
        <v>217</v>
      </c>
      <c r="H57" s="289" t="s">
        <v>216</v>
      </c>
    </row>
    <row r="58" spans="1:8">
      <c r="A58" s="284">
        <v>39</v>
      </c>
      <c r="B58" s="285" t="s">
        <v>212</v>
      </c>
      <c r="C58" s="292" t="s">
        <v>224</v>
      </c>
      <c r="D58" s="286">
        <v>15</v>
      </c>
      <c r="E58" s="287" t="s">
        <v>214</v>
      </c>
      <c r="F58" s="288" t="s">
        <v>217</v>
      </c>
      <c r="G58" s="288" t="s">
        <v>217</v>
      </c>
      <c r="H58" s="289" t="s">
        <v>216</v>
      </c>
    </row>
    <row r="59" spans="1:8">
      <c r="A59" s="284">
        <v>40</v>
      </c>
      <c r="B59" s="285" t="s">
        <v>212</v>
      </c>
      <c r="C59" s="292" t="s">
        <v>224</v>
      </c>
      <c r="D59" s="286">
        <v>15</v>
      </c>
      <c r="E59" s="287" t="s">
        <v>214</v>
      </c>
      <c r="F59" s="288" t="s">
        <v>217</v>
      </c>
      <c r="G59" s="288" t="s">
        <v>217</v>
      </c>
      <c r="H59" s="289" t="s">
        <v>216</v>
      </c>
    </row>
    <row r="60" spans="1:8">
      <c r="A60" s="283" t="s">
        <v>225</v>
      </c>
      <c r="B60" s="283"/>
      <c r="C60" s="283"/>
      <c r="D60" s="283"/>
      <c r="E60" s="283"/>
      <c r="F60" s="283"/>
      <c r="G60" s="283"/>
      <c r="H60" s="283"/>
    </row>
    <row r="61" spans="1:8">
      <c r="A61" s="293">
        <v>1</v>
      </c>
      <c r="B61" s="285" t="s">
        <v>212</v>
      </c>
      <c r="C61" s="293" t="s">
        <v>226</v>
      </c>
      <c r="D61" s="286">
        <v>150</v>
      </c>
      <c r="E61" s="287" t="s">
        <v>214</v>
      </c>
      <c r="F61" s="288" t="s">
        <v>215</v>
      </c>
      <c r="G61" s="288" t="s">
        <v>215</v>
      </c>
      <c r="H61" s="289" t="s">
        <v>216</v>
      </c>
    </row>
    <row r="62" spans="1:8">
      <c r="A62" s="293">
        <v>2</v>
      </c>
      <c r="B62" s="285" t="s">
        <v>212</v>
      </c>
      <c r="C62" s="293"/>
      <c r="D62" s="286">
        <v>150</v>
      </c>
      <c r="E62" s="287" t="s">
        <v>214</v>
      </c>
      <c r="F62" s="288" t="s">
        <v>215</v>
      </c>
      <c r="G62" s="288" t="s">
        <v>217</v>
      </c>
      <c r="H62" s="289" t="s">
        <v>216</v>
      </c>
    </row>
    <row r="63" spans="1:8">
      <c r="A63" s="293">
        <v>3</v>
      </c>
      <c r="B63" s="285" t="s">
        <v>212</v>
      </c>
      <c r="C63" s="293"/>
      <c r="D63" s="286">
        <v>150</v>
      </c>
      <c r="E63" s="287" t="s">
        <v>214</v>
      </c>
      <c r="F63" s="288" t="s">
        <v>215</v>
      </c>
      <c r="G63" s="288" t="s">
        <v>215</v>
      </c>
      <c r="H63" s="289" t="s">
        <v>216</v>
      </c>
    </row>
    <row r="64" spans="1:8">
      <c r="A64" s="293">
        <v>4</v>
      </c>
      <c r="B64" s="285" t="s">
        <v>212</v>
      </c>
      <c r="C64" s="293"/>
      <c r="D64" s="286">
        <v>150</v>
      </c>
      <c r="E64" s="287" t="s">
        <v>214</v>
      </c>
      <c r="F64" s="288" t="s">
        <v>215</v>
      </c>
      <c r="G64" s="288" t="s">
        <v>217</v>
      </c>
      <c r="H64" s="289" t="s">
        <v>216</v>
      </c>
    </row>
    <row r="65" spans="1:8">
      <c r="A65" s="293">
        <v>5</v>
      </c>
      <c r="B65" s="285" t="s">
        <v>212</v>
      </c>
      <c r="C65" s="293"/>
      <c r="D65" s="286">
        <v>150</v>
      </c>
      <c r="E65" s="287" t="s">
        <v>214</v>
      </c>
      <c r="F65" s="288" t="s">
        <v>215</v>
      </c>
      <c r="G65" s="288" t="s">
        <v>215</v>
      </c>
      <c r="H65" s="289" t="s">
        <v>216</v>
      </c>
    </row>
    <row r="66" spans="1:8">
      <c r="A66" s="293">
        <v>6</v>
      </c>
      <c r="B66" s="285" t="s">
        <v>212</v>
      </c>
      <c r="C66" s="293"/>
      <c r="D66" s="286">
        <v>150</v>
      </c>
      <c r="E66" s="287" t="s">
        <v>214</v>
      </c>
      <c r="F66" s="288" t="s">
        <v>215</v>
      </c>
      <c r="G66" s="288" t="s">
        <v>217</v>
      </c>
      <c r="H66" s="289" t="s">
        <v>216</v>
      </c>
    </row>
    <row r="67" spans="1:8">
      <c r="A67" s="293">
        <v>7</v>
      </c>
      <c r="B67" s="285" t="s">
        <v>212</v>
      </c>
      <c r="C67" s="293"/>
      <c r="D67" s="286">
        <v>150</v>
      </c>
      <c r="E67" s="287" t="s">
        <v>214</v>
      </c>
      <c r="F67" s="288" t="s">
        <v>215</v>
      </c>
      <c r="G67" s="288" t="s">
        <v>215</v>
      </c>
      <c r="H67" s="289" t="s">
        <v>216</v>
      </c>
    </row>
    <row r="68" spans="1:8">
      <c r="A68" s="293">
        <v>8</v>
      </c>
      <c r="B68" s="285" t="s">
        <v>212</v>
      </c>
      <c r="C68" s="293"/>
      <c r="D68" s="286">
        <v>150</v>
      </c>
      <c r="E68" s="287" t="s">
        <v>214</v>
      </c>
      <c r="F68" s="288" t="s">
        <v>215</v>
      </c>
      <c r="G68" s="288" t="s">
        <v>217</v>
      </c>
      <c r="H68" s="289" t="s">
        <v>216</v>
      </c>
    </row>
    <row r="69" spans="1:8">
      <c r="A69" s="283" t="s">
        <v>227</v>
      </c>
      <c r="B69" s="283"/>
      <c r="C69" s="283"/>
      <c r="D69" s="283"/>
      <c r="E69" s="283"/>
      <c r="F69" s="283"/>
      <c r="G69" s="283"/>
      <c r="H69" s="283"/>
    </row>
    <row r="70" spans="1:8">
      <c r="A70" s="293">
        <v>1</v>
      </c>
      <c r="B70" s="285" t="s">
        <v>212</v>
      </c>
      <c r="C70" s="292" t="s">
        <v>224</v>
      </c>
      <c r="D70" s="286">
        <v>15</v>
      </c>
      <c r="E70" s="287" t="s">
        <v>214</v>
      </c>
      <c r="F70" s="288" t="s">
        <v>217</v>
      </c>
      <c r="G70" s="288" t="s">
        <v>215</v>
      </c>
      <c r="H70" s="289" t="s">
        <v>216</v>
      </c>
    </row>
    <row r="71" spans="1:8">
      <c r="A71" s="293">
        <v>2</v>
      </c>
      <c r="B71" s="285" t="s">
        <v>212</v>
      </c>
      <c r="C71" s="292" t="s">
        <v>224</v>
      </c>
      <c r="D71" s="286">
        <v>15</v>
      </c>
      <c r="E71" s="287" t="s">
        <v>214</v>
      </c>
      <c r="F71" s="288" t="s">
        <v>217</v>
      </c>
      <c r="G71" s="288" t="s">
        <v>215</v>
      </c>
      <c r="H71" s="289" t="s">
        <v>216</v>
      </c>
    </row>
    <row r="72" spans="1:8">
      <c r="A72" s="293">
        <v>3</v>
      </c>
      <c r="B72" s="285" t="s">
        <v>212</v>
      </c>
      <c r="C72" s="292" t="s">
        <v>224</v>
      </c>
      <c r="D72" s="286">
        <v>15</v>
      </c>
      <c r="E72" s="287" t="s">
        <v>214</v>
      </c>
      <c r="F72" s="288" t="s">
        <v>217</v>
      </c>
      <c r="G72" s="288" t="s">
        <v>215</v>
      </c>
      <c r="H72" s="289" t="s">
        <v>216</v>
      </c>
    </row>
    <row r="73" spans="1:8">
      <c r="A73" s="293">
        <v>4</v>
      </c>
      <c r="B73" s="285" t="s">
        <v>212</v>
      </c>
      <c r="C73" s="292" t="s">
        <v>224</v>
      </c>
      <c r="D73" s="286">
        <v>15</v>
      </c>
      <c r="E73" s="287" t="s">
        <v>214</v>
      </c>
      <c r="F73" s="288" t="s">
        <v>217</v>
      </c>
      <c r="G73" s="288" t="s">
        <v>215</v>
      </c>
      <c r="H73" s="289" t="s">
        <v>216</v>
      </c>
    </row>
    <row r="74" spans="1:8">
      <c r="A74" s="293">
        <v>5</v>
      </c>
      <c r="B74" s="285" t="s">
        <v>212</v>
      </c>
      <c r="C74" s="292" t="s">
        <v>224</v>
      </c>
      <c r="D74" s="286">
        <v>15</v>
      </c>
      <c r="E74" s="287" t="s">
        <v>214</v>
      </c>
      <c r="F74" s="288" t="s">
        <v>217</v>
      </c>
      <c r="G74" s="288" t="s">
        <v>215</v>
      </c>
      <c r="H74" s="289" t="s">
        <v>216</v>
      </c>
    </row>
    <row r="75" spans="1:8">
      <c r="A75" s="293">
        <v>6</v>
      </c>
      <c r="B75" s="285" t="s">
        <v>212</v>
      </c>
      <c r="C75" s="292" t="s">
        <v>224</v>
      </c>
      <c r="D75" s="286">
        <v>15</v>
      </c>
      <c r="E75" s="287" t="s">
        <v>214</v>
      </c>
      <c r="F75" s="288" t="s">
        <v>217</v>
      </c>
      <c r="G75" s="288" t="s">
        <v>215</v>
      </c>
      <c r="H75" s="289" t="s">
        <v>216</v>
      </c>
    </row>
    <row r="76" spans="1:8">
      <c r="A76" s="293">
        <v>7</v>
      </c>
      <c r="B76" s="285" t="s">
        <v>212</v>
      </c>
      <c r="C76" s="292" t="s">
        <v>224</v>
      </c>
      <c r="D76" s="286">
        <v>15</v>
      </c>
      <c r="E76" s="287" t="s">
        <v>214</v>
      </c>
      <c r="F76" s="288" t="s">
        <v>217</v>
      </c>
      <c r="G76" s="288" t="s">
        <v>215</v>
      </c>
      <c r="H76" s="289" t="s">
        <v>216</v>
      </c>
    </row>
    <row r="77" spans="1:8">
      <c r="A77" s="293">
        <v>8</v>
      </c>
      <c r="B77" s="285" t="s">
        <v>212</v>
      </c>
      <c r="C77" s="292" t="s">
        <v>224</v>
      </c>
      <c r="D77" s="286">
        <v>15</v>
      </c>
      <c r="E77" s="287" t="s">
        <v>214</v>
      </c>
      <c r="F77" s="288" t="s">
        <v>217</v>
      </c>
      <c r="G77" s="288" t="s">
        <v>215</v>
      </c>
      <c r="H77" s="289" t="s">
        <v>216</v>
      </c>
    </row>
    <row r="78" spans="1:8">
      <c r="A78" s="293">
        <v>9</v>
      </c>
      <c r="B78" s="285" t="s">
        <v>212</v>
      </c>
      <c r="C78" s="292" t="s">
        <v>224</v>
      </c>
      <c r="D78" s="286">
        <v>15</v>
      </c>
      <c r="E78" s="287" t="s">
        <v>214</v>
      </c>
      <c r="F78" s="288" t="s">
        <v>217</v>
      </c>
      <c r="G78" s="288" t="s">
        <v>215</v>
      </c>
      <c r="H78" s="289" t="s">
        <v>216</v>
      </c>
    </row>
    <row r="79" spans="1:8">
      <c r="A79" s="293">
        <v>10</v>
      </c>
      <c r="B79" s="285" t="s">
        <v>212</v>
      </c>
      <c r="C79" s="292" t="s">
        <v>224</v>
      </c>
      <c r="D79" s="286">
        <v>15</v>
      </c>
      <c r="E79" s="287" t="s">
        <v>214</v>
      </c>
      <c r="F79" s="288" t="s">
        <v>217</v>
      </c>
      <c r="G79" s="288" t="s">
        <v>215</v>
      </c>
      <c r="H79" s="289" t="s">
        <v>216</v>
      </c>
    </row>
    <row r="80" spans="1:8">
      <c r="A80" s="293">
        <v>11</v>
      </c>
      <c r="B80" s="285" t="s">
        <v>212</v>
      </c>
      <c r="C80" s="292" t="s">
        <v>224</v>
      </c>
      <c r="D80" s="286">
        <v>15</v>
      </c>
      <c r="E80" s="287" t="s">
        <v>214</v>
      </c>
      <c r="F80" s="288" t="s">
        <v>217</v>
      </c>
      <c r="G80" s="288" t="s">
        <v>215</v>
      </c>
      <c r="H80" s="289" t="s">
        <v>216</v>
      </c>
    </row>
    <row r="81" spans="1:8">
      <c r="A81" s="293">
        <v>12</v>
      </c>
      <c r="B81" s="285" t="s">
        <v>212</v>
      </c>
      <c r="C81" s="292" t="s">
        <v>224</v>
      </c>
      <c r="D81" s="286">
        <v>15</v>
      </c>
      <c r="E81" s="287" t="s">
        <v>214</v>
      </c>
      <c r="F81" s="288" t="s">
        <v>217</v>
      </c>
      <c r="G81" s="288" t="s">
        <v>215</v>
      </c>
      <c r="H81" s="289" t="s">
        <v>216</v>
      </c>
    </row>
    <row r="82" spans="1:8">
      <c r="A82" s="293">
        <v>13</v>
      </c>
      <c r="B82" s="285" t="s">
        <v>212</v>
      </c>
      <c r="C82" s="292" t="s">
        <v>224</v>
      </c>
      <c r="D82" s="286">
        <v>15</v>
      </c>
      <c r="E82" s="287" t="s">
        <v>214</v>
      </c>
      <c r="F82" s="288" t="s">
        <v>217</v>
      </c>
      <c r="G82" s="288" t="s">
        <v>215</v>
      </c>
      <c r="H82" s="289" t="s">
        <v>216</v>
      </c>
    </row>
    <row r="83" spans="1:8">
      <c r="A83" s="293">
        <v>14</v>
      </c>
      <c r="B83" s="285" t="s">
        <v>212</v>
      </c>
      <c r="C83" s="292" t="s">
        <v>224</v>
      </c>
      <c r="D83" s="286">
        <v>15</v>
      </c>
      <c r="E83" s="287" t="s">
        <v>214</v>
      </c>
      <c r="F83" s="288" t="s">
        <v>217</v>
      </c>
      <c r="G83" s="288" t="s">
        <v>215</v>
      </c>
      <c r="H83" s="289" t="s">
        <v>216</v>
      </c>
    </row>
    <row r="84" spans="1:8">
      <c r="A84" s="293">
        <v>15</v>
      </c>
      <c r="B84" s="285" t="s">
        <v>212</v>
      </c>
      <c r="C84" s="292" t="s">
        <v>224</v>
      </c>
      <c r="D84" s="286">
        <v>15</v>
      </c>
      <c r="E84" s="287" t="s">
        <v>214</v>
      </c>
      <c r="F84" s="288" t="s">
        <v>217</v>
      </c>
      <c r="G84" s="288" t="s">
        <v>215</v>
      </c>
      <c r="H84" s="289" t="s">
        <v>216</v>
      </c>
    </row>
    <row r="85" spans="1:8">
      <c r="A85" s="293">
        <v>16</v>
      </c>
      <c r="B85" s="285" t="s">
        <v>212</v>
      </c>
      <c r="C85" s="292" t="s">
        <v>224</v>
      </c>
      <c r="D85" s="286">
        <v>15</v>
      </c>
      <c r="E85" s="287" t="s">
        <v>214</v>
      </c>
      <c r="F85" s="288" t="s">
        <v>217</v>
      </c>
      <c r="G85" s="288" t="s">
        <v>215</v>
      </c>
      <c r="H85" s="289" t="s">
        <v>216</v>
      </c>
    </row>
    <row r="86" spans="1:8">
      <c r="A86" s="293">
        <v>17</v>
      </c>
      <c r="B86" s="285" t="s">
        <v>212</v>
      </c>
      <c r="C86" s="292" t="s">
        <v>224</v>
      </c>
      <c r="D86" s="286">
        <v>15</v>
      </c>
      <c r="E86" s="287" t="s">
        <v>214</v>
      </c>
      <c r="F86" s="288" t="s">
        <v>217</v>
      </c>
      <c r="G86" s="288" t="s">
        <v>215</v>
      </c>
      <c r="H86" s="289" t="s">
        <v>216</v>
      </c>
    </row>
    <row r="87" spans="1:8">
      <c r="A87" s="293">
        <v>18</v>
      </c>
      <c r="B87" s="285" t="s">
        <v>212</v>
      </c>
      <c r="C87" s="292" t="s">
        <v>224</v>
      </c>
      <c r="D87" s="286">
        <v>15</v>
      </c>
      <c r="E87" s="287" t="s">
        <v>214</v>
      </c>
      <c r="F87" s="288" t="s">
        <v>217</v>
      </c>
      <c r="G87" s="288" t="s">
        <v>215</v>
      </c>
      <c r="H87" s="289" t="s">
        <v>216</v>
      </c>
    </row>
    <row r="88" spans="1:8">
      <c r="A88" s="293">
        <v>19</v>
      </c>
      <c r="B88" s="285" t="s">
        <v>212</v>
      </c>
      <c r="C88" s="292" t="s">
        <v>224</v>
      </c>
      <c r="D88" s="286">
        <v>15</v>
      </c>
      <c r="E88" s="287" t="s">
        <v>214</v>
      </c>
      <c r="F88" s="288" t="s">
        <v>217</v>
      </c>
      <c r="G88" s="288" t="s">
        <v>215</v>
      </c>
      <c r="H88" s="289" t="s">
        <v>216</v>
      </c>
    </row>
    <row r="89" spans="1:8">
      <c r="A89" s="293">
        <v>20</v>
      </c>
      <c r="B89" s="285" t="s">
        <v>212</v>
      </c>
      <c r="C89" s="292" t="s">
        <v>224</v>
      </c>
      <c r="D89" s="286">
        <v>15</v>
      </c>
      <c r="E89" s="287" t="s">
        <v>214</v>
      </c>
      <c r="F89" s="288" t="s">
        <v>217</v>
      </c>
      <c r="G89" s="288" t="s">
        <v>215</v>
      </c>
      <c r="H89" s="289" t="s">
        <v>216</v>
      </c>
    </row>
    <row r="90" spans="1:8">
      <c r="A90" s="283" t="s">
        <v>228</v>
      </c>
      <c r="B90" s="283"/>
      <c r="C90" s="283"/>
      <c r="D90" s="283"/>
      <c r="E90" s="283"/>
      <c r="F90" s="283"/>
      <c r="G90" s="283"/>
      <c r="H90" s="283"/>
    </row>
    <row r="91" spans="1:8">
      <c r="A91" s="293">
        <v>1</v>
      </c>
      <c r="B91" s="285" t="s">
        <v>221</v>
      </c>
      <c r="C91" s="292" t="s">
        <v>224</v>
      </c>
      <c r="D91" s="286">
        <v>25</v>
      </c>
      <c r="E91" s="287" t="s">
        <v>214</v>
      </c>
      <c r="F91" s="288" t="s">
        <v>215</v>
      </c>
      <c r="G91" s="288" t="s">
        <v>215</v>
      </c>
      <c r="H91" s="289" t="s">
        <v>216</v>
      </c>
    </row>
    <row r="92" ht="26.25" customHeight="1" spans="1:8">
      <c r="A92" s="293">
        <v>2</v>
      </c>
      <c r="B92" s="285" t="s">
        <v>218</v>
      </c>
      <c r="C92" s="290" t="s">
        <v>219</v>
      </c>
      <c r="D92" s="286">
        <v>67</v>
      </c>
      <c r="E92" s="287" t="s">
        <v>220</v>
      </c>
      <c r="F92" s="288" t="s">
        <v>217</v>
      </c>
      <c r="G92" s="288" t="s">
        <v>215</v>
      </c>
      <c r="H92" s="289" t="s">
        <v>216</v>
      </c>
    </row>
    <row r="93" spans="1:8">
      <c r="A93" s="296" t="s">
        <v>229</v>
      </c>
      <c r="B93" s="296"/>
      <c r="C93" s="296"/>
      <c r="D93" s="296"/>
      <c r="E93" s="296"/>
      <c r="F93" s="296"/>
      <c r="G93" s="296"/>
      <c r="H93" s="296"/>
    </row>
    <row r="94" spans="1:8">
      <c r="A94" s="249">
        <v>1</v>
      </c>
      <c r="B94" s="297" t="s">
        <v>221</v>
      </c>
      <c r="C94" s="298" t="s">
        <v>224</v>
      </c>
      <c r="D94" s="297">
        <v>10</v>
      </c>
      <c r="E94" s="299" t="s">
        <v>220</v>
      </c>
      <c r="F94" s="299" t="s">
        <v>215</v>
      </c>
      <c r="G94" s="299" t="s">
        <v>215</v>
      </c>
      <c r="H94" s="300" t="s">
        <v>216</v>
      </c>
    </row>
    <row r="95" spans="1:8">
      <c r="A95" s="249">
        <v>2</v>
      </c>
      <c r="B95" s="297" t="s">
        <v>221</v>
      </c>
      <c r="C95" s="298" t="s">
        <v>224</v>
      </c>
      <c r="D95" s="297">
        <v>10</v>
      </c>
      <c r="E95" s="299" t="s">
        <v>220</v>
      </c>
      <c r="F95" s="299" t="s">
        <v>215</v>
      </c>
      <c r="G95" s="299" t="s">
        <v>215</v>
      </c>
      <c r="H95" s="300" t="s">
        <v>216</v>
      </c>
    </row>
    <row r="96" spans="1:8">
      <c r="A96" s="283" t="s">
        <v>230</v>
      </c>
      <c r="B96" s="283"/>
      <c r="C96" s="283"/>
      <c r="D96" s="283"/>
      <c r="E96" s="283"/>
      <c r="F96" s="283"/>
      <c r="G96" s="283"/>
      <c r="H96" s="283"/>
    </row>
    <row r="97" spans="1:8">
      <c r="A97" s="293">
        <v>1</v>
      </c>
      <c r="B97" s="285" t="s">
        <v>221</v>
      </c>
      <c r="C97" s="292" t="s">
        <v>224</v>
      </c>
      <c r="D97" s="286">
        <v>10</v>
      </c>
      <c r="E97" s="287" t="s">
        <v>220</v>
      </c>
      <c r="F97" s="288" t="s">
        <v>215</v>
      </c>
      <c r="G97" s="288" t="s">
        <v>215</v>
      </c>
      <c r="H97" s="289" t="s">
        <v>216</v>
      </c>
    </row>
    <row r="98" spans="1:8">
      <c r="A98" s="293">
        <v>2</v>
      </c>
      <c r="B98" s="285" t="s">
        <v>221</v>
      </c>
      <c r="C98" s="292" t="s">
        <v>224</v>
      </c>
      <c r="D98" s="286">
        <v>10</v>
      </c>
      <c r="E98" s="287" t="s">
        <v>220</v>
      </c>
      <c r="F98" s="288" t="s">
        <v>215</v>
      </c>
      <c r="G98" s="288" t="s">
        <v>215</v>
      </c>
      <c r="H98" s="289" t="s">
        <v>216</v>
      </c>
    </row>
    <row r="99" spans="1:8">
      <c r="A99" s="283" t="s">
        <v>231</v>
      </c>
      <c r="B99" s="283"/>
      <c r="C99" s="283"/>
      <c r="D99" s="283"/>
      <c r="E99" s="283"/>
      <c r="F99" s="283"/>
      <c r="G99" s="283"/>
      <c r="H99" s="283"/>
    </row>
    <row r="100" spans="1:8">
      <c r="A100" s="293">
        <v>1</v>
      </c>
      <c r="B100" s="285" t="s">
        <v>221</v>
      </c>
      <c r="C100" s="293"/>
      <c r="D100" s="293">
        <v>7.5</v>
      </c>
      <c r="E100" s="293"/>
      <c r="F100" s="293"/>
      <c r="G100" s="293"/>
      <c r="H100" s="293" t="s">
        <v>216</v>
      </c>
    </row>
    <row r="101" spans="1:8">
      <c r="A101" s="293">
        <v>2</v>
      </c>
      <c r="B101" s="285" t="s">
        <v>221</v>
      </c>
      <c r="C101" s="293"/>
      <c r="D101" s="293">
        <v>7.5</v>
      </c>
      <c r="E101" s="293"/>
      <c r="F101" s="293"/>
      <c r="G101" s="293"/>
      <c r="H101" s="293" t="s">
        <v>216</v>
      </c>
    </row>
    <row r="102" spans="1:8">
      <c r="A102" s="293">
        <v>3</v>
      </c>
      <c r="B102" s="285" t="s">
        <v>221</v>
      </c>
      <c r="C102" s="293"/>
      <c r="D102" s="293">
        <v>5</v>
      </c>
      <c r="E102" s="293"/>
      <c r="F102" s="293"/>
      <c r="G102" s="293"/>
      <c r="H102" s="293" t="s">
        <v>216</v>
      </c>
    </row>
    <row r="103" spans="1:8">
      <c r="A103" s="293">
        <v>4</v>
      </c>
      <c r="B103" s="285" t="s">
        <v>221</v>
      </c>
      <c r="C103" s="293"/>
      <c r="D103" s="293">
        <v>10</v>
      </c>
      <c r="E103" s="293"/>
      <c r="F103" s="293"/>
      <c r="G103" s="293"/>
      <c r="H103" s="293" t="s">
        <v>216</v>
      </c>
    </row>
    <row r="104" spans="1:8">
      <c r="A104" s="293">
        <v>5</v>
      </c>
      <c r="B104" s="285" t="s">
        <v>221</v>
      </c>
      <c r="C104" s="293"/>
      <c r="D104" s="293">
        <v>5</v>
      </c>
      <c r="E104" s="293"/>
      <c r="F104" s="293"/>
      <c r="G104" s="293"/>
      <c r="H104" s="293" t="s">
        <v>216</v>
      </c>
    </row>
    <row r="105" spans="1:8">
      <c r="A105" s="293">
        <v>6</v>
      </c>
      <c r="B105" s="285" t="s">
        <v>221</v>
      </c>
      <c r="C105" s="293"/>
      <c r="D105" s="293">
        <v>7.5</v>
      </c>
      <c r="E105" s="293"/>
      <c r="F105" s="293"/>
      <c r="G105" s="293"/>
      <c r="H105" s="293" t="s">
        <v>216</v>
      </c>
    </row>
    <row r="106" spans="1:8">
      <c r="A106" s="293">
        <v>7</v>
      </c>
      <c r="B106" s="285" t="s">
        <v>221</v>
      </c>
      <c r="C106" s="293"/>
      <c r="D106" s="293">
        <v>5</v>
      </c>
      <c r="E106" s="293"/>
      <c r="F106" s="293"/>
      <c r="G106" s="293"/>
      <c r="H106" s="293" t="s">
        <v>216</v>
      </c>
    </row>
    <row r="107" spans="1:8">
      <c r="A107" s="293">
        <v>8</v>
      </c>
      <c r="B107" s="285" t="s">
        <v>221</v>
      </c>
      <c r="C107" s="293"/>
      <c r="D107" s="293">
        <v>5</v>
      </c>
      <c r="E107" s="293"/>
      <c r="F107" s="293"/>
      <c r="G107" s="293"/>
      <c r="H107" s="293" t="s">
        <v>216</v>
      </c>
    </row>
    <row r="108" spans="1:8">
      <c r="A108" s="293">
        <v>9</v>
      </c>
      <c r="B108" s="285" t="s">
        <v>221</v>
      </c>
      <c r="C108" s="293"/>
      <c r="D108" s="293">
        <v>7.5</v>
      </c>
      <c r="E108" s="293"/>
      <c r="F108" s="293"/>
      <c r="G108" s="293"/>
      <c r="H108" s="293" t="s">
        <v>216</v>
      </c>
    </row>
    <row r="109" spans="1:8">
      <c r="A109" s="293">
        <v>10</v>
      </c>
      <c r="B109" s="285" t="s">
        <v>221</v>
      </c>
      <c r="C109" s="293"/>
      <c r="D109" s="293">
        <v>7.5</v>
      </c>
      <c r="E109" s="293"/>
      <c r="F109" s="293"/>
      <c r="G109" s="293"/>
      <c r="H109" s="293" t="s">
        <v>216</v>
      </c>
    </row>
    <row r="110" spans="1:8">
      <c r="A110" s="293">
        <v>11</v>
      </c>
      <c r="B110" s="285" t="s">
        <v>221</v>
      </c>
      <c r="C110" s="293"/>
      <c r="D110" s="293">
        <v>7.5</v>
      </c>
      <c r="E110" s="293"/>
      <c r="F110" s="293"/>
      <c r="G110" s="293"/>
      <c r="H110" s="293" t="s">
        <v>216</v>
      </c>
    </row>
    <row r="111" spans="1:8">
      <c r="A111" s="293">
        <v>12</v>
      </c>
      <c r="B111" s="285" t="s">
        <v>221</v>
      </c>
      <c r="C111" s="293"/>
      <c r="D111" s="293">
        <v>7.5</v>
      </c>
      <c r="E111" s="293"/>
      <c r="F111" s="293"/>
      <c r="G111" s="293"/>
      <c r="H111" s="293" t="s">
        <v>216</v>
      </c>
    </row>
    <row r="112" spans="1:8">
      <c r="A112" s="293">
        <v>13</v>
      </c>
      <c r="B112" s="285" t="s">
        <v>221</v>
      </c>
      <c r="C112" s="293"/>
      <c r="D112" s="293">
        <v>7.5</v>
      </c>
      <c r="E112" s="293"/>
      <c r="F112" s="293"/>
      <c r="G112" s="293"/>
      <c r="H112" s="293" t="s">
        <v>216</v>
      </c>
    </row>
    <row r="113" spans="1:8">
      <c r="A113" s="293">
        <v>14</v>
      </c>
      <c r="B113" s="285" t="s">
        <v>221</v>
      </c>
      <c r="C113" s="293"/>
      <c r="D113" s="293">
        <v>7.5</v>
      </c>
      <c r="E113" s="293"/>
      <c r="F113" s="293"/>
      <c r="G113" s="293"/>
      <c r="H113" s="293" t="s">
        <v>216</v>
      </c>
    </row>
    <row r="114" spans="1:8">
      <c r="A114" s="293">
        <v>15</v>
      </c>
      <c r="B114" s="285" t="s">
        <v>221</v>
      </c>
      <c r="C114" s="293"/>
      <c r="D114" s="293">
        <v>5</v>
      </c>
      <c r="E114" s="293"/>
      <c r="F114" s="293"/>
      <c r="G114" s="293"/>
      <c r="H114" s="293" t="s">
        <v>216</v>
      </c>
    </row>
    <row r="115" spans="1:8">
      <c r="A115" s="293">
        <v>16</v>
      </c>
      <c r="B115" s="285" t="s">
        <v>221</v>
      </c>
      <c r="C115" s="293"/>
      <c r="D115" s="293">
        <v>5</v>
      </c>
      <c r="E115" s="293"/>
      <c r="F115" s="293"/>
      <c r="G115" s="293"/>
      <c r="H115" s="293" t="s">
        <v>216</v>
      </c>
    </row>
    <row r="116" spans="1:8">
      <c r="A116" s="283" t="s">
        <v>232</v>
      </c>
      <c r="B116" s="283"/>
      <c r="C116" s="283"/>
      <c r="D116" s="283"/>
      <c r="E116" s="283"/>
      <c r="F116" s="283"/>
      <c r="G116" s="283"/>
      <c r="H116" s="283"/>
    </row>
    <row r="117" ht="24" spans="1:8">
      <c r="A117" s="249">
        <v>1</v>
      </c>
      <c r="B117" s="285" t="s">
        <v>233</v>
      </c>
      <c r="C117" s="292" t="s">
        <v>234</v>
      </c>
      <c r="D117" s="286">
        <v>10</v>
      </c>
      <c r="E117" s="289"/>
      <c r="F117" s="289"/>
      <c r="G117" s="289"/>
      <c r="H117" s="289" t="s">
        <v>216</v>
      </c>
    </row>
    <row r="118" ht="24" spans="1:8">
      <c r="A118" s="249">
        <v>2</v>
      </c>
      <c r="B118" s="285" t="s">
        <v>235</v>
      </c>
      <c r="C118" s="292" t="s">
        <v>234</v>
      </c>
      <c r="D118" s="286">
        <v>30</v>
      </c>
      <c r="E118" s="289"/>
      <c r="F118" s="289"/>
      <c r="G118" s="289"/>
      <c r="H118" s="289" t="s">
        <v>216</v>
      </c>
    </row>
    <row r="119" ht="24" spans="1:8">
      <c r="A119" s="249">
        <v>3</v>
      </c>
      <c r="B119" s="285" t="s">
        <v>236</v>
      </c>
      <c r="C119" s="292" t="s">
        <v>234</v>
      </c>
      <c r="D119" s="286">
        <v>40</v>
      </c>
      <c r="E119" s="289"/>
      <c r="F119" s="289"/>
      <c r="G119" s="289"/>
      <c r="H119" s="289" t="s">
        <v>216</v>
      </c>
    </row>
    <row r="120" ht="24" spans="1:8">
      <c r="A120" s="249">
        <v>4</v>
      </c>
      <c r="B120" s="285" t="s">
        <v>237</v>
      </c>
      <c r="C120" s="292" t="s">
        <v>234</v>
      </c>
      <c r="D120" s="286">
        <v>15</v>
      </c>
      <c r="E120" s="289"/>
      <c r="F120" s="289"/>
      <c r="G120" s="289"/>
      <c r="H120" s="289" t="s">
        <v>216</v>
      </c>
    </row>
    <row r="121" ht="36" spans="1:8">
      <c r="A121" s="249">
        <v>5</v>
      </c>
      <c r="B121" s="285" t="s">
        <v>238</v>
      </c>
      <c r="C121" s="292" t="s">
        <v>239</v>
      </c>
      <c r="D121" s="286">
        <v>18</v>
      </c>
      <c r="E121" s="289"/>
      <c r="F121" s="289"/>
      <c r="G121" s="289"/>
      <c r="H121" s="289" t="s">
        <v>216</v>
      </c>
    </row>
    <row r="122" ht="36" spans="1:8">
      <c r="A122" s="249">
        <v>6</v>
      </c>
      <c r="B122" s="285" t="s">
        <v>240</v>
      </c>
      <c r="C122" s="292" t="s">
        <v>239</v>
      </c>
      <c r="D122" s="286">
        <v>24</v>
      </c>
      <c r="E122" s="289"/>
      <c r="F122" s="289"/>
      <c r="G122" s="289"/>
      <c r="H122" s="289" t="s">
        <v>216</v>
      </c>
    </row>
    <row r="123" ht="36" spans="1:8">
      <c r="A123" s="249">
        <v>7</v>
      </c>
      <c r="B123" s="285" t="s">
        <v>241</v>
      </c>
      <c r="C123" s="292" t="s">
        <v>239</v>
      </c>
      <c r="D123" s="286">
        <v>12</v>
      </c>
      <c r="E123" s="289"/>
      <c r="F123" s="289"/>
      <c r="G123" s="289"/>
      <c r="H123" s="289" t="s">
        <v>216</v>
      </c>
    </row>
    <row r="124" ht="24" spans="1:8">
      <c r="A124" s="249">
        <v>8</v>
      </c>
      <c r="B124" s="285" t="s">
        <v>242</v>
      </c>
      <c r="C124" s="292" t="s">
        <v>234</v>
      </c>
      <c r="D124" s="286">
        <v>25</v>
      </c>
      <c r="E124" s="289"/>
      <c r="F124" s="289"/>
      <c r="G124" s="289"/>
      <c r="H124" s="289" t="s">
        <v>216</v>
      </c>
    </row>
    <row r="125" ht="24" spans="1:8">
      <c r="A125" s="249">
        <v>9</v>
      </c>
      <c r="B125" s="285" t="s">
        <v>235</v>
      </c>
      <c r="C125" s="292" t="s">
        <v>234</v>
      </c>
      <c r="D125" s="286">
        <v>30</v>
      </c>
      <c r="E125" s="289"/>
      <c r="F125" s="289"/>
      <c r="G125" s="289"/>
      <c r="H125" s="289" t="s">
        <v>216</v>
      </c>
    </row>
    <row r="126" ht="36" spans="1:8">
      <c r="A126" s="249">
        <v>10</v>
      </c>
      <c r="B126" s="285" t="s">
        <v>238</v>
      </c>
      <c r="C126" s="292" t="s">
        <v>239</v>
      </c>
      <c r="D126" s="286">
        <v>18</v>
      </c>
      <c r="E126" s="289"/>
      <c r="F126" s="289"/>
      <c r="G126" s="289"/>
      <c r="H126" s="289" t="s">
        <v>216</v>
      </c>
    </row>
    <row r="127" ht="36" spans="1:8">
      <c r="A127" s="249">
        <v>11</v>
      </c>
      <c r="B127" s="285" t="s">
        <v>240</v>
      </c>
      <c r="C127" s="292" t="s">
        <v>239</v>
      </c>
      <c r="D127" s="286">
        <v>24</v>
      </c>
      <c r="E127" s="289"/>
      <c r="F127" s="289"/>
      <c r="G127" s="289"/>
      <c r="H127" s="289" t="s">
        <v>216</v>
      </c>
    </row>
    <row r="128" ht="24" spans="1:8">
      <c r="A128" s="249">
        <v>12</v>
      </c>
      <c r="B128" s="285" t="s">
        <v>243</v>
      </c>
      <c r="C128" s="292" t="s">
        <v>234</v>
      </c>
      <c r="D128" s="286">
        <v>20</v>
      </c>
      <c r="E128" s="289"/>
      <c r="F128" s="289"/>
      <c r="G128" s="289"/>
      <c r="H128" s="289" t="s">
        <v>216</v>
      </c>
    </row>
    <row r="129" ht="36" spans="1:8">
      <c r="A129" s="249">
        <v>13</v>
      </c>
      <c r="B129" s="285" t="s">
        <v>244</v>
      </c>
      <c r="C129" s="292" t="s">
        <v>239</v>
      </c>
      <c r="D129" s="286">
        <v>30</v>
      </c>
      <c r="E129" s="289"/>
      <c r="F129" s="289"/>
      <c r="G129" s="289"/>
      <c r="H129" s="289" t="s">
        <v>216</v>
      </c>
    </row>
    <row r="130" ht="24" spans="1:8">
      <c r="A130" s="249">
        <v>14</v>
      </c>
      <c r="B130" s="285" t="s">
        <v>242</v>
      </c>
      <c r="C130" s="292" t="s">
        <v>234</v>
      </c>
      <c r="D130" s="286">
        <v>25</v>
      </c>
      <c r="E130" s="289"/>
      <c r="F130" s="289"/>
      <c r="G130" s="289"/>
      <c r="H130" s="289" t="s">
        <v>216</v>
      </c>
    </row>
    <row r="131" ht="24" spans="1:8">
      <c r="A131" s="249">
        <v>15</v>
      </c>
      <c r="B131" s="285" t="s">
        <v>245</v>
      </c>
      <c r="C131" s="292" t="s">
        <v>234</v>
      </c>
      <c r="D131" s="286">
        <v>15</v>
      </c>
      <c r="E131" s="289"/>
      <c r="F131" s="289"/>
      <c r="G131" s="289"/>
      <c r="H131" s="289" t="s">
        <v>216</v>
      </c>
    </row>
    <row r="132" spans="1:10">
      <c r="A132" s="296" t="s">
        <v>246</v>
      </c>
      <c r="B132" s="296"/>
      <c r="C132" s="296"/>
      <c r="D132" s="296"/>
      <c r="E132" s="296"/>
      <c r="F132" s="296"/>
      <c r="G132" s="296"/>
      <c r="H132" s="296"/>
      <c r="J132">
        <f>SUM(D9:D15,D17:D18,D20:D59,D61:D68,D70:D89,D91:D92,D94:D95,D97:D98,D100:D115,D117:D131)</f>
        <v>3793.5</v>
      </c>
    </row>
    <row r="133" spans="1:10">
      <c r="A133" s="301">
        <v>1</v>
      </c>
      <c r="B133" s="297" t="s">
        <v>212</v>
      </c>
      <c r="C133" s="298" t="s">
        <v>226</v>
      </c>
      <c r="D133" s="297">
        <v>147</v>
      </c>
      <c r="E133" s="155"/>
      <c r="F133" s="155"/>
      <c r="G133" s="155"/>
      <c r="H133" s="300" t="s">
        <v>216</v>
      </c>
      <c r="J133" s="302">
        <f>J132/2</f>
        <v>1896.75</v>
      </c>
    </row>
    <row r="134" ht="24" spans="1:8">
      <c r="A134" s="301">
        <v>2</v>
      </c>
      <c r="B134" s="297" t="s">
        <v>247</v>
      </c>
      <c r="C134" s="298" t="s">
        <v>226</v>
      </c>
      <c r="D134" s="297">
        <v>7.16</v>
      </c>
      <c r="E134" s="155"/>
      <c r="F134" s="155"/>
      <c r="G134" s="155"/>
      <c r="H134" s="300" t="s">
        <v>216</v>
      </c>
    </row>
    <row r="135" ht="24" spans="1:8">
      <c r="A135" s="301">
        <v>3</v>
      </c>
      <c r="B135" s="297" t="s">
        <v>247</v>
      </c>
      <c r="C135" s="298" t="s">
        <v>226</v>
      </c>
      <c r="D135" s="297">
        <v>14.3</v>
      </c>
      <c r="E135" s="155"/>
      <c r="F135" s="155"/>
      <c r="G135" s="155"/>
      <c r="H135" s="300" t="s">
        <v>216</v>
      </c>
    </row>
    <row r="136" ht="36" spans="1:8">
      <c r="A136" s="301">
        <v>4</v>
      </c>
      <c r="B136" s="297" t="s">
        <v>248</v>
      </c>
      <c r="C136" s="298" t="s">
        <v>226</v>
      </c>
      <c r="D136" s="297">
        <v>18.42</v>
      </c>
      <c r="E136" s="155"/>
      <c r="F136" s="155"/>
      <c r="G136" s="155"/>
      <c r="H136" s="300" t="s">
        <v>216</v>
      </c>
    </row>
    <row r="137" ht="36" spans="1:8">
      <c r="A137" s="301">
        <v>5</v>
      </c>
      <c r="B137" s="297" t="s">
        <v>248</v>
      </c>
      <c r="C137" s="298" t="s">
        <v>226</v>
      </c>
      <c r="D137" s="297">
        <v>11.5</v>
      </c>
      <c r="E137" s="155"/>
      <c r="F137" s="155"/>
      <c r="G137" s="155"/>
      <c r="H137" s="300" t="s">
        <v>216</v>
      </c>
    </row>
    <row r="138" ht="36" spans="1:8">
      <c r="A138" s="301">
        <v>6</v>
      </c>
      <c r="B138" s="297" t="s">
        <v>248</v>
      </c>
      <c r="C138" s="298" t="s">
        <v>226</v>
      </c>
      <c r="D138" s="297">
        <v>14</v>
      </c>
      <c r="E138" s="155"/>
      <c r="F138" s="155"/>
      <c r="G138" s="155"/>
      <c r="H138" s="300" t="s">
        <v>216</v>
      </c>
    </row>
    <row r="139" ht="36" spans="1:8">
      <c r="A139" s="301">
        <v>7</v>
      </c>
      <c r="B139" s="297" t="s">
        <v>248</v>
      </c>
      <c r="C139" s="298" t="s">
        <v>226</v>
      </c>
      <c r="D139" s="297">
        <v>15.49</v>
      </c>
      <c r="E139" s="155"/>
      <c r="F139" s="155"/>
      <c r="G139" s="155"/>
      <c r="H139" s="300" t="s">
        <v>216</v>
      </c>
    </row>
    <row r="140" ht="36" spans="1:8">
      <c r="A140" s="301">
        <v>8</v>
      </c>
      <c r="B140" s="297" t="s">
        <v>248</v>
      </c>
      <c r="C140" s="298" t="s">
        <v>226</v>
      </c>
      <c r="D140" s="297">
        <v>19.41</v>
      </c>
      <c r="E140" s="155"/>
      <c r="F140" s="155"/>
      <c r="G140" s="155"/>
      <c r="H140" s="300" t="s">
        <v>216</v>
      </c>
    </row>
    <row r="141" ht="36" spans="1:8">
      <c r="A141" s="301">
        <v>9</v>
      </c>
      <c r="B141" s="297" t="s">
        <v>248</v>
      </c>
      <c r="C141" s="298" t="s">
        <v>226</v>
      </c>
      <c r="D141" s="297">
        <v>29.98</v>
      </c>
      <c r="E141" s="155"/>
      <c r="F141" s="155"/>
      <c r="G141" s="155"/>
      <c r="H141" s="300" t="s">
        <v>216</v>
      </c>
    </row>
    <row r="142" ht="36" spans="1:8">
      <c r="A142" s="301">
        <v>10</v>
      </c>
      <c r="B142" s="297" t="s">
        <v>248</v>
      </c>
      <c r="C142" s="298" t="s">
        <v>226</v>
      </c>
      <c r="D142" s="297">
        <v>13.14</v>
      </c>
      <c r="E142" s="155"/>
      <c r="F142" s="155"/>
      <c r="G142" s="155"/>
      <c r="H142" s="300" t="s">
        <v>216</v>
      </c>
    </row>
    <row r="143" ht="36" spans="1:8">
      <c r="A143" s="301">
        <v>11</v>
      </c>
      <c r="B143" s="297" t="s">
        <v>248</v>
      </c>
      <c r="C143" s="298" t="s">
        <v>226</v>
      </c>
      <c r="D143" s="297">
        <v>16.77</v>
      </c>
      <c r="E143" s="155"/>
      <c r="F143" s="155"/>
      <c r="G143" s="155"/>
      <c r="H143" s="300" t="s">
        <v>216</v>
      </c>
    </row>
    <row r="144" ht="36" spans="1:8">
      <c r="A144" s="301">
        <v>12</v>
      </c>
      <c r="B144" s="297" t="s">
        <v>249</v>
      </c>
      <c r="C144" s="298" t="s">
        <v>226</v>
      </c>
      <c r="D144" s="297">
        <v>21.69</v>
      </c>
      <c r="E144" s="155"/>
      <c r="F144" s="155"/>
      <c r="G144" s="155"/>
      <c r="H144" s="300" t="s">
        <v>216</v>
      </c>
    </row>
    <row r="145" ht="24" spans="1:8">
      <c r="A145" s="301">
        <v>13</v>
      </c>
      <c r="B145" s="297" t="s">
        <v>250</v>
      </c>
      <c r="C145" s="298" t="s">
        <v>226</v>
      </c>
      <c r="D145" s="297">
        <v>3</v>
      </c>
      <c r="E145" s="155"/>
      <c r="F145" s="155"/>
      <c r="G145" s="155"/>
      <c r="H145" s="300" t="s">
        <v>216</v>
      </c>
    </row>
    <row r="146" ht="24" spans="1:8">
      <c r="A146" s="301">
        <v>14</v>
      </c>
      <c r="B146" s="297" t="s">
        <v>250</v>
      </c>
      <c r="C146" s="298" t="s">
        <v>226</v>
      </c>
      <c r="D146" s="297">
        <v>9</v>
      </c>
      <c r="E146" s="155"/>
      <c r="F146" s="155"/>
      <c r="G146" s="155"/>
      <c r="H146" s="300" t="s">
        <v>216</v>
      </c>
    </row>
    <row r="147" ht="24" spans="1:8">
      <c r="A147" s="301">
        <v>15</v>
      </c>
      <c r="B147" s="297" t="s">
        <v>250</v>
      </c>
      <c r="C147" s="298" t="s">
        <v>226</v>
      </c>
      <c r="D147" s="297">
        <v>2</v>
      </c>
      <c r="E147" s="155"/>
      <c r="F147" s="155"/>
      <c r="G147" s="155"/>
      <c r="H147" s="300" t="s">
        <v>216</v>
      </c>
    </row>
    <row r="148" ht="24" spans="1:8">
      <c r="A148" s="301">
        <v>16</v>
      </c>
      <c r="B148" s="297" t="s">
        <v>250</v>
      </c>
      <c r="C148" s="298" t="s">
        <v>226</v>
      </c>
      <c r="D148" s="297">
        <v>7.5</v>
      </c>
      <c r="E148" s="155"/>
      <c r="F148" s="155"/>
      <c r="G148" s="155"/>
      <c r="H148" s="300" t="s">
        <v>216</v>
      </c>
    </row>
    <row r="149" ht="24" spans="1:8">
      <c r="A149" s="301">
        <v>17</v>
      </c>
      <c r="B149" s="297" t="s">
        <v>250</v>
      </c>
      <c r="C149" s="298" t="s">
        <v>226</v>
      </c>
      <c r="D149" s="297">
        <v>4</v>
      </c>
      <c r="E149" s="155"/>
      <c r="F149" s="155"/>
      <c r="G149" s="155"/>
      <c r="H149" s="300" t="s">
        <v>216</v>
      </c>
    </row>
    <row r="150" ht="24" spans="1:10">
      <c r="A150" s="301">
        <v>18</v>
      </c>
      <c r="B150" s="297" t="s">
        <v>250</v>
      </c>
      <c r="C150" s="298" t="s">
        <v>226</v>
      </c>
      <c r="D150" s="297">
        <v>10</v>
      </c>
      <c r="E150" s="155"/>
      <c r="F150" s="155"/>
      <c r="G150" s="155"/>
      <c r="H150" s="300" t="s">
        <v>216</v>
      </c>
      <c r="J150">
        <f>SUM(D133:D150)</f>
        <v>364.36</v>
      </c>
    </row>
    <row r="151" spans="10:10">
      <c r="J151">
        <f>J150/2</f>
        <v>182.18</v>
      </c>
    </row>
  </sheetData>
  <mergeCells count="19">
    <mergeCell ref="A1:H1"/>
    <mergeCell ref="A2:H2"/>
    <mergeCell ref="A4:H4"/>
    <mergeCell ref="A5:H5"/>
    <mergeCell ref="A6:H6"/>
    <mergeCell ref="A8:H8"/>
    <mergeCell ref="A16:H16"/>
    <mergeCell ref="A19:H19"/>
    <mergeCell ref="A60:H60"/>
    <mergeCell ref="A69:H69"/>
    <mergeCell ref="A90:H90"/>
    <mergeCell ref="A93:H93"/>
    <mergeCell ref="A96:H96"/>
    <mergeCell ref="A99:H99"/>
    <mergeCell ref="A116:H116"/>
    <mergeCell ref="A132:H132"/>
    <mergeCell ref="C9:C13"/>
    <mergeCell ref="C17:C18"/>
    <mergeCell ref="C61:C68"/>
  </mergeCells>
  <pageMargins left="0.511805555555556" right="0.511805555555556" top="0.786805555555556" bottom="0.786805555555556" header="0.314583333333333" footer="0.314583333333333"/>
  <pageSetup paperSize="9" scale="83" orientation="portrait" horizontalDpi="600"/>
  <headerFooter differentFirst="1">
    <oddHeader>&amp;L&amp;G&amp;CProcesso 23069.151449/2025-11
PE 90.018/2025&amp;R&amp;G</oddHeader>
    <oddFooter>&amp;L&amp;"-,Itálico"&amp;9&amp;A&amp;R&amp;"-,Itálico"&amp;9Página &amp;P de &amp;N</oddFooter>
  </headerFooter>
  <rowBreaks count="1" manualBreakCount="1">
    <brk id="115" max="16383" man="1"/>
  </rowBreaks>
  <drawing r:id="rId1"/>
  <legacyDrawingHF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2"/>
  <sheetViews>
    <sheetView view="pageLayout" zoomScaleSheetLayoutView="85" zoomScaleNormal="100" workbookViewId="0">
      <selection activeCell="A4" sqref="A4:J4"/>
    </sheetView>
  </sheetViews>
  <sheetFormatPr defaultColWidth="8.85714285714286" defaultRowHeight="15"/>
  <cols>
    <col min="1" max="1" width="6.42857142857143" customWidth="1"/>
    <col min="2" max="2" width="59.7142857142857" customWidth="1"/>
    <col min="3" max="3" width="11.1428571428571" customWidth="1"/>
    <col min="4" max="4" width="14.1428571428571" customWidth="1"/>
    <col min="5" max="5" width="12.2857142857143" customWidth="1"/>
    <col min="6" max="6" width="14.2857142857143" style="235" customWidth="1"/>
    <col min="7" max="7" width="19.4285714285714" customWidth="1"/>
    <col min="8" max="9" width="13.5714285714286" customWidth="1"/>
    <col min="10" max="10" width="15.4285714285714" customWidth="1"/>
  </cols>
  <sheetData>
    <row r="1" ht="18" customHeight="1" spans="1:10">
      <c r="A1" s="1" t="s">
        <v>0</v>
      </c>
      <c r="B1" s="1"/>
      <c r="C1" s="1"/>
      <c r="D1" s="1"/>
      <c r="E1" s="1"/>
      <c r="F1" s="1"/>
      <c r="G1" s="1"/>
      <c r="H1" s="1"/>
      <c r="I1" s="1"/>
      <c r="J1" s="1"/>
    </row>
    <row r="2" ht="18.75" spans="1:10">
      <c r="A2" s="2" t="s">
        <v>1</v>
      </c>
      <c r="B2" s="2"/>
      <c r="C2" s="2"/>
      <c r="D2" s="2"/>
      <c r="E2" s="2"/>
      <c r="F2" s="2"/>
      <c r="G2" s="2"/>
      <c r="H2" s="2"/>
      <c r="I2" s="2"/>
      <c r="J2" s="2"/>
    </row>
    <row r="4" ht="14.45" customHeight="1" spans="1:10">
      <c r="A4" s="105" t="s">
        <v>251</v>
      </c>
      <c r="B4" s="105"/>
      <c r="C4" s="105"/>
      <c r="D4" s="105"/>
      <c r="E4" s="105"/>
      <c r="F4" s="105"/>
      <c r="G4" s="105"/>
      <c r="H4" s="105"/>
      <c r="I4" s="105"/>
      <c r="J4" s="105"/>
    </row>
    <row r="5" ht="14.45" customHeight="1" spans="1:10">
      <c r="A5" s="105" t="s">
        <v>41</v>
      </c>
      <c r="B5" s="105"/>
      <c r="C5" s="105"/>
      <c r="D5" s="105"/>
      <c r="E5" s="105"/>
      <c r="F5" s="105"/>
      <c r="G5" s="105"/>
      <c r="H5" s="105"/>
      <c r="I5" s="105"/>
      <c r="J5" s="105"/>
    </row>
    <row r="6" ht="38.45" customHeight="1" spans="1:10">
      <c r="A6" s="106" t="s">
        <v>2</v>
      </c>
      <c r="B6" s="106"/>
      <c r="C6" s="106"/>
      <c r="D6" s="106"/>
      <c r="E6" s="106"/>
      <c r="F6" s="106"/>
      <c r="G6" s="106"/>
      <c r="H6" s="106"/>
      <c r="I6" s="106"/>
      <c r="J6" s="106"/>
    </row>
    <row r="7" customHeight="1" spans="1:10">
      <c r="A7" s="107" t="s">
        <v>252</v>
      </c>
      <c r="B7" s="107"/>
      <c r="C7" s="107"/>
      <c r="D7" s="107"/>
      <c r="E7" s="107"/>
      <c r="F7" s="107"/>
      <c r="G7" s="107"/>
      <c r="H7" s="107"/>
      <c r="I7" s="107"/>
      <c r="J7" s="107"/>
    </row>
    <row r="8" ht="15.75" customHeight="1" spans="1:10">
      <c r="A8" s="107" t="s">
        <v>253</v>
      </c>
      <c r="B8" s="107"/>
      <c r="C8" s="107"/>
      <c r="D8" s="107"/>
      <c r="E8" s="107"/>
      <c r="F8" s="107"/>
      <c r="G8" s="107"/>
      <c r="H8" s="107"/>
      <c r="I8" s="107"/>
      <c r="J8" s="107"/>
    </row>
    <row r="9" customHeight="1" spans="1:10">
      <c r="A9" s="108" t="s">
        <v>254</v>
      </c>
      <c r="B9" s="109"/>
      <c r="C9" s="110" t="s">
        <v>255</v>
      </c>
      <c r="D9" s="111"/>
      <c r="E9" s="236"/>
      <c r="F9" s="132" t="s">
        <v>256</v>
      </c>
      <c r="G9" s="133"/>
      <c r="H9" s="133"/>
      <c r="I9" s="133"/>
      <c r="J9" s="134"/>
    </row>
    <row r="10" ht="15.75" spans="1:10">
      <c r="A10" s="112"/>
      <c r="B10" s="113"/>
      <c r="C10" s="237" t="s">
        <v>257</v>
      </c>
      <c r="D10" s="238"/>
      <c r="E10" s="239"/>
      <c r="F10" s="136" t="s">
        <v>258</v>
      </c>
      <c r="G10" s="137" t="s">
        <v>259</v>
      </c>
      <c r="H10" s="137"/>
      <c r="I10" s="138" t="s">
        <v>260</v>
      </c>
      <c r="J10" s="139" t="s">
        <v>261</v>
      </c>
    </row>
    <row r="11" ht="15.75" spans="1:10">
      <c r="A11" s="116"/>
      <c r="B11" s="117"/>
      <c r="C11" s="118"/>
      <c r="D11" s="118"/>
      <c r="E11" s="240"/>
      <c r="F11" s="140">
        <v>20.88</v>
      </c>
      <c r="G11" s="19" t="s">
        <v>262</v>
      </c>
      <c r="H11" s="19"/>
      <c r="I11" s="141" t="s">
        <v>263</v>
      </c>
      <c r="J11" s="142">
        <v>3976.85</v>
      </c>
    </row>
    <row r="12" spans="1:10">
      <c r="A12" s="119" t="s">
        <v>264</v>
      </c>
      <c r="B12" s="120"/>
      <c r="C12" s="120"/>
      <c r="D12" s="121"/>
      <c r="E12" s="241"/>
      <c r="F12" s="140">
        <v>20.88</v>
      </c>
      <c r="G12" s="19" t="s">
        <v>10</v>
      </c>
      <c r="H12" s="19"/>
      <c r="I12" s="141" t="s">
        <v>265</v>
      </c>
      <c r="J12" s="142">
        <v>1739.77</v>
      </c>
    </row>
    <row r="13" ht="25.5" customHeight="1" spans="1:10">
      <c r="A13" s="122" t="s">
        <v>266</v>
      </c>
      <c r="B13" s="123"/>
      <c r="C13" s="242" t="s">
        <v>257</v>
      </c>
      <c r="D13" s="243"/>
      <c r="E13" s="244"/>
      <c r="F13" s="140">
        <v>15.21</v>
      </c>
      <c r="G13" s="19" t="s">
        <v>267</v>
      </c>
      <c r="H13" s="19"/>
      <c r="I13" s="141" t="s">
        <v>265</v>
      </c>
      <c r="J13" s="142">
        <v>1739.77</v>
      </c>
    </row>
    <row r="14" ht="25.5" customHeight="1" spans="1:10">
      <c r="A14" s="122" t="s">
        <v>268</v>
      </c>
      <c r="B14" s="123"/>
      <c r="C14" s="242" t="s">
        <v>257</v>
      </c>
      <c r="D14" s="243"/>
      <c r="E14" s="244"/>
      <c r="F14" s="140">
        <v>15.21</v>
      </c>
      <c r="G14" s="19" t="s">
        <v>269</v>
      </c>
      <c r="H14" s="19"/>
      <c r="I14" s="141" t="s">
        <v>265</v>
      </c>
      <c r="J14" s="142">
        <v>1739.77</v>
      </c>
    </row>
    <row r="15" ht="26.25" customHeight="1" spans="1:10">
      <c r="A15" s="126" t="s">
        <v>270</v>
      </c>
      <c r="B15" s="127"/>
      <c r="C15" s="242" t="s">
        <v>257</v>
      </c>
      <c r="D15" s="243"/>
      <c r="E15" s="244"/>
      <c r="F15" s="140">
        <v>20.88</v>
      </c>
      <c r="G15" s="19" t="s">
        <v>271</v>
      </c>
      <c r="H15" s="19"/>
      <c r="I15" s="141" t="s">
        <v>272</v>
      </c>
      <c r="J15" s="142">
        <v>3236.16</v>
      </c>
    </row>
    <row r="16" ht="30" customHeight="1" spans="1:10">
      <c r="A16" s="122" t="s">
        <v>273</v>
      </c>
      <c r="B16" s="123"/>
      <c r="C16" s="242" t="s">
        <v>257</v>
      </c>
      <c r="D16" s="243"/>
      <c r="E16" s="244"/>
      <c r="F16" s="245">
        <v>15.21</v>
      </c>
      <c r="G16" s="19" t="s">
        <v>274</v>
      </c>
      <c r="H16" s="19"/>
      <c r="I16" s="141" t="s">
        <v>272</v>
      </c>
      <c r="J16" s="142">
        <v>3236.16</v>
      </c>
    </row>
    <row r="17" ht="24.75" customHeight="1" spans="1:10">
      <c r="A17" s="128" t="s">
        <v>275</v>
      </c>
      <c r="B17" s="129"/>
      <c r="C17" s="237" t="s">
        <v>257</v>
      </c>
      <c r="D17" s="238"/>
      <c r="E17" s="244"/>
      <c r="F17" s="246">
        <v>15.21</v>
      </c>
      <c r="G17" s="247" t="s">
        <v>276</v>
      </c>
      <c r="H17" s="247"/>
      <c r="I17" s="267" t="s">
        <v>272</v>
      </c>
      <c r="J17" s="268">
        <v>3236.16</v>
      </c>
    </row>
    <row r="18" spans="1:4">
      <c r="A18" s="116"/>
      <c r="B18" s="117"/>
      <c r="C18" s="118"/>
      <c r="D18" s="118"/>
    </row>
    <row r="19" ht="15.75" spans="1:4">
      <c r="A19" s="116"/>
      <c r="B19" s="116"/>
      <c r="C19" s="143"/>
      <c r="D19" s="143"/>
    </row>
    <row r="20" ht="38.25" spans="1:10">
      <c r="A20" s="144" t="s">
        <v>277</v>
      </c>
      <c r="B20" s="145"/>
      <c r="C20" s="145"/>
      <c r="D20" s="146" t="s">
        <v>262</v>
      </c>
      <c r="E20" s="146" t="s">
        <v>10</v>
      </c>
      <c r="F20" s="146" t="s">
        <v>267</v>
      </c>
      <c r="G20" s="146" t="s">
        <v>269</v>
      </c>
      <c r="H20" s="146" t="s">
        <v>278</v>
      </c>
      <c r="I20" s="146" t="s">
        <v>12</v>
      </c>
      <c r="J20" s="146" t="s">
        <v>13</v>
      </c>
    </row>
    <row r="21" spans="1:10">
      <c r="A21" s="147">
        <v>1</v>
      </c>
      <c r="B21" s="148" t="s">
        <v>279</v>
      </c>
      <c r="C21" s="148"/>
      <c r="D21" s="149" t="s">
        <v>280</v>
      </c>
      <c r="E21" s="149" t="s">
        <v>280</v>
      </c>
      <c r="F21" s="149" t="s">
        <v>280</v>
      </c>
      <c r="G21" s="149" t="s">
        <v>280</v>
      </c>
      <c r="H21" s="149" t="s">
        <v>280</v>
      </c>
      <c r="I21" s="149" t="s">
        <v>280</v>
      </c>
      <c r="J21" s="149" t="s">
        <v>280</v>
      </c>
    </row>
    <row r="22" spans="1:10">
      <c r="A22" s="150" t="s">
        <v>281</v>
      </c>
      <c r="B22" s="151" t="s">
        <v>282</v>
      </c>
      <c r="C22" s="151"/>
      <c r="D22" s="152">
        <f>J11</f>
        <v>3976.85</v>
      </c>
      <c r="E22" s="152">
        <f>J12</f>
        <v>1739.77</v>
      </c>
      <c r="F22" s="248">
        <f>J13</f>
        <v>1739.77</v>
      </c>
      <c r="G22" s="152">
        <f>J14</f>
        <v>1739.77</v>
      </c>
      <c r="H22" s="153">
        <f>J15</f>
        <v>3236.16</v>
      </c>
      <c r="I22" s="152">
        <f>J16</f>
        <v>3236.16</v>
      </c>
      <c r="J22" s="152">
        <f>J17</f>
        <v>3236.16</v>
      </c>
    </row>
    <row r="23" spans="1:10">
      <c r="A23" s="150" t="s">
        <v>283</v>
      </c>
      <c r="B23" s="151" t="s">
        <v>284</v>
      </c>
      <c r="C23" s="151"/>
      <c r="D23" s="154"/>
      <c r="E23" s="155"/>
      <c r="F23" s="249"/>
      <c r="G23" s="155"/>
      <c r="H23" s="155"/>
      <c r="I23" s="155"/>
      <c r="J23" s="155"/>
    </row>
    <row r="24" spans="1:10">
      <c r="A24" s="150" t="s">
        <v>285</v>
      </c>
      <c r="B24" s="151" t="s">
        <v>286</v>
      </c>
      <c r="C24" s="151"/>
      <c r="D24" s="154"/>
      <c r="E24" s="156"/>
      <c r="F24" s="249"/>
      <c r="G24" s="155"/>
      <c r="H24" s="155"/>
      <c r="I24" s="155"/>
      <c r="J24" s="155"/>
    </row>
    <row r="25" spans="1:10">
      <c r="A25" s="150" t="s">
        <v>287</v>
      </c>
      <c r="B25" s="157" t="s">
        <v>288</v>
      </c>
      <c r="C25" s="157"/>
      <c r="D25" s="154"/>
      <c r="E25" s="155"/>
      <c r="F25" s="249"/>
      <c r="G25" s="160">
        <f>J14/220*20%*(1.1429*7)*F14</f>
        <v>192.4574110641</v>
      </c>
      <c r="H25" s="155"/>
      <c r="I25" s="155"/>
      <c r="J25" s="160">
        <f>J17/220*20%*(1.1429*7)*F17</f>
        <v>357.9915594528</v>
      </c>
    </row>
    <row r="26" spans="1:10">
      <c r="A26" s="150" t="s">
        <v>289</v>
      </c>
      <c r="B26" s="157" t="s">
        <v>290</v>
      </c>
      <c r="C26" s="157"/>
      <c r="D26" s="154"/>
      <c r="E26" s="155"/>
      <c r="F26" s="249"/>
      <c r="G26" s="155"/>
      <c r="H26" s="155"/>
      <c r="I26" s="155"/>
      <c r="J26" s="155"/>
    </row>
    <row r="27" spans="1:10">
      <c r="A27" s="150" t="s">
        <v>291</v>
      </c>
      <c r="B27" s="158" t="s">
        <v>292</v>
      </c>
      <c r="C27" s="158"/>
      <c r="D27" s="159"/>
      <c r="E27" s="160"/>
      <c r="F27" s="250"/>
      <c r="G27" s="155"/>
      <c r="H27" s="155"/>
      <c r="I27" s="155"/>
      <c r="J27" s="155"/>
    </row>
    <row r="28" ht="15.75" spans="1:10">
      <c r="A28" s="161"/>
      <c r="B28" s="162" t="s">
        <v>293</v>
      </c>
      <c r="C28" s="162"/>
      <c r="D28" s="163">
        <f t="shared" ref="D28:J28" si="0">SUM(D22:D27)</f>
        <v>3976.85</v>
      </c>
      <c r="E28" s="163">
        <f t="shared" si="0"/>
        <v>1739.77</v>
      </c>
      <c r="F28" s="251">
        <f t="shared" si="0"/>
        <v>1739.77</v>
      </c>
      <c r="G28" s="163">
        <f t="shared" si="0"/>
        <v>1932.2274110641</v>
      </c>
      <c r="H28" s="163">
        <f t="shared" si="0"/>
        <v>3236.16</v>
      </c>
      <c r="I28" s="163">
        <f t="shared" si="0"/>
        <v>3236.16</v>
      </c>
      <c r="J28" s="163">
        <f t="shared" si="0"/>
        <v>3594.1515594528</v>
      </c>
    </row>
    <row r="29" ht="15.75" spans="1:4">
      <c r="A29" s="116"/>
      <c r="B29" s="164"/>
      <c r="C29" s="164"/>
      <c r="D29" s="164"/>
    </row>
    <row r="30" ht="38.25" spans="1:10">
      <c r="A30" s="165" t="s">
        <v>294</v>
      </c>
      <c r="B30" s="166"/>
      <c r="C30" s="166"/>
      <c r="D30" s="146" t="s">
        <v>262</v>
      </c>
      <c r="E30" s="146" t="s">
        <v>10</v>
      </c>
      <c r="F30" s="146" t="s">
        <v>267</v>
      </c>
      <c r="G30" s="146" t="s">
        <v>269</v>
      </c>
      <c r="H30" s="146" t="s">
        <v>278</v>
      </c>
      <c r="I30" s="146" t="s">
        <v>12</v>
      </c>
      <c r="J30" s="146" t="s">
        <v>13</v>
      </c>
    </row>
    <row r="31" spans="1:10">
      <c r="A31" s="252" t="s">
        <v>295</v>
      </c>
      <c r="B31" s="253"/>
      <c r="C31" s="254"/>
      <c r="D31" s="149" t="s">
        <v>280</v>
      </c>
      <c r="E31" s="149" t="s">
        <v>280</v>
      </c>
      <c r="F31" s="149" t="s">
        <v>280</v>
      </c>
      <c r="G31" s="149" t="s">
        <v>280</v>
      </c>
      <c r="H31" s="149" t="s">
        <v>280</v>
      </c>
      <c r="I31" s="149" t="s">
        <v>280</v>
      </c>
      <c r="J31" s="149" t="s">
        <v>280</v>
      </c>
    </row>
    <row r="32" spans="1:10">
      <c r="A32" s="197" t="s">
        <v>281</v>
      </c>
      <c r="B32" s="255" t="s">
        <v>296</v>
      </c>
      <c r="C32" s="256"/>
      <c r="D32" s="152">
        <f t="shared" ref="D32:J32" si="1">D28*8.33%</f>
        <v>331.271605</v>
      </c>
      <c r="E32" s="152">
        <f t="shared" si="1"/>
        <v>144.922841</v>
      </c>
      <c r="F32" s="248">
        <f t="shared" si="1"/>
        <v>144.922841</v>
      </c>
      <c r="G32" s="152">
        <f t="shared" si="1"/>
        <v>160.95454334164</v>
      </c>
      <c r="H32" s="152">
        <f t="shared" si="1"/>
        <v>269.572128</v>
      </c>
      <c r="I32" s="152">
        <f t="shared" si="1"/>
        <v>269.572128</v>
      </c>
      <c r="J32" s="152">
        <f t="shared" si="1"/>
        <v>299.392824902418</v>
      </c>
    </row>
    <row r="33" spans="1:10">
      <c r="A33" s="197" t="s">
        <v>283</v>
      </c>
      <c r="B33" s="255" t="s">
        <v>297</v>
      </c>
      <c r="C33" s="256"/>
      <c r="D33" s="152">
        <f t="shared" ref="D33:J33" si="2">D28*12.1%</f>
        <v>481.19885</v>
      </c>
      <c r="E33" s="152">
        <f t="shared" si="2"/>
        <v>210.51217</v>
      </c>
      <c r="F33" s="248">
        <f t="shared" si="2"/>
        <v>210.51217</v>
      </c>
      <c r="G33" s="152">
        <f t="shared" si="2"/>
        <v>233.799516738756</v>
      </c>
      <c r="H33" s="152">
        <f t="shared" si="2"/>
        <v>391.57536</v>
      </c>
      <c r="I33" s="152">
        <f t="shared" si="2"/>
        <v>391.57536</v>
      </c>
      <c r="J33" s="152">
        <f t="shared" si="2"/>
        <v>434.892338693789</v>
      </c>
    </row>
    <row r="34" spans="1:10">
      <c r="A34" s="197"/>
      <c r="B34" s="257" t="s">
        <v>192</v>
      </c>
      <c r="C34" s="254"/>
      <c r="D34" s="171">
        <f t="shared" ref="D34:J34" si="3">SUM(D32:D33)</f>
        <v>812.470455</v>
      </c>
      <c r="E34" s="171">
        <f t="shared" si="3"/>
        <v>355.435011</v>
      </c>
      <c r="F34" s="258">
        <f t="shared" si="3"/>
        <v>355.435011</v>
      </c>
      <c r="G34" s="171">
        <f t="shared" si="3"/>
        <v>394.754060080396</v>
      </c>
      <c r="H34" s="171">
        <f t="shared" si="3"/>
        <v>661.147488</v>
      </c>
      <c r="I34" s="171">
        <f t="shared" si="3"/>
        <v>661.147488</v>
      </c>
      <c r="J34" s="171">
        <f t="shared" si="3"/>
        <v>734.285163596207</v>
      </c>
    </row>
    <row r="35" ht="60" customHeight="1" spans="1:10">
      <c r="A35" s="172" t="s">
        <v>285</v>
      </c>
      <c r="B35" s="259" t="s">
        <v>298</v>
      </c>
      <c r="C35" s="260"/>
      <c r="D35" s="174">
        <f t="shared" ref="D35:J35" si="4">D28*7.82%</f>
        <v>310.98967</v>
      </c>
      <c r="E35" s="174">
        <f t="shared" si="4"/>
        <v>136.050014</v>
      </c>
      <c r="F35" s="261">
        <f t="shared" si="4"/>
        <v>136.050014</v>
      </c>
      <c r="G35" s="174">
        <f t="shared" si="4"/>
        <v>151.100183545213</v>
      </c>
      <c r="H35" s="174">
        <f t="shared" si="4"/>
        <v>253.067712</v>
      </c>
      <c r="I35" s="174">
        <f t="shared" si="4"/>
        <v>253.067712</v>
      </c>
      <c r="J35" s="174">
        <f t="shared" si="4"/>
        <v>281.062651949209</v>
      </c>
    </row>
    <row r="36" ht="15.75" spans="1:4">
      <c r="A36" s="116"/>
      <c r="B36" s="116"/>
      <c r="C36" s="116"/>
      <c r="D36" s="116"/>
    </row>
    <row r="37" ht="38.25" spans="1:10">
      <c r="A37" s="175" t="s">
        <v>299</v>
      </c>
      <c r="B37" s="176"/>
      <c r="C37" s="176"/>
      <c r="D37" s="146" t="s">
        <v>262</v>
      </c>
      <c r="E37" s="146" t="s">
        <v>10</v>
      </c>
      <c r="F37" s="146" t="s">
        <v>267</v>
      </c>
      <c r="G37" s="146" t="s">
        <v>269</v>
      </c>
      <c r="H37" s="146" t="s">
        <v>278</v>
      </c>
      <c r="I37" s="146" t="s">
        <v>12</v>
      </c>
      <c r="J37" s="146" t="s">
        <v>13</v>
      </c>
    </row>
    <row r="38" spans="1:10">
      <c r="A38" s="147" t="s">
        <v>73</v>
      </c>
      <c r="B38" s="177" t="s">
        <v>300</v>
      </c>
      <c r="C38" s="178" t="s">
        <v>301</v>
      </c>
      <c r="D38" s="178" t="s">
        <v>280</v>
      </c>
      <c r="E38" s="178" t="s">
        <v>280</v>
      </c>
      <c r="F38" s="178" t="s">
        <v>280</v>
      </c>
      <c r="G38" s="178" t="s">
        <v>280</v>
      </c>
      <c r="H38" s="178" t="s">
        <v>280</v>
      </c>
      <c r="I38" s="178" t="s">
        <v>280</v>
      </c>
      <c r="J38" s="178" t="s">
        <v>280</v>
      </c>
    </row>
    <row r="39" spans="1:10">
      <c r="A39" s="150" t="s">
        <v>281</v>
      </c>
      <c r="B39" s="179" t="s">
        <v>302</v>
      </c>
      <c r="C39" s="180">
        <v>20</v>
      </c>
      <c r="D39" s="152">
        <f t="shared" ref="D39:J39" si="5">(D28*($C$39/100))</f>
        <v>795.37</v>
      </c>
      <c r="E39" s="152">
        <f t="shared" si="5"/>
        <v>347.954</v>
      </c>
      <c r="F39" s="248">
        <f t="shared" si="5"/>
        <v>347.954</v>
      </c>
      <c r="G39" s="152">
        <f t="shared" si="5"/>
        <v>386.44548221282</v>
      </c>
      <c r="H39" s="152">
        <f t="shared" si="5"/>
        <v>647.232</v>
      </c>
      <c r="I39" s="152">
        <f t="shared" si="5"/>
        <v>647.232</v>
      </c>
      <c r="J39" s="152">
        <f t="shared" si="5"/>
        <v>718.83031189056</v>
      </c>
    </row>
    <row r="40" spans="1:10">
      <c r="A40" s="150" t="s">
        <v>283</v>
      </c>
      <c r="B40" s="181" t="s">
        <v>303</v>
      </c>
      <c r="C40" s="182">
        <v>2.5</v>
      </c>
      <c r="D40" s="183">
        <f t="shared" ref="D40:J40" si="6">(D28*($C$40/100))</f>
        <v>99.42125</v>
      </c>
      <c r="E40" s="184">
        <f t="shared" si="6"/>
        <v>43.49425</v>
      </c>
      <c r="F40" s="262">
        <f t="shared" si="6"/>
        <v>43.49425</v>
      </c>
      <c r="G40" s="184">
        <f t="shared" si="6"/>
        <v>48.3056852766025</v>
      </c>
      <c r="H40" s="184">
        <f t="shared" si="6"/>
        <v>80.904</v>
      </c>
      <c r="I40" s="184">
        <f t="shared" si="6"/>
        <v>80.904</v>
      </c>
      <c r="J40" s="184">
        <f t="shared" si="6"/>
        <v>89.85378898632</v>
      </c>
    </row>
    <row r="41" spans="1:10">
      <c r="A41" s="150" t="s">
        <v>285</v>
      </c>
      <c r="B41" s="179" t="s">
        <v>304</v>
      </c>
      <c r="C41" s="180">
        <v>6</v>
      </c>
      <c r="D41" s="152">
        <f t="shared" ref="D41:J41" si="7">(D$28*($C$41/100))</f>
        <v>238.611</v>
      </c>
      <c r="E41" s="152">
        <f t="shared" si="7"/>
        <v>104.3862</v>
      </c>
      <c r="F41" s="248">
        <f t="shared" si="7"/>
        <v>104.3862</v>
      </c>
      <c r="G41" s="152">
        <f t="shared" si="7"/>
        <v>115.933644663846</v>
      </c>
      <c r="H41" s="152">
        <f t="shared" si="7"/>
        <v>194.1696</v>
      </c>
      <c r="I41" s="152">
        <f t="shared" si="7"/>
        <v>194.1696</v>
      </c>
      <c r="J41" s="152">
        <f t="shared" si="7"/>
        <v>215.649093567168</v>
      </c>
    </row>
    <row r="42" spans="1:10">
      <c r="A42" s="150" t="s">
        <v>287</v>
      </c>
      <c r="B42" s="181" t="s">
        <v>305</v>
      </c>
      <c r="C42" s="182">
        <v>1.5</v>
      </c>
      <c r="D42" s="183">
        <f t="shared" ref="D42:J42" si="8">(D$28*($C$42/100))</f>
        <v>59.65275</v>
      </c>
      <c r="E42" s="183">
        <f t="shared" si="8"/>
        <v>26.09655</v>
      </c>
      <c r="F42" s="263">
        <f t="shared" si="8"/>
        <v>26.09655</v>
      </c>
      <c r="G42" s="183">
        <f t="shared" si="8"/>
        <v>28.9834111659615</v>
      </c>
      <c r="H42" s="183">
        <f t="shared" si="8"/>
        <v>48.5424</v>
      </c>
      <c r="I42" s="183">
        <f t="shared" si="8"/>
        <v>48.5424</v>
      </c>
      <c r="J42" s="183">
        <f t="shared" si="8"/>
        <v>53.912273391792</v>
      </c>
    </row>
    <row r="43" spans="1:10">
      <c r="A43" s="150" t="s">
        <v>289</v>
      </c>
      <c r="B43" s="181" t="s">
        <v>306</v>
      </c>
      <c r="C43" s="182">
        <v>1</v>
      </c>
      <c r="D43" s="183">
        <f t="shared" ref="D43:J43" si="9">(D$28*($C$43/100))</f>
        <v>39.7685</v>
      </c>
      <c r="E43" s="183">
        <f t="shared" si="9"/>
        <v>17.3977</v>
      </c>
      <c r="F43" s="263">
        <f t="shared" si="9"/>
        <v>17.3977</v>
      </c>
      <c r="G43" s="183">
        <f t="shared" si="9"/>
        <v>19.322274110641</v>
      </c>
      <c r="H43" s="183">
        <f t="shared" si="9"/>
        <v>32.3616</v>
      </c>
      <c r="I43" s="183">
        <f t="shared" si="9"/>
        <v>32.3616</v>
      </c>
      <c r="J43" s="183">
        <f t="shared" si="9"/>
        <v>35.941515594528</v>
      </c>
    </row>
    <row r="44" spans="1:10">
      <c r="A44" s="150" t="s">
        <v>291</v>
      </c>
      <c r="B44" s="181" t="s">
        <v>307</v>
      </c>
      <c r="C44" s="182">
        <v>0.6</v>
      </c>
      <c r="D44" s="183">
        <f t="shared" ref="D44:J44" si="10">(D$28*($C$44/100))</f>
        <v>23.8611</v>
      </c>
      <c r="E44" s="183">
        <f t="shared" si="10"/>
        <v>10.43862</v>
      </c>
      <c r="F44" s="263">
        <f t="shared" si="10"/>
        <v>10.43862</v>
      </c>
      <c r="G44" s="183">
        <f t="shared" si="10"/>
        <v>11.5933644663846</v>
      </c>
      <c r="H44" s="183">
        <f t="shared" si="10"/>
        <v>19.41696</v>
      </c>
      <c r="I44" s="183">
        <f t="shared" si="10"/>
        <v>19.41696</v>
      </c>
      <c r="J44" s="183">
        <f t="shared" si="10"/>
        <v>21.5649093567168</v>
      </c>
    </row>
    <row r="45" spans="1:10">
      <c r="A45" s="150" t="s">
        <v>308</v>
      </c>
      <c r="B45" s="181" t="s">
        <v>309</v>
      </c>
      <c r="C45" s="182">
        <v>0.2</v>
      </c>
      <c r="D45" s="183">
        <f t="shared" ref="D45:J45" si="11">(D$28*($C$45/100))</f>
        <v>7.9537</v>
      </c>
      <c r="E45" s="183">
        <f t="shared" si="11"/>
        <v>3.47954</v>
      </c>
      <c r="F45" s="263">
        <f t="shared" si="11"/>
        <v>3.47954</v>
      </c>
      <c r="G45" s="183">
        <f t="shared" si="11"/>
        <v>3.8644548221282</v>
      </c>
      <c r="H45" s="183">
        <f t="shared" si="11"/>
        <v>6.47232</v>
      </c>
      <c r="I45" s="183">
        <f t="shared" si="11"/>
        <v>6.47232</v>
      </c>
      <c r="J45" s="183">
        <f t="shared" si="11"/>
        <v>7.1883031189056</v>
      </c>
    </row>
    <row r="46" spans="1:10">
      <c r="A46" s="150" t="s">
        <v>310</v>
      </c>
      <c r="B46" s="179" t="s">
        <v>311</v>
      </c>
      <c r="C46" s="180">
        <v>8</v>
      </c>
      <c r="D46" s="152">
        <f t="shared" ref="D46:J46" si="12">(D$28*($C$46/100))</f>
        <v>318.148</v>
      </c>
      <c r="E46" s="152">
        <f t="shared" si="12"/>
        <v>139.1816</v>
      </c>
      <c r="F46" s="248">
        <f t="shared" si="12"/>
        <v>139.1816</v>
      </c>
      <c r="G46" s="152">
        <f t="shared" si="12"/>
        <v>154.578192885128</v>
      </c>
      <c r="H46" s="152">
        <f t="shared" si="12"/>
        <v>258.8928</v>
      </c>
      <c r="I46" s="152">
        <f t="shared" si="12"/>
        <v>258.8928</v>
      </c>
      <c r="J46" s="152">
        <f t="shared" si="12"/>
        <v>287.532124756224</v>
      </c>
    </row>
    <row r="47" ht="15.75" spans="1:10">
      <c r="A47" s="161"/>
      <c r="B47" s="185" t="s">
        <v>14</v>
      </c>
      <c r="C47" s="186">
        <f t="shared" ref="C47:J47" si="13">SUM(C39:C46)</f>
        <v>39.8</v>
      </c>
      <c r="D47" s="187">
        <f t="shared" si="13"/>
        <v>1582.7863</v>
      </c>
      <c r="E47" s="187">
        <f t="shared" si="13"/>
        <v>692.42846</v>
      </c>
      <c r="F47" s="264">
        <f t="shared" si="13"/>
        <v>692.42846</v>
      </c>
      <c r="G47" s="187">
        <f t="shared" si="13"/>
        <v>769.026509603512</v>
      </c>
      <c r="H47" s="187">
        <f t="shared" si="13"/>
        <v>1287.99168</v>
      </c>
      <c r="I47" s="187">
        <f t="shared" si="13"/>
        <v>1287.99168</v>
      </c>
      <c r="J47" s="187">
        <f t="shared" si="13"/>
        <v>1430.47232066221</v>
      </c>
    </row>
    <row r="48" spans="1:4">
      <c r="A48" s="188"/>
      <c r="B48" s="189" t="s">
        <v>312</v>
      </c>
      <c r="C48" s="188"/>
      <c r="D48" s="188"/>
    </row>
    <row r="49" ht="15.75" spans="1:4">
      <c r="A49" s="188"/>
      <c r="B49" s="189"/>
      <c r="C49" s="188"/>
      <c r="D49" s="188"/>
    </row>
    <row r="50" ht="38.25" spans="1:10">
      <c r="A50" s="190" t="s">
        <v>313</v>
      </c>
      <c r="B50" s="191"/>
      <c r="C50" s="191"/>
      <c r="D50" s="146" t="s">
        <v>262</v>
      </c>
      <c r="E50" s="146" t="s">
        <v>10</v>
      </c>
      <c r="F50" s="146" t="s">
        <v>267</v>
      </c>
      <c r="G50" s="146" t="s">
        <v>269</v>
      </c>
      <c r="H50" s="146" t="s">
        <v>278</v>
      </c>
      <c r="I50" s="146" t="s">
        <v>12</v>
      </c>
      <c r="J50" s="146" t="s">
        <v>13</v>
      </c>
    </row>
    <row r="51" spans="1:10">
      <c r="A51" s="147" t="s">
        <v>75</v>
      </c>
      <c r="B51" s="148" t="s">
        <v>314</v>
      </c>
      <c r="C51" s="148"/>
      <c r="D51" s="149" t="s">
        <v>280</v>
      </c>
      <c r="E51" s="149" t="s">
        <v>280</v>
      </c>
      <c r="F51" s="149" t="s">
        <v>280</v>
      </c>
      <c r="G51" s="149" t="s">
        <v>280</v>
      </c>
      <c r="H51" s="149" t="s">
        <v>280</v>
      </c>
      <c r="I51" s="149" t="s">
        <v>280</v>
      </c>
      <c r="J51" s="149" t="s">
        <v>280</v>
      </c>
    </row>
    <row r="52" spans="1:10">
      <c r="A52" s="150" t="s">
        <v>281</v>
      </c>
      <c r="B52" s="192" t="s">
        <v>315</v>
      </c>
      <c r="C52" s="192"/>
      <c r="D52" s="193">
        <f>(5.15*4*F11)-(6%*J11)</f>
        <v>191.517</v>
      </c>
      <c r="E52" s="193">
        <f>(5.15*4*F12)-(6%*J12)</f>
        <v>325.7418</v>
      </c>
      <c r="F52" s="265">
        <f>(5.15*4*F13)-(6%*J13)</f>
        <v>208.9398</v>
      </c>
      <c r="G52" s="193">
        <f>(5.15*4*F14)-(6%*J14)</f>
        <v>208.9398</v>
      </c>
      <c r="H52" s="193">
        <f>(5.15*4*F15)-(6%*J15)</f>
        <v>235.9584</v>
      </c>
      <c r="I52" s="193">
        <f>(5.15*4*F16)-(6%*J16)</f>
        <v>119.1564</v>
      </c>
      <c r="J52" s="193">
        <f>(5.15*4*F17)-(6%*J17)</f>
        <v>119.1564</v>
      </c>
    </row>
    <row r="53" spans="1:10">
      <c r="A53" s="150" t="s">
        <v>283</v>
      </c>
      <c r="B53" s="151" t="s">
        <v>316</v>
      </c>
      <c r="C53" s="151"/>
      <c r="D53" s="193">
        <v>368</v>
      </c>
      <c r="E53" s="193">
        <v>368</v>
      </c>
      <c r="F53" s="265">
        <f>18.4*F13</f>
        <v>279.864</v>
      </c>
      <c r="G53" s="265">
        <f>18.4*F13</f>
        <v>279.864</v>
      </c>
      <c r="H53" s="193">
        <v>368</v>
      </c>
      <c r="I53" s="265">
        <f>18.4*F13</f>
        <v>279.864</v>
      </c>
      <c r="J53" s="265">
        <f>18.4*F13</f>
        <v>279.864</v>
      </c>
    </row>
    <row r="54" spans="1:10">
      <c r="A54" s="194" t="s">
        <v>285</v>
      </c>
      <c r="B54" s="151" t="s">
        <v>317</v>
      </c>
      <c r="C54" s="151"/>
      <c r="D54" s="193">
        <v>3</v>
      </c>
      <c r="E54" s="193">
        <v>3</v>
      </c>
      <c r="F54" s="265">
        <v>3</v>
      </c>
      <c r="G54" s="193">
        <v>3</v>
      </c>
      <c r="H54" s="193">
        <v>3</v>
      </c>
      <c r="I54" s="193">
        <v>3</v>
      </c>
      <c r="J54" s="193">
        <v>3</v>
      </c>
    </row>
    <row r="55" ht="15.75" spans="1:10">
      <c r="A55" s="161"/>
      <c r="B55" s="162" t="s">
        <v>318</v>
      </c>
      <c r="C55" s="162"/>
      <c r="D55" s="163">
        <f t="shared" ref="D55:J55" si="14">SUM(D52:D54)</f>
        <v>562.517</v>
      </c>
      <c r="E55" s="163">
        <f t="shared" si="14"/>
        <v>696.7418</v>
      </c>
      <c r="F55" s="251">
        <f t="shared" si="14"/>
        <v>491.8038</v>
      </c>
      <c r="G55" s="163">
        <f t="shared" si="14"/>
        <v>491.8038</v>
      </c>
      <c r="H55" s="163">
        <f t="shared" si="14"/>
        <v>606.9584</v>
      </c>
      <c r="I55" s="163">
        <f t="shared" si="14"/>
        <v>402.0204</v>
      </c>
      <c r="J55" s="163">
        <f t="shared" si="14"/>
        <v>402.0204</v>
      </c>
    </row>
    <row r="56" ht="15.75" spans="1:4">
      <c r="A56" s="188"/>
      <c r="B56" s="195"/>
      <c r="C56" s="196"/>
      <c r="D56" s="196"/>
    </row>
    <row r="57" ht="38.25" spans="1:10">
      <c r="A57" s="165" t="s">
        <v>319</v>
      </c>
      <c r="B57" s="166"/>
      <c r="C57" s="166"/>
      <c r="D57" s="146" t="s">
        <v>262</v>
      </c>
      <c r="E57" s="146" t="s">
        <v>10</v>
      </c>
      <c r="F57" s="146" t="s">
        <v>267</v>
      </c>
      <c r="G57" s="146" t="s">
        <v>269</v>
      </c>
      <c r="H57" s="146" t="s">
        <v>278</v>
      </c>
      <c r="I57" s="146" t="s">
        <v>12</v>
      </c>
      <c r="J57" s="146" t="s">
        <v>13</v>
      </c>
    </row>
    <row r="58" spans="1:10">
      <c r="A58" s="197">
        <v>2</v>
      </c>
      <c r="B58" s="148" t="s">
        <v>320</v>
      </c>
      <c r="C58" s="148"/>
      <c r="D58" s="198" t="s">
        <v>321</v>
      </c>
      <c r="E58" s="198" t="s">
        <v>321</v>
      </c>
      <c r="F58" s="198" t="s">
        <v>321</v>
      </c>
      <c r="G58" s="198" t="s">
        <v>321</v>
      </c>
      <c r="H58" s="198" t="s">
        <v>321</v>
      </c>
      <c r="I58" s="198" t="s">
        <v>321</v>
      </c>
      <c r="J58" s="198" t="s">
        <v>321</v>
      </c>
    </row>
    <row r="59" spans="1:10">
      <c r="A59" s="197" t="s">
        <v>70</v>
      </c>
      <c r="B59" s="151" t="s">
        <v>322</v>
      </c>
      <c r="C59" s="151"/>
      <c r="D59" s="199">
        <f t="shared" ref="D59:J59" si="15">D34</f>
        <v>812.470455</v>
      </c>
      <c r="E59" s="199">
        <f t="shared" si="15"/>
        <v>355.435011</v>
      </c>
      <c r="F59" s="266">
        <f t="shared" si="15"/>
        <v>355.435011</v>
      </c>
      <c r="G59" s="199">
        <f t="shared" si="15"/>
        <v>394.754060080396</v>
      </c>
      <c r="H59" s="199">
        <f t="shared" si="15"/>
        <v>661.147488</v>
      </c>
      <c r="I59" s="199">
        <f t="shared" si="15"/>
        <v>661.147488</v>
      </c>
      <c r="J59" s="199">
        <f t="shared" si="15"/>
        <v>734.285163596207</v>
      </c>
    </row>
    <row r="60" spans="1:10">
      <c r="A60" s="197" t="s">
        <v>73</v>
      </c>
      <c r="B60" s="151" t="s">
        <v>300</v>
      </c>
      <c r="C60" s="151"/>
      <c r="D60" s="199">
        <f t="shared" ref="D60:J60" si="16">D47+D35</f>
        <v>1893.77597</v>
      </c>
      <c r="E60" s="199">
        <f t="shared" si="16"/>
        <v>828.478474</v>
      </c>
      <c r="F60" s="266">
        <f t="shared" si="16"/>
        <v>828.478474</v>
      </c>
      <c r="G60" s="199">
        <f t="shared" si="16"/>
        <v>920.126693148724</v>
      </c>
      <c r="H60" s="199">
        <f t="shared" si="16"/>
        <v>1541.059392</v>
      </c>
      <c r="I60" s="199">
        <f t="shared" si="16"/>
        <v>1541.059392</v>
      </c>
      <c r="J60" s="199">
        <f t="shared" si="16"/>
        <v>1711.53497261142</v>
      </c>
    </row>
    <row r="61" spans="1:10">
      <c r="A61" s="197" t="s">
        <v>75</v>
      </c>
      <c r="B61" s="151" t="s">
        <v>314</v>
      </c>
      <c r="C61" s="151"/>
      <c r="D61" s="199">
        <f t="shared" ref="D61:J61" si="17">D55</f>
        <v>562.517</v>
      </c>
      <c r="E61" s="199">
        <f t="shared" si="17"/>
        <v>696.7418</v>
      </c>
      <c r="F61" s="266">
        <f t="shared" si="17"/>
        <v>491.8038</v>
      </c>
      <c r="G61" s="199">
        <f t="shared" si="17"/>
        <v>491.8038</v>
      </c>
      <c r="H61" s="199">
        <f t="shared" si="17"/>
        <v>606.9584</v>
      </c>
      <c r="I61" s="199">
        <f t="shared" si="17"/>
        <v>402.0204</v>
      </c>
      <c r="J61" s="199">
        <f t="shared" si="17"/>
        <v>402.0204</v>
      </c>
    </row>
    <row r="62" ht="15.75" spans="1:10">
      <c r="A62" s="200"/>
      <c r="B62" s="162" t="s">
        <v>192</v>
      </c>
      <c r="C62" s="162"/>
      <c r="D62" s="163">
        <f t="shared" ref="D62:J62" si="18">SUM(D59:D61)</f>
        <v>3268.763425</v>
      </c>
      <c r="E62" s="163">
        <f t="shared" si="18"/>
        <v>1880.655285</v>
      </c>
      <c r="F62" s="251">
        <f t="shared" si="18"/>
        <v>1675.717285</v>
      </c>
      <c r="G62" s="163">
        <f t="shared" si="18"/>
        <v>1806.68455322912</v>
      </c>
      <c r="H62" s="163">
        <f t="shared" si="18"/>
        <v>2809.16528</v>
      </c>
      <c r="I62" s="163">
        <f t="shared" si="18"/>
        <v>2604.22728</v>
      </c>
      <c r="J62" s="163">
        <f t="shared" si="18"/>
        <v>2847.84053620763</v>
      </c>
    </row>
    <row r="63" ht="15.75" spans="1:4">
      <c r="A63" s="116"/>
      <c r="B63" s="201"/>
      <c r="C63" s="196"/>
      <c r="D63" s="196"/>
    </row>
    <row r="64" ht="38.25" spans="1:10">
      <c r="A64" s="165" t="s">
        <v>323</v>
      </c>
      <c r="B64" s="166"/>
      <c r="C64" s="166"/>
      <c r="D64" s="146" t="s">
        <v>262</v>
      </c>
      <c r="E64" s="146" t="s">
        <v>10</v>
      </c>
      <c r="F64" s="146" t="s">
        <v>267</v>
      </c>
      <c r="G64" s="146" t="s">
        <v>269</v>
      </c>
      <c r="H64" s="146" t="s">
        <v>278</v>
      </c>
      <c r="I64" s="146" t="s">
        <v>12</v>
      </c>
      <c r="J64" s="146" t="s">
        <v>13</v>
      </c>
    </row>
    <row r="65" spans="1:10">
      <c r="A65" s="147">
        <v>3</v>
      </c>
      <c r="B65" s="202" t="s">
        <v>324</v>
      </c>
      <c r="C65" s="202"/>
      <c r="D65" s="178" t="s">
        <v>280</v>
      </c>
      <c r="E65" s="178" t="s">
        <v>280</v>
      </c>
      <c r="F65" s="178" t="s">
        <v>280</v>
      </c>
      <c r="G65" s="178" t="s">
        <v>280</v>
      </c>
      <c r="H65" s="178" t="s">
        <v>280</v>
      </c>
      <c r="I65" s="178" t="s">
        <v>280</v>
      </c>
      <c r="J65" s="178" t="s">
        <v>280</v>
      </c>
    </row>
    <row r="66" spans="1:10">
      <c r="A66" s="150" t="s">
        <v>281</v>
      </c>
      <c r="B66" s="157" t="s">
        <v>325</v>
      </c>
      <c r="C66" s="157"/>
      <c r="D66" s="152">
        <f t="shared" ref="D66:J66" si="19">((D28+D32+D33)/12)*5%</f>
        <v>19.9555018958333</v>
      </c>
      <c r="E66" s="152">
        <f t="shared" si="19"/>
        <v>8.73002087916667</v>
      </c>
      <c r="F66" s="248">
        <f t="shared" si="19"/>
        <v>8.73002087916667</v>
      </c>
      <c r="G66" s="152">
        <f t="shared" si="19"/>
        <v>9.69575612976873</v>
      </c>
      <c r="H66" s="152">
        <f t="shared" si="19"/>
        <v>16.2387812</v>
      </c>
      <c r="I66" s="152">
        <f t="shared" si="19"/>
        <v>16.2387812</v>
      </c>
      <c r="J66" s="152">
        <f t="shared" si="19"/>
        <v>18.0351530127042</v>
      </c>
    </row>
    <row r="67" spans="1:10">
      <c r="A67" s="150" t="s">
        <v>283</v>
      </c>
      <c r="B67" s="157" t="s">
        <v>326</v>
      </c>
      <c r="C67" s="157"/>
      <c r="D67" s="152">
        <f t="shared" ref="D67:J67" si="20">((D28+D32)/12)*5%*8%</f>
        <v>1.436040535</v>
      </c>
      <c r="E67" s="152">
        <f t="shared" si="20"/>
        <v>0.628230947</v>
      </c>
      <c r="F67" s="248">
        <f t="shared" si="20"/>
        <v>0.628230947</v>
      </c>
      <c r="G67" s="152">
        <f t="shared" si="20"/>
        <v>0.697727318135247</v>
      </c>
      <c r="H67" s="152">
        <f t="shared" si="20"/>
        <v>1.168577376</v>
      </c>
      <c r="I67" s="152">
        <f t="shared" si="20"/>
        <v>1.168577376</v>
      </c>
      <c r="J67" s="152">
        <f t="shared" si="20"/>
        <v>1.29784812811841</v>
      </c>
    </row>
    <row r="68" spans="1:10">
      <c r="A68" s="150" t="s">
        <v>285</v>
      </c>
      <c r="B68" s="157" t="s">
        <v>327</v>
      </c>
      <c r="C68" s="157"/>
      <c r="D68" s="152">
        <v>0</v>
      </c>
      <c r="E68" s="152">
        <v>0</v>
      </c>
      <c r="F68" s="248">
        <v>0</v>
      </c>
      <c r="G68" s="152">
        <v>0</v>
      </c>
      <c r="H68" s="152">
        <v>0</v>
      </c>
      <c r="I68" s="152">
        <v>0</v>
      </c>
      <c r="J68" s="152">
        <v>0</v>
      </c>
    </row>
    <row r="69" spans="1:10">
      <c r="A69" s="150" t="s">
        <v>287</v>
      </c>
      <c r="B69" s="157" t="s">
        <v>328</v>
      </c>
      <c r="C69" s="157"/>
      <c r="D69" s="152">
        <f t="shared" ref="D69:J69" si="21">(((D28+D54)/30/12)*7)</f>
        <v>77.3859722222222</v>
      </c>
      <c r="E69" s="152">
        <f t="shared" si="21"/>
        <v>33.8871944444444</v>
      </c>
      <c r="F69" s="248">
        <f t="shared" si="21"/>
        <v>33.8871944444444</v>
      </c>
      <c r="G69" s="152">
        <f t="shared" si="21"/>
        <v>37.6294218818019</v>
      </c>
      <c r="H69" s="152">
        <f t="shared" si="21"/>
        <v>62.9836666666667</v>
      </c>
      <c r="I69" s="152">
        <f t="shared" si="21"/>
        <v>62.9836666666667</v>
      </c>
      <c r="J69" s="152">
        <f t="shared" si="21"/>
        <v>69.9446136560267</v>
      </c>
    </row>
    <row r="70" ht="24" customHeight="1" spans="1:10">
      <c r="A70" s="150" t="s">
        <v>289</v>
      </c>
      <c r="B70" s="157" t="s">
        <v>329</v>
      </c>
      <c r="C70" s="157"/>
      <c r="D70" s="152">
        <f t="shared" ref="D70:J70" si="22">(D28/30/12*7)*8%</f>
        <v>6.18621111111111</v>
      </c>
      <c r="E70" s="152">
        <f t="shared" si="22"/>
        <v>2.70630888888889</v>
      </c>
      <c r="F70" s="248">
        <f t="shared" si="22"/>
        <v>2.70630888888889</v>
      </c>
      <c r="G70" s="152">
        <f t="shared" si="22"/>
        <v>3.00568708387749</v>
      </c>
      <c r="H70" s="152">
        <f t="shared" si="22"/>
        <v>5.03402666666667</v>
      </c>
      <c r="I70" s="152">
        <f t="shared" si="22"/>
        <v>5.03402666666667</v>
      </c>
      <c r="J70" s="152">
        <f t="shared" si="22"/>
        <v>5.59090242581547</v>
      </c>
    </row>
    <row r="71" spans="1:10">
      <c r="A71" s="150" t="s">
        <v>291</v>
      </c>
      <c r="B71" s="157" t="s">
        <v>330</v>
      </c>
      <c r="C71" s="157"/>
      <c r="D71" s="152">
        <f t="shared" ref="D71:J71" si="23">D28*4%</f>
        <v>159.074</v>
      </c>
      <c r="E71" s="152">
        <f t="shared" si="23"/>
        <v>69.5908</v>
      </c>
      <c r="F71" s="248">
        <f t="shared" si="23"/>
        <v>69.5908</v>
      </c>
      <c r="G71" s="152">
        <f t="shared" si="23"/>
        <v>77.289096442564</v>
      </c>
      <c r="H71" s="152">
        <f t="shared" si="23"/>
        <v>129.4464</v>
      </c>
      <c r="I71" s="152">
        <f t="shared" si="23"/>
        <v>129.4464</v>
      </c>
      <c r="J71" s="152">
        <f t="shared" si="23"/>
        <v>143.766062378112</v>
      </c>
    </row>
    <row r="72" ht="15.75" spans="1:10">
      <c r="A72" s="161"/>
      <c r="B72" s="203" t="s">
        <v>14</v>
      </c>
      <c r="C72" s="203"/>
      <c r="D72" s="187">
        <f t="shared" ref="D72:J72" si="24">SUM(D66:D71)</f>
        <v>264.037725764167</v>
      </c>
      <c r="E72" s="187">
        <f t="shared" si="24"/>
        <v>115.5425551595</v>
      </c>
      <c r="F72" s="264">
        <f t="shared" si="24"/>
        <v>115.5425551595</v>
      </c>
      <c r="G72" s="187">
        <f t="shared" si="24"/>
        <v>128.317688856147</v>
      </c>
      <c r="H72" s="187">
        <f t="shared" si="24"/>
        <v>214.871451909333</v>
      </c>
      <c r="I72" s="187">
        <f t="shared" si="24"/>
        <v>214.871451909333</v>
      </c>
      <c r="J72" s="187">
        <f t="shared" si="24"/>
        <v>238.634579600777</v>
      </c>
    </row>
    <row r="73" ht="15.75" spans="1:4">
      <c r="A73" s="116"/>
      <c r="B73" s="116"/>
      <c r="C73" s="116"/>
      <c r="D73" s="116"/>
    </row>
    <row r="74" ht="38.25" spans="1:10">
      <c r="A74" s="165" t="s">
        <v>331</v>
      </c>
      <c r="B74" s="166"/>
      <c r="C74" s="166"/>
      <c r="D74" s="146" t="s">
        <v>262</v>
      </c>
      <c r="E74" s="146" t="s">
        <v>10</v>
      </c>
      <c r="F74" s="146" t="s">
        <v>267</v>
      </c>
      <c r="G74" s="146" t="s">
        <v>269</v>
      </c>
      <c r="H74" s="146" t="s">
        <v>278</v>
      </c>
      <c r="I74" s="146" t="s">
        <v>12</v>
      </c>
      <c r="J74" s="146" t="s">
        <v>13</v>
      </c>
    </row>
    <row r="75" spans="1:10">
      <c r="A75" s="147" t="s">
        <v>332</v>
      </c>
      <c r="B75" s="202" t="s">
        <v>333</v>
      </c>
      <c r="C75" s="202"/>
      <c r="D75" s="178" t="s">
        <v>280</v>
      </c>
      <c r="E75" s="178" t="s">
        <v>280</v>
      </c>
      <c r="F75" s="178" t="s">
        <v>280</v>
      </c>
      <c r="G75" s="178" t="s">
        <v>280</v>
      </c>
      <c r="H75" s="178" t="s">
        <v>280</v>
      </c>
      <c r="I75" s="178" t="s">
        <v>280</v>
      </c>
      <c r="J75" s="178" t="s">
        <v>280</v>
      </c>
    </row>
    <row r="76" spans="1:10">
      <c r="A76" s="150" t="s">
        <v>281</v>
      </c>
      <c r="B76" s="204" t="s">
        <v>334</v>
      </c>
      <c r="C76" s="204"/>
      <c r="D76" s="152">
        <v>0</v>
      </c>
      <c r="E76" s="152">
        <v>0</v>
      </c>
      <c r="F76" s="248">
        <v>0</v>
      </c>
      <c r="G76" s="152">
        <v>0</v>
      </c>
      <c r="H76" s="152">
        <v>0</v>
      </c>
      <c r="I76" s="152">
        <v>0</v>
      </c>
      <c r="J76" s="152">
        <v>0</v>
      </c>
    </row>
    <row r="77" spans="1:10">
      <c r="A77" s="150" t="s">
        <v>283</v>
      </c>
      <c r="B77" s="204" t="s">
        <v>335</v>
      </c>
      <c r="C77" s="204"/>
      <c r="D77" s="152">
        <f>(((D28+D62+D72+D80+D101)-(D52-D53-D98-D99))/30*2.96)/12</f>
        <v>74.9422089077642</v>
      </c>
      <c r="E77" s="152">
        <f t="shared" ref="E77:J77" si="25">(((E28+E62+E72+E80+E101)-(E52-E53-E98-E99))/30*2.96)/12</f>
        <v>36.5987768580825</v>
      </c>
      <c r="F77" s="248">
        <f t="shared" si="25"/>
        <v>35.1494293025269</v>
      </c>
      <c r="G77" s="152">
        <f t="shared" si="25"/>
        <v>37.9212818253624</v>
      </c>
      <c r="H77" s="152">
        <f t="shared" si="25"/>
        <v>58.1504145617837</v>
      </c>
      <c r="I77" s="152">
        <f t="shared" si="25"/>
        <v>56.7010670062281</v>
      </c>
      <c r="J77" s="152">
        <f t="shared" si="25"/>
        <v>61.8570119071629</v>
      </c>
    </row>
    <row r="78" spans="1:10">
      <c r="A78" s="150" t="s">
        <v>285</v>
      </c>
      <c r="B78" s="204" t="s">
        <v>336</v>
      </c>
      <c r="C78" s="204"/>
      <c r="D78" s="152">
        <f t="shared" ref="D78:J78" si="26">(((D28+D62+D72+D80+D101)-(D52-D53-D98-D99))/30*5*1.5%)/12</f>
        <v>1.8988735365143</v>
      </c>
      <c r="E78" s="152">
        <f t="shared" si="26"/>
        <v>0.927333873093306</v>
      </c>
      <c r="F78" s="248">
        <f t="shared" si="26"/>
        <v>0.890610539759972</v>
      </c>
      <c r="G78" s="152">
        <f t="shared" si="26"/>
        <v>0.960843289493979</v>
      </c>
      <c r="H78" s="152">
        <f t="shared" si="26"/>
        <v>1.47340577436952</v>
      </c>
      <c r="I78" s="152">
        <f t="shared" si="26"/>
        <v>1.43668244103619</v>
      </c>
      <c r="J78" s="152">
        <f t="shared" si="26"/>
        <v>1.5673229368369</v>
      </c>
    </row>
    <row r="79" spans="1:10">
      <c r="A79" s="150" t="s">
        <v>287</v>
      </c>
      <c r="B79" s="204" t="s">
        <v>337</v>
      </c>
      <c r="C79" s="204"/>
      <c r="D79" s="152">
        <f t="shared" ref="D79:J79" si="27">(((D28+D62+D72+D80+D101)-(D52-D53-D98-D99))/30*15*0.78%)/12</f>
        <v>2.9622427169623</v>
      </c>
      <c r="E79" s="152">
        <f t="shared" si="27"/>
        <v>1.44664084202556</v>
      </c>
      <c r="F79" s="248">
        <f t="shared" si="27"/>
        <v>1.38935244202556</v>
      </c>
      <c r="G79" s="152">
        <f t="shared" si="27"/>
        <v>1.49891553161061</v>
      </c>
      <c r="H79" s="152">
        <f t="shared" si="27"/>
        <v>2.29851300801645</v>
      </c>
      <c r="I79" s="152">
        <f t="shared" si="27"/>
        <v>2.24122460801645</v>
      </c>
      <c r="J79" s="152">
        <f t="shared" si="27"/>
        <v>2.44502378146556</v>
      </c>
    </row>
    <row r="80" spans="1:10">
      <c r="A80" s="150" t="s">
        <v>289</v>
      </c>
      <c r="B80" s="204" t="s">
        <v>338</v>
      </c>
      <c r="C80" s="204"/>
      <c r="D80" s="152">
        <f t="shared" ref="D80:J80" si="28">(((D33*3.95/12)+(D54*3.95*1.02%))/12+((D28+D32)*39.8%*3.95)*1.02%/12)</f>
        <v>18.9665025671319</v>
      </c>
      <c r="E80" s="152">
        <f t="shared" si="28"/>
        <v>8.30302504734124</v>
      </c>
      <c r="F80" s="248">
        <f t="shared" si="28"/>
        <v>8.30302504734124</v>
      </c>
      <c r="G80" s="152">
        <f t="shared" si="28"/>
        <v>9.22041078070756</v>
      </c>
      <c r="H80" s="152">
        <f t="shared" si="28"/>
        <v>15.4358594233311</v>
      </c>
      <c r="I80" s="152">
        <f t="shared" si="28"/>
        <v>15.4358594233311</v>
      </c>
      <c r="J80" s="152">
        <f t="shared" si="28"/>
        <v>17.1422959148736</v>
      </c>
    </row>
    <row r="81" spans="1:10">
      <c r="A81" s="150" t="s">
        <v>291</v>
      </c>
      <c r="B81" s="204" t="s">
        <v>339</v>
      </c>
      <c r="C81" s="204"/>
      <c r="D81" s="152">
        <v>0</v>
      </c>
      <c r="E81" s="152">
        <v>0</v>
      </c>
      <c r="F81" s="248">
        <v>0</v>
      </c>
      <c r="G81" s="152">
        <v>0</v>
      </c>
      <c r="H81" s="152">
        <v>0</v>
      </c>
      <c r="I81" s="152">
        <v>0</v>
      </c>
      <c r="J81" s="152">
        <v>0</v>
      </c>
    </row>
    <row r="82" ht="15.75" spans="1:10">
      <c r="A82" s="161"/>
      <c r="B82" s="203" t="s">
        <v>14</v>
      </c>
      <c r="C82" s="203"/>
      <c r="D82" s="187">
        <f t="shared" ref="D82:J82" si="29">SUM(D76:D81)</f>
        <v>98.7698277283727</v>
      </c>
      <c r="E82" s="187">
        <f t="shared" si="29"/>
        <v>47.2757766205426</v>
      </c>
      <c r="F82" s="264">
        <f t="shared" si="29"/>
        <v>45.7324173316537</v>
      </c>
      <c r="G82" s="187">
        <f t="shared" si="29"/>
        <v>49.6014514271745</v>
      </c>
      <c r="H82" s="187">
        <f t="shared" si="29"/>
        <v>77.3581927675008</v>
      </c>
      <c r="I82" s="187">
        <f t="shared" si="29"/>
        <v>75.8148334786119</v>
      </c>
      <c r="J82" s="187">
        <f t="shared" si="29"/>
        <v>83.0116545403389</v>
      </c>
    </row>
    <row r="83" ht="15.75" spans="1:4">
      <c r="A83" s="188"/>
      <c r="B83" s="188"/>
      <c r="C83" s="188"/>
      <c r="D83" s="116"/>
    </row>
    <row r="84" ht="38.25" spans="1:10">
      <c r="A84" s="205" t="s">
        <v>340</v>
      </c>
      <c r="B84" s="206"/>
      <c r="C84" s="206"/>
      <c r="D84" s="146" t="s">
        <v>262</v>
      </c>
      <c r="E84" s="146" t="s">
        <v>10</v>
      </c>
      <c r="F84" s="146" t="s">
        <v>267</v>
      </c>
      <c r="G84" s="146" t="s">
        <v>269</v>
      </c>
      <c r="H84" s="146" t="s">
        <v>278</v>
      </c>
      <c r="I84" s="146" t="s">
        <v>12</v>
      </c>
      <c r="J84" s="146" t="s">
        <v>13</v>
      </c>
    </row>
    <row r="85" spans="1:10">
      <c r="A85" s="207" t="s">
        <v>341</v>
      </c>
      <c r="B85" s="208" t="s">
        <v>342</v>
      </c>
      <c r="C85" s="208"/>
      <c r="D85" s="209" t="s">
        <v>280</v>
      </c>
      <c r="E85" s="209" t="s">
        <v>280</v>
      </c>
      <c r="F85" s="209" t="s">
        <v>280</v>
      </c>
      <c r="G85" s="209" t="s">
        <v>280</v>
      </c>
      <c r="H85" s="209" t="s">
        <v>280</v>
      </c>
      <c r="I85" s="209" t="s">
        <v>280</v>
      </c>
      <c r="J85" s="209" t="s">
        <v>280</v>
      </c>
    </row>
    <row r="86" spans="1:10">
      <c r="A86" s="210" t="s">
        <v>281</v>
      </c>
      <c r="B86" s="211" t="s">
        <v>343</v>
      </c>
      <c r="C86" s="211"/>
      <c r="D86" s="212">
        <v>0</v>
      </c>
      <c r="E86" s="212">
        <v>0</v>
      </c>
      <c r="F86" s="269">
        <v>0</v>
      </c>
      <c r="G86" s="212">
        <v>0</v>
      </c>
      <c r="H86" s="212">
        <v>0</v>
      </c>
      <c r="I86" s="212">
        <v>0</v>
      </c>
      <c r="J86" s="212">
        <v>0</v>
      </c>
    </row>
    <row r="87" ht="15.75" spans="1:10">
      <c r="A87" s="213"/>
      <c r="B87" s="214" t="s">
        <v>14</v>
      </c>
      <c r="C87" s="214"/>
      <c r="D87" s="215">
        <v>0</v>
      </c>
      <c r="E87" s="215">
        <v>0</v>
      </c>
      <c r="F87" s="270">
        <v>0</v>
      </c>
      <c r="G87" s="215">
        <v>0</v>
      </c>
      <c r="H87" s="215">
        <v>0</v>
      </c>
      <c r="I87" s="215">
        <v>0</v>
      </c>
      <c r="J87" s="215">
        <v>0</v>
      </c>
    </row>
    <row r="88" ht="15.75" spans="1:4">
      <c r="A88" s="188"/>
      <c r="B88" s="188"/>
      <c r="C88" s="188"/>
      <c r="D88" s="116"/>
    </row>
    <row r="89" ht="38.25" spans="1:10">
      <c r="A89" s="165" t="s">
        <v>344</v>
      </c>
      <c r="B89" s="166"/>
      <c r="C89" s="166"/>
      <c r="D89" s="146" t="s">
        <v>262</v>
      </c>
      <c r="E89" s="146" t="s">
        <v>10</v>
      </c>
      <c r="F89" s="146" t="s">
        <v>267</v>
      </c>
      <c r="G89" s="146" t="s">
        <v>269</v>
      </c>
      <c r="H89" s="146" t="s">
        <v>278</v>
      </c>
      <c r="I89" s="146" t="s">
        <v>12</v>
      </c>
      <c r="J89" s="146" t="s">
        <v>13</v>
      </c>
    </row>
    <row r="90" spans="1:10">
      <c r="A90" s="216">
        <v>4</v>
      </c>
      <c r="B90" s="148" t="s">
        <v>345</v>
      </c>
      <c r="C90" s="148"/>
      <c r="D90" s="198" t="s">
        <v>321</v>
      </c>
      <c r="E90" s="198" t="s">
        <v>321</v>
      </c>
      <c r="F90" s="198" t="s">
        <v>321</v>
      </c>
      <c r="G90" s="198" t="s">
        <v>321</v>
      </c>
      <c r="H90" s="198" t="s">
        <v>321</v>
      </c>
      <c r="I90" s="198" t="s">
        <v>321</v>
      </c>
      <c r="J90" s="198" t="s">
        <v>321</v>
      </c>
    </row>
    <row r="91" spans="1:10">
      <c r="A91" s="197" t="s">
        <v>332</v>
      </c>
      <c r="B91" s="151" t="s">
        <v>346</v>
      </c>
      <c r="C91" s="151"/>
      <c r="D91" s="199">
        <f t="shared" ref="D91:J91" si="30">D82</f>
        <v>98.7698277283727</v>
      </c>
      <c r="E91" s="199">
        <f t="shared" si="30"/>
        <v>47.2757766205426</v>
      </c>
      <c r="F91" s="266">
        <f t="shared" si="30"/>
        <v>45.7324173316537</v>
      </c>
      <c r="G91" s="199">
        <f t="shared" si="30"/>
        <v>49.6014514271745</v>
      </c>
      <c r="H91" s="199">
        <f t="shared" si="30"/>
        <v>77.3581927675008</v>
      </c>
      <c r="I91" s="199">
        <f t="shared" si="30"/>
        <v>75.8148334786119</v>
      </c>
      <c r="J91" s="199">
        <f t="shared" si="30"/>
        <v>83.0116545403389</v>
      </c>
    </row>
    <row r="92" spans="1:10">
      <c r="A92" s="197" t="s">
        <v>341</v>
      </c>
      <c r="B92" s="151" t="s">
        <v>342</v>
      </c>
      <c r="C92" s="151"/>
      <c r="D92" s="199">
        <v>0</v>
      </c>
      <c r="E92" s="199">
        <v>0</v>
      </c>
      <c r="F92" s="266">
        <v>0</v>
      </c>
      <c r="G92" s="199">
        <v>0</v>
      </c>
      <c r="H92" s="199">
        <v>0</v>
      </c>
      <c r="I92" s="199">
        <v>0</v>
      </c>
      <c r="J92" s="199">
        <v>0</v>
      </c>
    </row>
    <row r="93" ht="15.75" spans="1:10">
      <c r="A93" s="161"/>
      <c r="B93" s="162" t="s">
        <v>192</v>
      </c>
      <c r="C93" s="162"/>
      <c r="D93" s="163">
        <f t="shared" ref="D93:J93" si="31">SUM(D91:D92)</f>
        <v>98.7698277283727</v>
      </c>
      <c r="E93" s="163">
        <f t="shared" si="31"/>
        <v>47.2757766205426</v>
      </c>
      <c r="F93" s="251">
        <f t="shared" si="31"/>
        <v>45.7324173316537</v>
      </c>
      <c r="G93" s="163">
        <f t="shared" si="31"/>
        <v>49.6014514271745</v>
      </c>
      <c r="H93" s="163">
        <f t="shared" si="31"/>
        <v>77.3581927675008</v>
      </c>
      <c r="I93" s="163">
        <f t="shared" si="31"/>
        <v>75.8148334786119</v>
      </c>
      <c r="J93" s="163">
        <f t="shared" si="31"/>
        <v>83.0116545403389</v>
      </c>
    </row>
    <row r="94" ht="15.75" spans="1:4">
      <c r="A94" s="116"/>
      <c r="B94" s="116"/>
      <c r="C94" s="116"/>
      <c r="D94" s="116"/>
    </row>
    <row r="95" ht="38.25" spans="1:10">
      <c r="A95" s="165" t="s">
        <v>347</v>
      </c>
      <c r="B95" s="166"/>
      <c r="C95" s="166"/>
      <c r="D95" s="146" t="s">
        <v>262</v>
      </c>
      <c r="E95" s="146" t="s">
        <v>10</v>
      </c>
      <c r="F95" s="146" t="s">
        <v>267</v>
      </c>
      <c r="G95" s="146" t="s">
        <v>269</v>
      </c>
      <c r="H95" s="146" t="s">
        <v>278</v>
      </c>
      <c r="I95" s="146" t="s">
        <v>12</v>
      </c>
      <c r="J95" s="146" t="s">
        <v>13</v>
      </c>
    </row>
    <row r="96" spans="1:10">
      <c r="A96" s="217">
        <v>5</v>
      </c>
      <c r="B96" s="148" t="s">
        <v>348</v>
      </c>
      <c r="C96" s="148"/>
      <c r="D96" s="149" t="s">
        <v>280</v>
      </c>
      <c r="E96" s="149" t="s">
        <v>280</v>
      </c>
      <c r="F96" s="149" t="s">
        <v>280</v>
      </c>
      <c r="G96" s="149" t="s">
        <v>280</v>
      </c>
      <c r="H96" s="149" t="s">
        <v>280</v>
      </c>
      <c r="I96" s="149" t="s">
        <v>280</v>
      </c>
      <c r="J96" s="149" t="s">
        <v>280</v>
      </c>
    </row>
    <row r="97" spans="1:10">
      <c r="A97" s="194" t="s">
        <v>281</v>
      </c>
      <c r="B97" s="151" t="s">
        <v>349</v>
      </c>
      <c r="C97" s="151"/>
      <c r="D97" s="218">
        <f>'An IIC1 Uniformes Item 1'!F17</f>
        <v>64.35</v>
      </c>
      <c r="E97" s="218">
        <f>'An IIC1 Uniformes Item 1'!G51</f>
        <v>175.8275</v>
      </c>
      <c r="F97" s="271">
        <f>'An IIC1 Uniformes Item 1'!G51</f>
        <v>175.8275</v>
      </c>
      <c r="G97" s="218">
        <f>'An IIC1 Uniformes Item 1'!G51</f>
        <v>175.8275</v>
      </c>
      <c r="H97" s="218">
        <f>'An IIC1 Uniformes Item 1'!G51</f>
        <v>175.8275</v>
      </c>
      <c r="I97" s="218">
        <f>'An IIC1 Uniformes Item 1'!G51</f>
        <v>175.8275</v>
      </c>
      <c r="J97" s="218">
        <f>'An IIC1 Uniformes Item 1'!G51</f>
        <v>175.8275</v>
      </c>
    </row>
    <row r="98" spans="1:10">
      <c r="A98" s="194" t="s">
        <v>283</v>
      </c>
      <c r="B98" s="192" t="s">
        <v>350</v>
      </c>
      <c r="C98" s="192"/>
      <c r="D98" s="218">
        <f>'An IIC1 Uniformes Item 1'!E60</f>
        <v>428.148148148148</v>
      </c>
      <c r="E98" s="219"/>
      <c r="F98" s="272"/>
      <c r="G98" s="219"/>
      <c r="H98" s="219"/>
      <c r="I98" s="219"/>
      <c r="J98" s="219"/>
    </row>
    <row r="99" spans="1:10">
      <c r="A99" s="194" t="s">
        <v>285</v>
      </c>
      <c r="B99" s="151" t="s">
        <v>351</v>
      </c>
      <c r="C99" s="151"/>
      <c r="D99" s="218">
        <f>'An IID Equip Item 1'!E72</f>
        <v>244.423012820513</v>
      </c>
      <c r="E99" s="218">
        <f>'An IID Equip Item 1'!E72</f>
        <v>244.423012820513</v>
      </c>
      <c r="F99" s="271">
        <f>'An IID Equip Item 1'!E72</f>
        <v>244.423012820513</v>
      </c>
      <c r="G99" s="218">
        <f>'An IID Equip Item 1'!E72</f>
        <v>244.423012820513</v>
      </c>
      <c r="H99" s="218">
        <f>'An IID Equip Item 1'!E72</f>
        <v>244.423012820513</v>
      </c>
      <c r="I99" s="218">
        <f>'An IID Equip Item 1'!E72</f>
        <v>244.423012820513</v>
      </c>
      <c r="J99" s="218">
        <f>'An IID Equip Item 1'!E72</f>
        <v>244.423012820513</v>
      </c>
    </row>
    <row r="100" spans="1:10">
      <c r="A100" s="194" t="s">
        <v>287</v>
      </c>
      <c r="B100" s="151" t="s">
        <v>352</v>
      </c>
      <c r="C100" s="151"/>
      <c r="D100" s="220"/>
      <c r="E100" s="220"/>
      <c r="F100" s="273"/>
      <c r="G100" s="220"/>
      <c r="H100" s="220"/>
      <c r="I100" s="220"/>
      <c r="J100" s="220"/>
    </row>
    <row r="101" ht="15.75" spans="1:10">
      <c r="A101" s="221"/>
      <c r="B101" s="162" t="s">
        <v>353</v>
      </c>
      <c r="C101" s="162"/>
      <c r="D101" s="187">
        <f t="shared" ref="D101:J101" si="32">SUM(D97:D100)</f>
        <v>736.921160968661</v>
      </c>
      <c r="E101" s="187">
        <f t="shared" si="32"/>
        <v>420.250512820513</v>
      </c>
      <c r="F101" s="264">
        <f t="shared" si="32"/>
        <v>420.250512820513</v>
      </c>
      <c r="G101" s="187">
        <f t="shared" si="32"/>
        <v>420.250512820513</v>
      </c>
      <c r="H101" s="187">
        <f t="shared" si="32"/>
        <v>420.250512820513</v>
      </c>
      <c r="I101" s="187">
        <f t="shared" si="32"/>
        <v>420.250512820513</v>
      </c>
      <c r="J101" s="187">
        <f t="shared" si="32"/>
        <v>420.250512820513</v>
      </c>
    </row>
    <row r="102" ht="15.75" spans="1:4">
      <c r="A102" s="54"/>
      <c r="B102" s="222"/>
      <c r="C102" s="223"/>
      <c r="D102" s="223"/>
    </row>
    <row r="103" ht="38.25" spans="1:10">
      <c r="A103" s="165" t="s">
        <v>354</v>
      </c>
      <c r="B103" s="166"/>
      <c r="C103" s="224"/>
      <c r="D103" s="146" t="s">
        <v>262</v>
      </c>
      <c r="E103" s="146" t="s">
        <v>10</v>
      </c>
      <c r="F103" s="146" t="s">
        <v>267</v>
      </c>
      <c r="G103" s="146" t="s">
        <v>269</v>
      </c>
      <c r="H103" s="146" t="s">
        <v>278</v>
      </c>
      <c r="I103" s="146" t="s">
        <v>12</v>
      </c>
      <c r="J103" s="146" t="s">
        <v>13</v>
      </c>
    </row>
    <row r="104" spans="1:10">
      <c r="A104" s="217">
        <v>6</v>
      </c>
      <c r="B104" s="177" t="s">
        <v>355</v>
      </c>
      <c r="C104" s="178" t="s">
        <v>301</v>
      </c>
      <c r="D104" s="178" t="s">
        <v>280</v>
      </c>
      <c r="E104" s="178" t="s">
        <v>280</v>
      </c>
      <c r="F104" s="178" t="s">
        <v>280</v>
      </c>
      <c r="G104" s="178" t="s">
        <v>280</v>
      </c>
      <c r="H104" s="178" t="s">
        <v>280</v>
      </c>
      <c r="I104" s="178" t="s">
        <v>280</v>
      </c>
      <c r="J104" s="178" t="s">
        <v>280</v>
      </c>
    </row>
    <row r="105" spans="1:10">
      <c r="A105" s="194" t="s">
        <v>281</v>
      </c>
      <c r="B105" s="179" t="s">
        <v>356</v>
      </c>
      <c r="C105" s="225">
        <v>4.8</v>
      </c>
      <c r="D105" s="152">
        <f t="shared" ref="D105:J105" si="33">(D122)*$C$105/100</f>
        <v>400.576422694138</v>
      </c>
      <c r="E105" s="152">
        <f t="shared" si="33"/>
        <v>201.767718220827</v>
      </c>
      <c r="F105" s="248">
        <f t="shared" si="33"/>
        <v>191.85661297496</v>
      </c>
      <c r="G105" s="152">
        <f t="shared" si="33"/>
        <v>208.179917635059</v>
      </c>
      <c r="H105" s="152">
        <f t="shared" si="33"/>
        <v>324.374660999873</v>
      </c>
      <c r="I105" s="152">
        <f t="shared" si="33"/>
        <v>314.463555754006</v>
      </c>
      <c r="J105" s="152">
        <f t="shared" si="33"/>
        <v>344.826664445859</v>
      </c>
    </row>
    <row r="106" spans="1:10">
      <c r="A106" s="194" t="s">
        <v>283</v>
      </c>
      <c r="B106" s="179" t="s">
        <v>357</v>
      </c>
      <c r="C106" s="225">
        <v>3.92</v>
      </c>
      <c r="D106" s="152">
        <f t="shared" ref="D106:J106" si="34">(D122+D105)*$C$106/100</f>
        <v>342.840007636489</v>
      </c>
      <c r="E106" s="152">
        <f t="shared" si="34"/>
        <v>172.686264434598</v>
      </c>
      <c r="F106" s="248">
        <f t="shared" si="34"/>
        <v>164.203679824836</v>
      </c>
      <c r="G106" s="152">
        <f t="shared" si="34"/>
        <v>178.174252173259</v>
      </c>
      <c r="H106" s="152">
        <f t="shared" si="34"/>
        <v>277.621459861091</v>
      </c>
      <c r="I106" s="152">
        <f t="shared" si="34"/>
        <v>269.138875251329</v>
      </c>
      <c r="J106" s="152">
        <f t="shared" si="34"/>
        <v>295.125647877062</v>
      </c>
    </row>
    <row r="107" spans="1:10">
      <c r="A107" s="194" t="s">
        <v>285</v>
      </c>
      <c r="B107" s="179" t="s">
        <v>358</v>
      </c>
      <c r="C107" s="225"/>
      <c r="D107" s="152"/>
      <c r="E107" s="152"/>
      <c r="F107" s="248"/>
      <c r="G107" s="152"/>
      <c r="H107" s="152"/>
      <c r="I107" s="152"/>
      <c r="J107" s="152"/>
    </row>
    <row r="108" spans="1:10">
      <c r="A108" s="194"/>
      <c r="B108" s="179" t="s">
        <v>359</v>
      </c>
      <c r="C108" s="225">
        <f>3+0.65</f>
        <v>3.65</v>
      </c>
      <c r="D108" s="152">
        <f t="shared" ref="D108:J108" si="35">((D122+D105+D106)/(1-($C$108+$C$110)/100))*$C$108/100</f>
        <v>363.152367594309</v>
      </c>
      <c r="E108" s="152">
        <f t="shared" si="35"/>
        <v>182.917466992166</v>
      </c>
      <c r="F108" s="248">
        <f t="shared" si="35"/>
        <v>173.932311771832</v>
      </c>
      <c r="G108" s="152">
        <f t="shared" si="35"/>
        <v>188.730603429662</v>
      </c>
      <c r="H108" s="152">
        <f t="shared" si="35"/>
        <v>294.069794066862</v>
      </c>
      <c r="I108" s="152">
        <f t="shared" si="35"/>
        <v>285.084638846528</v>
      </c>
      <c r="J108" s="152">
        <f t="shared" si="35"/>
        <v>312.611058736171</v>
      </c>
    </row>
    <row r="109" spans="1:10">
      <c r="A109" s="194"/>
      <c r="B109" s="179" t="s">
        <v>360</v>
      </c>
      <c r="C109" s="225"/>
      <c r="D109" s="152"/>
      <c r="E109" s="152"/>
      <c r="F109" s="248"/>
      <c r="G109" s="152"/>
      <c r="H109" s="152"/>
      <c r="I109" s="152"/>
      <c r="J109" s="152"/>
    </row>
    <row r="110" spans="1:10">
      <c r="A110" s="194"/>
      <c r="B110" s="179" t="s">
        <v>361</v>
      </c>
      <c r="C110" s="226">
        <v>5</v>
      </c>
      <c r="D110" s="152">
        <f t="shared" ref="D110:J110" si="36">((D122+D105+D106)/(1-($C$108+$C$110)/100))*$C$110/100</f>
        <v>497.468996704533</v>
      </c>
      <c r="E110" s="152">
        <f t="shared" si="36"/>
        <v>250.571872592008</v>
      </c>
      <c r="F110" s="248">
        <f t="shared" si="36"/>
        <v>238.263440783331</v>
      </c>
      <c r="G110" s="152">
        <f t="shared" si="36"/>
        <v>258.535073191318</v>
      </c>
      <c r="H110" s="152">
        <f t="shared" si="36"/>
        <v>402.835334338167</v>
      </c>
      <c r="I110" s="152">
        <f t="shared" si="36"/>
        <v>390.526902529491</v>
      </c>
      <c r="J110" s="152">
        <f t="shared" si="36"/>
        <v>428.23432703585</v>
      </c>
    </row>
    <row r="111" spans="1:10">
      <c r="A111" s="194"/>
      <c r="B111" s="179" t="s">
        <v>362</v>
      </c>
      <c r="C111" s="225"/>
      <c r="D111" s="152"/>
      <c r="E111" s="155"/>
      <c r="F111" s="249"/>
      <c r="G111" s="155"/>
      <c r="H111" s="155"/>
      <c r="I111" s="155"/>
      <c r="J111" s="155"/>
    </row>
    <row r="112" ht="15.75" spans="1:10">
      <c r="A112" s="227"/>
      <c r="B112" s="185" t="s">
        <v>14</v>
      </c>
      <c r="C112" s="228">
        <f t="shared" ref="C112:J112" si="37">SUM(C105:C111)</f>
        <v>17.37</v>
      </c>
      <c r="D112" s="187">
        <f t="shared" si="37"/>
        <v>1604.03779462947</v>
      </c>
      <c r="E112" s="187">
        <f t="shared" si="37"/>
        <v>807.943322239598</v>
      </c>
      <c r="F112" s="264">
        <f t="shared" si="37"/>
        <v>768.256045354959</v>
      </c>
      <c r="G112" s="187">
        <f t="shared" si="37"/>
        <v>833.619846429297</v>
      </c>
      <c r="H112" s="187">
        <f t="shared" si="37"/>
        <v>1298.90124926599</v>
      </c>
      <c r="I112" s="187">
        <f t="shared" si="37"/>
        <v>1259.21397238135</v>
      </c>
      <c r="J112" s="187">
        <f t="shared" si="37"/>
        <v>1380.79769809494</v>
      </c>
    </row>
    <row r="113" spans="1:4">
      <c r="A113" s="54"/>
      <c r="B113" s="222"/>
      <c r="C113" s="223"/>
      <c r="D113" s="223"/>
    </row>
    <row r="114" ht="15.75" spans="1:7">
      <c r="A114" s="229" t="s">
        <v>363</v>
      </c>
      <c r="B114" s="229"/>
      <c r="C114" s="229"/>
      <c r="D114" s="229"/>
      <c r="E114" s="229"/>
      <c r="F114" s="229"/>
      <c r="G114" s="229"/>
    </row>
    <row r="115" ht="38.25" spans="1:10">
      <c r="A115" s="132" t="s">
        <v>364</v>
      </c>
      <c r="B115" s="133"/>
      <c r="C115" s="133"/>
      <c r="D115" s="146" t="s">
        <v>262</v>
      </c>
      <c r="E115" s="146" t="s">
        <v>10</v>
      </c>
      <c r="F115" s="146" t="s">
        <v>267</v>
      </c>
      <c r="G115" s="146" t="s">
        <v>269</v>
      </c>
      <c r="H115" s="146" t="s">
        <v>278</v>
      </c>
      <c r="I115" s="146" t="s">
        <v>12</v>
      </c>
      <c r="J115" s="146" t="s">
        <v>13</v>
      </c>
    </row>
    <row r="116" spans="1:10">
      <c r="A116" s="230"/>
      <c r="B116" s="202" t="s">
        <v>365</v>
      </c>
      <c r="C116" s="202"/>
      <c r="D116" s="178" t="s">
        <v>280</v>
      </c>
      <c r="E116" s="178" t="s">
        <v>280</v>
      </c>
      <c r="F116" s="178" t="s">
        <v>280</v>
      </c>
      <c r="G116" s="178" t="s">
        <v>280</v>
      </c>
      <c r="H116" s="178" t="s">
        <v>280</v>
      </c>
      <c r="I116" s="178" t="s">
        <v>280</v>
      </c>
      <c r="J116" s="178" t="s">
        <v>280</v>
      </c>
    </row>
    <row r="117" spans="1:10">
      <c r="A117" s="230" t="s">
        <v>281</v>
      </c>
      <c r="B117" s="157" t="s">
        <v>366</v>
      </c>
      <c r="C117" s="157"/>
      <c r="D117" s="152">
        <f t="shared" ref="D117:J117" si="38">D28</f>
        <v>3976.85</v>
      </c>
      <c r="E117" s="152">
        <f t="shared" si="38"/>
        <v>1739.77</v>
      </c>
      <c r="F117" s="248">
        <f t="shared" si="38"/>
        <v>1739.77</v>
      </c>
      <c r="G117" s="152">
        <f t="shared" si="38"/>
        <v>1932.2274110641</v>
      </c>
      <c r="H117" s="152">
        <f t="shared" si="38"/>
        <v>3236.16</v>
      </c>
      <c r="I117" s="152">
        <f t="shared" si="38"/>
        <v>3236.16</v>
      </c>
      <c r="J117" s="152">
        <f t="shared" si="38"/>
        <v>3594.1515594528</v>
      </c>
    </row>
    <row r="118" spans="1:10">
      <c r="A118" s="230" t="s">
        <v>283</v>
      </c>
      <c r="B118" s="157" t="s">
        <v>367</v>
      </c>
      <c r="C118" s="157"/>
      <c r="D118" s="152">
        <f t="shared" ref="D118:J118" si="39">D62</f>
        <v>3268.763425</v>
      </c>
      <c r="E118" s="152">
        <f t="shared" si="39"/>
        <v>1880.655285</v>
      </c>
      <c r="F118" s="248">
        <f t="shared" si="39"/>
        <v>1675.717285</v>
      </c>
      <c r="G118" s="152">
        <f t="shared" si="39"/>
        <v>1806.68455322912</v>
      </c>
      <c r="H118" s="152">
        <f t="shared" si="39"/>
        <v>2809.16528</v>
      </c>
      <c r="I118" s="152">
        <f t="shared" si="39"/>
        <v>2604.22728</v>
      </c>
      <c r="J118" s="152">
        <f t="shared" si="39"/>
        <v>2847.84053620763</v>
      </c>
    </row>
    <row r="119" spans="1:10">
      <c r="A119" s="230" t="s">
        <v>285</v>
      </c>
      <c r="B119" s="157" t="s">
        <v>368</v>
      </c>
      <c r="C119" s="157"/>
      <c r="D119" s="152">
        <f t="shared" ref="D119:J119" si="40">D72</f>
        <v>264.037725764167</v>
      </c>
      <c r="E119" s="152">
        <f t="shared" si="40"/>
        <v>115.5425551595</v>
      </c>
      <c r="F119" s="248">
        <f t="shared" si="40"/>
        <v>115.5425551595</v>
      </c>
      <c r="G119" s="152">
        <f t="shared" si="40"/>
        <v>128.317688856147</v>
      </c>
      <c r="H119" s="152">
        <f t="shared" si="40"/>
        <v>214.871451909333</v>
      </c>
      <c r="I119" s="152">
        <f t="shared" si="40"/>
        <v>214.871451909333</v>
      </c>
      <c r="J119" s="152">
        <f t="shared" si="40"/>
        <v>238.634579600777</v>
      </c>
    </row>
    <row r="120" spans="1:10">
      <c r="A120" s="230" t="s">
        <v>287</v>
      </c>
      <c r="B120" s="157" t="s">
        <v>369</v>
      </c>
      <c r="C120" s="157"/>
      <c r="D120" s="152">
        <f t="shared" ref="D120:J120" si="41">D93</f>
        <v>98.7698277283727</v>
      </c>
      <c r="E120" s="152">
        <f t="shared" si="41"/>
        <v>47.2757766205426</v>
      </c>
      <c r="F120" s="248">
        <f t="shared" si="41"/>
        <v>45.7324173316537</v>
      </c>
      <c r="G120" s="152">
        <f t="shared" si="41"/>
        <v>49.6014514271745</v>
      </c>
      <c r="H120" s="152">
        <f t="shared" si="41"/>
        <v>77.3581927675008</v>
      </c>
      <c r="I120" s="152">
        <f t="shared" si="41"/>
        <v>75.8148334786119</v>
      </c>
      <c r="J120" s="152">
        <f t="shared" si="41"/>
        <v>83.0116545403389</v>
      </c>
    </row>
    <row r="121" spans="1:10">
      <c r="A121" s="230" t="s">
        <v>289</v>
      </c>
      <c r="B121" s="157" t="s">
        <v>370</v>
      </c>
      <c r="C121" s="157"/>
      <c r="D121" s="152">
        <f t="shared" ref="D121:J121" si="42">D101</f>
        <v>736.921160968661</v>
      </c>
      <c r="E121" s="152">
        <f t="shared" si="42"/>
        <v>420.250512820513</v>
      </c>
      <c r="F121" s="248">
        <f t="shared" si="42"/>
        <v>420.250512820513</v>
      </c>
      <c r="G121" s="152">
        <f t="shared" si="42"/>
        <v>420.250512820513</v>
      </c>
      <c r="H121" s="152">
        <f t="shared" si="42"/>
        <v>420.250512820513</v>
      </c>
      <c r="I121" s="152">
        <f t="shared" si="42"/>
        <v>420.250512820513</v>
      </c>
      <c r="J121" s="152">
        <f t="shared" si="42"/>
        <v>420.250512820513</v>
      </c>
    </row>
    <row r="122" spans="1:10">
      <c r="A122" s="230"/>
      <c r="B122" s="202" t="s">
        <v>371</v>
      </c>
      <c r="C122" s="202"/>
      <c r="D122" s="171">
        <f t="shared" ref="D122:J122" si="43">SUM(D117:D121)</f>
        <v>8345.3421394612</v>
      </c>
      <c r="E122" s="171">
        <f t="shared" si="43"/>
        <v>4203.49412960056</v>
      </c>
      <c r="F122" s="258">
        <f t="shared" si="43"/>
        <v>3997.01277031167</v>
      </c>
      <c r="G122" s="171">
        <f t="shared" si="43"/>
        <v>4337.08161739706</v>
      </c>
      <c r="H122" s="171">
        <f t="shared" si="43"/>
        <v>6757.80543749735</v>
      </c>
      <c r="I122" s="171">
        <f t="shared" si="43"/>
        <v>6551.32407820846</v>
      </c>
      <c r="J122" s="171">
        <f t="shared" si="43"/>
        <v>7183.88884262206</v>
      </c>
    </row>
    <row r="123" spans="1:10">
      <c r="A123" s="230" t="s">
        <v>291</v>
      </c>
      <c r="B123" s="157" t="s">
        <v>372</v>
      </c>
      <c r="C123" s="157"/>
      <c r="D123" s="152">
        <f t="shared" ref="D123:J123" si="44">D112</f>
        <v>1604.03779462947</v>
      </c>
      <c r="E123" s="152">
        <f t="shared" si="44"/>
        <v>807.943322239598</v>
      </c>
      <c r="F123" s="248">
        <f t="shared" si="44"/>
        <v>768.256045354959</v>
      </c>
      <c r="G123" s="152">
        <f t="shared" si="44"/>
        <v>833.619846429297</v>
      </c>
      <c r="H123" s="152">
        <f t="shared" si="44"/>
        <v>1298.90124926599</v>
      </c>
      <c r="I123" s="152">
        <f t="shared" si="44"/>
        <v>1259.21397238135</v>
      </c>
      <c r="J123" s="152">
        <f t="shared" si="44"/>
        <v>1380.79769809494</v>
      </c>
    </row>
    <row r="124" spans="1:10">
      <c r="A124" s="230"/>
      <c r="B124" s="202" t="s">
        <v>373</v>
      </c>
      <c r="C124" s="202"/>
      <c r="D124" s="171">
        <f t="shared" ref="D124:J124" si="45">SUM(D122:D123)</f>
        <v>9949.37993409067</v>
      </c>
      <c r="E124" s="171">
        <f t="shared" si="45"/>
        <v>5011.43745184015</v>
      </c>
      <c r="F124" s="258">
        <f t="shared" si="45"/>
        <v>4765.26881566663</v>
      </c>
      <c r="G124" s="171">
        <f t="shared" si="45"/>
        <v>5170.70146382635</v>
      </c>
      <c r="H124" s="171">
        <f t="shared" si="45"/>
        <v>8056.70668676334</v>
      </c>
      <c r="I124" s="171">
        <f t="shared" si="45"/>
        <v>7810.53805058981</v>
      </c>
      <c r="J124" s="171">
        <f t="shared" si="45"/>
        <v>8564.686540717</v>
      </c>
    </row>
    <row r="125" spans="1:10">
      <c r="A125" s="230"/>
      <c r="B125" s="202" t="s">
        <v>374</v>
      </c>
      <c r="C125" s="202"/>
      <c r="D125" s="171"/>
      <c r="E125" s="171"/>
      <c r="F125" s="171">
        <f>2*F124</f>
        <v>9530.53763133325</v>
      </c>
      <c r="G125" s="171">
        <f>2*G124</f>
        <v>10341.4029276527</v>
      </c>
      <c r="H125" s="171"/>
      <c r="I125" s="171">
        <f>2*I124</f>
        <v>15621.0761011796</v>
      </c>
      <c r="J125" s="171">
        <f>2*J124</f>
        <v>17129.373081434</v>
      </c>
    </row>
    <row r="126" ht="15.75" spans="1:10">
      <c r="A126" s="161"/>
      <c r="B126" s="203" t="s">
        <v>375</v>
      </c>
      <c r="C126" s="203"/>
      <c r="D126" s="186">
        <f>D124/D28</f>
        <v>2.50182429161036</v>
      </c>
      <c r="E126" s="186">
        <f>E124/E28</f>
        <v>2.88051722459874</v>
      </c>
      <c r="F126" s="186">
        <f>F124/F28</f>
        <v>2.73902229355985</v>
      </c>
      <c r="G126" s="186">
        <f>G125/G28</f>
        <v>5.3520630482918</v>
      </c>
      <c r="H126" s="186">
        <f>H124/H28</f>
        <v>2.48958848968016</v>
      </c>
      <c r="I126" s="186">
        <f>I125/I28</f>
        <v>4.82704072146607</v>
      </c>
      <c r="J126" s="186">
        <f>J125/J28</f>
        <v>4.76590171507456</v>
      </c>
    </row>
    <row r="127" spans="1:4">
      <c r="A127" s="116"/>
      <c r="B127" s="231"/>
      <c r="C127" s="116"/>
      <c r="D127" s="116"/>
    </row>
    <row r="128" ht="15.75" spans="1:4">
      <c r="A128" s="116"/>
      <c r="B128" s="116"/>
      <c r="C128" s="116"/>
      <c r="D128" s="116"/>
    </row>
    <row r="129" ht="38.25" spans="1:10">
      <c r="A129" s="165" t="s">
        <v>376</v>
      </c>
      <c r="B129" s="166"/>
      <c r="C129" s="224"/>
      <c r="D129" s="146" t="s">
        <v>262</v>
      </c>
      <c r="E129" s="146" t="s">
        <v>10</v>
      </c>
      <c r="F129" s="146" t="s">
        <v>267</v>
      </c>
      <c r="G129" s="146" t="s">
        <v>269</v>
      </c>
      <c r="H129" s="146" t="s">
        <v>278</v>
      </c>
      <c r="I129" s="146" t="s">
        <v>12</v>
      </c>
      <c r="J129" s="146" t="s">
        <v>13</v>
      </c>
    </row>
    <row r="130" spans="1:10">
      <c r="A130" s="217">
        <v>6</v>
      </c>
      <c r="B130" s="177" t="s">
        <v>355</v>
      </c>
      <c r="C130" s="178" t="s">
        <v>301</v>
      </c>
      <c r="D130" s="178" t="s">
        <v>280</v>
      </c>
      <c r="E130" s="178" t="s">
        <v>280</v>
      </c>
      <c r="F130" s="178" t="s">
        <v>280</v>
      </c>
      <c r="G130" s="178" t="s">
        <v>280</v>
      </c>
      <c r="H130" s="178" t="s">
        <v>280</v>
      </c>
      <c r="I130" s="178" t="s">
        <v>280</v>
      </c>
      <c r="J130" s="178" t="s">
        <v>280</v>
      </c>
    </row>
    <row r="131" spans="1:10">
      <c r="A131" s="194" t="s">
        <v>281</v>
      </c>
      <c r="B131" s="179" t="s">
        <v>356</v>
      </c>
      <c r="C131" s="225">
        <v>4.8</v>
      </c>
      <c r="D131" s="152">
        <f t="shared" ref="D131:J131" si="46">(D148)*$C$131/100</f>
        <v>400.576422694138</v>
      </c>
      <c r="E131" s="152">
        <f t="shared" si="46"/>
        <v>201.767718220827</v>
      </c>
      <c r="F131" s="248">
        <f t="shared" si="46"/>
        <v>191.85661297496</v>
      </c>
      <c r="G131" s="152">
        <f t="shared" si="46"/>
        <v>208.179917635059</v>
      </c>
      <c r="H131" s="152">
        <f t="shared" si="46"/>
        <v>324.374660999873</v>
      </c>
      <c r="I131" s="152">
        <f t="shared" si="46"/>
        <v>314.463555754006</v>
      </c>
      <c r="J131" s="152">
        <f t="shared" si="46"/>
        <v>344.826664445859</v>
      </c>
    </row>
    <row r="132" spans="1:10">
      <c r="A132" s="194" t="s">
        <v>283</v>
      </c>
      <c r="B132" s="179" t="s">
        <v>357</v>
      </c>
      <c r="C132" s="225">
        <v>3.92</v>
      </c>
      <c r="D132" s="152">
        <f t="shared" ref="D132:J132" si="47">(D148+D131)*$C$132/100</f>
        <v>342.840007636489</v>
      </c>
      <c r="E132" s="152">
        <f t="shared" si="47"/>
        <v>172.686264434598</v>
      </c>
      <c r="F132" s="248">
        <f t="shared" si="47"/>
        <v>164.203679824836</v>
      </c>
      <c r="G132" s="152">
        <f t="shared" si="47"/>
        <v>178.174252173259</v>
      </c>
      <c r="H132" s="152">
        <f t="shared" si="47"/>
        <v>277.621459861091</v>
      </c>
      <c r="I132" s="152">
        <f t="shared" si="47"/>
        <v>269.138875251329</v>
      </c>
      <c r="J132" s="152">
        <f t="shared" si="47"/>
        <v>295.125647877062</v>
      </c>
    </row>
    <row r="133" spans="1:10">
      <c r="A133" s="194" t="s">
        <v>285</v>
      </c>
      <c r="B133" s="179" t="s">
        <v>358</v>
      </c>
      <c r="C133" s="225"/>
      <c r="D133" s="152"/>
      <c r="E133" s="152"/>
      <c r="F133" s="248"/>
      <c r="G133" s="152"/>
      <c r="H133" s="152"/>
      <c r="I133" s="152"/>
      <c r="J133" s="152"/>
    </row>
    <row r="134" spans="1:10">
      <c r="A134" s="194"/>
      <c r="B134" s="179" t="s">
        <v>377</v>
      </c>
      <c r="C134" s="180">
        <v>9.25</v>
      </c>
      <c r="D134" s="152">
        <f t="shared" ref="D134:J134" si="48">((D148+D131+D132)/(1-($C$134+$C$136)/100))*$C$134/100</f>
        <v>980.420020648098</v>
      </c>
      <c r="E134" s="152">
        <f t="shared" si="48"/>
        <v>493.831137473677</v>
      </c>
      <c r="F134" s="248">
        <f t="shared" si="48"/>
        <v>469.573479111149</v>
      </c>
      <c r="G134" s="152">
        <f t="shared" si="48"/>
        <v>509.525143226235</v>
      </c>
      <c r="H134" s="152">
        <f t="shared" si="48"/>
        <v>793.914453817077</v>
      </c>
      <c r="I134" s="152">
        <f t="shared" si="48"/>
        <v>769.656795454549</v>
      </c>
      <c r="J134" s="152">
        <f t="shared" si="48"/>
        <v>843.971203303103</v>
      </c>
    </row>
    <row r="135" spans="1:10">
      <c r="A135" s="194"/>
      <c r="B135" s="179" t="s">
        <v>360</v>
      </c>
      <c r="C135" s="225"/>
      <c r="D135" s="152"/>
      <c r="E135" s="152"/>
      <c r="F135" s="248"/>
      <c r="G135" s="152"/>
      <c r="H135" s="152"/>
      <c r="I135" s="152"/>
      <c r="J135" s="152"/>
    </row>
    <row r="136" spans="1:10">
      <c r="A136" s="194"/>
      <c r="B136" s="179" t="s">
        <v>361</v>
      </c>
      <c r="C136" s="226">
        <v>5</v>
      </c>
      <c r="D136" s="152">
        <f t="shared" ref="D136:J136" si="49">((D148+D131+D132)/(1-($C$134+$C$136)/100))*$C$136/100</f>
        <v>529.956767917891</v>
      </c>
      <c r="E136" s="152">
        <f t="shared" si="49"/>
        <v>266.935749985771</v>
      </c>
      <c r="F136" s="248">
        <f t="shared" si="49"/>
        <v>253.823502222243</v>
      </c>
      <c r="G136" s="152">
        <f t="shared" si="49"/>
        <v>275.418996338506</v>
      </c>
      <c r="H136" s="152">
        <f t="shared" si="49"/>
        <v>429.142948009231</v>
      </c>
      <c r="I136" s="152">
        <f t="shared" si="49"/>
        <v>416.030700245702</v>
      </c>
      <c r="J136" s="152">
        <f t="shared" si="49"/>
        <v>456.20065043411</v>
      </c>
    </row>
    <row r="137" spans="1:10">
      <c r="A137" s="194"/>
      <c r="B137" s="179" t="s">
        <v>362</v>
      </c>
      <c r="C137" s="225"/>
      <c r="D137" s="152"/>
      <c r="E137" s="152"/>
      <c r="F137" s="248"/>
      <c r="G137" s="152"/>
      <c r="H137" s="152"/>
      <c r="I137" s="152"/>
      <c r="J137" s="152"/>
    </row>
    <row r="138" ht="15.75" spans="1:10">
      <c r="A138" s="227"/>
      <c r="B138" s="185" t="s">
        <v>14</v>
      </c>
      <c r="C138" s="228">
        <f t="shared" ref="C138:J138" si="50">SUM(C131:C137)</f>
        <v>22.97</v>
      </c>
      <c r="D138" s="187">
        <f t="shared" si="50"/>
        <v>2253.79321889662</v>
      </c>
      <c r="E138" s="187">
        <f t="shared" si="50"/>
        <v>1135.22087011487</v>
      </c>
      <c r="F138" s="264">
        <f t="shared" si="50"/>
        <v>1079.45727413319</v>
      </c>
      <c r="G138" s="187">
        <f t="shared" si="50"/>
        <v>1171.29830937306</v>
      </c>
      <c r="H138" s="187">
        <f t="shared" si="50"/>
        <v>1825.05352268727</v>
      </c>
      <c r="I138" s="187">
        <f t="shared" si="50"/>
        <v>1769.28992670559</v>
      </c>
      <c r="J138" s="187">
        <f t="shared" si="50"/>
        <v>1940.12416606013</v>
      </c>
    </row>
    <row r="139" spans="1:4">
      <c r="A139" s="188"/>
      <c r="B139" s="188"/>
      <c r="C139" s="188"/>
      <c r="D139" s="188"/>
    </row>
    <row r="140" ht="15.75" spans="1:7">
      <c r="A140" s="232" t="s">
        <v>378</v>
      </c>
      <c r="B140" s="232"/>
      <c r="C140" s="232"/>
      <c r="D140" s="232"/>
      <c r="E140" s="232"/>
      <c r="F140" s="232"/>
      <c r="G140" s="232"/>
    </row>
    <row r="141" ht="38.25" spans="1:10">
      <c r="A141" s="233" t="s">
        <v>379</v>
      </c>
      <c r="B141" s="234"/>
      <c r="C141" s="234"/>
      <c r="D141" s="146" t="s">
        <v>262</v>
      </c>
      <c r="E141" s="146" t="s">
        <v>10</v>
      </c>
      <c r="F141" s="146" t="s">
        <v>267</v>
      </c>
      <c r="G141" s="146" t="s">
        <v>269</v>
      </c>
      <c r="H141" s="146" t="s">
        <v>278</v>
      </c>
      <c r="I141" s="146" t="s">
        <v>12</v>
      </c>
      <c r="J141" s="146" t="s">
        <v>13</v>
      </c>
    </row>
    <row r="142" spans="1:10">
      <c r="A142" s="230"/>
      <c r="B142" s="202" t="s">
        <v>365</v>
      </c>
      <c r="C142" s="202"/>
      <c r="D142" s="178" t="s">
        <v>280</v>
      </c>
      <c r="E142" s="178" t="s">
        <v>280</v>
      </c>
      <c r="F142" s="178" t="s">
        <v>280</v>
      </c>
      <c r="G142" s="178" t="s">
        <v>280</v>
      </c>
      <c r="H142" s="178" t="s">
        <v>280</v>
      </c>
      <c r="I142" s="178" t="s">
        <v>280</v>
      </c>
      <c r="J142" s="178" t="s">
        <v>280</v>
      </c>
    </row>
    <row r="143" spans="1:10">
      <c r="A143" s="230" t="s">
        <v>281</v>
      </c>
      <c r="B143" s="157" t="s">
        <v>366</v>
      </c>
      <c r="C143" s="157"/>
      <c r="D143" s="152">
        <f>D117</f>
        <v>3976.85</v>
      </c>
      <c r="E143" s="152">
        <f t="shared" ref="E143:F147" si="51">E117</f>
        <v>1739.77</v>
      </c>
      <c r="F143" s="248">
        <f t="shared" si="51"/>
        <v>1739.77</v>
      </c>
      <c r="G143" s="152">
        <f t="shared" ref="G143:J147" si="52">G117</f>
        <v>1932.2274110641</v>
      </c>
      <c r="H143" s="152">
        <f t="shared" si="52"/>
        <v>3236.16</v>
      </c>
      <c r="I143" s="152">
        <f t="shared" si="52"/>
        <v>3236.16</v>
      </c>
      <c r="J143" s="152">
        <f t="shared" si="52"/>
        <v>3594.1515594528</v>
      </c>
    </row>
    <row r="144" spans="1:10">
      <c r="A144" s="230" t="s">
        <v>283</v>
      </c>
      <c r="B144" s="157" t="s">
        <v>367</v>
      </c>
      <c r="C144" s="157"/>
      <c r="D144" s="152">
        <f>D118</f>
        <v>3268.763425</v>
      </c>
      <c r="E144" s="152">
        <f t="shared" si="51"/>
        <v>1880.655285</v>
      </c>
      <c r="F144" s="248">
        <f t="shared" si="51"/>
        <v>1675.717285</v>
      </c>
      <c r="G144" s="152">
        <f t="shared" si="52"/>
        <v>1806.68455322912</v>
      </c>
      <c r="H144" s="152">
        <f t="shared" si="52"/>
        <v>2809.16528</v>
      </c>
      <c r="I144" s="152">
        <f t="shared" si="52"/>
        <v>2604.22728</v>
      </c>
      <c r="J144" s="152">
        <f t="shared" si="52"/>
        <v>2847.84053620763</v>
      </c>
    </row>
    <row r="145" spans="1:10">
      <c r="A145" s="230" t="s">
        <v>285</v>
      </c>
      <c r="B145" s="157" t="s">
        <v>368</v>
      </c>
      <c r="C145" s="157"/>
      <c r="D145" s="152">
        <f>D119</f>
        <v>264.037725764167</v>
      </c>
      <c r="E145" s="152">
        <f t="shared" si="51"/>
        <v>115.5425551595</v>
      </c>
      <c r="F145" s="248">
        <f t="shared" si="51"/>
        <v>115.5425551595</v>
      </c>
      <c r="G145" s="152">
        <f t="shared" si="52"/>
        <v>128.317688856147</v>
      </c>
      <c r="H145" s="152">
        <f t="shared" si="52"/>
        <v>214.871451909333</v>
      </c>
      <c r="I145" s="152">
        <f t="shared" si="52"/>
        <v>214.871451909333</v>
      </c>
      <c r="J145" s="152">
        <f t="shared" si="52"/>
        <v>238.634579600777</v>
      </c>
    </row>
    <row r="146" spans="1:10">
      <c r="A146" s="230" t="s">
        <v>287</v>
      </c>
      <c r="B146" s="157" t="s">
        <v>369</v>
      </c>
      <c r="C146" s="157"/>
      <c r="D146" s="152">
        <f>D120</f>
        <v>98.7698277283727</v>
      </c>
      <c r="E146" s="152">
        <f t="shared" si="51"/>
        <v>47.2757766205426</v>
      </c>
      <c r="F146" s="248">
        <f t="shared" si="51"/>
        <v>45.7324173316537</v>
      </c>
      <c r="G146" s="152">
        <f t="shared" si="52"/>
        <v>49.6014514271745</v>
      </c>
      <c r="H146" s="152">
        <f t="shared" si="52"/>
        <v>77.3581927675008</v>
      </c>
      <c r="I146" s="152">
        <f t="shared" si="52"/>
        <v>75.8148334786119</v>
      </c>
      <c r="J146" s="152">
        <f t="shared" si="52"/>
        <v>83.0116545403389</v>
      </c>
    </row>
    <row r="147" spans="1:10">
      <c r="A147" s="230" t="s">
        <v>289</v>
      </c>
      <c r="B147" s="157" t="s">
        <v>370</v>
      </c>
      <c r="C147" s="157"/>
      <c r="D147" s="152">
        <f>D121</f>
        <v>736.921160968661</v>
      </c>
      <c r="E147" s="152">
        <f t="shared" si="51"/>
        <v>420.250512820513</v>
      </c>
      <c r="F147" s="248">
        <f t="shared" si="51"/>
        <v>420.250512820513</v>
      </c>
      <c r="G147" s="152">
        <f t="shared" si="52"/>
        <v>420.250512820513</v>
      </c>
      <c r="H147" s="152">
        <f t="shared" si="52"/>
        <v>420.250512820513</v>
      </c>
      <c r="I147" s="152">
        <f t="shared" si="52"/>
        <v>420.250512820513</v>
      </c>
      <c r="J147" s="152">
        <f t="shared" si="52"/>
        <v>420.250512820513</v>
      </c>
    </row>
    <row r="148" spans="1:10">
      <c r="A148" s="230"/>
      <c r="B148" s="202" t="s">
        <v>371</v>
      </c>
      <c r="C148" s="202"/>
      <c r="D148" s="171">
        <f t="shared" ref="D148:J148" si="53">SUM(D143:D147)</f>
        <v>8345.3421394612</v>
      </c>
      <c r="E148" s="171">
        <f t="shared" si="53"/>
        <v>4203.49412960056</v>
      </c>
      <c r="F148" s="258">
        <f t="shared" si="53"/>
        <v>3997.01277031167</v>
      </c>
      <c r="G148" s="171">
        <f t="shared" si="53"/>
        <v>4337.08161739706</v>
      </c>
      <c r="H148" s="171">
        <f t="shared" si="53"/>
        <v>6757.80543749735</v>
      </c>
      <c r="I148" s="171">
        <f t="shared" si="53"/>
        <v>6551.32407820846</v>
      </c>
      <c r="J148" s="171">
        <f t="shared" si="53"/>
        <v>7183.88884262206</v>
      </c>
    </row>
    <row r="149" spans="1:10">
      <c r="A149" s="230" t="s">
        <v>291</v>
      </c>
      <c r="B149" s="157" t="s">
        <v>372</v>
      </c>
      <c r="C149" s="157"/>
      <c r="D149" s="152">
        <f t="shared" ref="D149:J149" si="54">D138</f>
        <v>2253.79321889662</v>
      </c>
      <c r="E149" s="152">
        <f t="shared" si="54"/>
        <v>1135.22087011487</v>
      </c>
      <c r="F149" s="248">
        <f t="shared" si="54"/>
        <v>1079.45727413319</v>
      </c>
      <c r="G149" s="152">
        <f t="shared" si="54"/>
        <v>1171.29830937306</v>
      </c>
      <c r="H149" s="152">
        <f t="shared" si="54"/>
        <v>1825.05352268727</v>
      </c>
      <c r="I149" s="152">
        <f t="shared" si="54"/>
        <v>1769.28992670559</v>
      </c>
      <c r="J149" s="152">
        <f t="shared" si="54"/>
        <v>1940.12416606013</v>
      </c>
    </row>
    <row r="150" spans="1:10">
      <c r="A150" s="230"/>
      <c r="B150" s="202" t="s">
        <v>373</v>
      </c>
      <c r="C150" s="202"/>
      <c r="D150" s="171">
        <f t="shared" ref="D150:J150" si="55">SUM(D148:D149)</f>
        <v>10599.1353583578</v>
      </c>
      <c r="E150" s="171">
        <f t="shared" si="55"/>
        <v>5338.71499971543</v>
      </c>
      <c r="F150" s="258">
        <f t="shared" si="55"/>
        <v>5076.47004444485</v>
      </c>
      <c r="G150" s="171">
        <f t="shared" si="55"/>
        <v>5508.37992677011</v>
      </c>
      <c r="H150" s="171">
        <f t="shared" si="55"/>
        <v>8582.85896018462</v>
      </c>
      <c r="I150" s="171">
        <f t="shared" si="55"/>
        <v>8320.61400491404</v>
      </c>
      <c r="J150" s="171">
        <f t="shared" si="55"/>
        <v>9124.01300868219</v>
      </c>
    </row>
    <row r="151" spans="1:10">
      <c r="A151" s="230"/>
      <c r="B151" s="202" t="s">
        <v>374</v>
      </c>
      <c r="C151" s="202"/>
      <c r="D151" s="171"/>
      <c r="E151" s="171"/>
      <c r="F151" s="258">
        <f>2*F150</f>
        <v>10152.9400888897</v>
      </c>
      <c r="G151" s="258">
        <f>2*G150</f>
        <v>11016.7598535402</v>
      </c>
      <c r="H151" s="171"/>
      <c r="I151" s="171">
        <f>2*I150</f>
        <v>16641.2280098281</v>
      </c>
      <c r="J151" s="171">
        <f>2*J150</f>
        <v>18248.0260173644</v>
      </c>
    </row>
    <row r="152" ht="15.75" spans="1:10">
      <c r="A152" s="161"/>
      <c r="B152" s="203" t="s">
        <v>375</v>
      </c>
      <c r="C152" s="203"/>
      <c r="D152" s="186">
        <f>D150/D28</f>
        <v>2.6652087351441</v>
      </c>
      <c r="E152" s="186">
        <f>E150/E28</f>
        <v>3.06863263518478</v>
      </c>
      <c r="F152" s="186">
        <f>F151/F28/2</f>
        <v>2.91789721885356</v>
      </c>
      <c r="G152" s="186">
        <f>G150/G28</f>
        <v>2.8507927665391</v>
      </c>
      <c r="H152" s="186">
        <f>H150/H28</f>
        <v>2.65217386043478</v>
      </c>
      <c r="I152" s="186">
        <f>I151/I28/2</f>
        <v>2.57113801694417</v>
      </c>
      <c r="J152" s="186">
        <f>J151/J28/2</f>
        <v>2.53857213802951</v>
      </c>
    </row>
  </sheetData>
  <mergeCells count="122">
    <mergeCell ref="A1:J1"/>
    <mergeCell ref="A2:J2"/>
    <mergeCell ref="A4:J4"/>
    <mergeCell ref="A5:J5"/>
    <mergeCell ref="A6:J6"/>
    <mergeCell ref="A7:J7"/>
    <mergeCell ref="A8:J8"/>
    <mergeCell ref="A9:B9"/>
    <mergeCell ref="C9:D9"/>
    <mergeCell ref="F9:J9"/>
    <mergeCell ref="A10:B10"/>
    <mergeCell ref="C10:D10"/>
    <mergeCell ref="G10:H10"/>
    <mergeCell ref="G11:H11"/>
    <mergeCell ref="A12:D12"/>
    <mergeCell ref="G12:H12"/>
    <mergeCell ref="A13:B13"/>
    <mergeCell ref="C13:D13"/>
    <mergeCell ref="G13:H13"/>
    <mergeCell ref="A14:B14"/>
    <mergeCell ref="C14:D14"/>
    <mergeCell ref="G14:H14"/>
    <mergeCell ref="A15:B15"/>
    <mergeCell ref="C15:D15"/>
    <mergeCell ref="G15:H15"/>
    <mergeCell ref="A16:B16"/>
    <mergeCell ref="C16:D16"/>
    <mergeCell ref="G16:H16"/>
    <mergeCell ref="A17:B17"/>
    <mergeCell ref="C17:D17"/>
    <mergeCell ref="G17:H17"/>
    <mergeCell ref="A20:C20"/>
    <mergeCell ref="B21:C21"/>
    <mergeCell ref="B22:C22"/>
    <mergeCell ref="B23:C23"/>
    <mergeCell ref="B24:C24"/>
    <mergeCell ref="B25:C25"/>
    <mergeCell ref="B26:C26"/>
    <mergeCell ref="B27:C27"/>
    <mergeCell ref="B28:C28"/>
    <mergeCell ref="B29:D29"/>
    <mergeCell ref="A30:C30"/>
    <mergeCell ref="A31:C31"/>
    <mergeCell ref="B32:C32"/>
    <mergeCell ref="B33:C33"/>
    <mergeCell ref="B34:C34"/>
    <mergeCell ref="B35:C35"/>
    <mergeCell ref="A37:C37"/>
    <mergeCell ref="A50:C50"/>
    <mergeCell ref="B51:C51"/>
    <mergeCell ref="B52:C52"/>
    <mergeCell ref="B53:C53"/>
    <mergeCell ref="B54:C54"/>
    <mergeCell ref="B55:C55"/>
    <mergeCell ref="A57:C57"/>
    <mergeCell ref="B58:C58"/>
    <mergeCell ref="B59:C59"/>
    <mergeCell ref="B60:C60"/>
    <mergeCell ref="B61:C61"/>
    <mergeCell ref="B62:C62"/>
    <mergeCell ref="A64:C64"/>
    <mergeCell ref="B65:C65"/>
    <mergeCell ref="B66:C66"/>
    <mergeCell ref="B67:C67"/>
    <mergeCell ref="B68:C68"/>
    <mergeCell ref="B69:C69"/>
    <mergeCell ref="B70:C70"/>
    <mergeCell ref="B71:C71"/>
    <mergeCell ref="B72:C72"/>
    <mergeCell ref="A74:C74"/>
    <mergeCell ref="B75:C75"/>
    <mergeCell ref="B76:C76"/>
    <mergeCell ref="B77:C77"/>
    <mergeCell ref="B78:C78"/>
    <mergeCell ref="B79:C79"/>
    <mergeCell ref="B80:C80"/>
    <mergeCell ref="B81:C81"/>
    <mergeCell ref="B82:C82"/>
    <mergeCell ref="A84:C84"/>
    <mergeCell ref="B85:C85"/>
    <mergeCell ref="B86:C86"/>
    <mergeCell ref="B87:C87"/>
    <mergeCell ref="A89:C89"/>
    <mergeCell ref="B90:C90"/>
    <mergeCell ref="B91:C91"/>
    <mergeCell ref="B92:C92"/>
    <mergeCell ref="B93:C93"/>
    <mergeCell ref="A95:C95"/>
    <mergeCell ref="B96:C96"/>
    <mergeCell ref="B97:C97"/>
    <mergeCell ref="B98:C98"/>
    <mergeCell ref="B99:C99"/>
    <mergeCell ref="B100:C100"/>
    <mergeCell ref="B101:C101"/>
    <mergeCell ref="A103:B103"/>
    <mergeCell ref="A114:G114"/>
    <mergeCell ref="A115:C115"/>
    <mergeCell ref="B116:C116"/>
    <mergeCell ref="B117:C117"/>
    <mergeCell ref="B118:C118"/>
    <mergeCell ref="B119:C119"/>
    <mergeCell ref="B120:C120"/>
    <mergeCell ref="B121:C121"/>
    <mergeCell ref="B122:C122"/>
    <mergeCell ref="B123:C123"/>
    <mergeCell ref="B124:C124"/>
    <mergeCell ref="B125:C125"/>
    <mergeCell ref="B126:C126"/>
    <mergeCell ref="A129:B129"/>
    <mergeCell ref="A140:G140"/>
    <mergeCell ref="A141:C141"/>
    <mergeCell ref="B142:C142"/>
    <mergeCell ref="B143:C143"/>
    <mergeCell ref="B144:C144"/>
    <mergeCell ref="B145:C145"/>
    <mergeCell ref="B146:C146"/>
    <mergeCell ref="B147:C147"/>
    <mergeCell ref="B148:C148"/>
    <mergeCell ref="B149:C149"/>
    <mergeCell ref="B150:C150"/>
    <mergeCell ref="B151:C151"/>
    <mergeCell ref="B152:C152"/>
  </mergeCells>
  <pageMargins left="0.511805555555556" right="0.511805555555556" top="0.786805555555556" bottom="0.786805555555556" header="0.314583333333333" footer="0.314583333333333"/>
  <pageSetup paperSize="9" scale="69" orientation="landscape" horizontalDpi="600"/>
  <headerFooter>
    <oddHeader>&amp;L&amp;G&amp;CProcesso 23069.151449/2025-11
PE 90.018/2025&amp;R&amp;G</oddHeader>
    <oddFooter>&amp;L&amp;"-,Itálico"&amp;9&amp;A&amp;R&amp;"-,Itálico"&amp;9Página &amp;P de &amp;N</oddFooter>
  </headerFooter>
  <rowBreaks count="2" manualBreakCount="2">
    <brk id="73" max="16383" man="1"/>
    <brk id="112" max="9" man="1"/>
  </rowBreaks>
  <drawing r:id="rId1"/>
  <legacyDrawingHF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7"/>
  <sheetViews>
    <sheetView view="pageLayout" zoomScaleNormal="100" workbookViewId="0">
      <selection activeCell="F57" sqref="F57"/>
    </sheetView>
  </sheetViews>
  <sheetFormatPr defaultColWidth="8.85714285714286" defaultRowHeight="15" outlineLevelCol="5"/>
  <cols>
    <col min="1" max="1" width="6.42857142857143" customWidth="1"/>
    <col min="2" max="2" width="62.1428571428571" customWidth="1"/>
    <col min="3" max="3" width="11.1428571428571" customWidth="1"/>
    <col min="4" max="5" width="18.4285714285714" customWidth="1"/>
    <col min="6" max="6" width="15.4285714285714" customWidth="1"/>
  </cols>
  <sheetData>
    <row r="1" ht="18" customHeight="1" spans="1:6">
      <c r="A1" s="1" t="s">
        <v>0</v>
      </c>
      <c r="B1" s="1"/>
      <c r="C1" s="1"/>
      <c r="D1" s="1"/>
      <c r="E1" s="1"/>
      <c r="F1" s="1"/>
    </row>
    <row r="2" ht="18.75" spans="1:6">
      <c r="A2" s="2" t="s">
        <v>1</v>
      </c>
      <c r="B2" s="2"/>
      <c r="C2" s="2"/>
      <c r="D2" s="2"/>
      <c r="E2" s="2"/>
      <c r="F2" s="2"/>
    </row>
    <row r="4" ht="14.45" customHeight="1" spans="1:6">
      <c r="A4" s="105" t="s">
        <v>380</v>
      </c>
      <c r="B4" s="105"/>
      <c r="C4" s="105"/>
      <c r="D4" s="105"/>
      <c r="E4" s="105"/>
      <c r="F4" s="105"/>
    </row>
    <row r="5" ht="14.45" customHeight="1" spans="1:6">
      <c r="A5" s="105" t="s">
        <v>126</v>
      </c>
      <c r="B5" s="105"/>
      <c r="C5" s="105"/>
      <c r="D5" s="105"/>
      <c r="E5" s="105"/>
      <c r="F5" s="105"/>
    </row>
    <row r="6" ht="38.45" customHeight="1" spans="1:6">
      <c r="A6" s="106" t="s">
        <v>2</v>
      </c>
      <c r="B6" s="106"/>
      <c r="C6" s="106"/>
      <c r="D6" s="106"/>
      <c r="E6" s="106"/>
      <c r="F6" s="106"/>
    </row>
    <row r="7" customHeight="1" spans="1:6">
      <c r="A7" s="107" t="s">
        <v>252</v>
      </c>
      <c r="B7" s="107"/>
      <c r="C7" s="107"/>
      <c r="D7" s="107"/>
      <c r="E7" s="107"/>
      <c r="F7" s="107"/>
    </row>
    <row r="8" ht="15.75" customHeight="1" spans="1:6">
      <c r="A8" s="107" t="s">
        <v>253</v>
      </c>
      <c r="B8" s="107"/>
      <c r="C8" s="107"/>
      <c r="D8" s="107"/>
      <c r="E8" s="107"/>
      <c r="F8" s="107"/>
    </row>
    <row r="9" customHeight="1" spans="1:6">
      <c r="A9" s="108" t="s">
        <v>254</v>
      </c>
      <c r="B9" s="109"/>
      <c r="C9" s="110" t="s">
        <v>255</v>
      </c>
      <c r="D9" s="110"/>
      <c r="E9" s="110"/>
      <c r="F9" s="111"/>
    </row>
    <row r="10" ht="15.75" spans="1:6">
      <c r="A10" s="112"/>
      <c r="B10" s="113"/>
      <c r="C10" s="114" t="s">
        <v>257</v>
      </c>
      <c r="D10" s="114"/>
      <c r="E10" s="114"/>
      <c r="F10" s="115"/>
    </row>
    <row r="11" ht="15.75" spans="1:4">
      <c r="A11" s="116"/>
      <c r="B11" s="117"/>
      <c r="C11" s="118"/>
      <c r="D11" s="118"/>
    </row>
    <row r="12" spans="1:6">
      <c r="A12" s="119" t="s">
        <v>264</v>
      </c>
      <c r="B12" s="120"/>
      <c r="C12" s="120"/>
      <c r="D12" s="120"/>
      <c r="E12" s="120"/>
      <c r="F12" s="121"/>
    </row>
    <row r="13" spans="1:6">
      <c r="A13" s="122" t="s">
        <v>266</v>
      </c>
      <c r="B13" s="123"/>
      <c r="C13" s="124" t="s">
        <v>257</v>
      </c>
      <c r="D13" s="124"/>
      <c r="E13" s="124"/>
      <c r="F13" s="125"/>
    </row>
    <row r="14" spans="1:6">
      <c r="A14" s="122" t="s">
        <v>268</v>
      </c>
      <c r="B14" s="123"/>
      <c r="C14" s="124" t="s">
        <v>257</v>
      </c>
      <c r="D14" s="124"/>
      <c r="E14" s="124"/>
      <c r="F14" s="125"/>
    </row>
    <row r="15" spans="1:6">
      <c r="A15" s="126" t="s">
        <v>270</v>
      </c>
      <c r="B15" s="127"/>
      <c r="C15" s="124" t="s">
        <v>257</v>
      </c>
      <c r="D15" s="124"/>
      <c r="E15" s="124"/>
      <c r="F15" s="125"/>
    </row>
    <row r="16" spans="1:6">
      <c r="A16" s="122" t="s">
        <v>273</v>
      </c>
      <c r="B16" s="123"/>
      <c r="C16" s="124" t="s">
        <v>257</v>
      </c>
      <c r="D16" s="124"/>
      <c r="E16" s="124"/>
      <c r="F16" s="125"/>
    </row>
    <row r="17" ht="15.75" spans="1:6">
      <c r="A17" s="128" t="s">
        <v>275</v>
      </c>
      <c r="B17" s="129"/>
      <c r="C17" s="130" t="s">
        <v>257</v>
      </c>
      <c r="D17" s="130"/>
      <c r="E17" s="130"/>
      <c r="F17" s="131"/>
    </row>
    <row r="18" ht="15.75" spans="1:4">
      <c r="A18" s="116"/>
      <c r="B18" s="117"/>
      <c r="C18" s="118"/>
      <c r="D18" s="118"/>
    </row>
    <row r="19" spans="1:5">
      <c r="A19" s="132" t="s">
        <v>256</v>
      </c>
      <c r="B19" s="133"/>
      <c r="C19" s="133"/>
      <c r="D19" s="134"/>
      <c r="E19" s="135"/>
    </row>
    <row r="20" ht="30" spans="1:4">
      <c r="A20" s="136" t="s">
        <v>258</v>
      </c>
      <c r="B20" s="137" t="s">
        <v>259</v>
      </c>
      <c r="C20" s="138" t="s">
        <v>260</v>
      </c>
      <c r="D20" s="139" t="s">
        <v>261</v>
      </c>
    </row>
    <row r="21" spans="1:4">
      <c r="A21" s="140">
        <v>20.88</v>
      </c>
      <c r="B21" s="96" t="s">
        <v>262</v>
      </c>
      <c r="C21" s="141" t="s">
        <v>263</v>
      </c>
      <c r="D21" s="142">
        <v>3976.85</v>
      </c>
    </row>
    <row r="22" spans="1:4">
      <c r="A22" s="140">
        <v>20.88</v>
      </c>
      <c r="B22" s="96" t="s">
        <v>10</v>
      </c>
      <c r="C22" s="141" t="s">
        <v>265</v>
      </c>
      <c r="D22" s="142">
        <v>1739.77</v>
      </c>
    </row>
    <row r="23" spans="1:4">
      <c r="A23" s="140">
        <v>20.88</v>
      </c>
      <c r="B23" s="96" t="s">
        <v>271</v>
      </c>
      <c r="C23" s="141" t="s">
        <v>272</v>
      </c>
      <c r="D23" s="142">
        <v>3236.16</v>
      </c>
    </row>
    <row r="24" ht="15.75" spans="1:4">
      <c r="A24" s="116"/>
      <c r="B24" s="116"/>
      <c r="C24" s="143"/>
      <c r="D24" s="143"/>
    </row>
    <row r="25" ht="25.5" spans="1:6">
      <c r="A25" s="144" t="s">
        <v>277</v>
      </c>
      <c r="B25" s="145"/>
      <c r="C25" s="145"/>
      <c r="D25" s="146" t="s">
        <v>262</v>
      </c>
      <c r="E25" s="146" t="s">
        <v>10</v>
      </c>
      <c r="F25" s="146" t="s">
        <v>278</v>
      </c>
    </row>
    <row r="26" spans="1:6">
      <c r="A26" s="147">
        <v>1</v>
      </c>
      <c r="B26" s="148" t="s">
        <v>279</v>
      </c>
      <c r="C26" s="148"/>
      <c r="D26" s="149" t="s">
        <v>280</v>
      </c>
      <c r="E26" s="149" t="s">
        <v>280</v>
      </c>
      <c r="F26" s="149" t="s">
        <v>280</v>
      </c>
    </row>
    <row r="27" spans="1:6">
      <c r="A27" s="150" t="s">
        <v>281</v>
      </c>
      <c r="B27" s="151" t="s">
        <v>282</v>
      </c>
      <c r="C27" s="151"/>
      <c r="D27" s="152">
        <f>D21</f>
        <v>3976.85</v>
      </c>
      <c r="E27" s="152">
        <f>D22</f>
        <v>1739.77</v>
      </c>
      <c r="F27" s="153">
        <f>D23</f>
        <v>3236.16</v>
      </c>
    </row>
    <row r="28" spans="1:6">
      <c r="A28" s="150" t="s">
        <v>283</v>
      </c>
      <c r="B28" s="151" t="s">
        <v>284</v>
      </c>
      <c r="C28" s="151"/>
      <c r="D28" s="154"/>
      <c r="E28" s="155"/>
      <c r="F28" s="155"/>
    </row>
    <row r="29" spans="1:6">
      <c r="A29" s="150" t="s">
        <v>285</v>
      </c>
      <c r="B29" s="151" t="s">
        <v>286</v>
      </c>
      <c r="C29" s="151"/>
      <c r="D29" s="154"/>
      <c r="E29" s="156"/>
      <c r="F29" s="155"/>
    </row>
    <row r="30" spans="1:6">
      <c r="A30" s="150" t="s">
        <v>287</v>
      </c>
      <c r="B30" s="157" t="s">
        <v>288</v>
      </c>
      <c r="C30" s="157"/>
      <c r="D30" s="154"/>
      <c r="E30" s="155"/>
      <c r="F30" s="155"/>
    </row>
    <row r="31" spans="1:6">
      <c r="A31" s="150" t="s">
        <v>289</v>
      </c>
      <c r="B31" s="157" t="s">
        <v>290</v>
      </c>
      <c r="C31" s="157"/>
      <c r="D31" s="154"/>
      <c r="E31" s="155"/>
      <c r="F31" s="155"/>
    </row>
    <row r="32" spans="1:6">
      <c r="A32" s="150" t="s">
        <v>291</v>
      </c>
      <c r="B32" s="158" t="s">
        <v>292</v>
      </c>
      <c r="C32" s="158"/>
      <c r="D32" s="159"/>
      <c r="E32" s="160"/>
      <c r="F32" s="155"/>
    </row>
    <row r="33" ht="15.75" spans="1:6">
      <c r="A33" s="161"/>
      <c r="B33" s="162" t="s">
        <v>293</v>
      </c>
      <c r="C33" s="162"/>
      <c r="D33" s="163">
        <f>SUM(D27:D32)</f>
        <v>3976.85</v>
      </c>
      <c r="E33" s="163">
        <f>SUM(E27:E32)</f>
        <v>1739.77</v>
      </c>
      <c r="F33" s="163">
        <f>SUM(F27:F32)</f>
        <v>3236.16</v>
      </c>
    </row>
    <row r="34" ht="15.75" spans="1:4">
      <c r="A34" s="116"/>
      <c r="B34" s="164"/>
      <c r="C34" s="164"/>
      <c r="D34" s="164"/>
    </row>
    <row r="35" ht="25.5" spans="1:6">
      <c r="A35" s="165" t="s">
        <v>294</v>
      </c>
      <c r="B35" s="166"/>
      <c r="C35" s="166"/>
      <c r="D35" s="146" t="s">
        <v>262</v>
      </c>
      <c r="E35" s="146" t="s">
        <v>10</v>
      </c>
      <c r="F35" s="146" t="s">
        <v>278</v>
      </c>
    </row>
    <row r="36" spans="1:6">
      <c r="A36" s="167" t="s">
        <v>295</v>
      </c>
      <c r="B36" s="168"/>
      <c r="C36" s="169"/>
      <c r="D36" s="149" t="s">
        <v>280</v>
      </c>
      <c r="E36" s="149" t="s">
        <v>280</v>
      </c>
      <c r="F36" s="149" t="s">
        <v>280</v>
      </c>
    </row>
    <row r="37" spans="1:6">
      <c r="A37" s="150" t="s">
        <v>281</v>
      </c>
      <c r="B37" s="170" t="s">
        <v>296</v>
      </c>
      <c r="C37" s="170"/>
      <c r="D37" s="152">
        <f>D33*8.33%</f>
        <v>331.271605</v>
      </c>
      <c r="E37" s="152">
        <f>E33*8.33%</f>
        <v>144.922841</v>
      </c>
      <c r="F37" s="152">
        <f>F33*8.33%</f>
        <v>269.572128</v>
      </c>
    </row>
    <row r="38" spans="1:6">
      <c r="A38" s="150" t="s">
        <v>283</v>
      </c>
      <c r="B38" s="170" t="s">
        <v>297</v>
      </c>
      <c r="C38" s="170"/>
      <c r="D38" s="152">
        <f>D33*12.1%</f>
        <v>481.19885</v>
      </c>
      <c r="E38" s="152">
        <f>E33*12.1%</f>
        <v>210.51217</v>
      </c>
      <c r="F38" s="152">
        <f>F33*12.1%</f>
        <v>391.57536</v>
      </c>
    </row>
    <row r="39" spans="1:6">
      <c r="A39" s="150"/>
      <c r="B39" s="169" t="s">
        <v>192</v>
      </c>
      <c r="C39" s="169"/>
      <c r="D39" s="171">
        <f>SUM(D37:D38)</f>
        <v>812.470455</v>
      </c>
      <c r="E39" s="171">
        <f>SUM(E37:E38)</f>
        <v>355.435011</v>
      </c>
      <c r="F39" s="171">
        <f>SUM(F37:F38)</f>
        <v>661.147488</v>
      </c>
    </row>
    <row r="40" ht="45.75" spans="1:6">
      <c r="A40" s="172" t="s">
        <v>285</v>
      </c>
      <c r="B40" s="173" t="s">
        <v>298</v>
      </c>
      <c r="C40" s="173"/>
      <c r="D40" s="174">
        <f>D33*7.82%</f>
        <v>310.98967</v>
      </c>
      <c r="E40" s="174">
        <f>E33*7.82%</f>
        <v>136.050014</v>
      </c>
      <c r="F40" s="174">
        <f>F33*7.82%</f>
        <v>253.067712</v>
      </c>
    </row>
    <row r="41" ht="15.75" spans="1:4">
      <c r="A41" s="116"/>
      <c r="B41" s="116"/>
      <c r="C41" s="116"/>
      <c r="D41" s="116"/>
    </row>
    <row r="42" ht="25.5" spans="1:6">
      <c r="A42" s="175" t="s">
        <v>299</v>
      </c>
      <c r="B42" s="176"/>
      <c r="C42" s="176"/>
      <c r="D42" s="146" t="s">
        <v>262</v>
      </c>
      <c r="E42" s="146" t="s">
        <v>10</v>
      </c>
      <c r="F42" s="146" t="s">
        <v>278</v>
      </c>
    </row>
    <row r="43" spans="1:6">
      <c r="A43" s="147" t="s">
        <v>73</v>
      </c>
      <c r="B43" s="177" t="s">
        <v>300</v>
      </c>
      <c r="C43" s="178" t="s">
        <v>301</v>
      </c>
      <c r="D43" s="178" t="s">
        <v>280</v>
      </c>
      <c r="E43" s="178" t="s">
        <v>280</v>
      </c>
      <c r="F43" s="178" t="s">
        <v>280</v>
      </c>
    </row>
    <row r="44" spans="1:6">
      <c r="A44" s="150" t="s">
        <v>281</v>
      </c>
      <c r="B44" s="179" t="s">
        <v>302</v>
      </c>
      <c r="C44" s="180">
        <v>20</v>
      </c>
      <c r="D44" s="152">
        <f>(D33*($C$44/100))</f>
        <v>795.37</v>
      </c>
      <c r="E44" s="152">
        <f>(E33*($C$44/100))</f>
        <v>347.954</v>
      </c>
      <c r="F44" s="152">
        <f>(F33*($C$44/100))</f>
        <v>647.232</v>
      </c>
    </row>
    <row r="45" spans="1:6">
      <c r="A45" s="150" t="s">
        <v>283</v>
      </c>
      <c r="B45" s="181" t="s">
        <v>303</v>
      </c>
      <c r="C45" s="182">
        <v>2.5</v>
      </c>
      <c r="D45" s="183">
        <f>(D33*($C$45/100))</f>
        <v>99.42125</v>
      </c>
      <c r="E45" s="184">
        <f>(E33*($C$45/100))</f>
        <v>43.49425</v>
      </c>
      <c r="F45" s="184">
        <f>(F33*($C$45/100))</f>
        <v>80.904</v>
      </c>
    </row>
    <row r="46" spans="1:6">
      <c r="A46" s="150" t="s">
        <v>285</v>
      </c>
      <c r="B46" s="179" t="s">
        <v>304</v>
      </c>
      <c r="C46" s="180">
        <v>6</v>
      </c>
      <c r="D46" s="152">
        <f>(D$33*($C$46/100))</f>
        <v>238.611</v>
      </c>
      <c r="E46" s="152">
        <f>(E$33*($C$46/100))</f>
        <v>104.3862</v>
      </c>
      <c r="F46" s="152">
        <f>(F$33*($C$46/100))</f>
        <v>194.1696</v>
      </c>
    </row>
    <row r="47" spans="1:6">
      <c r="A47" s="150" t="s">
        <v>287</v>
      </c>
      <c r="B47" s="181" t="s">
        <v>305</v>
      </c>
      <c r="C47" s="182">
        <v>1.5</v>
      </c>
      <c r="D47" s="183">
        <f>(D$33*($C$47/100))</f>
        <v>59.65275</v>
      </c>
      <c r="E47" s="183">
        <f>(E$33*($C$47/100))</f>
        <v>26.09655</v>
      </c>
      <c r="F47" s="183">
        <f>(F$33*($C$47/100))</f>
        <v>48.5424</v>
      </c>
    </row>
    <row r="48" spans="1:6">
      <c r="A48" s="150" t="s">
        <v>289</v>
      </c>
      <c r="B48" s="181" t="s">
        <v>306</v>
      </c>
      <c r="C48" s="182">
        <v>1</v>
      </c>
      <c r="D48" s="183">
        <f>(D$33*($C$48/100))</f>
        <v>39.7685</v>
      </c>
      <c r="E48" s="183">
        <f>(E$33*($C$48/100))</f>
        <v>17.3977</v>
      </c>
      <c r="F48" s="183">
        <f>(F$33*($C$48/100))</f>
        <v>32.3616</v>
      </c>
    </row>
    <row r="49" spans="1:6">
      <c r="A49" s="150" t="s">
        <v>291</v>
      </c>
      <c r="B49" s="181" t="s">
        <v>307</v>
      </c>
      <c r="C49" s="182">
        <v>0.6</v>
      </c>
      <c r="D49" s="183">
        <f>(D$33*($C$49/100))</f>
        <v>23.8611</v>
      </c>
      <c r="E49" s="183">
        <f>(E$33*($C$49/100))</f>
        <v>10.43862</v>
      </c>
      <c r="F49" s="183">
        <f>(F$33*($C$49/100))</f>
        <v>19.41696</v>
      </c>
    </row>
    <row r="50" spans="1:6">
      <c r="A50" s="150" t="s">
        <v>308</v>
      </c>
      <c r="B50" s="181" t="s">
        <v>309</v>
      </c>
      <c r="C50" s="182">
        <v>0.2</v>
      </c>
      <c r="D50" s="183">
        <f>(D$33*($C$50/100))</f>
        <v>7.9537</v>
      </c>
      <c r="E50" s="183">
        <f>(E$33*($C$50/100))</f>
        <v>3.47954</v>
      </c>
      <c r="F50" s="183">
        <f>(F$33*($C$50/100))</f>
        <v>6.47232</v>
      </c>
    </row>
    <row r="51" spans="1:6">
      <c r="A51" s="150" t="s">
        <v>310</v>
      </c>
      <c r="B51" s="179" t="s">
        <v>311</v>
      </c>
      <c r="C51" s="180">
        <v>8</v>
      </c>
      <c r="D51" s="152">
        <f>(D$33*($C$51/100))</f>
        <v>318.148</v>
      </c>
      <c r="E51" s="152">
        <f>(E$33*($C$51/100))</f>
        <v>139.1816</v>
      </c>
      <c r="F51" s="152">
        <f>(F$33*($C$51/100))</f>
        <v>258.8928</v>
      </c>
    </row>
    <row r="52" ht="15.75" spans="1:6">
      <c r="A52" s="161"/>
      <c r="B52" s="185" t="s">
        <v>14</v>
      </c>
      <c r="C52" s="186">
        <f>SUM(C44:C51)</f>
        <v>39.8</v>
      </c>
      <c r="D52" s="187">
        <f>SUM(D44:D51)</f>
        <v>1582.7863</v>
      </c>
      <c r="E52" s="187">
        <f>SUM(E44:E51)</f>
        <v>692.42846</v>
      </c>
      <c r="F52" s="187">
        <f>SUM(F44:F51)</f>
        <v>1287.99168</v>
      </c>
    </row>
    <row r="53" spans="1:4">
      <c r="A53" s="188"/>
      <c r="B53" s="189" t="s">
        <v>312</v>
      </c>
      <c r="C53" s="188"/>
      <c r="D53" s="188"/>
    </row>
    <row r="54" ht="15.75" spans="1:4">
      <c r="A54" s="188"/>
      <c r="B54" s="189"/>
      <c r="C54" s="188"/>
      <c r="D54" s="188"/>
    </row>
    <row r="55" ht="25.5" spans="1:6">
      <c r="A55" s="190" t="s">
        <v>313</v>
      </c>
      <c r="B55" s="191"/>
      <c r="C55" s="191"/>
      <c r="D55" s="146" t="s">
        <v>262</v>
      </c>
      <c r="E55" s="146" t="s">
        <v>10</v>
      </c>
      <c r="F55" s="146" t="s">
        <v>278</v>
      </c>
    </row>
    <row r="56" spans="1:6">
      <c r="A56" s="147" t="s">
        <v>75</v>
      </c>
      <c r="B56" s="148" t="s">
        <v>314</v>
      </c>
      <c r="C56" s="148"/>
      <c r="D56" s="149" t="s">
        <v>280</v>
      </c>
      <c r="E56" s="149" t="s">
        <v>280</v>
      </c>
      <c r="F56" s="149" t="s">
        <v>280</v>
      </c>
    </row>
    <row r="57" spans="1:6">
      <c r="A57" s="150" t="s">
        <v>281</v>
      </c>
      <c r="B57" s="192" t="s">
        <v>381</v>
      </c>
      <c r="C57" s="192"/>
      <c r="D57" s="193">
        <f>(3.5*2*A21)-(6%*D21)</f>
        <v>-92.451</v>
      </c>
      <c r="E57" s="193">
        <f>(3.5*2*A22)-(6%*D22)</f>
        <v>41.7738</v>
      </c>
      <c r="F57" s="193">
        <f>(3.5*2*A23)-(6%*D23)</f>
        <v>-48.0096</v>
      </c>
    </row>
    <row r="58" spans="1:6">
      <c r="A58" s="150" t="s">
        <v>283</v>
      </c>
      <c r="B58" s="151" t="s">
        <v>382</v>
      </c>
      <c r="C58" s="151"/>
      <c r="D58" s="193">
        <v>368</v>
      </c>
      <c r="E58" s="193">
        <v>368</v>
      </c>
      <c r="F58" s="193">
        <v>368</v>
      </c>
    </row>
    <row r="59" spans="1:6">
      <c r="A59" s="194" t="s">
        <v>285</v>
      </c>
      <c r="B59" s="151" t="s">
        <v>317</v>
      </c>
      <c r="C59" s="151"/>
      <c r="D59" s="193">
        <v>3</v>
      </c>
      <c r="E59" s="193">
        <v>3</v>
      </c>
      <c r="F59" s="193">
        <v>3</v>
      </c>
    </row>
    <row r="60" ht="15.75" spans="1:6">
      <c r="A60" s="161"/>
      <c r="B60" s="162" t="s">
        <v>318</v>
      </c>
      <c r="C60" s="162"/>
      <c r="D60" s="163">
        <f>SUM(D57:D59)</f>
        <v>278.549</v>
      </c>
      <c r="E60" s="163">
        <f>SUM(E57:E59)</f>
        <v>412.7738</v>
      </c>
      <c r="F60" s="163">
        <f>SUM(F57:F59)</f>
        <v>322.9904</v>
      </c>
    </row>
    <row r="61" ht="15.75" spans="1:4">
      <c r="A61" s="188"/>
      <c r="B61" s="195"/>
      <c r="C61" s="196"/>
      <c r="D61" s="196"/>
    </row>
    <row r="62" ht="25.5" spans="1:6">
      <c r="A62" s="165" t="s">
        <v>319</v>
      </c>
      <c r="B62" s="166"/>
      <c r="C62" s="166"/>
      <c r="D62" s="146" t="s">
        <v>262</v>
      </c>
      <c r="E62" s="146" t="s">
        <v>10</v>
      </c>
      <c r="F62" s="146" t="s">
        <v>278</v>
      </c>
    </row>
    <row r="63" spans="1:6">
      <c r="A63" s="197">
        <v>2</v>
      </c>
      <c r="B63" s="148" t="s">
        <v>320</v>
      </c>
      <c r="C63" s="148"/>
      <c r="D63" s="198" t="s">
        <v>321</v>
      </c>
      <c r="E63" s="198" t="s">
        <v>321</v>
      </c>
      <c r="F63" s="198" t="s">
        <v>321</v>
      </c>
    </row>
    <row r="64" spans="1:6">
      <c r="A64" s="197" t="s">
        <v>70</v>
      </c>
      <c r="B64" s="151" t="s">
        <v>322</v>
      </c>
      <c r="C64" s="151"/>
      <c r="D64" s="199">
        <f>D39</f>
        <v>812.470455</v>
      </c>
      <c r="E64" s="199">
        <f>E39</f>
        <v>355.435011</v>
      </c>
      <c r="F64" s="199">
        <f>F39</f>
        <v>661.147488</v>
      </c>
    </row>
    <row r="65" spans="1:6">
      <c r="A65" s="197" t="s">
        <v>73</v>
      </c>
      <c r="B65" s="151" t="s">
        <v>300</v>
      </c>
      <c r="C65" s="151"/>
      <c r="D65" s="199">
        <f>D52+D40</f>
        <v>1893.77597</v>
      </c>
      <c r="E65" s="199">
        <f>E52+E40</f>
        <v>828.478474</v>
      </c>
      <c r="F65" s="199">
        <f>F52+F40</f>
        <v>1541.059392</v>
      </c>
    </row>
    <row r="66" spans="1:6">
      <c r="A66" s="197" t="s">
        <v>75</v>
      </c>
      <c r="B66" s="151" t="s">
        <v>314</v>
      </c>
      <c r="C66" s="151"/>
      <c r="D66" s="199">
        <f>D60</f>
        <v>278.549</v>
      </c>
      <c r="E66" s="199">
        <f>E60</f>
        <v>412.7738</v>
      </c>
      <c r="F66" s="199">
        <f>F60</f>
        <v>322.9904</v>
      </c>
    </row>
    <row r="67" ht="15.75" spans="1:6">
      <c r="A67" s="200"/>
      <c r="B67" s="162" t="s">
        <v>192</v>
      </c>
      <c r="C67" s="162"/>
      <c r="D67" s="163">
        <f>SUM(D64:D66)</f>
        <v>2984.795425</v>
      </c>
      <c r="E67" s="163">
        <f>SUM(E64:E66)</f>
        <v>1596.687285</v>
      </c>
      <c r="F67" s="163">
        <f>SUM(F64:F66)</f>
        <v>2525.19728</v>
      </c>
    </row>
    <row r="68" ht="15.75" spans="1:4">
      <c r="A68" s="116"/>
      <c r="B68" s="201"/>
      <c r="C68" s="196"/>
      <c r="D68" s="196"/>
    </row>
    <row r="69" ht="25.5" spans="1:6">
      <c r="A69" s="165" t="s">
        <v>323</v>
      </c>
      <c r="B69" s="166"/>
      <c r="C69" s="166"/>
      <c r="D69" s="146" t="s">
        <v>262</v>
      </c>
      <c r="E69" s="146" t="s">
        <v>10</v>
      </c>
      <c r="F69" s="146" t="s">
        <v>278</v>
      </c>
    </row>
    <row r="70" spans="1:6">
      <c r="A70" s="147">
        <v>3</v>
      </c>
      <c r="B70" s="202" t="s">
        <v>324</v>
      </c>
      <c r="C70" s="202"/>
      <c r="D70" s="178" t="s">
        <v>280</v>
      </c>
      <c r="E70" s="178" t="s">
        <v>280</v>
      </c>
      <c r="F70" s="178" t="s">
        <v>280</v>
      </c>
    </row>
    <row r="71" spans="1:6">
      <c r="A71" s="150" t="s">
        <v>281</v>
      </c>
      <c r="B71" s="157" t="s">
        <v>325</v>
      </c>
      <c r="C71" s="157"/>
      <c r="D71" s="152">
        <f>((D33+D37+D38)/12)*5%</f>
        <v>19.9555018958333</v>
      </c>
      <c r="E71" s="152">
        <f>((E33+E37+E38)/12)*5%</f>
        <v>8.73002087916667</v>
      </c>
      <c r="F71" s="152">
        <f>((F33+F37+F38)/12)*5%</f>
        <v>16.2387812</v>
      </c>
    </row>
    <row r="72" spans="1:6">
      <c r="A72" s="150" t="s">
        <v>283</v>
      </c>
      <c r="B72" s="157" t="s">
        <v>326</v>
      </c>
      <c r="C72" s="157"/>
      <c r="D72" s="152">
        <f>((D33+D37)/12)*5%*8%</f>
        <v>1.436040535</v>
      </c>
      <c r="E72" s="152">
        <f>((E33+E37)/12)*5%*8%</f>
        <v>0.628230947</v>
      </c>
      <c r="F72" s="152">
        <f>((F33+F37)/12)*5%*8%</f>
        <v>1.168577376</v>
      </c>
    </row>
    <row r="73" spans="1:6">
      <c r="A73" s="150" t="s">
        <v>285</v>
      </c>
      <c r="B73" s="157" t="s">
        <v>327</v>
      </c>
      <c r="C73" s="157"/>
      <c r="D73" s="152">
        <v>0</v>
      </c>
      <c r="E73" s="152">
        <v>0</v>
      </c>
      <c r="F73" s="152">
        <v>0</v>
      </c>
    </row>
    <row r="74" spans="1:6">
      <c r="A74" s="150" t="s">
        <v>287</v>
      </c>
      <c r="B74" s="157" t="s">
        <v>328</v>
      </c>
      <c r="C74" s="157"/>
      <c r="D74" s="152">
        <f>(((D33+D59)/30/12)*7)</f>
        <v>77.3859722222222</v>
      </c>
      <c r="E74" s="152">
        <f>(((E33+E59)/30/12)*7)</f>
        <v>33.8871944444444</v>
      </c>
      <c r="F74" s="152">
        <f>(((F33+F59)/30/12)*7)</f>
        <v>62.9836666666667</v>
      </c>
    </row>
    <row r="75" ht="24" customHeight="1" spans="1:6">
      <c r="A75" s="150" t="s">
        <v>289</v>
      </c>
      <c r="B75" s="157" t="s">
        <v>329</v>
      </c>
      <c r="C75" s="157"/>
      <c r="D75" s="152">
        <f>(D33/30/12*7)*8%</f>
        <v>6.18621111111111</v>
      </c>
      <c r="E75" s="152">
        <f>(E33/30/12*7)*8%</f>
        <v>2.70630888888889</v>
      </c>
      <c r="F75" s="152">
        <f>(F33/30/12*7)*8%</f>
        <v>5.03402666666667</v>
      </c>
    </row>
    <row r="76" spans="1:6">
      <c r="A76" s="150" t="s">
        <v>291</v>
      </c>
      <c r="B76" s="157" t="s">
        <v>330</v>
      </c>
      <c r="C76" s="157"/>
      <c r="D76" s="152">
        <f>D33*4%</f>
        <v>159.074</v>
      </c>
      <c r="E76" s="152">
        <f>E33*4%</f>
        <v>69.5908</v>
      </c>
      <c r="F76" s="152">
        <f>F33*4%</f>
        <v>129.4464</v>
      </c>
    </row>
    <row r="77" ht="15.75" spans="1:6">
      <c r="A77" s="161"/>
      <c r="B77" s="203" t="s">
        <v>14</v>
      </c>
      <c r="C77" s="203"/>
      <c r="D77" s="187">
        <f>SUM(D71:D76)</f>
        <v>264.037725764167</v>
      </c>
      <c r="E77" s="187">
        <f>SUM(E71:E76)</f>
        <v>115.5425551595</v>
      </c>
      <c r="F77" s="187">
        <f>SUM(F71:F76)</f>
        <v>214.871451909333</v>
      </c>
    </row>
    <row r="78" ht="15.75" spans="1:4">
      <c r="A78" s="116"/>
      <c r="B78" s="116"/>
      <c r="C78" s="116"/>
      <c r="D78" s="116"/>
    </row>
    <row r="79" ht="25.5" spans="1:6">
      <c r="A79" s="165" t="s">
        <v>331</v>
      </c>
      <c r="B79" s="166"/>
      <c r="C79" s="166"/>
      <c r="D79" s="146" t="s">
        <v>262</v>
      </c>
      <c r="E79" s="146" t="s">
        <v>10</v>
      </c>
      <c r="F79" s="146" t="s">
        <v>278</v>
      </c>
    </row>
    <row r="80" spans="1:6">
      <c r="A80" s="147" t="s">
        <v>332</v>
      </c>
      <c r="B80" s="202" t="s">
        <v>333</v>
      </c>
      <c r="C80" s="202"/>
      <c r="D80" s="178" t="s">
        <v>280</v>
      </c>
      <c r="E80" s="178" t="s">
        <v>280</v>
      </c>
      <c r="F80" s="178" t="s">
        <v>280</v>
      </c>
    </row>
    <row r="81" spans="1:6">
      <c r="A81" s="150" t="s">
        <v>281</v>
      </c>
      <c r="B81" s="204" t="s">
        <v>334</v>
      </c>
      <c r="C81" s="204"/>
      <c r="D81" s="152">
        <v>0</v>
      </c>
      <c r="E81" s="152">
        <v>0</v>
      </c>
      <c r="F81" s="152">
        <v>0</v>
      </c>
    </row>
    <row r="82" spans="1:6">
      <c r="A82" s="150" t="s">
        <v>283</v>
      </c>
      <c r="B82" s="204" t="s">
        <v>335</v>
      </c>
      <c r="C82" s="204"/>
      <c r="D82" s="152">
        <f>(((D33+D67+D77+D85+D106)-(D57-D58-D103-D104))/30*2.96)/12</f>
        <v>66.7374809273907</v>
      </c>
      <c r="E82" s="152">
        <f>(((E33+E67+E77+E85+E106)-(E57-E58-E103-E104))/30*2.96)/12</f>
        <v>35.4347073139229</v>
      </c>
      <c r="F82" s="152">
        <f>(((F33+F67+F77+F85+F106)-(F57-F58-F103-F104))/30*2.96)/12</f>
        <v>56.9863450176241</v>
      </c>
    </row>
    <row r="83" spans="1:6">
      <c r="A83" s="150" t="s">
        <v>285</v>
      </c>
      <c r="B83" s="204" t="s">
        <v>336</v>
      </c>
      <c r="C83" s="204"/>
      <c r="D83" s="152">
        <f>(((D33+D67+D77+D85+D106)-(D57-D58-D103-D104))/30*5*1.5%)/12</f>
        <v>1.69098346944402</v>
      </c>
      <c r="E83" s="152">
        <f>(((E33+E67+E77+E85+E106)-(E57-E58-E103-E104))/30*5*1.5%)/12</f>
        <v>0.897838867751425</v>
      </c>
      <c r="F83" s="152">
        <f>(((F33+F67+F77+F85+F106)-(F57-F58-F103-F104))/30*5*1.5%)/12</f>
        <v>1.44391076902764</v>
      </c>
    </row>
    <row r="84" spans="1:6">
      <c r="A84" s="150" t="s">
        <v>287</v>
      </c>
      <c r="B84" s="204" t="s">
        <v>337</v>
      </c>
      <c r="C84" s="204"/>
      <c r="D84" s="152">
        <f>(((D33+D67+D77+D85+D106)-(D57-D58-D103-D104))/30*15*0.78%)/12</f>
        <v>2.63793421233267</v>
      </c>
      <c r="E84" s="152">
        <f>(((E33+E67+E77+E85+E106)-(E57-E58-E103-E104))/30*15*0.78%)/12</f>
        <v>1.40062863369222</v>
      </c>
      <c r="F84" s="152">
        <f>(((F33+F67+F77+F85+F106)-(F57-F58-F103-F104))/30*15*0.78%)/12</f>
        <v>2.25250079968312</v>
      </c>
    </row>
    <row r="85" spans="1:6">
      <c r="A85" s="150" t="s">
        <v>289</v>
      </c>
      <c r="B85" s="204" t="s">
        <v>338</v>
      </c>
      <c r="C85" s="204"/>
      <c r="D85" s="152">
        <f>(((D38*3.95/12)+(D59*3.95*1.02%))/12+((D33+D37)*39.8%*3.95)*1.02%/12)</f>
        <v>18.9665025671319</v>
      </c>
      <c r="E85" s="152">
        <f>(((E38*3.95/12)+(E59*3.95*1.02%))/12+((E33+E37)*39.8%*3.95)*1.02%/12)</f>
        <v>8.30302504734124</v>
      </c>
      <c r="F85" s="152">
        <f>(((F38*3.95/12)+(F59*3.95*1.02%))/12+((F33+F37)*39.8%*3.95)*1.02%/12)</f>
        <v>15.4358594233311</v>
      </c>
    </row>
    <row r="86" spans="1:6">
      <c r="A86" s="150" t="s">
        <v>291</v>
      </c>
      <c r="B86" s="204" t="s">
        <v>339</v>
      </c>
      <c r="C86" s="204"/>
      <c r="D86" s="152">
        <v>0</v>
      </c>
      <c r="E86" s="152">
        <v>0</v>
      </c>
      <c r="F86" s="152">
        <v>0</v>
      </c>
    </row>
    <row r="87" ht="15.75" spans="1:6">
      <c r="A87" s="161"/>
      <c r="B87" s="203" t="s">
        <v>14</v>
      </c>
      <c r="C87" s="203"/>
      <c r="D87" s="187">
        <f>SUM(D81:D86)</f>
        <v>90.0329011762992</v>
      </c>
      <c r="E87" s="187">
        <f>SUM(E81:E86)</f>
        <v>46.0361998627078</v>
      </c>
      <c r="F87" s="187">
        <f>SUM(F81:F86)</f>
        <v>76.118616009666</v>
      </c>
    </row>
    <row r="88" ht="15.75" spans="1:4">
      <c r="A88" s="188"/>
      <c r="B88" s="188"/>
      <c r="C88" s="188"/>
      <c r="D88" s="116"/>
    </row>
    <row r="89" ht="25.5" spans="1:6">
      <c r="A89" s="205" t="s">
        <v>340</v>
      </c>
      <c r="B89" s="206"/>
      <c r="C89" s="206"/>
      <c r="D89" s="146" t="s">
        <v>262</v>
      </c>
      <c r="E89" s="146" t="s">
        <v>10</v>
      </c>
      <c r="F89" s="146" t="s">
        <v>278</v>
      </c>
    </row>
    <row r="90" spans="1:6">
      <c r="A90" s="207" t="s">
        <v>341</v>
      </c>
      <c r="B90" s="208" t="s">
        <v>342</v>
      </c>
      <c r="C90" s="208"/>
      <c r="D90" s="209" t="s">
        <v>280</v>
      </c>
      <c r="E90" s="209" t="s">
        <v>280</v>
      </c>
      <c r="F90" s="209" t="s">
        <v>280</v>
      </c>
    </row>
    <row r="91" spans="1:6">
      <c r="A91" s="210" t="s">
        <v>281</v>
      </c>
      <c r="B91" s="211" t="s">
        <v>343</v>
      </c>
      <c r="C91" s="211"/>
      <c r="D91" s="212">
        <v>0</v>
      </c>
      <c r="E91" s="212">
        <v>0</v>
      </c>
      <c r="F91" s="212">
        <v>0</v>
      </c>
    </row>
    <row r="92" ht="15.75" spans="1:6">
      <c r="A92" s="213"/>
      <c r="B92" s="214" t="s">
        <v>14</v>
      </c>
      <c r="C92" s="214"/>
      <c r="D92" s="215">
        <v>0</v>
      </c>
      <c r="E92" s="215">
        <v>0</v>
      </c>
      <c r="F92" s="215">
        <v>0</v>
      </c>
    </row>
    <row r="93" ht="15.75" spans="1:4">
      <c r="A93" s="188"/>
      <c r="B93" s="188"/>
      <c r="C93" s="188"/>
      <c r="D93" s="116"/>
    </row>
    <row r="94" ht="25.5" spans="1:6">
      <c r="A94" s="165" t="s">
        <v>344</v>
      </c>
      <c r="B94" s="166"/>
      <c r="C94" s="166"/>
      <c r="D94" s="146" t="s">
        <v>262</v>
      </c>
      <c r="E94" s="146" t="s">
        <v>10</v>
      </c>
      <c r="F94" s="146" t="s">
        <v>278</v>
      </c>
    </row>
    <row r="95" spans="1:6">
      <c r="A95" s="216">
        <v>4</v>
      </c>
      <c r="B95" s="148" t="s">
        <v>345</v>
      </c>
      <c r="C95" s="148"/>
      <c r="D95" s="198" t="s">
        <v>321</v>
      </c>
      <c r="E95" s="198" t="s">
        <v>321</v>
      </c>
      <c r="F95" s="198" t="s">
        <v>321</v>
      </c>
    </row>
    <row r="96" spans="1:6">
      <c r="A96" s="197" t="s">
        <v>332</v>
      </c>
      <c r="B96" s="151" t="s">
        <v>346</v>
      </c>
      <c r="C96" s="151"/>
      <c r="D96" s="199">
        <f>D87</f>
        <v>90.0329011762992</v>
      </c>
      <c r="E96" s="199">
        <f>E87</f>
        <v>46.0361998627078</v>
      </c>
      <c r="F96" s="199">
        <f>F87</f>
        <v>76.118616009666</v>
      </c>
    </row>
    <row r="97" spans="1:6">
      <c r="A97" s="197" t="s">
        <v>341</v>
      </c>
      <c r="B97" s="151" t="s">
        <v>342</v>
      </c>
      <c r="C97" s="151"/>
      <c r="D97" s="199">
        <v>0</v>
      </c>
      <c r="E97" s="199">
        <v>0</v>
      </c>
      <c r="F97" s="199">
        <v>0</v>
      </c>
    </row>
    <row r="98" ht="15.75" spans="1:6">
      <c r="A98" s="161"/>
      <c r="B98" s="162" t="s">
        <v>192</v>
      </c>
      <c r="C98" s="162"/>
      <c r="D98" s="163">
        <f>SUM(D96:D97)</f>
        <v>90.0329011762992</v>
      </c>
      <c r="E98" s="163">
        <f>SUM(E96:E97)</f>
        <v>46.0361998627078</v>
      </c>
      <c r="F98" s="163">
        <f>SUM(F96:F97)</f>
        <v>76.118616009666</v>
      </c>
    </row>
    <row r="99" ht="15.75" spans="1:4">
      <c r="A99" s="116"/>
      <c r="B99" s="116"/>
      <c r="C99" s="116"/>
      <c r="D99" s="116"/>
    </row>
    <row r="100" ht="25.5" spans="1:6">
      <c r="A100" s="165" t="s">
        <v>347</v>
      </c>
      <c r="B100" s="166"/>
      <c r="C100" s="166"/>
      <c r="D100" s="146" t="s">
        <v>262</v>
      </c>
      <c r="E100" s="146" t="s">
        <v>10</v>
      </c>
      <c r="F100" s="146" t="s">
        <v>278</v>
      </c>
    </row>
    <row r="101" spans="1:6">
      <c r="A101" s="217">
        <v>5</v>
      </c>
      <c r="B101" s="148" t="s">
        <v>348</v>
      </c>
      <c r="C101" s="148"/>
      <c r="D101" s="149" t="s">
        <v>280</v>
      </c>
      <c r="E101" s="149" t="s">
        <v>280</v>
      </c>
      <c r="F101" s="149" t="s">
        <v>280</v>
      </c>
    </row>
    <row r="102" spans="1:6">
      <c r="A102" s="194" t="s">
        <v>281</v>
      </c>
      <c r="B102" s="151" t="s">
        <v>349</v>
      </c>
      <c r="C102" s="151"/>
      <c r="D102" s="218">
        <f>'An IIC2 Uniformes Item2'!F17</f>
        <v>64.35</v>
      </c>
      <c r="E102" s="218">
        <f>'An IIC2 Uniformes Item2'!G51</f>
        <v>175.8275</v>
      </c>
      <c r="F102" s="218">
        <f>'An IIC2 Uniformes Item2'!G51</f>
        <v>175.8275</v>
      </c>
    </row>
    <row r="103" spans="1:6">
      <c r="A103" s="194" t="s">
        <v>283</v>
      </c>
      <c r="B103" s="192" t="s">
        <v>350</v>
      </c>
      <c r="C103" s="192"/>
      <c r="D103" s="219"/>
      <c r="E103" s="219"/>
      <c r="F103" s="219"/>
    </row>
    <row r="104" spans="1:6">
      <c r="A104" s="194" t="s">
        <v>285</v>
      </c>
      <c r="B104" s="151" t="s">
        <v>351</v>
      </c>
      <c r="C104" s="151"/>
      <c r="D104" s="218">
        <f>'An IIE Equip Item 2'!E71</f>
        <v>173.635</v>
      </c>
      <c r="E104" s="218">
        <f>'An IIE Equip Item 2'!E71</f>
        <v>173.635</v>
      </c>
      <c r="F104" s="218">
        <f>'An IIE Equip Item 2'!E71</f>
        <v>173.635</v>
      </c>
    </row>
    <row r="105" spans="1:6">
      <c r="A105" s="194" t="s">
        <v>287</v>
      </c>
      <c r="B105" s="151" t="s">
        <v>352</v>
      </c>
      <c r="C105" s="151"/>
      <c r="D105" s="220"/>
      <c r="E105" s="220"/>
      <c r="F105" s="220"/>
    </row>
    <row r="106" ht="15.75" spans="1:6">
      <c r="A106" s="221"/>
      <c r="B106" s="162" t="s">
        <v>353</v>
      </c>
      <c r="C106" s="162"/>
      <c r="D106" s="187">
        <f>SUM(D102:D105)</f>
        <v>237.985</v>
      </c>
      <c r="E106" s="187">
        <f>SUM(E102:E105)</f>
        <v>349.4625</v>
      </c>
      <c r="F106" s="187">
        <f>SUM(F102:F105)</f>
        <v>349.4625</v>
      </c>
    </row>
    <row r="107" ht="15.75" spans="1:4">
      <c r="A107" s="54"/>
      <c r="B107" s="222"/>
      <c r="C107" s="223"/>
      <c r="D107" s="223"/>
    </row>
    <row r="108" ht="25.5" spans="1:6">
      <c r="A108" s="165" t="s">
        <v>354</v>
      </c>
      <c r="B108" s="166"/>
      <c r="C108" s="224"/>
      <c r="D108" s="146" t="s">
        <v>262</v>
      </c>
      <c r="E108" s="146" t="s">
        <v>10</v>
      </c>
      <c r="F108" s="146" t="s">
        <v>278</v>
      </c>
    </row>
    <row r="109" spans="1:6">
      <c r="A109" s="217">
        <v>6</v>
      </c>
      <c r="B109" s="177" t="s">
        <v>355</v>
      </c>
      <c r="C109" s="178" t="s">
        <v>301</v>
      </c>
      <c r="D109" s="178" t="s">
        <v>280</v>
      </c>
      <c r="E109" s="178" t="s">
        <v>280</v>
      </c>
      <c r="F109" s="178" t="s">
        <v>280</v>
      </c>
    </row>
    <row r="110" spans="1:6">
      <c r="A110" s="194" t="s">
        <v>281</v>
      </c>
      <c r="B110" s="179" t="s">
        <v>356</v>
      </c>
      <c r="C110" s="225">
        <v>4.8</v>
      </c>
      <c r="D110" s="152">
        <f>(D127)*$C$110/100</f>
        <v>362.577650493142</v>
      </c>
      <c r="E110" s="152">
        <f>(E127)*$C$110/100</f>
        <v>184.679929921066</v>
      </c>
      <c r="F110" s="152">
        <f>(F127)*$C$110/100</f>
        <v>307.286872700112</v>
      </c>
    </row>
    <row r="111" spans="1:6">
      <c r="A111" s="194" t="s">
        <v>283</v>
      </c>
      <c r="B111" s="179" t="s">
        <v>357</v>
      </c>
      <c r="C111" s="225">
        <v>3.92</v>
      </c>
      <c r="D111" s="152">
        <f>(D127+D110)*$C$111/100</f>
        <v>310.318125135398</v>
      </c>
      <c r="E111" s="152">
        <f>(E127+E110)*$C$111/100</f>
        <v>158.061396021776</v>
      </c>
      <c r="F111" s="152">
        <f>(F127+F110)*$C$111/100</f>
        <v>262.996591448269</v>
      </c>
    </row>
    <row r="112" spans="1:6">
      <c r="A112" s="194" t="s">
        <v>285</v>
      </c>
      <c r="B112" s="179" t="s">
        <v>358</v>
      </c>
      <c r="C112" s="225"/>
      <c r="D112" s="152"/>
      <c r="E112" s="152"/>
      <c r="F112" s="152"/>
    </row>
    <row r="113" spans="1:6">
      <c r="A113" s="194"/>
      <c r="B113" s="179" t="s">
        <v>359</v>
      </c>
      <c r="C113" s="225">
        <f>3+0.65</f>
        <v>3.65</v>
      </c>
      <c r="D113" s="152">
        <f>((D127+D110+D111)/(1-($C$113+$C$115)/100))*$C$113/100</f>
        <v>328.703649924761</v>
      </c>
      <c r="E113" s="152">
        <f>((E127+E110+E111)/(1-($C$113+$C$115)/100))*$C$113/100</f>
        <v>167.426113965763</v>
      </c>
      <c r="F113" s="152">
        <f>((F127+F110+F111)/(1-($C$113+$C$115)/100))*$C$113/100</f>
        <v>278.578441040459</v>
      </c>
    </row>
    <row r="114" spans="1:6">
      <c r="A114" s="194"/>
      <c r="B114" s="179" t="s">
        <v>360</v>
      </c>
      <c r="C114" s="225"/>
      <c r="D114" s="152"/>
      <c r="E114" s="152"/>
      <c r="F114" s="152"/>
    </row>
    <row r="115" spans="1:6">
      <c r="A115" s="194"/>
      <c r="B115" s="179" t="s">
        <v>361</v>
      </c>
      <c r="C115" s="226">
        <v>5</v>
      </c>
      <c r="D115" s="152">
        <f>((D127+D110+D111)/(1-($C$113+$C$115)/100))*$C$115/100</f>
        <v>450.278972499672</v>
      </c>
      <c r="E115" s="152">
        <f>((E127+E110+E111)/(1-($C$113+$C$115)/100))*$C$115/100</f>
        <v>229.35084104899</v>
      </c>
      <c r="F115" s="152">
        <f>((F127+F110+F111)/(1-($C$113+$C$115)/100))*$C$115/100</f>
        <v>381.61430279515</v>
      </c>
    </row>
    <row r="116" spans="1:6">
      <c r="A116" s="194"/>
      <c r="B116" s="179" t="s">
        <v>362</v>
      </c>
      <c r="C116" s="225"/>
      <c r="D116" s="152"/>
      <c r="E116" s="155"/>
      <c r="F116" s="155"/>
    </row>
    <row r="117" ht="15.75" spans="1:6">
      <c r="A117" s="227"/>
      <c r="B117" s="185" t="s">
        <v>14</v>
      </c>
      <c r="C117" s="228">
        <f>SUM(C110:C116)</f>
        <v>17.37</v>
      </c>
      <c r="D117" s="187">
        <f>SUM(D110:D116)</f>
        <v>1451.87839805297</v>
      </c>
      <c r="E117" s="187">
        <f>SUM(E110:E116)</f>
        <v>739.518280957595</v>
      </c>
      <c r="F117" s="187">
        <f>SUM(F110:F116)</f>
        <v>1230.47620798399</v>
      </c>
    </row>
    <row r="118" spans="1:4">
      <c r="A118" s="54"/>
      <c r="B118" s="222"/>
      <c r="C118" s="223"/>
      <c r="D118" s="223"/>
    </row>
    <row r="119" ht="15.75" spans="1:6">
      <c r="A119" s="229" t="s">
        <v>363</v>
      </c>
      <c r="B119" s="229"/>
      <c r="C119" s="229"/>
      <c r="D119" s="229"/>
      <c r="E119" s="229"/>
      <c r="F119" s="229"/>
    </row>
    <row r="120" ht="25.5" spans="1:6">
      <c r="A120" s="132" t="s">
        <v>364</v>
      </c>
      <c r="B120" s="133"/>
      <c r="C120" s="133"/>
      <c r="D120" s="146" t="s">
        <v>262</v>
      </c>
      <c r="E120" s="146" t="s">
        <v>10</v>
      </c>
      <c r="F120" s="146" t="s">
        <v>278</v>
      </c>
    </row>
    <row r="121" spans="1:6">
      <c r="A121" s="230"/>
      <c r="B121" s="202" t="s">
        <v>365</v>
      </c>
      <c r="C121" s="202"/>
      <c r="D121" s="178" t="s">
        <v>280</v>
      </c>
      <c r="E121" s="178" t="s">
        <v>280</v>
      </c>
      <c r="F121" s="178" t="s">
        <v>280</v>
      </c>
    </row>
    <row r="122" spans="1:6">
      <c r="A122" s="230" t="s">
        <v>281</v>
      </c>
      <c r="B122" s="157" t="s">
        <v>366</v>
      </c>
      <c r="C122" s="157"/>
      <c r="D122" s="152">
        <f>D33</f>
        <v>3976.85</v>
      </c>
      <c r="E122" s="152">
        <f>E33</f>
        <v>1739.77</v>
      </c>
      <c r="F122" s="152">
        <f>F33</f>
        <v>3236.16</v>
      </c>
    </row>
    <row r="123" spans="1:6">
      <c r="A123" s="230" t="s">
        <v>283</v>
      </c>
      <c r="B123" s="157" t="s">
        <v>367</v>
      </c>
      <c r="C123" s="157"/>
      <c r="D123" s="152">
        <f>D67</f>
        <v>2984.795425</v>
      </c>
      <c r="E123" s="152">
        <f>E67</f>
        <v>1596.687285</v>
      </c>
      <c r="F123" s="152">
        <f>F67</f>
        <v>2525.19728</v>
      </c>
    </row>
    <row r="124" spans="1:6">
      <c r="A124" s="230" t="s">
        <v>285</v>
      </c>
      <c r="B124" s="157" t="s">
        <v>368</v>
      </c>
      <c r="C124" s="157"/>
      <c r="D124" s="152">
        <f>D77</f>
        <v>264.037725764167</v>
      </c>
      <c r="E124" s="152">
        <f>E77</f>
        <v>115.5425551595</v>
      </c>
      <c r="F124" s="152">
        <f>F77</f>
        <v>214.871451909333</v>
      </c>
    </row>
    <row r="125" spans="1:6">
      <c r="A125" s="230" t="s">
        <v>287</v>
      </c>
      <c r="B125" s="157" t="s">
        <v>369</v>
      </c>
      <c r="C125" s="157"/>
      <c r="D125" s="152">
        <f>D98</f>
        <v>90.0329011762992</v>
      </c>
      <c r="E125" s="152">
        <f>E98</f>
        <v>46.0361998627078</v>
      </c>
      <c r="F125" s="152">
        <f>F98</f>
        <v>76.118616009666</v>
      </c>
    </row>
    <row r="126" spans="1:6">
      <c r="A126" s="230" t="s">
        <v>289</v>
      </c>
      <c r="B126" s="157" t="s">
        <v>370</v>
      </c>
      <c r="C126" s="157"/>
      <c r="D126" s="152">
        <f>D106</f>
        <v>237.985</v>
      </c>
      <c r="E126" s="152">
        <f>E106</f>
        <v>349.4625</v>
      </c>
      <c r="F126" s="152">
        <f>F106</f>
        <v>349.4625</v>
      </c>
    </row>
    <row r="127" spans="1:6">
      <c r="A127" s="230"/>
      <c r="B127" s="202" t="s">
        <v>371</v>
      </c>
      <c r="C127" s="202"/>
      <c r="D127" s="171">
        <f>SUM(D122:D126)</f>
        <v>7553.70105194047</v>
      </c>
      <c r="E127" s="171">
        <f>SUM(E122:E126)</f>
        <v>3847.49854002221</v>
      </c>
      <c r="F127" s="171">
        <f>SUM(F122:F126)</f>
        <v>6401.809847919</v>
      </c>
    </row>
    <row r="128" spans="1:6">
      <c r="A128" s="230" t="s">
        <v>291</v>
      </c>
      <c r="B128" s="157" t="s">
        <v>372</v>
      </c>
      <c r="C128" s="157"/>
      <c r="D128" s="152">
        <f>D117</f>
        <v>1451.87839805297</v>
      </c>
      <c r="E128" s="152">
        <f>E117</f>
        <v>739.518280957595</v>
      </c>
      <c r="F128" s="152">
        <f>F117</f>
        <v>1230.47620798399</v>
      </c>
    </row>
    <row r="129" spans="1:6">
      <c r="A129" s="230"/>
      <c r="B129" s="202" t="s">
        <v>373</v>
      </c>
      <c r="C129" s="202"/>
      <c r="D129" s="171">
        <f>SUM(D127:D128)</f>
        <v>9005.57944999344</v>
      </c>
      <c r="E129" s="171">
        <f>SUM(E127:E128)</f>
        <v>4587.0168209798</v>
      </c>
      <c r="F129" s="171">
        <f>SUM(F127:F128)</f>
        <v>7632.28605590299</v>
      </c>
    </row>
    <row r="130" spans="1:6">
      <c r="A130" s="230"/>
      <c r="B130" s="202" t="s">
        <v>374</v>
      </c>
      <c r="C130" s="202"/>
      <c r="D130" s="171"/>
      <c r="E130" s="171"/>
      <c r="F130" s="171"/>
    </row>
    <row r="131" ht="15.75" spans="1:6">
      <c r="A131" s="161"/>
      <c r="B131" s="203" t="s">
        <v>375</v>
      </c>
      <c r="C131" s="203"/>
      <c r="D131" s="186">
        <f>D129/D33</f>
        <v>2.26450066006851</v>
      </c>
      <c r="E131" s="186">
        <f>E129/E33</f>
        <v>2.63656507525696</v>
      </c>
      <c r="F131" s="186">
        <f>F129/F33</f>
        <v>2.3584390314147</v>
      </c>
    </row>
    <row r="132" spans="1:4">
      <c r="A132" s="116"/>
      <c r="B132" s="231"/>
      <c r="C132" s="116"/>
      <c r="D132" s="116"/>
    </row>
    <row r="133" ht="15.75" spans="1:4">
      <c r="A133" s="116"/>
      <c r="B133" s="116"/>
      <c r="C133" s="116"/>
      <c r="D133" s="116"/>
    </row>
    <row r="134" ht="25.5" spans="1:6">
      <c r="A134" s="165" t="s">
        <v>376</v>
      </c>
      <c r="B134" s="166"/>
      <c r="C134" s="224"/>
      <c r="D134" s="146" t="s">
        <v>262</v>
      </c>
      <c r="E134" s="146" t="s">
        <v>10</v>
      </c>
      <c r="F134" s="146" t="s">
        <v>278</v>
      </c>
    </row>
    <row r="135" spans="1:6">
      <c r="A135" s="217">
        <v>6</v>
      </c>
      <c r="B135" s="177" t="s">
        <v>355</v>
      </c>
      <c r="C135" s="178" t="s">
        <v>301</v>
      </c>
      <c r="D135" s="178" t="s">
        <v>280</v>
      </c>
      <c r="E135" s="178" t="s">
        <v>280</v>
      </c>
      <c r="F135" s="178" t="s">
        <v>280</v>
      </c>
    </row>
    <row r="136" spans="1:6">
      <c r="A136" s="194" t="s">
        <v>281</v>
      </c>
      <c r="B136" s="179" t="s">
        <v>356</v>
      </c>
      <c r="C136" s="225">
        <v>4.8</v>
      </c>
      <c r="D136" s="152">
        <f>(D153)*$C$136/100</f>
        <v>362.577650493142</v>
      </c>
      <c r="E136" s="152">
        <f>(E153)*$C$136/100</f>
        <v>184.679929921066</v>
      </c>
      <c r="F136" s="152">
        <f>(F153)*$C$136/100</f>
        <v>307.286872700112</v>
      </c>
    </row>
    <row r="137" spans="1:6">
      <c r="A137" s="194" t="s">
        <v>283</v>
      </c>
      <c r="B137" s="179" t="s">
        <v>357</v>
      </c>
      <c r="C137" s="225">
        <v>3.92</v>
      </c>
      <c r="D137" s="152">
        <f>(D153+D136)*$C$137/100</f>
        <v>310.318125135398</v>
      </c>
      <c r="E137" s="152">
        <f>(E153+E136)*$C$137/100</f>
        <v>158.061396021776</v>
      </c>
      <c r="F137" s="152">
        <f>(F153+F136)*$C$137/100</f>
        <v>262.996591448269</v>
      </c>
    </row>
    <row r="138" spans="1:6">
      <c r="A138" s="194" t="s">
        <v>285</v>
      </c>
      <c r="B138" s="179" t="s">
        <v>358</v>
      </c>
      <c r="C138" s="225"/>
      <c r="D138" s="152"/>
      <c r="E138" s="152"/>
      <c r="F138" s="152"/>
    </row>
    <row r="139" spans="1:6">
      <c r="A139" s="194"/>
      <c r="B139" s="179" t="s">
        <v>377</v>
      </c>
      <c r="C139" s="180">
        <v>9.25</v>
      </c>
      <c r="D139" s="152">
        <f>((D153+D136+D137)/(1-($C$139+$C$141)/100))*$C$139/100</f>
        <v>887.417150495782</v>
      </c>
      <c r="E139" s="152">
        <f>((E153+E136+E137)/(1-($C$139+$C$141)/100))*$C$139/100</f>
        <v>452.008382042877</v>
      </c>
      <c r="F139" s="152">
        <f>((F153+F136+F137)/(1-($C$139+$C$141)/100))*$C$139/100</f>
        <v>752.091698386277</v>
      </c>
    </row>
    <row r="140" spans="1:6">
      <c r="A140" s="194"/>
      <c r="B140" s="179" t="s">
        <v>360</v>
      </c>
      <c r="C140" s="225"/>
      <c r="D140" s="152"/>
      <c r="E140" s="152"/>
      <c r="F140" s="152"/>
    </row>
    <row r="141" spans="1:6">
      <c r="A141" s="194"/>
      <c r="B141" s="179" t="s">
        <v>361</v>
      </c>
      <c r="C141" s="226">
        <v>5</v>
      </c>
      <c r="D141" s="152">
        <f>((D153+D136+D137)/(1-($C$139+$C$141)/100))*$C$141/100</f>
        <v>479.684946213936</v>
      </c>
      <c r="E141" s="152">
        <f>((E153+E136+E137)/(1-($C$139+$C$141)/100))*$C$141/100</f>
        <v>244.328855158312</v>
      </c>
      <c r="F141" s="152">
        <f>((F153+F136+F137)/(1-($C$139+$C$141)/100))*$C$141/100</f>
        <v>406.536053181771</v>
      </c>
    </row>
    <row r="142" spans="1:6">
      <c r="A142" s="194"/>
      <c r="B142" s="179" t="s">
        <v>362</v>
      </c>
      <c r="C142" s="225"/>
      <c r="D142" s="152"/>
      <c r="E142" s="152"/>
      <c r="F142" s="152"/>
    </row>
    <row r="143" ht="15.75" spans="1:6">
      <c r="A143" s="227"/>
      <c r="B143" s="185" t="s">
        <v>14</v>
      </c>
      <c r="C143" s="228">
        <f>SUM(C136:C142)</f>
        <v>22.97</v>
      </c>
      <c r="D143" s="187">
        <f>SUM(D136:D142)</f>
        <v>2039.99787233826</v>
      </c>
      <c r="E143" s="187">
        <f>SUM(E136:E142)</f>
        <v>1039.07856314403</v>
      </c>
      <c r="F143" s="187">
        <f>SUM(F136:F142)</f>
        <v>1728.91121571643</v>
      </c>
    </row>
    <row r="144" spans="1:4">
      <c r="A144" s="188"/>
      <c r="B144" s="188"/>
      <c r="C144" s="188"/>
      <c r="D144" s="188"/>
    </row>
    <row r="145" ht="15.75" spans="1:5">
      <c r="A145" s="232" t="s">
        <v>378</v>
      </c>
      <c r="B145" s="232"/>
      <c r="C145" s="232"/>
      <c r="D145" s="232"/>
      <c r="E145" s="232"/>
    </row>
    <row r="146" ht="25.5" spans="1:6">
      <c r="A146" s="233" t="s">
        <v>379</v>
      </c>
      <c r="B146" s="234"/>
      <c r="C146" s="234"/>
      <c r="D146" s="146" t="s">
        <v>262</v>
      </c>
      <c r="E146" s="146" t="s">
        <v>10</v>
      </c>
      <c r="F146" s="146" t="s">
        <v>278</v>
      </c>
    </row>
    <row r="147" spans="1:6">
      <c r="A147" s="230"/>
      <c r="B147" s="202" t="s">
        <v>365</v>
      </c>
      <c r="C147" s="202"/>
      <c r="D147" s="178" t="s">
        <v>280</v>
      </c>
      <c r="E147" s="178" t="s">
        <v>280</v>
      </c>
      <c r="F147" s="178" t="s">
        <v>280</v>
      </c>
    </row>
    <row r="148" spans="1:6">
      <c r="A148" s="230" t="s">
        <v>281</v>
      </c>
      <c r="B148" s="157" t="s">
        <v>366</v>
      </c>
      <c r="C148" s="157"/>
      <c r="D148" s="152">
        <f>D122</f>
        <v>3976.85</v>
      </c>
      <c r="E148" s="152">
        <f t="shared" ref="E148:F152" si="0">E122</f>
        <v>1739.77</v>
      </c>
      <c r="F148" s="152">
        <f t="shared" si="0"/>
        <v>3236.16</v>
      </c>
    </row>
    <row r="149" spans="1:6">
      <c r="A149" s="230" t="s">
        <v>283</v>
      </c>
      <c r="B149" s="157" t="s">
        <v>367</v>
      </c>
      <c r="C149" s="157"/>
      <c r="D149" s="152">
        <f>D123</f>
        <v>2984.795425</v>
      </c>
      <c r="E149" s="152">
        <f t="shared" si="0"/>
        <v>1596.687285</v>
      </c>
      <c r="F149" s="152">
        <f t="shared" si="0"/>
        <v>2525.19728</v>
      </c>
    </row>
    <row r="150" spans="1:6">
      <c r="A150" s="230" t="s">
        <v>285</v>
      </c>
      <c r="B150" s="157" t="s">
        <v>368</v>
      </c>
      <c r="C150" s="157"/>
      <c r="D150" s="152">
        <f>D124</f>
        <v>264.037725764167</v>
      </c>
      <c r="E150" s="152">
        <f t="shared" si="0"/>
        <v>115.5425551595</v>
      </c>
      <c r="F150" s="152">
        <f t="shared" si="0"/>
        <v>214.871451909333</v>
      </c>
    </row>
    <row r="151" spans="1:6">
      <c r="A151" s="230" t="s">
        <v>287</v>
      </c>
      <c r="B151" s="157" t="s">
        <v>369</v>
      </c>
      <c r="C151" s="157"/>
      <c r="D151" s="152">
        <f>D125</f>
        <v>90.0329011762992</v>
      </c>
      <c r="E151" s="152">
        <f t="shared" si="0"/>
        <v>46.0361998627078</v>
      </c>
      <c r="F151" s="152">
        <f t="shared" si="0"/>
        <v>76.118616009666</v>
      </c>
    </row>
    <row r="152" spans="1:6">
      <c r="A152" s="230" t="s">
        <v>289</v>
      </c>
      <c r="B152" s="157" t="s">
        <v>370</v>
      </c>
      <c r="C152" s="157"/>
      <c r="D152" s="152">
        <f>D126</f>
        <v>237.985</v>
      </c>
      <c r="E152" s="152">
        <f t="shared" si="0"/>
        <v>349.4625</v>
      </c>
      <c r="F152" s="152">
        <f t="shared" si="0"/>
        <v>349.4625</v>
      </c>
    </row>
    <row r="153" spans="1:6">
      <c r="A153" s="230"/>
      <c r="B153" s="202" t="s">
        <v>371</v>
      </c>
      <c r="C153" s="202"/>
      <c r="D153" s="171">
        <f>SUM(D148:D152)</f>
        <v>7553.70105194047</v>
      </c>
      <c r="E153" s="171">
        <f>SUM(E148:E152)</f>
        <v>3847.49854002221</v>
      </c>
      <c r="F153" s="171">
        <f>SUM(F148:F152)</f>
        <v>6401.809847919</v>
      </c>
    </row>
    <row r="154" spans="1:6">
      <c r="A154" s="230" t="s">
        <v>291</v>
      </c>
      <c r="B154" s="157" t="s">
        <v>372</v>
      </c>
      <c r="C154" s="157"/>
      <c r="D154" s="152">
        <f>D143</f>
        <v>2039.99787233826</v>
      </c>
      <c r="E154" s="152">
        <f>E143</f>
        <v>1039.07856314403</v>
      </c>
      <c r="F154" s="152">
        <f>F143</f>
        <v>1728.91121571643</v>
      </c>
    </row>
    <row r="155" spans="1:6">
      <c r="A155" s="230"/>
      <c r="B155" s="202" t="s">
        <v>373</v>
      </c>
      <c r="C155" s="202"/>
      <c r="D155" s="171">
        <f>SUM(D153:D154)</f>
        <v>9593.69892427872</v>
      </c>
      <c r="E155" s="171">
        <f>SUM(E153:E154)</f>
        <v>4886.57710316624</v>
      </c>
      <c r="F155" s="171">
        <f>SUM(F153:F154)</f>
        <v>8130.72106363543</v>
      </c>
    </row>
    <row r="156" spans="1:6">
      <c r="A156" s="230"/>
      <c r="B156" s="202" t="s">
        <v>374</v>
      </c>
      <c r="C156" s="202"/>
      <c r="D156" s="171"/>
      <c r="E156" s="171"/>
      <c r="F156" s="171"/>
    </row>
    <row r="157" ht="15.75" spans="1:6">
      <c r="A157" s="161"/>
      <c r="B157" s="203" t="s">
        <v>375</v>
      </c>
      <c r="C157" s="203"/>
      <c r="D157" s="186">
        <f>D155/D33</f>
        <v>2.41238641746073</v>
      </c>
      <c r="E157" s="186">
        <f>E155/E33</f>
        <v>2.8087489169064</v>
      </c>
      <c r="F157" s="186">
        <f>F155/F33</f>
        <v>2.51245953958872</v>
      </c>
    </row>
  </sheetData>
  <mergeCells count="110">
    <mergeCell ref="A1:F1"/>
    <mergeCell ref="A2:F2"/>
    <mergeCell ref="A4:F4"/>
    <mergeCell ref="A5:F5"/>
    <mergeCell ref="A6:F6"/>
    <mergeCell ref="A7:F7"/>
    <mergeCell ref="A8:F8"/>
    <mergeCell ref="A9:B9"/>
    <mergeCell ref="C9:F9"/>
    <mergeCell ref="A10:B10"/>
    <mergeCell ref="C10:F10"/>
    <mergeCell ref="A12:F12"/>
    <mergeCell ref="A13:B13"/>
    <mergeCell ref="C13:F13"/>
    <mergeCell ref="A14:B14"/>
    <mergeCell ref="C14:F14"/>
    <mergeCell ref="A15:B15"/>
    <mergeCell ref="C15:F15"/>
    <mergeCell ref="A16:B16"/>
    <mergeCell ref="C16:F16"/>
    <mergeCell ref="A17:B17"/>
    <mergeCell ref="C17:F17"/>
    <mergeCell ref="A19:D19"/>
    <mergeCell ref="A25:C25"/>
    <mergeCell ref="B26:C26"/>
    <mergeCell ref="B27:C27"/>
    <mergeCell ref="B28:C28"/>
    <mergeCell ref="B29:C29"/>
    <mergeCell ref="B30:C30"/>
    <mergeCell ref="B31:C31"/>
    <mergeCell ref="B32:C32"/>
    <mergeCell ref="B33:C33"/>
    <mergeCell ref="B34:D34"/>
    <mergeCell ref="A35:C35"/>
    <mergeCell ref="A36:B36"/>
    <mergeCell ref="A42:C42"/>
    <mergeCell ref="A55:C55"/>
    <mergeCell ref="B56:C56"/>
    <mergeCell ref="B57:C57"/>
    <mergeCell ref="B58:C58"/>
    <mergeCell ref="B59:C59"/>
    <mergeCell ref="B60:C60"/>
    <mergeCell ref="A62:C62"/>
    <mergeCell ref="B63:C63"/>
    <mergeCell ref="B64:C64"/>
    <mergeCell ref="B65:C65"/>
    <mergeCell ref="B66:C66"/>
    <mergeCell ref="B67:C67"/>
    <mergeCell ref="A69:C69"/>
    <mergeCell ref="B70:C70"/>
    <mergeCell ref="B71:C71"/>
    <mergeCell ref="B72:C72"/>
    <mergeCell ref="B73:C73"/>
    <mergeCell ref="B74:C74"/>
    <mergeCell ref="B75:C75"/>
    <mergeCell ref="B76:C76"/>
    <mergeCell ref="B77:C77"/>
    <mergeCell ref="A79:C79"/>
    <mergeCell ref="B80:C80"/>
    <mergeCell ref="B81:C81"/>
    <mergeCell ref="B82:C82"/>
    <mergeCell ref="B83:C83"/>
    <mergeCell ref="B84:C84"/>
    <mergeCell ref="B85:C85"/>
    <mergeCell ref="B86:C86"/>
    <mergeCell ref="B87:C87"/>
    <mergeCell ref="A89:C89"/>
    <mergeCell ref="B90:C90"/>
    <mergeCell ref="B91:C91"/>
    <mergeCell ref="B92:C92"/>
    <mergeCell ref="A94:C94"/>
    <mergeCell ref="B95:C95"/>
    <mergeCell ref="B96:C96"/>
    <mergeCell ref="B97:C97"/>
    <mergeCell ref="B98:C98"/>
    <mergeCell ref="A100:C100"/>
    <mergeCell ref="B101:C101"/>
    <mergeCell ref="B102:C102"/>
    <mergeCell ref="B103:C103"/>
    <mergeCell ref="B104:C104"/>
    <mergeCell ref="B105:C105"/>
    <mergeCell ref="B106:C106"/>
    <mergeCell ref="A108:B108"/>
    <mergeCell ref="A119:F119"/>
    <mergeCell ref="A120:C120"/>
    <mergeCell ref="B121:C121"/>
    <mergeCell ref="B122:C122"/>
    <mergeCell ref="B123:C123"/>
    <mergeCell ref="B124:C124"/>
    <mergeCell ref="B125:C125"/>
    <mergeCell ref="B126:C126"/>
    <mergeCell ref="B127:C127"/>
    <mergeCell ref="B128:C128"/>
    <mergeCell ref="B129:C129"/>
    <mergeCell ref="B130:C130"/>
    <mergeCell ref="B131:C131"/>
    <mergeCell ref="A134:B134"/>
    <mergeCell ref="A145:E145"/>
    <mergeCell ref="A146:C146"/>
    <mergeCell ref="B147:C147"/>
    <mergeCell ref="B148:C148"/>
    <mergeCell ref="B149:C149"/>
    <mergeCell ref="B150:C150"/>
    <mergeCell ref="B151:C151"/>
    <mergeCell ref="B152:C152"/>
    <mergeCell ref="B153:C153"/>
    <mergeCell ref="B154:C154"/>
    <mergeCell ref="B155:C155"/>
    <mergeCell ref="B156:C156"/>
    <mergeCell ref="B157:C157"/>
  </mergeCells>
  <pageMargins left="0.511805555555556" right="0.511805555555556" top="0.786805555555556" bottom="0.786805555555556" header="0.314583333333333" footer="0.314583333333333"/>
  <pageSetup paperSize="9" scale="69"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view="pageLayout" zoomScaleNormal="100" workbookViewId="0">
      <selection activeCell="A4" sqref="A4:G4"/>
    </sheetView>
  </sheetViews>
  <sheetFormatPr defaultColWidth="9" defaultRowHeight="15" outlineLevelCol="7"/>
  <cols>
    <col min="1" max="1" width="5.28571428571429" customWidth="1"/>
    <col min="2" max="2" width="20.4285714285714" customWidth="1"/>
    <col min="3" max="3" width="8" customWidth="1"/>
    <col min="4" max="4" width="15.2857142857143" customWidth="1"/>
    <col min="5" max="5" width="16.2857142857143" customWidth="1"/>
    <col min="6" max="6" width="14.5714285714286" customWidth="1"/>
    <col min="7" max="7" width="15.2857142857143" customWidth="1"/>
    <col min="8" max="8" width="13.7142857142857" customWidth="1"/>
  </cols>
  <sheetData>
    <row r="1" ht="14.45" customHeight="1" spans="1:8">
      <c r="A1" s="1" t="s">
        <v>0</v>
      </c>
      <c r="B1" s="1"/>
      <c r="C1" s="1"/>
      <c r="D1" s="1"/>
      <c r="E1" s="1"/>
      <c r="F1" s="1"/>
      <c r="G1" s="1"/>
      <c r="H1" s="39"/>
    </row>
    <row r="2" ht="18.75" spans="1:8">
      <c r="A2" s="2" t="s">
        <v>1</v>
      </c>
      <c r="B2" s="2"/>
      <c r="C2" s="2"/>
      <c r="D2" s="2"/>
      <c r="E2" s="2"/>
      <c r="F2" s="2"/>
      <c r="G2" s="2"/>
      <c r="H2" s="40"/>
    </row>
    <row r="3" ht="18.75" spans="1:8">
      <c r="A3" s="2"/>
      <c r="B3" s="2"/>
      <c r="C3" s="2"/>
      <c r="D3" s="2"/>
      <c r="E3" s="2"/>
      <c r="F3" s="2"/>
      <c r="G3" s="2"/>
      <c r="H3" s="2"/>
    </row>
    <row r="4" ht="32.25" customHeight="1" spans="1:8">
      <c r="A4" s="3" t="s">
        <v>383</v>
      </c>
      <c r="B4" s="3"/>
      <c r="C4" s="3"/>
      <c r="D4" s="3"/>
      <c r="E4" s="3"/>
      <c r="F4" s="3"/>
      <c r="G4" s="3"/>
      <c r="H4" s="42"/>
    </row>
    <row r="5" ht="32.25" customHeight="1" spans="1:8">
      <c r="A5" s="3" t="s">
        <v>41</v>
      </c>
      <c r="B5" s="3"/>
      <c r="C5" s="3"/>
      <c r="D5" s="3"/>
      <c r="E5" s="3"/>
      <c r="F5" s="3"/>
      <c r="G5" s="3"/>
      <c r="H5" s="42"/>
    </row>
    <row r="6" ht="35.45" customHeight="1" spans="1:8">
      <c r="A6" s="4" t="s">
        <v>2</v>
      </c>
      <c r="B6" s="4"/>
      <c r="C6" s="4"/>
      <c r="D6" s="4"/>
      <c r="E6" s="4"/>
      <c r="F6" s="4"/>
      <c r="G6" s="4"/>
      <c r="H6" s="43"/>
    </row>
    <row r="7" ht="15.75"/>
    <row r="8" spans="1:7">
      <c r="A8" s="90" t="s">
        <v>384</v>
      </c>
      <c r="B8" s="91"/>
      <c r="C8" s="91"/>
      <c r="D8" s="91"/>
      <c r="E8" s="91"/>
      <c r="F8" s="91"/>
      <c r="G8" s="92"/>
    </row>
    <row r="9" ht="30" spans="1:7">
      <c r="A9" s="93" t="s">
        <v>43</v>
      </c>
      <c r="B9" s="18" t="s">
        <v>5</v>
      </c>
      <c r="C9" s="18" t="s">
        <v>385</v>
      </c>
      <c r="D9" s="18" t="s">
        <v>386</v>
      </c>
      <c r="E9" s="18" t="s">
        <v>387</v>
      </c>
      <c r="F9" s="18" t="s">
        <v>388</v>
      </c>
      <c r="G9" s="94" t="s">
        <v>389</v>
      </c>
    </row>
    <row r="10" ht="25.5" spans="1:7">
      <c r="A10" s="95">
        <v>1</v>
      </c>
      <c r="B10" s="96" t="s">
        <v>262</v>
      </c>
      <c r="C10" s="97">
        <v>1</v>
      </c>
      <c r="D10" s="97">
        <v>1</v>
      </c>
      <c r="E10" s="22">
        <f>'An IIIA Item 1'!D150</f>
        <v>10599.1353583578</v>
      </c>
      <c r="F10" s="22">
        <f>E10*C10</f>
        <v>10599.1353583578</v>
      </c>
      <c r="G10" s="98">
        <f>12*F10</f>
        <v>127189.624300294</v>
      </c>
    </row>
    <row r="11" ht="25.5" spans="1:7">
      <c r="A11" s="95">
        <v>2</v>
      </c>
      <c r="B11" s="96" t="s">
        <v>10</v>
      </c>
      <c r="C11" s="97">
        <v>4</v>
      </c>
      <c r="D11" s="97">
        <v>4</v>
      </c>
      <c r="E11" s="22">
        <f>'An IIIA Item 1'!E150</f>
        <v>5338.71499971543</v>
      </c>
      <c r="F11" s="22">
        <f t="shared" ref="F11:F16" si="0">E11*C11</f>
        <v>21354.8599988617</v>
      </c>
      <c r="G11" s="98">
        <f t="shared" ref="G11:G17" si="1">12*F11</f>
        <v>256258.319986341</v>
      </c>
    </row>
    <row r="12" ht="38.25" spans="1:7">
      <c r="A12" s="95">
        <v>3</v>
      </c>
      <c r="B12" s="96" t="s">
        <v>267</v>
      </c>
      <c r="C12" s="97">
        <f>'An IIA Distribuição Postos'!G11</f>
        <v>1</v>
      </c>
      <c r="D12" s="97">
        <v>2</v>
      </c>
      <c r="E12" s="22">
        <f>'An IIIA Item 1'!F151</f>
        <v>10152.9400888897</v>
      </c>
      <c r="F12" s="22">
        <f t="shared" si="0"/>
        <v>10152.9400888897</v>
      </c>
      <c r="G12" s="98">
        <f t="shared" si="1"/>
        <v>121835.281066677</v>
      </c>
    </row>
    <row r="13" ht="38.25" spans="1:7">
      <c r="A13" s="95">
        <v>4</v>
      </c>
      <c r="B13" s="96" t="s">
        <v>390</v>
      </c>
      <c r="C13" s="97">
        <v>1</v>
      </c>
      <c r="D13" s="19">
        <v>2</v>
      </c>
      <c r="E13" s="22">
        <f>'An IIIA Item 1'!G151</f>
        <v>11016.7598535402</v>
      </c>
      <c r="F13" s="22">
        <f t="shared" si="0"/>
        <v>11016.7598535402</v>
      </c>
      <c r="G13" s="98">
        <f t="shared" si="1"/>
        <v>132201.118242483</v>
      </c>
    </row>
    <row r="14" ht="25.5" spans="1:7">
      <c r="A14" s="95">
        <v>5</v>
      </c>
      <c r="B14" s="96" t="s">
        <v>278</v>
      </c>
      <c r="C14" s="97">
        <v>4</v>
      </c>
      <c r="D14" s="97">
        <v>4</v>
      </c>
      <c r="E14" s="22">
        <f>'An IIIA Item 1'!H150</f>
        <v>8582.85896018462</v>
      </c>
      <c r="F14" s="22">
        <f t="shared" si="0"/>
        <v>34331.4358407385</v>
      </c>
      <c r="G14" s="98">
        <f t="shared" si="1"/>
        <v>411977.230088862</v>
      </c>
    </row>
    <row r="15" ht="38.25" spans="1:7">
      <c r="A15" s="95">
        <v>6</v>
      </c>
      <c r="B15" s="96" t="s">
        <v>12</v>
      </c>
      <c r="C15" s="97">
        <v>1</v>
      </c>
      <c r="D15" s="97">
        <v>2</v>
      </c>
      <c r="E15" s="22">
        <f>'An IIIA Item 1'!I151</f>
        <v>16641.2280098281</v>
      </c>
      <c r="F15" s="22">
        <f t="shared" si="0"/>
        <v>16641.2280098281</v>
      </c>
      <c r="G15" s="98">
        <f t="shared" si="1"/>
        <v>199694.736117937</v>
      </c>
    </row>
    <row r="16" ht="38.25" spans="1:7">
      <c r="A16" s="95">
        <v>7</v>
      </c>
      <c r="B16" s="96" t="s">
        <v>13</v>
      </c>
      <c r="C16" s="97">
        <v>1</v>
      </c>
      <c r="D16" s="97">
        <v>2</v>
      </c>
      <c r="E16" s="22">
        <f>'An IIIA Item 1'!J151</f>
        <v>18248.0260173644</v>
      </c>
      <c r="F16" s="22">
        <f t="shared" si="0"/>
        <v>18248.0260173644</v>
      </c>
      <c r="G16" s="98">
        <f t="shared" si="1"/>
        <v>218976.312208373</v>
      </c>
    </row>
    <row r="17" ht="15.75" spans="1:7">
      <c r="A17" s="99" t="s">
        <v>14</v>
      </c>
      <c r="B17" s="100"/>
      <c r="C17" s="101">
        <f>SUM(C10:C16)</f>
        <v>13</v>
      </c>
      <c r="D17" s="101">
        <f>SUM(D10:D16)</f>
        <v>17</v>
      </c>
      <c r="E17" s="102"/>
      <c r="F17" s="103">
        <f>SUM(F10:F16)</f>
        <v>122344.38516758</v>
      </c>
      <c r="G17" s="104">
        <f t="shared" si="1"/>
        <v>1468132.62201096</v>
      </c>
    </row>
    <row r="18" spans="1:2">
      <c r="A18" s="30"/>
      <c r="B18" s="30"/>
    </row>
    <row r="19" spans="1:2">
      <c r="A19" s="30"/>
      <c r="B19" s="30"/>
    </row>
  </sheetData>
  <mergeCells count="7">
    <mergeCell ref="A1:G1"/>
    <mergeCell ref="A2:G2"/>
    <mergeCell ref="A4:G4"/>
    <mergeCell ref="A5:G5"/>
    <mergeCell ref="A6:G6"/>
    <mergeCell ref="A8:G8"/>
    <mergeCell ref="A17:B17"/>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23069.151449/2025-11
PE 90.018/2025&amp;R&amp;G</oddHeader>
    <oddFooter>&amp;L&amp;"-,Itálico"&amp;9&amp;A&amp;R&amp;"-,Itálico"&amp;9Página &amp;P de &amp;N</oddFooter>
  </headerFooter>
  <colBreaks count="1" manualBreakCount="1">
    <brk id="7" max="1048575" man="1"/>
  </colBreaks>
  <drawing r:id="rId1"/>
  <legacyDrawingHF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view="pageLayout" zoomScaleNormal="100" workbookViewId="0">
      <selection activeCell="A4" sqref="A4:G4"/>
    </sheetView>
  </sheetViews>
  <sheetFormatPr defaultColWidth="9" defaultRowHeight="15" outlineLevelCol="7"/>
  <cols>
    <col min="1" max="1" width="5.28571428571429" customWidth="1"/>
    <col min="2" max="2" width="20.4285714285714" customWidth="1"/>
    <col min="3" max="3" width="8" customWidth="1"/>
    <col min="4" max="4" width="15.2857142857143" customWidth="1"/>
    <col min="5" max="5" width="16.2857142857143" customWidth="1"/>
    <col min="6" max="6" width="14.5714285714286" customWidth="1"/>
    <col min="7" max="7" width="15.2857142857143" customWidth="1"/>
    <col min="8" max="8" width="13.7142857142857" customWidth="1"/>
  </cols>
  <sheetData>
    <row r="1" ht="14.45" customHeight="1" spans="1:8">
      <c r="A1" s="1" t="s">
        <v>0</v>
      </c>
      <c r="B1" s="1"/>
      <c r="C1" s="1"/>
      <c r="D1" s="1"/>
      <c r="E1" s="1"/>
      <c r="F1" s="1"/>
      <c r="G1" s="1"/>
      <c r="H1" s="39"/>
    </row>
    <row r="2" ht="18.75" spans="1:8">
      <c r="A2" s="2" t="s">
        <v>1</v>
      </c>
      <c r="B2" s="2"/>
      <c r="C2" s="2"/>
      <c r="D2" s="2"/>
      <c r="E2" s="2"/>
      <c r="F2" s="2"/>
      <c r="G2" s="2"/>
      <c r="H2" s="40"/>
    </row>
    <row r="3" ht="18.75" spans="1:8">
      <c r="A3" s="2"/>
      <c r="B3" s="2"/>
      <c r="C3" s="2"/>
      <c r="D3" s="2"/>
      <c r="E3" s="2"/>
      <c r="F3" s="2"/>
      <c r="G3" s="2"/>
      <c r="H3" s="2"/>
    </row>
    <row r="4" ht="27" customHeight="1" spans="1:8">
      <c r="A4" s="3" t="s">
        <v>391</v>
      </c>
      <c r="B4" s="3"/>
      <c r="C4" s="3"/>
      <c r="D4" s="3"/>
      <c r="E4" s="3"/>
      <c r="F4" s="3"/>
      <c r="G4" s="3"/>
      <c r="H4" s="42"/>
    </row>
    <row r="5" ht="32.25" customHeight="1" spans="1:8">
      <c r="A5" s="3" t="s">
        <v>126</v>
      </c>
      <c r="B5" s="3"/>
      <c r="C5" s="3"/>
      <c r="D5" s="3"/>
      <c r="E5" s="3"/>
      <c r="F5" s="3"/>
      <c r="G5" s="3"/>
      <c r="H5" s="42"/>
    </row>
    <row r="6" ht="35.45" customHeight="1" spans="1:8">
      <c r="A6" s="4" t="s">
        <v>2</v>
      </c>
      <c r="B6" s="4"/>
      <c r="C6" s="4"/>
      <c r="D6" s="4"/>
      <c r="E6" s="4"/>
      <c r="F6" s="4"/>
      <c r="G6" s="4"/>
      <c r="H6" s="43"/>
    </row>
    <row r="7" ht="15.75"/>
    <row r="8" spans="1:7">
      <c r="A8" s="90" t="s">
        <v>392</v>
      </c>
      <c r="B8" s="91"/>
      <c r="C8" s="91"/>
      <c r="D8" s="91"/>
      <c r="E8" s="91"/>
      <c r="F8" s="91"/>
      <c r="G8" s="92"/>
    </row>
    <row r="9" ht="30" spans="1:7">
      <c r="A9" s="93" t="s">
        <v>43</v>
      </c>
      <c r="B9" s="18" t="s">
        <v>5</v>
      </c>
      <c r="C9" s="18" t="s">
        <v>385</v>
      </c>
      <c r="D9" s="18" t="s">
        <v>386</v>
      </c>
      <c r="E9" s="18" t="s">
        <v>387</v>
      </c>
      <c r="F9" s="18" t="s">
        <v>388</v>
      </c>
      <c r="G9" s="94" t="s">
        <v>389</v>
      </c>
    </row>
    <row r="10" ht="25.5" spans="1:7">
      <c r="A10" s="95">
        <v>1</v>
      </c>
      <c r="B10" s="96" t="s">
        <v>262</v>
      </c>
      <c r="C10" s="97">
        <v>1</v>
      </c>
      <c r="D10" s="97">
        <v>1</v>
      </c>
      <c r="E10" s="22">
        <f>'An IIIB Item 2'!D155</f>
        <v>9593.69892427872</v>
      </c>
      <c r="F10" s="22">
        <f>E10*C10</f>
        <v>9593.69892427872</v>
      </c>
      <c r="G10" s="98">
        <f>12*F10</f>
        <v>115124.387091345</v>
      </c>
    </row>
    <row r="11" ht="25.5" spans="1:7">
      <c r="A11" s="95">
        <v>2</v>
      </c>
      <c r="B11" s="96" t="s">
        <v>10</v>
      </c>
      <c r="C11" s="97">
        <v>2</v>
      </c>
      <c r="D11" s="97">
        <v>2</v>
      </c>
      <c r="E11" s="22">
        <f>'An IIIB Item 2'!E155</f>
        <v>4886.57710316624</v>
      </c>
      <c r="F11" s="22">
        <f>E11*C11</f>
        <v>9773.15420633248</v>
      </c>
      <c r="G11" s="98">
        <f>12*F11</f>
        <v>117277.85047599</v>
      </c>
    </row>
    <row r="12" ht="25.5" spans="1:7">
      <c r="A12" s="95">
        <v>5</v>
      </c>
      <c r="B12" s="96" t="s">
        <v>278</v>
      </c>
      <c r="C12" s="97">
        <v>1</v>
      </c>
      <c r="D12" s="97">
        <v>1</v>
      </c>
      <c r="E12" s="22">
        <f>'An IIIB Item 2'!F155</f>
        <v>8130.72106363543</v>
      </c>
      <c r="F12" s="22">
        <f>E12*C12</f>
        <v>8130.72106363543</v>
      </c>
      <c r="G12" s="98">
        <f>12*F12</f>
        <v>97568.6527636252</v>
      </c>
    </row>
    <row r="13" ht="15.75" spans="1:7">
      <c r="A13" s="99" t="s">
        <v>14</v>
      </c>
      <c r="B13" s="100"/>
      <c r="C13" s="101">
        <f>SUM(C10:C12)</f>
        <v>4</v>
      </c>
      <c r="D13" s="101">
        <f>SUM(D10:D12)</f>
        <v>4</v>
      </c>
      <c r="E13" s="102"/>
      <c r="F13" s="103">
        <f>SUM(F10:F12)</f>
        <v>27497.5741942466</v>
      </c>
      <c r="G13" s="104">
        <f>12*F13</f>
        <v>329970.89033096</v>
      </c>
    </row>
  </sheetData>
  <mergeCells count="7">
    <mergeCell ref="A1:G1"/>
    <mergeCell ref="A2:G2"/>
    <mergeCell ref="A4:G4"/>
    <mergeCell ref="A5:G5"/>
    <mergeCell ref="A6:G6"/>
    <mergeCell ref="A8:G8"/>
    <mergeCell ref="A13:B13"/>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23069.151449/2025-11
PE 90.018/2025&amp;R&amp;G</oddHeader>
    <oddFooter>&amp;L&amp;"-,Itálico"&amp;9&amp;A&amp;R&amp;"-,Itálico"&amp;9Página &amp;P de &amp;N</oddFooter>
  </headerFooter>
  <colBreaks count="1" manualBreakCount="1">
    <brk id="7" max="1048575" man="1"/>
  </colBreaks>
  <drawing r:id="rId1"/>
  <legacyDrawingHF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view="pageLayout" zoomScaleNormal="100" workbookViewId="0">
      <selection activeCell="A4" sqref="A4:D4"/>
    </sheetView>
  </sheetViews>
  <sheetFormatPr defaultColWidth="9" defaultRowHeight="15" outlineLevelCol="7"/>
  <cols>
    <col min="1" max="1" width="10.8571428571429" customWidth="1"/>
    <col min="2" max="2" width="20.4285714285714" customWidth="1"/>
    <col min="3" max="3" width="64" customWidth="1"/>
    <col min="4" max="4" width="15.2857142857143" customWidth="1"/>
    <col min="5" max="5" width="16.2857142857143" customWidth="1"/>
    <col min="6" max="6" width="14.5714285714286" customWidth="1"/>
    <col min="7" max="7" width="15.2857142857143" customWidth="1"/>
    <col min="8" max="8" width="13.7142857142857" customWidth="1"/>
  </cols>
  <sheetData>
    <row r="1" ht="14.45" customHeight="1" spans="1:8">
      <c r="A1" s="1" t="s">
        <v>0</v>
      </c>
      <c r="B1" s="1"/>
      <c r="C1" s="1"/>
      <c r="D1" s="1"/>
      <c r="E1" s="39"/>
      <c r="F1" s="39"/>
      <c r="G1" s="39"/>
      <c r="H1" s="39"/>
    </row>
    <row r="2" ht="18.75" spans="1:8">
      <c r="A2" s="2" t="s">
        <v>1</v>
      </c>
      <c r="B2" s="2"/>
      <c r="C2" s="2"/>
      <c r="D2" s="2"/>
      <c r="E2" s="40"/>
      <c r="F2" s="40"/>
      <c r="G2" s="40"/>
      <c r="H2" s="40"/>
    </row>
    <row r="3" ht="18.75" spans="1:8">
      <c r="A3" s="2"/>
      <c r="B3" s="2"/>
      <c r="C3" s="2"/>
      <c r="D3" s="2"/>
      <c r="E3" s="2"/>
      <c r="F3" s="2"/>
      <c r="G3" s="2"/>
      <c r="H3" s="2"/>
    </row>
    <row r="4" ht="32.25" customHeight="1" spans="1:8">
      <c r="A4" s="3" t="s">
        <v>393</v>
      </c>
      <c r="B4" s="3"/>
      <c r="C4" s="3"/>
      <c r="D4" s="3"/>
      <c r="E4" s="41"/>
      <c r="F4" s="41"/>
      <c r="G4" s="41"/>
      <c r="H4" s="42"/>
    </row>
    <row r="5" ht="35.45" customHeight="1" spans="1:8">
      <c r="A5" s="4" t="s">
        <v>2</v>
      </c>
      <c r="B5" s="4"/>
      <c r="C5" s="4"/>
      <c r="D5" s="4"/>
      <c r="E5" s="43"/>
      <c r="F5" s="43"/>
      <c r="G5" s="43"/>
      <c r="H5" s="43"/>
    </row>
    <row r="6" ht="15.75"/>
    <row r="7" ht="15.75" spans="1:4">
      <c r="A7" s="44" t="s">
        <v>43</v>
      </c>
      <c r="B7" s="45" t="s">
        <v>129</v>
      </c>
      <c r="C7" s="45"/>
      <c r="D7" s="46" t="s">
        <v>394</v>
      </c>
    </row>
    <row r="8" spans="1:4">
      <c r="A8" s="47">
        <v>1</v>
      </c>
      <c r="B8" s="48" t="s">
        <v>395</v>
      </c>
      <c r="C8" s="48"/>
      <c r="D8" s="49">
        <v>0.04</v>
      </c>
    </row>
    <row r="9" spans="1:4">
      <c r="A9" s="47">
        <v>2</v>
      </c>
      <c r="B9" s="50" t="s">
        <v>396</v>
      </c>
      <c r="C9" s="51"/>
      <c r="D9" s="49">
        <v>0.008</v>
      </c>
    </row>
    <row r="10" spans="1:4">
      <c r="A10" s="47">
        <v>3</v>
      </c>
      <c r="B10" s="48" t="s">
        <v>397</v>
      </c>
      <c r="C10" s="48"/>
      <c r="D10" s="49">
        <v>0.0127</v>
      </c>
    </row>
    <row r="11" spans="1:4">
      <c r="A11" s="47">
        <v>4</v>
      </c>
      <c r="B11" s="48" t="s">
        <v>398</v>
      </c>
      <c r="C11" s="48"/>
      <c r="D11" s="49">
        <v>0</v>
      </c>
    </row>
    <row r="12" spans="1:4">
      <c r="A12" s="47">
        <v>5</v>
      </c>
      <c r="B12" s="52" t="s">
        <v>399</v>
      </c>
      <c r="C12" s="53"/>
      <c r="D12" s="49">
        <f>SUM(D8:D11)</f>
        <v>0.0607</v>
      </c>
    </row>
    <row r="13" spans="1:4">
      <c r="A13" s="47">
        <v>6</v>
      </c>
      <c r="B13" s="48" t="s">
        <v>400</v>
      </c>
      <c r="C13" s="48"/>
      <c r="D13" s="49">
        <v>0.0123</v>
      </c>
    </row>
    <row r="14" spans="1:4">
      <c r="A14" s="47">
        <v>7</v>
      </c>
      <c r="B14" s="54" t="s">
        <v>401</v>
      </c>
      <c r="C14" s="54"/>
      <c r="D14" s="49">
        <v>0.074</v>
      </c>
    </row>
    <row r="15" spans="1:4">
      <c r="A15" s="47">
        <v>8</v>
      </c>
      <c r="B15" s="48" t="s">
        <v>398</v>
      </c>
      <c r="C15" s="48"/>
      <c r="D15" s="49">
        <v>0</v>
      </c>
    </row>
    <row r="16" spans="1:4">
      <c r="A16" s="55">
        <v>9</v>
      </c>
      <c r="B16" s="52" t="s">
        <v>402</v>
      </c>
      <c r="C16" s="53"/>
      <c r="D16" s="49">
        <f>(D13+1)*(1+D14)*(1+D15)-1</f>
        <v>0.0872102000000001</v>
      </c>
    </row>
    <row r="17" spans="1:4">
      <c r="A17" s="56" t="s">
        <v>403</v>
      </c>
      <c r="B17" s="57"/>
      <c r="C17" s="58"/>
      <c r="D17" s="59">
        <f>((1+D$16)*(1+D$12))-1</f>
        <v>0.15320385914</v>
      </c>
    </row>
    <row r="18" spans="1:4">
      <c r="A18" s="60">
        <v>10</v>
      </c>
      <c r="B18" s="61" t="s">
        <v>404</v>
      </c>
      <c r="C18" s="48" t="s">
        <v>405</v>
      </c>
      <c r="D18" s="49">
        <v>0.03</v>
      </c>
    </row>
    <row r="19" spans="1:4">
      <c r="A19" s="62"/>
      <c r="B19" s="63"/>
      <c r="C19" s="48" t="s">
        <v>406</v>
      </c>
      <c r="D19" s="49">
        <v>0.0065</v>
      </c>
    </row>
    <row r="20" spans="1:4">
      <c r="A20" s="62"/>
      <c r="B20" s="63"/>
      <c r="C20" s="64" t="s">
        <v>407</v>
      </c>
      <c r="D20" s="49">
        <v>0.05</v>
      </c>
    </row>
    <row r="21" spans="1:4">
      <c r="A21" s="62"/>
      <c r="B21" s="63"/>
      <c r="C21" s="65" t="s">
        <v>408</v>
      </c>
      <c r="D21" s="66">
        <f>SUM(D18:D20)</f>
        <v>0.0865</v>
      </c>
    </row>
    <row r="22" spans="1:4">
      <c r="A22" s="62"/>
      <c r="B22" s="63"/>
      <c r="C22" s="67" t="s">
        <v>409</v>
      </c>
      <c r="D22" s="49"/>
    </row>
    <row r="23" spans="1:4">
      <c r="A23" s="68"/>
      <c r="B23" s="69"/>
      <c r="C23" s="65" t="s">
        <v>410</v>
      </c>
      <c r="D23" s="66">
        <f>D21+D22</f>
        <v>0.0865</v>
      </c>
    </row>
    <row r="24" ht="15.75" spans="1:4">
      <c r="A24" s="70" t="s">
        <v>411</v>
      </c>
      <c r="B24" s="71"/>
      <c r="C24" s="71"/>
      <c r="D24" s="72">
        <f>((D$17+1)/(1-D23))-1</f>
        <v>0.262401597307061</v>
      </c>
    </row>
    <row r="25" ht="15.75" spans="1:4">
      <c r="A25" s="73" t="s">
        <v>412</v>
      </c>
      <c r="B25" s="73"/>
      <c r="C25" s="73"/>
      <c r="D25" s="73"/>
    </row>
    <row r="26" spans="1:4">
      <c r="A26" s="74" t="s">
        <v>413</v>
      </c>
      <c r="B26" s="74"/>
      <c r="C26" s="74"/>
      <c r="D26" s="74" t="s">
        <v>414</v>
      </c>
    </row>
    <row r="27" spans="1:4">
      <c r="A27" s="74"/>
      <c r="B27" s="74"/>
      <c r="C27" s="74"/>
      <c r="D27" s="74"/>
    </row>
    <row r="28" spans="1:4">
      <c r="A28" s="74" t="s">
        <v>415</v>
      </c>
      <c r="B28" s="74"/>
      <c r="C28" s="74"/>
      <c r="D28" s="74"/>
    </row>
    <row r="29" spans="1:4">
      <c r="A29" s="74"/>
      <c r="B29" s="74"/>
      <c r="C29" s="74"/>
      <c r="D29" s="74"/>
    </row>
    <row r="30" spans="1:4">
      <c r="A30" s="75" t="s">
        <v>416</v>
      </c>
      <c r="B30" s="75"/>
      <c r="C30" s="75"/>
      <c r="D30" s="75"/>
    </row>
    <row r="31" spans="1:4">
      <c r="A31" s="76"/>
      <c r="B31" s="76"/>
      <c r="C31" s="76"/>
      <c r="D31" s="76"/>
    </row>
    <row r="32" ht="4.5" customHeight="1" spans="1:4">
      <c r="A32" s="76"/>
      <c r="B32" s="76"/>
      <c r="C32" s="76"/>
      <c r="D32" s="76"/>
    </row>
    <row r="33" spans="1:4">
      <c r="A33" s="77" t="s">
        <v>417</v>
      </c>
      <c r="B33" s="77"/>
      <c r="C33" s="77"/>
      <c r="D33" s="78"/>
    </row>
    <row r="34" spans="1:4">
      <c r="A34" s="79" t="s">
        <v>418</v>
      </c>
      <c r="B34" s="79"/>
      <c r="C34" s="79" t="s">
        <v>419</v>
      </c>
      <c r="D34" s="80"/>
    </row>
    <row r="35" spans="1:4">
      <c r="A35" s="81" t="s">
        <v>420</v>
      </c>
      <c r="B35" s="82"/>
      <c r="C35" s="83" t="s">
        <v>421</v>
      </c>
      <c r="D35" s="84"/>
    </row>
    <row r="36" spans="1:4">
      <c r="A36" s="85" t="s">
        <v>422</v>
      </c>
      <c r="B36" s="85"/>
      <c r="C36" s="85"/>
      <c r="D36" s="86"/>
    </row>
    <row r="37" spans="1:4">
      <c r="A37" s="82" t="s">
        <v>423</v>
      </c>
      <c r="B37" s="82"/>
      <c r="C37" s="82"/>
      <c r="D37" s="86"/>
    </row>
    <row r="38" spans="1:4">
      <c r="A38" s="87" t="s">
        <v>424</v>
      </c>
      <c r="B38" s="87"/>
      <c r="C38" s="87"/>
      <c r="D38" s="88"/>
    </row>
    <row r="39" spans="1:4">
      <c r="A39" s="79" t="s">
        <v>425</v>
      </c>
      <c r="B39" s="87"/>
      <c r="C39" s="87"/>
      <c r="D39" s="84"/>
    </row>
    <row r="40" spans="1:4">
      <c r="A40" s="79" t="s">
        <v>426</v>
      </c>
      <c r="B40" s="79"/>
      <c r="C40" s="79"/>
      <c r="D40" s="86"/>
    </row>
    <row r="41" spans="1:4">
      <c r="A41" s="78" t="s">
        <v>427</v>
      </c>
      <c r="B41" s="78"/>
      <c r="C41" s="78"/>
      <c r="D41" s="78"/>
    </row>
    <row r="42" spans="1:1">
      <c r="A42" s="80" t="s">
        <v>428</v>
      </c>
    </row>
    <row r="43" spans="1:1">
      <c r="A43" t="s">
        <v>429</v>
      </c>
    </row>
    <row r="44" spans="1:1">
      <c r="A44" t="s">
        <v>430</v>
      </c>
    </row>
    <row r="45" spans="1:1">
      <c r="A45" t="s">
        <v>431</v>
      </c>
    </row>
    <row r="46" spans="1:4">
      <c r="A46" s="89"/>
      <c r="B46" s="89"/>
      <c r="C46" s="89"/>
      <c r="D46" s="89"/>
    </row>
    <row r="47" spans="1:4">
      <c r="A47" s="89" t="s">
        <v>432</v>
      </c>
      <c r="B47" s="89"/>
      <c r="C47" s="89"/>
      <c r="D47" s="89"/>
    </row>
  </sheetData>
  <mergeCells count="24">
    <mergeCell ref="A1:D1"/>
    <mergeCell ref="A2:D2"/>
    <mergeCell ref="A4:D4"/>
    <mergeCell ref="A5:D5"/>
    <mergeCell ref="B7:C7"/>
    <mergeCell ref="B8:C8"/>
    <mergeCell ref="B9:C9"/>
    <mergeCell ref="B10:C10"/>
    <mergeCell ref="B11:C11"/>
    <mergeCell ref="B12:C12"/>
    <mergeCell ref="B13:C13"/>
    <mergeCell ref="B15:C15"/>
    <mergeCell ref="B16:C16"/>
    <mergeCell ref="A17:C17"/>
    <mergeCell ref="A24:C24"/>
    <mergeCell ref="A25:D25"/>
    <mergeCell ref="A36:B36"/>
    <mergeCell ref="A38:C38"/>
    <mergeCell ref="A18:A23"/>
    <mergeCell ref="B18:B23"/>
    <mergeCell ref="D26:D27"/>
    <mergeCell ref="A26:C27"/>
    <mergeCell ref="A28:D29"/>
    <mergeCell ref="A30:D32"/>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23069.151449/2025-11
PE 90.018/2025&amp;R&amp;G</oddHeader>
    <oddFooter>&amp;L&amp;"-,Itálico"&amp;9&amp;A&amp;R&amp;"-,Itálico"&amp;9Página &amp;P de &amp;N</oddFooter>
  </headerFooter>
  <colBreaks count="1" manualBreakCount="1">
    <brk id="7" max="1048575" man="1"/>
  </colBreaks>
  <drawing r:id="rId1"/>
  <legacyDrawingHF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view="pageLayout" zoomScaleNormal="100" workbookViewId="0">
      <selection activeCell="A4" sqref="A4:D4"/>
    </sheetView>
  </sheetViews>
  <sheetFormatPr defaultColWidth="9" defaultRowHeight="15" outlineLevelCol="7"/>
  <cols>
    <col min="1" max="1" width="10.8571428571429" customWidth="1"/>
    <col min="2" max="2" width="20.4285714285714" customWidth="1"/>
    <col min="3" max="3" width="64" customWidth="1"/>
    <col min="4" max="4" width="15.2857142857143" customWidth="1"/>
    <col min="5" max="5" width="16.2857142857143" customWidth="1"/>
    <col min="6" max="6" width="14.5714285714286" customWidth="1"/>
    <col min="7" max="7" width="15.2857142857143" customWidth="1"/>
    <col min="8" max="8" width="13.7142857142857" customWidth="1"/>
  </cols>
  <sheetData>
    <row r="1" ht="14.45" customHeight="1" spans="1:8">
      <c r="A1" s="1" t="s">
        <v>0</v>
      </c>
      <c r="B1" s="1"/>
      <c r="C1" s="1"/>
      <c r="D1" s="1"/>
      <c r="E1" s="39"/>
      <c r="F1" s="39"/>
      <c r="G1" s="39"/>
      <c r="H1" s="39"/>
    </row>
    <row r="2" ht="18.75" spans="1:8">
      <c r="A2" s="2" t="s">
        <v>1</v>
      </c>
      <c r="B2" s="2"/>
      <c r="C2" s="2"/>
      <c r="D2" s="2"/>
      <c r="E2" s="40"/>
      <c r="F2" s="40"/>
      <c r="G2" s="40"/>
      <c r="H2" s="40"/>
    </row>
    <row r="3" ht="18.75" spans="1:8">
      <c r="A3" s="2"/>
      <c r="B3" s="2"/>
      <c r="C3" s="2"/>
      <c r="D3" s="2"/>
      <c r="E3" s="2"/>
      <c r="F3" s="2"/>
      <c r="G3" s="2"/>
      <c r="H3" s="2"/>
    </row>
    <row r="4" ht="32.25" customHeight="1" spans="1:8">
      <c r="A4" s="3" t="s">
        <v>433</v>
      </c>
      <c r="B4" s="3"/>
      <c r="C4" s="3"/>
      <c r="D4" s="3"/>
      <c r="E4" s="41"/>
      <c r="F4" s="41"/>
      <c r="G4" s="41"/>
      <c r="H4" s="42"/>
    </row>
    <row r="5" ht="35.45" customHeight="1" spans="1:8">
      <c r="A5" s="4" t="s">
        <v>2</v>
      </c>
      <c r="B5" s="4"/>
      <c r="C5" s="4"/>
      <c r="D5" s="4"/>
      <c r="E5" s="43"/>
      <c r="F5" s="43"/>
      <c r="G5" s="43"/>
      <c r="H5" s="43"/>
    </row>
    <row r="6" ht="15.75"/>
    <row r="7" ht="15.75" spans="1:4">
      <c r="A7" s="44" t="s">
        <v>43</v>
      </c>
      <c r="B7" s="45" t="s">
        <v>129</v>
      </c>
      <c r="C7" s="45"/>
      <c r="D7" s="46" t="s">
        <v>394</v>
      </c>
    </row>
    <row r="8" spans="1:4">
      <c r="A8" s="47">
        <v>1</v>
      </c>
      <c r="B8" s="48" t="s">
        <v>395</v>
      </c>
      <c r="C8" s="48"/>
      <c r="D8" s="49">
        <v>0.0345</v>
      </c>
    </row>
    <row r="9" spans="1:4">
      <c r="A9" s="47">
        <v>2</v>
      </c>
      <c r="B9" s="50" t="s">
        <v>396</v>
      </c>
      <c r="C9" s="51"/>
      <c r="D9" s="49">
        <v>0.0048</v>
      </c>
    </row>
    <row r="10" spans="1:4">
      <c r="A10" s="47">
        <v>3</v>
      </c>
      <c r="B10" s="48" t="s">
        <v>397</v>
      </c>
      <c r="C10" s="48"/>
      <c r="D10" s="49">
        <v>0.0085</v>
      </c>
    </row>
    <row r="11" spans="1:4">
      <c r="A11" s="47">
        <v>4</v>
      </c>
      <c r="B11" s="48" t="s">
        <v>398</v>
      </c>
      <c r="C11" s="48"/>
      <c r="D11" s="49">
        <v>0</v>
      </c>
    </row>
    <row r="12" spans="1:4">
      <c r="A12" s="47">
        <v>5</v>
      </c>
      <c r="B12" s="52" t="s">
        <v>399</v>
      </c>
      <c r="C12" s="53"/>
      <c r="D12" s="49">
        <f>SUM(D8:D11)</f>
        <v>0.0478</v>
      </c>
    </row>
    <row r="13" spans="1:4">
      <c r="A13" s="47">
        <v>6</v>
      </c>
      <c r="B13" s="48" t="s">
        <v>400</v>
      </c>
      <c r="C13" s="48"/>
      <c r="D13" s="49">
        <v>0.0085</v>
      </c>
    </row>
    <row r="14" spans="1:4">
      <c r="A14" s="47">
        <v>7</v>
      </c>
      <c r="B14" s="54" t="s">
        <v>401</v>
      </c>
      <c r="C14" s="54"/>
      <c r="D14" s="49">
        <v>0.0511</v>
      </c>
    </row>
    <row r="15" spans="1:4">
      <c r="A15" s="47">
        <v>8</v>
      </c>
      <c r="B15" s="48" t="s">
        <v>398</v>
      </c>
      <c r="C15" s="48"/>
      <c r="D15" s="49">
        <v>0</v>
      </c>
    </row>
    <row r="16" spans="1:4">
      <c r="A16" s="55">
        <v>9</v>
      </c>
      <c r="B16" s="52" t="s">
        <v>402</v>
      </c>
      <c r="C16" s="53"/>
      <c r="D16" s="49">
        <f>(D13+1)*(1+D14)*(1+D15)-1</f>
        <v>0.0600343499999998</v>
      </c>
    </row>
    <row r="17" spans="1:4">
      <c r="A17" s="56" t="s">
        <v>403</v>
      </c>
      <c r="B17" s="57"/>
      <c r="C17" s="58"/>
      <c r="D17" s="59">
        <f>((1+D16)*(1+D12))-1</f>
        <v>0.11070399193</v>
      </c>
    </row>
    <row r="18" spans="1:4">
      <c r="A18" s="60">
        <v>10</v>
      </c>
      <c r="B18" s="61" t="s">
        <v>404</v>
      </c>
      <c r="C18" s="48" t="s">
        <v>405</v>
      </c>
      <c r="D18" s="49">
        <v>0.03</v>
      </c>
    </row>
    <row r="19" spans="1:4">
      <c r="A19" s="62"/>
      <c r="B19" s="63"/>
      <c r="C19" s="48" t="s">
        <v>406</v>
      </c>
      <c r="D19" s="49">
        <v>0.0065</v>
      </c>
    </row>
    <row r="20" spans="1:4">
      <c r="A20" s="62"/>
      <c r="B20" s="63"/>
      <c r="C20" s="64" t="s">
        <v>407</v>
      </c>
      <c r="D20" s="49"/>
    </row>
    <row r="21" spans="1:4">
      <c r="A21" s="62"/>
      <c r="B21" s="63"/>
      <c r="C21" s="65" t="s">
        <v>408</v>
      </c>
      <c r="D21" s="66">
        <f>SUM(D18:D20)</f>
        <v>0.0365</v>
      </c>
    </row>
    <row r="22" spans="1:4">
      <c r="A22" s="62"/>
      <c r="B22" s="63"/>
      <c r="C22" s="67" t="s">
        <v>409</v>
      </c>
      <c r="D22" s="49">
        <v>0</v>
      </c>
    </row>
    <row r="23" spans="1:4">
      <c r="A23" s="68"/>
      <c r="B23" s="69"/>
      <c r="C23" s="65" t="s">
        <v>410</v>
      </c>
      <c r="D23" s="66">
        <f>D21+D22</f>
        <v>0.0365</v>
      </c>
    </row>
    <row r="24" ht="15.75" spans="1:4">
      <c r="A24" s="70" t="s">
        <v>411</v>
      </c>
      <c r="B24" s="71"/>
      <c r="C24" s="71"/>
      <c r="D24" s="72">
        <f>((D$17+1)/(1-D23))-1</f>
        <v>0.152780479429164</v>
      </c>
    </row>
    <row r="25" ht="15.75" spans="1:4">
      <c r="A25" s="73" t="s">
        <v>412</v>
      </c>
      <c r="B25" s="73"/>
      <c r="C25" s="73"/>
      <c r="D25" s="73"/>
    </row>
    <row r="26" spans="1:4">
      <c r="A26" s="74" t="s">
        <v>413</v>
      </c>
      <c r="B26" s="74"/>
      <c r="C26" s="74"/>
      <c r="D26" s="74" t="s">
        <v>414</v>
      </c>
    </row>
    <row r="27" spans="1:4">
      <c r="A27" s="74"/>
      <c r="B27" s="74"/>
      <c r="C27" s="74"/>
      <c r="D27" s="74"/>
    </row>
    <row r="28" spans="1:4">
      <c r="A28" s="74" t="s">
        <v>415</v>
      </c>
      <c r="B28" s="74"/>
      <c r="C28" s="74"/>
      <c r="D28" s="74"/>
    </row>
    <row r="29" spans="1:4">
      <c r="A29" s="74"/>
      <c r="B29" s="74"/>
      <c r="C29" s="74"/>
      <c r="D29" s="74"/>
    </row>
    <row r="30" spans="1:4">
      <c r="A30" s="75" t="s">
        <v>416</v>
      </c>
      <c r="B30" s="75"/>
      <c r="C30" s="75"/>
      <c r="D30" s="75"/>
    </row>
    <row r="31" spans="1:4">
      <c r="A31" s="76"/>
      <c r="B31" s="76"/>
      <c r="C31" s="76"/>
      <c r="D31" s="76"/>
    </row>
    <row r="32" ht="4.5" customHeight="1" spans="1:4">
      <c r="A32" s="76"/>
      <c r="B32" s="76"/>
      <c r="C32" s="76"/>
      <c r="D32" s="76"/>
    </row>
    <row r="33" spans="1:4">
      <c r="A33" s="77" t="s">
        <v>417</v>
      </c>
      <c r="B33" s="77"/>
      <c r="C33" s="77"/>
      <c r="D33" s="78"/>
    </row>
    <row r="34" spans="1:4">
      <c r="A34" s="79" t="s">
        <v>418</v>
      </c>
      <c r="B34" s="79"/>
      <c r="C34" s="79" t="s">
        <v>419</v>
      </c>
      <c r="D34" s="80"/>
    </row>
    <row r="35" spans="1:4">
      <c r="A35" s="81" t="s">
        <v>420</v>
      </c>
      <c r="B35" s="82"/>
      <c r="C35" s="83" t="s">
        <v>421</v>
      </c>
      <c r="D35" s="84"/>
    </row>
    <row r="36" spans="1:4">
      <c r="A36" s="85" t="s">
        <v>422</v>
      </c>
      <c r="B36" s="85"/>
      <c r="C36" s="85"/>
      <c r="D36" s="86"/>
    </row>
    <row r="37" spans="1:4">
      <c r="A37" s="82" t="s">
        <v>423</v>
      </c>
      <c r="B37" s="82"/>
      <c r="C37" s="82"/>
      <c r="D37" s="86"/>
    </row>
    <row r="38" spans="1:4">
      <c r="A38" s="87" t="s">
        <v>424</v>
      </c>
      <c r="B38" s="87"/>
      <c r="C38" s="87"/>
      <c r="D38" s="88"/>
    </row>
    <row r="39" spans="1:4">
      <c r="A39" s="79" t="s">
        <v>425</v>
      </c>
      <c r="B39" s="87"/>
      <c r="C39" s="87"/>
      <c r="D39" s="84"/>
    </row>
    <row r="40" spans="1:4">
      <c r="A40" s="79" t="s">
        <v>426</v>
      </c>
      <c r="B40" s="79"/>
      <c r="C40" s="79"/>
      <c r="D40" s="86"/>
    </row>
    <row r="41" spans="1:4">
      <c r="A41" s="78" t="s">
        <v>427</v>
      </c>
      <c r="B41" s="78"/>
      <c r="C41" s="78"/>
      <c r="D41" s="78"/>
    </row>
    <row r="42" spans="1:1">
      <c r="A42" s="80" t="s">
        <v>428</v>
      </c>
    </row>
    <row r="43" spans="1:1">
      <c r="A43" t="s">
        <v>429</v>
      </c>
    </row>
    <row r="44" spans="1:1">
      <c r="A44" t="s">
        <v>430</v>
      </c>
    </row>
    <row r="45" spans="1:1">
      <c r="A45" t="s">
        <v>431</v>
      </c>
    </row>
    <row r="46" spans="1:4">
      <c r="A46" s="89"/>
      <c r="B46" s="89"/>
      <c r="C46" s="89"/>
      <c r="D46" s="89"/>
    </row>
    <row r="47" spans="1:4">
      <c r="A47" s="89" t="s">
        <v>432</v>
      </c>
      <c r="B47" s="89"/>
      <c r="C47" s="89"/>
      <c r="D47" s="89"/>
    </row>
  </sheetData>
  <mergeCells count="24">
    <mergeCell ref="A1:D1"/>
    <mergeCell ref="A2:D2"/>
    <mergeCell ref="A4:D4"/>
    <mergeCell ref="A5:D5"/>
    <mergeCell ref="B7:C7"/>
    <mergeCell ref="B8:C8"/>
    <mergeCell ref="B9:C9"/>
    <mergeCell ref="B10:C10"/>
    <mergeCell ref="B11:C11"/>
    <mergeCell ref="B12:C12"/>
    <mergeCell ref="B13:C13"/>
    <mergeCell ref="B15:C15"/>
    <mergeCell ref="B16:C16"/>
    <mergeCell ref="A17:C17"/>
    <mergeCell ref="A24:C24"/>
    <mergeCell ref="A25:D25"/>
    <mergeCell ref="A36:B36"/>
    <mergeCell ref="A38:C38"/>
    <mergeCell ref="A18:A23"/>
    <mergeCell ref="B18:B23"/>
    <mergeCell ref="D26:D27"/>
    <mergeCell ref="A26:C27"/>
    <mergeCell ref="A28:D29"/>
    <mergeCell ref="A30:D32"/>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23069.151449/2025-11
PE 90.018/2025&amp;R&amp;G</oddHeader>
    <oddFooter>&amp;L&amp;"-,Itálico"&amp;9&amp;A&amp;R&amp;"-,Itálico"&amp;9Página &amp;P de &amp;N</oddFooter>
  </headerFooter>
  <colBreaks count="1" manualBreakCount="1">
    <brk id="7" max="1048575" man="1"/>
  </colBreaks>
  <drawing r:id="rId1"/>
  <legacyDrawingHF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view="pageLayout" zoomScaleNormal="100" workbookViewId="0">
      <selection activeCell="F25" sqref="F25"/>
    </sheetView>
  </sheetViews>
  <sheetFormatPr defaultColWidth="9" defaultRowHeight="15"/>
  <cols>
    <col min="1" max="1" width="5.28571428571429" customWidth="1"/>
    <col min="2" max="2" width="20.4285714285714" customWidth="1"/>
    <col min="3" max="3" width="14.7142857142857" customWidth="1"/>
    <col min="4" max="4" width="15.2857142857143" customWidth="1"/>
    <col min="5" max="5" width="16.2857142857143" customWidth="1"/>
    <col min="6" max="6" width="15.1428571428571" customWidth="1"/>
    <col min="7" max="7" width="15.7142857142857" customWidth="1"/>
    <col min="8" max="8" width="15.8571428571429" customWidth="1"/>
    <col min="9" max="9" width="14.2857142857143" customWidth="1"/>
  </cols>
  <sheetData>
    <row r="1" ht="14.45" customHeight="1" spans="1:9">
      <c r="A1" s="1" t="s">
        <v>0</v>
      </c>
      <c r="B1" s="1"/>
      <c r="C1" s="1"/>
      <c r="D1" s="1"/>
      <c r="E1" s="1"/>
      <c r="F1" s="1"/>
      <c r="G1" s="1"/>
      <c r="H1" s="1"/>
      <c r="I1" s="1"/>
    </row>
    <row r="2" ht="18.75" spans="1:9">
      <c r="A2" s="2" t="s">
        <v>1</v>
      </c>
      <c r="B2" s="2"/>
      <c r="C2" s="2"/>
      <c r="D2" s="2"/>
      <c r="E2" s="2"/>
      <c r="F2" s="2"/>
      <c r="G2" s="2"/>
      <c r="H2" s="2"/>
      <c r="I2" s="2"/>
    </row>
    <row r="3" ht="18.75" spans="1:8">
      <c r="A3" s="2"/>
      <c r="B3" s="2"/>
      <c r="C3" s="2"/>
      <c r="D3" s="2"/>
      <c r="E3" s="2"/>
      <c r="F3" s="2"/>
      <c r="G3" s="2"/>
      <c r="H3" s="2"/>
    </row>
    <row r="4" spans="1:9">
      <c r="A4" s="3" t="s">
        <v>434</v>
      </c>
      <c r="B4" s="3"/>
      <c r="C4" s="3"/>
      <c r="D4" s="3"/>
      <c r="E4" s="3"/>
      <c r="F4" s="3"/>
      <c r="G4" s="3"/>
      <c r="H4" s="3"/>
      <c r="I4" s="3"/>
    </row>
    <row r="5" spans="1:9">
      <c r="A5" s="3" t="s">
        <v>41</v>
      </c>
      <c r="B5" s="3"/>
      <c r="C5" s="3"/>
      <c r="D5" s="3"/>
      <c r="E5" s="3"/>
      <c r="F5" s="3"/>
      <c r="G5" s="3"/>
      <c r="H5" s="3"/>
      <c r="I5" s="3"/>
    </row>
    <row r="6" ht="36.75" customHeight="1" spans="1:9">
      <c r="A6" s="4" t="s">
        <v>2</v>
      </c>
      <c r="B6" s="4"/>
      <c r="C6" s="4"/>
      <c r="D6" s="4"/>
      <c r="E6" s="4"/>
      <c r="F6" s="4"/>
      <c r="G6" s="4"/>
      <c r="H6" s="4"/>
      <c r="I6" s="4"/>
    </row>
    <row r="8" spans="1:9">
      <c r="A8" s="17" t="s">
        <v>435</v>
      </c>
      <c r="B8" s="17"/>
      <c r="C8" s="17"/>
      <c r="D8" s="17"/>
      <c r="E8" s="17"/>
      <c r="F8" s="17"/>
      <c r="G8" s="17"/>
      <c r="H8" s="17"/>
      <c r="I8" s="17"/>
    </row>
    <row r="9" ht="30" spans="1:9">
      <c r="A9" s="18" t="s">
        <v>43</v>
      </c>
      <c r="B9" s="18" t="s">
        <v>5</v>
      </c>
      <c r="C9" s="18" t="s">
        <v>436</v>
      </c>
      <c r="D9" s="18" t="s">
        <v>437</v>
      </c>
      <c r="E9" s="18" t="s">
        <v>438</v>
      </c>
      <c r="F9" s="18" t="s">
        <v>439</v>
      </c>
      <c r="G9" s="18" t="s">
        <v>440</v>
      </c>
      <c r="H9" s="18" t="s">
        <v>441</v>
      </c>
      <c r="I9" s="18" t="s">
        <v>442</v>
      </c>
    </row>
    <row r="10" ht="25.5" spans="1:9">
      <c r="A10" s="19">
        <v>1</v>
      </c>
      <c r="B10" s="19" t="s">
        <v>443</v>
      </c>
      <c r="C10" s="20">
        <v>29.55</v>
      </c>
      <c r="D10" s="21" t="s">
        <v>444</v>
      </c>
      <c r="E10" s="22">
        <f>(C10*D10)+C10</f>
        <v>37.30392</v>
      </c>
      <c r="F10" s="23">
        <v>16</v>
      </c>
      <c r="G10" s="23">
        <f>F10*4</f>
        <v>64</v>
      </c>
      <c r="H10" s="24">
        <f>G10*E10</f>
        <v>2387.45088</v>
      </c>
      <c r="I10" s="24">
        <f>12*H10</f>
        <v>28649.41056</v>
      </c>
    </row>
    <row r="11" ht="25.5" spans="1:9">
      <c r="A11" s="19">
        <v>2</v>
      </c>
      <c r="B11" s="19" t="s">
        <v>445</v>
      </c>
      <c r="C11" s="20">
        <v>18.09</v>
      </c>
      <c r="D11" s="21" t="s">
        <v>444</v>
      </c>
      <c r="E11" s="22">
        <f>(C11*D11)+C11</f>
        <v>22.836816</v>
      </c>
      <c r="F11" s="23">
        <v>16</v>
      </c>
      <c r="G11" s="23">
        <f>F11*4</f>
        <v>64</v>
      </c>
      <c r="H11" s="24">
        <f>G11*E11</f>
        <v>1461.556224</v>
      </c>
      <c r="I11" s="24">
        <f>12*H11</f>
        <v>17538.674688</v>
      </c>
    </row>
    <row r="12" ht="25.5" spans="1:9">
      <c r="A12" s="19">
        <v>3</v>
      </c>
      <c r="B12" s="19" t="s">
        <v>446</v>
      </c>
      <c r="C12" s="20">
        <v>29.55</v>
      </c>
      <c r="D12" s="21" t="s">
        <v>444</v>
      </c>
      <c r="E12" s="22">
        <f>(C12*D12)+C12</f>
        <v>37.30392</v>
      </c>
      <c r="F12" s="23">
        <v>24</v>
      </c>
      <c r="G12" s="23">
        <f>F12*4</f>
        <v>96</v>
      </c>
      <c r="H12" s="24">
        <f>G12*E12</f>
        <v>3581.17632</v>
      </c>
      <c r="I12" s="24">
        <f>12*H12</f>
        <v>42974.11584</v>
      </c>
    </row>
    <row r="13" ht="38.25" spans="1:9">
      <c r="A13" s="19">
        <v>4</v>
      </c>
      <c r="B13" s="19" t="s">
        <v>447</v>
      </c>
      <c r="C13" s="20">
        <v>147.57</v>
      </c>
      <c r="D13" s="21" t="s">
        <v>444</v>
      </c>
      <c r="E13" s="22">
        <f>(C13*D13)+C13</f>
        <v>186.292368</v>
      </c>
      <c r="F13" s="23">
        <v>24</v>
      </c>
      <c r="G13" s="23">
        <f>F13*4</f>
        <v>96</v>
      </c>
      <c r="H13" s="24">
        <f>G13*E13</f>
        <v>17884.067328</v>
      </c>
      <c r="I13" s="24">
        <f>12*H13</f>
        <v>214608.807936</v>
      </c>
    </row>
    <row r="14" spans="1:9">
      <c r="A14" s="25" t="s">
        <v>14</v>
      </c>
      <c r="B14" s="25"/>
      <c r="C14" s="26"/>
      <c r="D14" s="26"/>
      <c r="E14" s="27"/>
      <c r="F14" s="28">
        <f>SUM(F10:F13)</f>
        <v>80</v>
      </c>
      <c r="G14" s="28">
        <f>12*F14</f>
        <v>960</v>
      </c>
      <c r="H14" s="29">
        <f>SUM(H10:H13)</f>
        <v>25314.250752</v>
      </c>
      <c r="I14" s="29">
        <f>SUM(I10:I13)</f>
        <v>303771.009024</v>
      </c>
    </row>
    <row r="15" spans="1:2">
      <c r="A15" s="30"/>
      <c r="B15" s="30"/>
    </row>
    <row r="16" spans="1:8">
      <c r="A16" s="31" t="s">
        <v>448</v>
      </c>
      <c r="B16" s="32"/>
      <c r="C16" s="32"/>
      <c r="D16" s="32"/>
      <c r="E16" s="32"/>
      <c r="F16" s="32"/>
      <c r="G16" s="32"/>
      <c r="H16" s="33"/>
    </row>
    <row r="17" ht="30" spans="1:8">
      <c r="A17" s="18" t="s">
        <v>43</v>
      </c>
      <c r="B17" s="18" t="s">
        <v>449</v>
      </c>
      <c r="C17" s="18" t="s">
        <v>450</v>
      </c>
      <c r="D17" s="18" t="s">
        <v>437</v>
      </c>
      <c r="E17" s="18" t="s">
        <v>451</v>
      </c>
      <c r="F17" s="18" t="s">
        <v>452</v>
      </c>
      <c r="G17" s="18" t="s">
        <v>441</v>
      </c>
      <c r="H17" s="18" t="s">
        <v>442</v>
      </c>
    </row>
    <row r="18" ht="38.25" spans="1:8">
      <c r="A18" s="19">
        <v>1</v>
      </c>
      <c r="B18" s="19" t="s">
        <v>453</v>
      </c>
      <c r="C18" s="20">
        <v>129.4</v>
      </c>
      <c r="D18" s="34">
        <v>0.2624</v>
      </c>
      <c r="E18" s="22">
        <f>(C18*D18)+C18</f>
        <v>163.35456</v>
      </c>
      <c r="F18" s="23">
        <v>12</v>
      </c>
      <c r="G18" s="24">
        <f>F18*E18</f>
        <v>1960.25472</v>
      </c>
      <c r="H18" s="24">
        <f>12*G18</f>
        <v>23523.05664</v>
      </c>
    </row>
    <row r="19" ht="25.5" spans="1:8">
      <c r="A19" s="19">
        <v>2</v>
      </c>
      <c r="B19" s="19" t="s">
        <v>454</v>
      </c>
      <c r="C19" s="20">
        <v>172.33</v>
      </c>
      <c r="D19" s="34">
        <v>0.2624</v>
      </c>
      <c r="E19" s="22">
        <f>(C19*D19)+C19</f>
        <v>217.549392</v>
      </c>
      <c r="F19" s="23">
        <v>6</v>
      </c>
      <c r="G19" s="24">
        <f>F19*E19</f>
        <v>1305.296352</v>
      </c>
      <c r="H19" s="24">
        <f>12*G19</f>
        <v>15663.556224</v>
      </c>
    </row>
    <row r="20" ht="25.5" spans="1:8">
      <c r="A20" s="19">
        <v>3</v>
      </c>
      <c r="B20" s="19" t="s">
        <v>455</v>
      </c>
      <c r="C20" s="20">
        <v>39.29</v>
      </c>
      <c r="D20" s="34">
        <v>0.2624</v>
      </c>
      <c r="E20" s="22">
        <f>(C20*D20)+C20</f>
        <v>49.599696</v>
      </c>
      <c r="F20" s="23">
        <v>500</v>
      </c>
      <c r="G20" s="24">
        <f>F20*E20</f>
        <v>24799.848</v>
      </c>
      <c r="H20" s="24">
        <f>12*G20</f>
        <v>297598.176</v>
      </c>
    </row>
    <row r="21" spans="1:8">
      <c r="A21" s="25" t="s">
        <v>14</v>
      </c>
      <c r="B21" s="25"/>
      <c r="C21" s="26"/>
      <c r="D21" s="26"/>
      <c r="E21" s="27"/>
      <c r="F21" s="28"/>
      <c r="G21" s="29">
        <f>SUM(G18:G20)</f>
        <v>28065.399072</v>
      </c>
      <c r="H21" s="29">
        <f>SUM(H18:H20)</f>
        <v>336784.788864</v>
      </c>
    </row>
    <row r="23" spans="1:7">
      <c r="A23" s="17" t="s">
        <v>448</v>
      </c>
      <c r="B23" s="17"/>
      <c r="C23" s="17"/>
      <c r="D23" s="17"/>
      <c r="E23" s="17"/>
      <c r="F23" s="17"/>
      <c r="G23" s="17"/>
    </row>
    <row r="24" ht="30" spans="1:7">
      <c r="A24" s="18" t="s">
        <v>43</v>
      </c>
      <c r="B24" s="18" t="s">
        <v>456</v>
      </c>
      <c r="C24" s="18" t="s">
        <v>450</v>
      </c>
      <c r="D24" s="18" t="s">
        <v>457</v>
      </c>
      <c r="E24" s="18" t="s">
        <v>437</v>
      </c>
      <c r="F24" s="18" t="s">
        <v>441</v>
      </c>
      <c r="G24" s="18" t="s">
        <v>442</v>
      </c>
    </row>
    <row r="25" ht="38.25" spans="1:7">
      <c r="A25" s="19">
        <v>1</v>
      </c>
      <c r="B25" s="19" t="s">
        <v>458</v>
      </c>
      <c r="C25" s="20">
        <f>'Anexo IVA1 Custos DEMO Item 1'!F17*70%</f>
        <v>85641.0696173063</v>
      </c>
      <c r="D25" s="35">
        <v>0</v>
      </c>
      <c r="E25" s="36">
        <f>'Anexo IV C BDI Material'!D24</f>
        <v>0.152780479429164</v>
      </c>
      <c r="F25" s="11">
        <f>(C25-(D25*C25))+(E25*(C25-(D25*C25)))</f>
        <v>98725.3532922648</v>
      </c>
      <c r="G25" s="37">
        <f>12*F25</f>
        <v>1184704.23950718</v>
      </c>
    </row>
    <row r="26" spans="1:7">
      <c r="A26" s="19">
        <v>2</v>
      </c>
      <c r="B26" s="19" t="s">
        <v>459</v>
      </c>
      <c r="C26" s="20">
        <f>'An IIC1 Uniformes Item 1'!E69</f>
        <v>14929.73</v>
      </c>
      <c r="D26" s="35">
        <v>0</v>
      </c>
      <c r="E26" s="36">
        <v>0.1528</v>
      </c>
      <c r="F26" s="11">
        <f>(C26-(D26*C26))+(E26*(C26-(D26*C26)))</f>
        <v>17210.992744</v>
      </c>
      <c r="G26" s="37">
        <f>12*F26</f>
        <v>206531.912928</v>
      </c>
    </row>
    <row r="27" spans="1:7">
      <c r="A27" s="25" t="s">
        <v>14</v>
      </c>
      <c r="B27" s="25"/>
      <c r="C27" s="26"/>
      <c r="D27" s="26"/>
      <c r="E27" s="27"/>
      <c r="F27" s="38">
        <f>SUM(F25:F26)</f>
        <v>115936.346036265</v>
      </c>
      <c r="G27" s="29">
        <f>SUM(G25:G26)</f>
        <v>1391236.15243518</v>
      </c>
    </row>
  </sheetData>
  <mergeCells count="11">
    <mergeCell ref="A1:I1"/>
    <mergeCell ref="A2:I2"/>
    <mergeCell ref="A4:I4"/>
    <mergeCell ref="A5:I5"/>
    <mergeCell ref="A6:I6"/>
    <mergeCell ref="A8:I8"/>
    <mergeCell ref="A14:B14"/>
    <mergeCell ref="A16:H16"/>
    <mergeCell ref="A21:B21"/>
    <mergeCell ref="A23:G23"/>
    <mergeCell ref="A27:B27"/>
  </mergeCells>
  <pageMargins left="0.511805555555556" right="0.511805555555556" top="0.786805555555556" bottom="0.786805555555556" header="0.314583333333333" footer="0.314583333333333"/>
  <pageSetup paperSize="9" scale="80" fitToHeight="0" orientation="landscape" horizontalDpi="600"/>
  <headerFooter>
    <oddHeader>&amp;L&amp;G&amp;CProcesso 23069.151449/2025-11
PE 90.018/2025&amp;R&amp;G</oddHeader>
    <oddFooter>&amp;L&amp;"-,Itálico"&amp;9&amp;A&amp;R&amp;"-,Itálico"&amp;9Página &amp;P de &amp;N</oddFooter>
  </headerFooter>
  <drawing r:id="rId2"/>
  <legacyDrawing r:id="rId3"/>
  <legacyDrawingHF r:id="rId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view="pageLayout" zoomScaleNormal="100" workbookViewId="0">
      <selection activeCell="G25" sqref="G25"/>
    </sheetView>
  </sheetViews>
  <sheetFormatPr defaultColWidth="9" defaultRowHeight="15"/>
  <cols>
    <col min="1" max="1" width="5.28571428571429" customWidth="1"/>
    <col min="2" max="2" width="20.4285714285714" customWidth="1"/>
    <col min="3" max="3" width="14.7142857142857" customWidth="1"/>
    <col min="4" max="4" width="15.2857142857143" customWidth="1"/>
    <col min="5" max="5" width="16.2857142857143" customWidth="1"/>
    <col min="6" max="6" width="15.1428571428571" customWidth="1"/>
    <col min="7" max="7" width="15.7142857142857" customWidth="1"/>
    <col min="8" max="9" width="14.2857142857143" customWidth="1"/>
  </cols>
  <sheetData>
    <row r="1" ht="14.45" customHeight="1" spans="1:9">
      <c r="A1" s="1" t="s">
        <v>0</v>
      </c>
      <c r="B1" s="1"/>
      <c r="C1" s="1"/>
      <c r="D1" s="1"/>
      <c r="E1" s="1"/>
      <c r="F1" s="1"/>
      <c r="G1" s="1"/>
      <c r="H1" s="1"/>
      <c r="I1" s="1"/>
    </row>
    <row r="2" ht="18.75" spans="1:9">
      <c r="A2" s="2" t="s">
        <v>1</v>
      </c>
      <c r="B2" s="2"/>
      <c r="C2" s="2"/>
      <c r="D2" s="2"/>
      <c r="E2" s="2"/>
      <c r="F2" s="2"/>
      <c r="G2" s="2"/>
      <c r="H2" s="2"/>
      <c r="I2" s="2"/>
    </row>
    <row r="3" ht="18.75" spans="1:8">
      <c r="A3" s="2"/>
      <c r="B3" s="2"/>
      <c r="C3" s="2"/>
      <c r="D3" s="2"/>
      <c r="E3" s="2"/>
      <c r="F3" s="2"/>
      <c r="G3" s="2"/>
      <c r="H3" s="2"/>
    </row>
    <row r="4" spans="1:9">
      <c r="A4" s="3" t="s">
        <v>460</v>
      </c>
      <c r="B4" s="3"/>
      <c r="C4" s="3"/>
      <c r="D4" s="3"/>
      <c r="E4" s="3"/>
      <c r="F4" s="3"/>
      <c r="G4" s="3"/>
      <c r="H4" s="3"/>
      <c r="I4" s="3"/>
    </row>
    <row r="5" spans="1:9">
      <c r="A5" s="3" t="s">
        <v>126</v>
      </c>
      <c r="B5" s="3"/>
      <c r="C5" s="3"/>
      <c r="D5" s="3"/>
      <c r="E5" s="3"/>
      <c r="F5" s="3"/>
      <c r="G5" s="3"/>
      <c r="H5" s="3"/>
      <c r="I5" s="3"/>
    </row>
    <row r="6" ht="35.45" customHeight="1" spans="1:9">
      <c r="A6" s="4" t="s">
        <v>2</v>
      </c>
      <c r="B6" s="4"/>
      <c r="C6" s="4"/>
      <c r="D6" s="4"/>
      <c r="E6" s="4"/>
      <c r="F6" s="4"/>
      <c r="G6" s="4"/>
      <c r="H6" s="4"/>
      <c r="I6" s="4"/>
    </row>
    <row r="8" spans="1:9">
      <c r="A8" s="17" t="s">
        <v>461</v>
      </c>
      <c r="B8" s="17"/>
      <c r="C8" s="17"/>
      <c r="D8" s="17"/>
      <c r="E8" s="17"/>
      <c r="F8" s="17"/>
      <c r="G8" s="17"/>
      <c r="H8" s="17"/>
      <c r="I8" s="17"/>
    </row>
    <row r="9" ht="30" spans="1:9">
      <c r="A9" s="18" t="s">
        <v>43</v>
      </c>
      <c r="B9" s="18" t="s">
        <v>5</v>
      </c>
      <c r="C9" s="18" t="s">
        <v>436</v>
      </c>
      <c r="D9" s="18" t="s">
        <v>437</v>
      </c>
      <c r="E9" s="18" t="s">
        <v>438</v>
      </c>
      <c r="F9" s="18" t="s">
        <v>439</v>
      </c>
      <c r="G9" s="18" t="s">
        <v>440</v>
      </c>
      <c r="H9" s="18" t="s">
        <v>441</v>
      </c>
      <c r="I9" s="18" t="s">
        <v>442</v>
      </c>
    </row>
    <row r="10" ht="25.5" spans="1:9">
      <c r="A10" s="19">
        <v>1</v>
      </c>
      <c r="B10" s="19" t="s">
        <v>443</v>
      </c>
      <c r="C10" s="20">
        <v>29.55</v>
      </c>
      <c r="D10" s="21" t="s">
        <v>444</v>
      </c>
      <c r="E10" s="22">
        <f>(C10*D10)+C10</f>
        <v>37.30392</v>
      </c>
      <c r="F10" s="23">
        <v>8</v>
      </c>
      <c r="G10" s="23">
        <f>F10*4</f>
        <v>32</v>
      </c>
      <c r="H10" s="24">
        <f>G10*E10</f>
        <v>1193.72544</v>
      </c>
      <c r="I10" s="24">
        <f>12*H10</f>
        <v>14324.70528</v>
      </c>
    </row>
    <row r="11" ht="25.5" spans="1:9">
      <c r="A11" s="19">
        <v>2</v>
      </c>
      <c r="B11" s="19" t="s">
        <v>445</v>
      </c>
      <c r="C11" s="20">
        <v>18.09</v>
      </c>
      <c r="D11" s="21" t="s">
        <v>444</v>
      </c>
      <c r="E11" s="22">
        <f>(C11*D11)+C11</f>
        <v>22.836816</v>
      </c>
      <c r="F11" s="23">
        <v>8</v>
      </c>
      <c r="G11" s="23">
        <f>F11*4</f>
        <v>32</v>
      </c>
      <c r="H11" s="24">
        <f>G11*E11</f>
        <v>730.778112</v>
      </c>
      <c r="I11" s="24">
        <f>12*H11</f>
        <v>8769.337344</v>
      </c>
    </row>
    <row r="12" ht="25.5" spans="1:9">
      <c r="A12" s="19">
        <v>3</v>
      </c>
      <c r="B12" s="19" t="s">
        <v>446</v>
      </c>
      <c r="C12" s="20">
        <v>29.55</v>
      </c>
      <c r="D12" s="21" t="s">
        <v>444</v>
      </c>
      <c r="E12" s="22">
        <f>(C12*D12)+C12</f>
        <v>37.30392</v>
      </c>
      <c r="F12" s="23">
        <v>8</v>
      </c>
      <c r="G12" s="23">
        <f>F12*4</f>
        <v>32</v>
      </c>
      <c r="H12" s="24">
        <f>G12*E12</f>
        <v>1193.72544</v>
      </c>
      <c r="I12" s="24">
        <f>12*H12</f>
        <v>14324.70528</v>
      </c>
    </row>
    <row r="13" ht="38.25" spans="1:9">
      <c r="A13" s="19">
        <v>4</v>
      </c>
      <c r="B13" s="19" t="s">
        <v>447</v>
      </c>
      <c r="C13" s="20">
        <v>147.57</v>
      </c>
      <c r="D13" s="21" t="s">
        <v>444</v>
      </c>
      <c r="E13" s="22">
        <f>(C13*D13)+C13</f>
        <v>186.292368</v>
      </c>
      <c r="F13" s="23">
        <v>16</v>
      </c>
      <c r="G13" s="23">
        <f>F13*4</f>
        <v>64</v>
      </c>
      <c r="H13" s="24">
        <f>G13*E13</f>
        <v>11922.711552</v>
      </c>
      <c r="I13" s="24">
        <f>12*H13</f>
        <v>143072.538624</v>
      </c>
    </row>
    <row r="14" spans="1:9">
      <c r="A14" s="25" t="s">
        <v>14</v>
      </c>
      <c r="B14" s="25"/>
      <c r="C14" s="26"/>
      <c r="D14" s="26"/>
      <c r="E14" s="27"/>
      <c r="F14" s="28">
        <f>SUM(F10:F13)</f>
        <v>40</v>
      </c>
      <c r="G14" s="28">
        <f>12*F14</f>
        <v>480</v>
      </c>
      <c r="H14" s="29">
        <f>SUM(H10:H13)</f>
        <v>15040.940544</v>
      </c>
      <c r="I14" s="29">
        <f>SUM(I10:I13)</f>
        <v>180491.286528</v>
      </c>
    </row>
    <row r="15" spans="1:2">
      <c r="A15" s="30"/>
      <c r="B15" s="30"/>
    </row>
    <row r="16" spans="1:8">
      <c r="A16" s="31" t="s">
        <v>462</v>
      </c>
      <c r="B16" s="32"/>
      <c r="C16" s="32"/>
      <c r="D16" s="32"/>
      <c r="E16" s="32"/>
      <c r="F16" s="32"/>
      <c r="G16" s="32"/>
      <c r="H16" s="33"/>
    </row>
    <row r="17" ht="30" spans="1:8">
      <c r="A17" s="18" t="s">
        <v>43</v>
      </c>
      <c r="B17" s="18" t="s">
        <v>449</v>
      </c>
      <c r="C17" s="18" t="s">
        <v>450</v>
      </c>
      <c r="D17" s="18" t="s">
        <v>437</v>
      </c>
      <c r="E17" s="18" t="s">
        <v>451</v>
      </c>
      <c r="F17" s="18" t="s">
        <v>120</v>
      </c>
      <c r="G17" s="18" t="s">
        <v>441</v>
      </c>
      <c r="H17" s="18" t="s">
        <v>442</v>
      </c>
    </row>
    <row r="18" ht="38.25" spans="1:8">
      <c r="A18" s="19">
        <v>1</v>
      </c>
      <c r="B18" s="19" t="s">
        <v>453</v>
      </c>
      <c r="C18" s="20">
        <v>129.4</v>
      </c>
      <c r="D18" s="34">
        <v>0.2624</v>
      </c>
      <c r="E18" s="22">
        <f>(C18*D18)+C18</f>
        <v>163.35456</v>
      </c>
      <c r="F18" s="23">
        <v>2</v>
      </c>
      <c r="G18" s="24">
        <f>F18*E18</f>
        <v>326.70912</v>
      </c>
      <c r="H18" s="24">
        <f>12*G18</f>
        <v>3920.50944</v>
      </c>
    </row>
    <row r="19" ht="25.5" spans="1:8">
      <c r="A19" s="19">
        <v>2</v>
      </c>
      <c r="B19" s="19" t="s">
        <v>454</v>
      </c>
      <c r="C19" s="20">
        <v>172.33</v>
      </c>
      <c r="D19" s="34">
        <v>0.2624</v>
      </c>
      <c r="E19" s="22">
        <f>(C19*D19)+C19</f>
        <v>217.549392</v>
      </c>
      <c r="F19" s="23">
        <v>2</v>
      </c>
      <c r="G19" s="24">
        <f>F19*E19</f>
        <v>435.098784</v>
      </c>
      <c r="H19" s="24">
        <f>12*G19</f>
        <v>5221.185408</v>
      </c>
    </row>
    <row r="20" ht="25.5" spans="1:8">
      <c r="A20" s="19">
        <v>3</v>
      </c>
      <c r="B20" s="19" t="s">
        <v>455</v>
      </c>
      <c r="C20" s="20">
        <v>39.29</v>
      </c>
      <c r="D20" s="34">
        <v>0.2624</v>
      </c>
      <c r="E20" s="22">
        <f>(C20*D20)+C20</f>
        <v>49.599696</v>
      </c>
      <c r="F20" s="23">
        <v>200</v>
      </c>
      <c r="G20" s="24">
        <f>F20*E20</f>
        <v>9919.9392</v>
      </c>
      <c r="H20" s="24">
        <f>12*G20</f>
        <v>119039.2704</v>
      </c>
    </row>
    <row r="21" spans="1:8">
      <c r="A21" s="25" t="s">
        <v>14</v>
      </c>
      <c r="B21" s="25"/>
      <c r="C21" s="26"/>
      <c r="D21" s="26"/>
      <c r="E21" s="27"/>
      <c r="F21" s="28"/>
      <c r="G21" s="29">
        <f>SUM(G18:G20)</f>
        <v>10681.747104</v>
      </c>
      <c r="H21" s="29">
        <f>SUM(H18:H20)</f>
        <v>128180.965248</v>
      </c>
    </row>
    <row r="23" spans="1:7">
      <c r="A23" s="17" t="s">
        <v>462</v>
      </c>
      <c r="B23" s="17"/>
      <c r="C23" s="17"/>
      <c r="D23" s="17"/>
      <c r="E23" s="17"/>
      <c r="F23" s="17"/>
      <c r="G23" s="17"/>
    </row>
    <row r="24" ht="30" spans="1:7">
      <c r="A24" s="18" t="s">
        <v>43</v>
      </c>
      <c r="B24" s="18" t="s">
        <v>456</v>
      </c>
      <c r="C24" s="18" t="s">
        <v>450</v>
      </c>
      <c r="D24" s="18" t="s">
        <v>457</v>
      </c>
      <c r="E24" s="18" t="s">
        <v>437</v>
      </c>
      <c r="F24" s="18" t="s">
        <v>441</v>
      </c>
      <c r="G24" s="18" t="s">
        <v>442</v>
      </c>
    </row>
    <row r="25" ht="38.25" spans="1:7">
      <c r="A25" s="19">
        <v>1</v>
      </c>
      <c r="B25" s="19" t="s">
        <v>463</v>
      </c>
      <c r="C25" s="20">
        <f>'Anexo IVA2 Custos DEMO Item 2'!F13*50%</f>
        <v>13748.7870971233</v>
      </c>
      <c r="D25" s="35">
        <v>0</v>
      </c>
      <c r="E25" s="36">
        <v>0.1528</v>
      </c>
      <c r="F25" s="11">
        <f>(C25-(D25*C25))+(E25*(C25-(D25*C25)))</f>
        <v>15849.6017655638</v>
      </c>
      <c r="G25" s="37">
        <f>12*F25</f>
        <v>190195.221186765</v>
      </c>
    </row>
    <row r="26" spans="1:7">
      <c r="A26" s="19">
        <v>2</v>
      </c>
      <c r="B26" s="19" t="s">
        <v>459</v>
      </c>
      <c r="C26" s="20">
        <f>'An IIC2 Uniformes Item2'!E60</f>
        <v>5003</v>
      </c>
      <c r="D26" s="35">
        <v>0</v>
      </c>
      <c r="E26" s="36">
        <v>0.1528</v>
      </c>
      <c r="F26" s="11">
        <f>(C26-(D26*C26))+(E26*(C26-(D26*C26)))</f>
        <v>5767.4584</v>
      </c>
      <c r="G26" s="37">
        <f>12*F26</f>
        <v>69209.5008</v>
      </c>
    </row>
    <row r="27" spans="1:7">
      <c r="A27" s="25" t="s">
        <v>14</v>
      </c>
      <c r="B27" s="25"/>
      <c r="C27" s="26"/>
      <c r="D27" s="26"/>
      <c r="E27" s="27"/>
      <c r="F27" s="38">
        <f>SUM(F25:F26)</f>
        <v>21617.0601655638</v>
      </c>
      <c r="G27" s="38">
        <f>SUM(G25:G26)</f>
        <v>259404.721986765</v>
      </c>
    </row>
  </sheetData>
  <mergeCells count="11">
    <mergeCell ref="A1:I1"/>
    <mergeCell ref="A2:I2"/>
    <mergeCell ref="A4:I4"/>
    <mergeCell ref="A5:I5"/>
    <mergeCell ref="A6:I6"/>
    <mergeCell ref="A8:I8"/>
    <mergeCell ref="A14:B14"/>
    <mergeCell ref="A16:H16"/>
    <mergeCell ref="A21:B21"/>
    <mergeCell ref="A23:G23"/>
    <mergeCell ref="A27:B27"/>
  </mergeCells>
  <pageMargins left="0.511805555555556" right="0.511805555555556" top="0.786805555555556" bottom="0.786805555555556" header="0.314583333333333" footer="0.314583333333333"/>
  <pageSetup paperSize="9" scale="80" fitToHeight="0" orientation="landscape" horizontalDpi="600"/>
  <headerFooter>
    <oddHeader>&amp;L&amp;G&amp;CProcesso 23069.151449/2025-11
PE 90.018/2025&amp;R&amp;G</oddHeader>
    <oddFooter>&amp;L&amp;"-,Itálico"&amp;9&amp;A&amp;R&amp;"-,Itálico"&amp;9Página &amp;P de &amp;N</oddFooter>
  </headerFooter>
  <drawing r:id="rId2"/>
  <legacyDrawing r:id="rId3"/>
  <legacyDrawingHF r:id="rId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view="pageLayout" zoomScaleNormal="100" workbookViewId="0">
      <selection activeCell="I6" sqref="I6"/>
    </sheetView>
  </sheetViews>
  <sheetFormatPr defaultColWidth="9" defaultRowHeight="15" outlineLevelCol="5"/>
  <cols>
    <col min="1" max="1" width="5.28571428571429" customWidth="1"/>
    <col min="2" max="2" width="26.7142857142857" customWidth="1"/>
    <col min="3" max="3" width="8" customWidth="1"/>
    <col min="4" max="4" width="7.42857142857143" customWidth="1"/>
    <col min="5" max="5" width="16.2857142857143" customWidth="1"/>
    <col min="6" max="6" width="14.7142857142857" customWidth="1"/>
  </cols>
  <sheetData>
    <row r="1" ht="14.45" customHeight="1" spans="1:6">
      <c r="A1" s="1" t="s">
        <v>0</v>
      </c>
      <c r="B1" s="1"/>
      <c r="C1" s="1"/>
      <c r="D1" s="1"/>
      <c r="E1" s="1"/>
      <c r="F1" s="1"/>
    </row>
    <row r="2" ht="18.75" spans="1:6">
      <c r="A2" s="2" t="s">
        <v>1</v>
      </c>
      <c r="B2" s="2"/>
      <c r="C2" s="2"/>
      <c r="D2" s="2"/>
      <c r="E2" s="2"/>
      <c r="F2" s="2"/>
    </row>
    <row r="3" ht="18.75" spans="1:6">
      <c r="A3" s="2"/>
      <c r="B3" s="2"/>
      <c r="C3" s="2"/>
      <c r="D3" s="2"/>
      <c r="E3" s="2"/>
      <c r="F3" s="2"/>
    </row>
    <row r="4" ht="14.45" customHeight="1" spans="1:6">
      <c r="A4" s="3" t="s">
        <v>464</v>
      </c>
      <c r="B4" s="3"/>
      <c r="C4" s="3"/>
      <c r="D4" s="3"/>
      <c r="E4" s="3"/>
      <c r="F4" s="3"/>
    </row>
    <row r="5" ht="14.45" customHeight="1" spans="1:6">
      <c r="A5" s="3" t="s">
        <v>41</v>
      </c>
      <c r="B5" s="3"/>
      <c r="C5" s="3"/>
      <c r="D5" s="3"/>
      <c r="E5" s="3"/>
      <c r="F5" s="3"/>
    </row>
    <row r="6" ht="35.45" customHeight="1" spans="1:6">
      <c r="A6" s="4" t="s">
        <v>2</v>
      </c>
      <c r="B6" s="4"/>
      <c r="C6" s="4"/>
      <c r="D6" s="4"/>
      <c r="E6" s="4"/>
      <c r="F6" s="4"/>
    </row>
    <row r="8" spans="1:6">
      <c r="A8" s="5" t="s">
        <v>41</v>
      </c>
      <c r="B8" s="5"/>
      <c r="C8" s="5"/>
      <c r="D8" s="5"/>
      <c r="E8" s="5"/>
      <c r="F8" s="5"/>
    </row>
    <row r="9" customHeight="1" spans="1:6">
      <c r="A9" s="6" t="s">
        <v>43</v>
      </c>
      <c r="B9" s="6" t="s">
        <v>129</v>
      </c>
      <c r="C9" s="6" t="s">
        <v>465</v>
      </c>
      <c r="D9" s="6" t="s">
        <v>466</v>
      </c>
      <c r="E9" s="6" t="s">
        <v>388</v>
      </c>
      <c r="F9" s="6" t="s">
        <v>389</v>
      </c>
    </row>
    <row r="10" spans="1:6">
      <c r="A10" s="7">
        <v>1</v>
      </c>
      <c r="B10" s="8" t="s">
        <v>467</v>
      </c>
      <c r="C10" s="8" t="s">
        <v>468</v>
      </c>
      <c r="D10" s="7">
        <v>30</v>
      </c>
      <c r="E10" s="15">
        <f>'Anexo IVA1 Custos DEMO Item 1'!F17</f>
        <v>122344.38516758</v>
      </c>
      <c r="F10" s="15">
        <f t="shared" ref="F10:F16" si="0">12*E10</f>
        <v>1468132.62201096</v>
      </c>
    </row>
    <row r="11" spans="1:6">
      <c r="A11" s="7">
        <v>2</v>
      </c>
      <c r="B11" s="10" t="s">
        <v>469</v>
      </c>
      <c r="C11" s="8" t="s">
        <v>465</v>
      </c>
      <c r="D11" s="7">
        <v>30</v>
      </c>
      <c r="E11" s="15">
        <f>'Anexo IVD1 Eventuais Item 1'!G19</f>
        <v>1305.296352</v>
      </c>
      <c r="F11" s="15">
        <f t="shared" si="0"/>
        <v>15663.556224</v>
      </c>
    </row>
    <row r="12" spans="1:6">
      <c r="A12" s="7">
        <v>3</v>
      </c>
      <c r="B12" s="10" t="s">
        <v>470</v>
      </c>
      <c r="C12" s="8" t="s">
        <v>465</v>
      </c>
      <c r="D12" s="7">
        <v>30</v>
      </c>
      <c r="E12" s="15">
        <f>'Anexo IVD1 Eventuais Item 1'!G18</f>
        <v>1960.25472</v>
      </c>
      <c r="F12" s="15">
        <f t="shared" si="0"/>
        <v>23523.05664</v>
      </c>
    </row>
    <row r="13" spans="1:6">
      <c r="A13" s="7">
        <v>4</v>
      </c>
      <c r="B13" s="10" t="s">
        <v>471</v>
      </c>
      <c r="C13" s="8" t="s">
        <v>465</v>
      </c>
      <c r="D13" s="7">
        <v>30</v>
      </c>
      <c r="E13" s="15">
        <f>'Anexo IVD1 Eventuais Item 1'!G20</f>
        <v>24799.848</v>
      </c>
      <c r="F13" s="15">
        <f t="shared" si="0"/>
        <v>297598.176</v>
      </c>
    </row>
    <row r="14" ht="45" spans="1:6">
      <c r="A14" s="7">
        <v>5</v>
      </c>
      <c r="B14" s="10" t="s">
        <v>472</v>
      </c>
      <c r="C14" s="8" t="s">
        <v>468</v>
      </c>
      <c r="D14" s="7">
        <v>30</v>
      </c>
      <c r="E14" s="16">
        <f>'Anexo IVD1 Eventuais Item 1'!H14</f>
        <v>25314.250752</v>
      </c>
      <c r="F14" s="15">
        <f t="shared" si="0"/>
        <v>303771.009024</v>
      </c>
    </row>
    <row r="15" spans="1:6">
      <c r="A15" s="7">
        <v>6</v>
      </c>
      <c r="B15" s="10" t="s">
        <v>473</v>
      </c>
      <c r="C15" s="8" t="s">
        <v>468</v>
      </c>
      <c r="D15" s="7">
        <v>30</v>
      </c>
      <c r="E15" s="16">
        <f>'Anexo IVD1 Eventuais Item 1'!F26</f>
        <v>17210.992744</v>
      </c>
      <c r="F15" s="15">
        <f t="shared" si="0"/>
        <v>206531.912928</v>
      </c>
    </row>
    <row r="16" ht="30" spans="1:6">
      <c r="A16" s="7">
        <v>7</v>
      </c>
      <c r="B16" s="10" t="s">
        <v>474</v>
      </c>
      <c r="C16" s="8" t="s">
        <v>468</v>
      </c>
      <c r="D16" s="7">
        <v>30</v>
      </c>
      <c r="E16" s="16">
        <f>'Anexo IVD1 Eventuais Item 1'!F25</f>
        <v>98725.3532922648</v>
      </c>
      <c r="F16" s="15">
        <f t="shared" si="0"/>
        <v>1184704.23950718</v>
      </c>
    </row>
    <row r="17" customHeight="1" spans="1:6">
      <c r="A17" s="12" t="s">
        <v>475</v>
      </c>
      <c r="B17" s="12"/>
      <c r="C17" s="12"/>
      <c r="D17" s="12"/>
      <c r="E17" s="13">
        <f>SUM(E10:E16)</f>
        <v>291660.381027845</v>
      </c>
      <c r="F17" s="13">
        <f>SUM(F10:F16)</f>
        <v>3499924.57233414</v>
      </c>
    </row>
  </sheetData>
  <mergeCells count="7">
    <mergeCell ref="A1:F1"/>
    <mergeCell ref="A2:F2"/>
    <mergeCell ref="A4:F4"/>
    <mergeCell ref="A5:F5"/>
    <mergeCell ref="A6:F6"/>
    <mergeCell ref="A8:F8"/>
    <mergeCell ref="A17:D17"/>
  </mergeCells>
  <pageMargins left="0.511805555555556" right="0.511805555555556" top="0.786805555555556" bottom="0.786805555555556" header="0.314583333333333" footer="0.314583333333333"/>
  <pageSetup paperSize="9" scale="83"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tabSelected="1" workbookViewId="0">
      <selection activeCell="A8" sqref="A8:F17"/>
    </sheetView>
  </sheetViews>
  <sheetFormatPr defaultColWidth="9" defaultRowHeight="15"/>
  <cols>
    <col min="1" max="1" width="5.28571428571429" customWidth="1"/>
    <col min="2" max="2" width="26.7142857142857" customWidth="1"/>
    <col min="3" max="3" width="8" customWidth="1"/>
    <col min="4" max="4" width="7.42857142857143" customWidth="1"/>
    <col min="5" max="5" width="16.2857142857143" customWidth="1"/>
    <col min="6" max="6" width="14.7142857142857" customWidth="1"/>
    <col min="10" max="10" width="15.4285714285714" customWidth="1"/>
  </cols>
  <sheetData>
    <row r="1" ht="14.45" customHeight="1" spans="1:6">
      <c r="A1" s="1" t="s">
        <v>0</v>
      </c>
      <c r="B1" s="1"/>
      <c r="C1" s="1"/>
      <c r="D1" s="1"/>
      <c r="E1" s="1"/>
      <c r="F1" s="1"/>
    </row>
    <row r="2" ht="18.75" spans="1:6">
      <c r="A2" s="2" t="s">
        <v>1</v>
      </c>
      <c r="B2" s="2"/>
      <c r="C2" s="2"/>
      <c r="D2" s="2"/>
      <c r="E2" s="2"/>
      <c r="F2" s="2"/>
    </row>
    <row r="3" ht="18.75" spans="1:6">
      <c r="A3" s="2"/>
      <c r="B3" s="2"/>
      <c r="C3" s="2"/>
      <c r="D3" s="2"/>
      <c r="E3" s="2"/>
      <c r="F3" s="2"/>
    </row>
    <row r="4" ht="14.45" customHeight="1" spans="1:6">
      <c r="A4" s="3" t="s">
        <v>476</v>
      </c>
      <c r="B4" s="3"/>
      <c r="C4" s="3"/>
      <c r="D4" s="3"/>
      <c r="E4" s="3"/>
      <c r="F4" s="3"/>
    </row>
    <row r="5" ht="14.45" customHeight="1" spans="1:6">
      <c r="A5" s="3" t="s">
        <v>126</v>
      </c>
      <c r="B5" s="3"/>
      <c r="C5" s="3"/>
      <c r="D5" s="3"/>
      <c r="E5" s="3"/>
      <c r="F5" s="3"/>
    </row>
    <row r="6" ht="35.45" customHeight="1" spans="1:6">
      <c r="A6" s="4" t="s">
        <v>2</v>
      </c>
      <c r="B6" s="4"/>
      <c r="C6" s="4"/>
      <c r="D6" s="4"/>
      <c r="E6" s="4"/>
      <c r="F6" s="4"/>
    </row>
    <row r="8" spans="1:6">
      <c r="A8" s="5" t="s">
        <v>126</v>
      </c>
      <c r="B8" s="5"/>
      <c r="C8" s="5"/>
      <c r="D8" s="5"/>
      <c r="E8" s="5"/>
      <c r="F8" s="5"/>
    </row>
    <row r="9" spans="1:6">
      <c r="A9" s="6" t="s">
        <v>43</v>
      </c>
      <c r="B9" s="6" t="s">
        <v>129</v>
      </c>
      <c r="C9" s="6" t="s">
        <v>465</v>
      </c>
      <c r="D9" s="6" t="s">
        <v>466</v>
      </c>
      <c r="E9" s="6" t="s">
        <v>388</v>
      </c>
      <c r="F9" s="6" t="s">
        <v>389</v>
      </c>
    </row>
    <row r="10" spans="1:6">
      <c r="A10" s="7">
        <v>1</v>
      </c>
      <c r="B10" s="8" t="s">
        <v>467</v>
      </c>
      <c r="C10" s="8" t="s">
        <v>468</v>
      </c>
      <c r="D10" s="7">
        <v>12</v>
      </c>
      <c r="E10" s="9">
        <f>'Anexo IVA2 Custos DEMO Item 2'!F13</f>
        <v>27497.5741942466</v>
      </c>
      <c r="F10" s="9">
        <f t="shared" ref="F10:F16" si="0">12*E10</f>
        <v>329970.89033096</v>
      </c>
    </row>
    <row r="11" spans="1:6">
      <c r="A11" s="7">
        <v>2</v>
      </c>
      <c r="B11" s="10" t="s">
        <v>469</v>
      </c>
      <c r="C11" s="8" t="s">
        <v>465</v>
      </c>
      <c r="D11" s="7">
        <v>12</v>
      </c>
      <c r="E11" s="9">
        <f>'Anexo IVD2 Eventuais Item 2'!G19</f>
        <v>435.098784</v>
      </c>
      <c r="F11" s="9">
        <f t="shared" si="0"/>
        <v>5221.185408</v>
      </c>
    </row>
    <row r="12" spans="1:6">
      <c r="A12" s="7">
        <v>3</v>
      </c>
      <c r="B12" s="10" t="s">
        <v>470</v>
      </c>
      <c r="C12" s="8" t="s">
        <v>465</v>
      </c>
      <c r="D12" s="7">
        <v>12</v>
      </c>
      <c r="E12" s="9">
        <f>'Anexo IVD2 Eventuais Item 2'!G18</f>
        <v>326.70912</v>
      </c>
      <c r="F12" s="9">
        <f t="shared" si="0"/>
        <v>3920.50944</v>
      </c>
    </row>
    <row r="13" spans="1:6">
      <c r="A13" s="7">
        <v>4</v>
      </c>
      <c r="B13" s="10" t="s">
        <v>471</v>
      </c>
      <c r="C13" s="8" t="s">
        <v>465</v>
      </c>
      <c r="D13" s="7">
        <v>12</v>
      </c>
      <c r="E13" s="9">
        <f>'Anexo IVD2 Eventuais Item 2'!G20</f>
        <v>9919.9392</v>
      </c>
      <c r="F13" s="9">
        <f t="shared" ref="F13" si="1">12*E13</f>
        <v>119039.2704</v>
      </c>
    </row>
    <row r="14" ht="45" spans="1:6">
      <c r="A14" s="7">
        <v>4</v>
      </c>
      <c r="B14" s="10" t="s">
        <v>472</v>
      </c>
      <c r="C14" s="8" t="s">
        <v>468</v>
      </c>
      <c r="D14" s="7">
        <v>12</v>
      </c>
      <c r="E14" s="11">
        <f>'Anexo IVD2 Eventuais Item 2'!H14</f>
        <v>15040.940544</v>
      </c>
      <c r="F14" s="9">
        <f t="shared" si="0"/>
        <v>180491.286528</v>
      </c>
    </row>
    <row r="15" spans="1:6">
      <c r="A15" s="7">
        <v>5</v>
      </c>
      <c r="B15" s="10" t="s">
        <v>459</v>
      </c>
      <c r="C15" s="8" t="s">
        <v>468</v>
      </c>
      <c r="D15" s="7">
        <v>12</v>
      </c>
      <c r="E15" s="11">
        <f>'Anexo IVD2 Eventuais Item 2'!F26</f>
        <v>5767.4584</v>
      </c>
      <c r="F15" s="9">
        <f t="shared" si="0"/>
        <v>69209.5008</v>
      </c>
    </row>
    <row r="16" ht="30" spans="1:6">
      <c r="A16" s="7">
        <v>6</v>
      </c>
      <c r="B16" s="10" t="s">
        <v>477</v>
      </c>
      <c r="C16" s="8" t="s">
        <v>468</v>
      </c>
      <c r="D16" s="7">
        <v>12</v>
      </c>
      <c r="E16" s="11">
        <f>'Anexo IVD2 Eventuais Item 2'!F25</f>
        <v>15849.6017655638</v>
      </c>
      <c r="F16" s="9">
        <f t="shared" si="0"/>
        <v>190195.221186765</v>
      </c>
    </row>
    <row r="17" spans="1:10">
      <c r="A17" s="12" t="s">
        <v>478</v>
      </c>
      <c r="B17" s="12"/>
      <c r="C17" s="12"/>
      <c r="D17" s="12"/>
      <c r="E17" s="13">
        <f>SUM(E10:E16)</f>
        <v>74837.3220078104</v>
      </c>
      <c r="F17" s="13">
        <f>SUM(F10:F16)</f>
        <v>898047.864093725</v>
      </c>
      <c r="J17" s="14">
        <f>F17+'Anexo IVE Custos Totais Item1'!F17</f>
        <v>4397972.43642787</v>
      </c>
    </row>
    <row r="22" spans="10:10">
      <c r="J22" s="14"/>
    </row>
  </sheetData>
  <mergeCells count="7">
    <mergeCell ref="A1:F1"/>
    <mergeCell ref="A2:F2"/>
    <mergeCell ref="A4:F4"/>
    <mergeCell ref="A5:F5"/>
    <mergeCell ref="A6:F6"/>
    <mergeCell ref="A8:F8"/>
    <mergeCell ref="A17:D17"/>
  </mergeCells>
  <pageMargins left="0.511805555555556" right="0.511805555555556" top="0.786805555555556" bottom="0.786805555555556" header="0.314583333333333" footer="0.314583333333333"/>
  <pageSetup paperSize="9" scale="83" orientation="portrait" horizontalDpi="600"/>
  <headerFooter>
    <oddHeader>&amp;L&amp;G&amp;CProcesso 23069.151449/2025-11
PE 90.018/2025&amp;R&amp;G</oddHeader>
    <oddFooter>&amp;L&amp;"-,Itálico"&amp;9&amp;A&amp;R&amp;"-,Itálico"&amp;9Página &amp;P de &amp;N</oddFooter>
  </headerFooter>
  <drawing r:id="rId1"/>
  <legacyDrawingHF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MENU PLANILHA</vt:lpstr>
      <vt:lpstr>An IIA Distribuição Postos</vt:lpstr>
      <vt:lpstr>An IIB Relação das Unidades</vt:lpstr>
      <vt:lpstr>An IIC1 Uniformes Item 1</vt:lpstr>
      <vt:lpstr>An IIC2 Uniformes Item2</vt:lpstr>
      <vt:lpstr>An IID Equip Item 1</vt:lpstr>
      <vt:lpstr>An IIE Equip Item 2</vt:lpstr>
      <vt:lpstr>An IIF Dist. Equip.</vt:lpstr>
      <vt:lpstr>An IIIA Item 1</vt:lpstr>
      <vt:lpstr>An IIIB Item 2</vt:lpstr>
      <vt:lpstr>Anexo IVA1 Custos DEMO Item 1</vt:lpstr>
      <vt:lpstr>Anexo IVA2 Custos DEMO Item 2</vt:lpstr>
      <vt:lpstr>Anexo IV B BDI Serviços</vt:lpstr>
      <vt:lpstr>Anexo IV C BDI Material</vt:lpstr>
      <vt:lpstr>Anexo IVD1 Eventuais Item 1</vt:lpstr>
      <vt:lpstr>Anexo IVD2 Eventuais Item 2</vt:lpstr>
      <vt:lpstr>Anexo IVE Custos Totais Item1</vt:lpstr>
      <vt:lpstr>Anexo IVE Custos Totais Item2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Luiz Ramos</dc:creator>
  <cp:lastModifiedBy>jubor</cp:lastModifiedBy>
  <dcterms:created xsi:type="dcterms:W3CDTF">2021-10-25T18:50:00Z</dcterms:created>
  <cp:lastPrinted>2025-02-13T14:46:00Z</cp:lastPrinted>
  <dcterms:modified xsi:type="dcterms:W3CDTF">2025-02-14T18:51:14Z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32B60D6F67174E728979D980376C20C5</vt:lpwstr>
  </property>
  <property fmtid="{D5CDD505-2E9C-101B-9397-08002B2CF9AE}" pid="3" name="KSOProductBuildVer">
    <vt:lpwstr>1046-12.2.0.19805</vt:lpwstr>
  </property>
</Properties>
</file>