
<file path=[Content_Types].xml><?xml version="1.0" encoding="utf-8"?>
<Types xmlns="http://schemas.openxmlformats.org/package/2006/content-types">
  <Default Extension="vml" ContentType="application/vnd.openxmlformats-officedocument.vmlDrawing"/>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95" tabRatio="849" firstSheet="3" activeTab="9"/>
  </bookViews>
  <sheets>
    <sheet name="MENU PLANILHA" sheetId="7" r:id="rId1"/>
    <sheet name="An IIA Distribuição Postos" sheetId="3" r:id="rId2"/>
    <sheet name="An IIB Relação das Unidades" sheetId="23" r:id="rId3"/>
    <sheet name="An IIC Uniformes e Mat." sheetId="6" r:id="rId4"/>
    <sheet name="An IID Equipamentos" sheetId="20" r:id="rId5"/>
    <sheet name="An IIIA Postos 1" sheetId="19" r:id="rId6"/>
    <sheet name="An IIIB Postos 2" sheetId="21" r:id="rId7"/>
    <sheet name="An IIIC Postos 3" sheetId="22" r:id="rId8"/>
    <sheet name="Anexo IV A Custos Mão de Obra" sheetId="1" r:id="rId9"/>
    <sheet name="Anexo IV B Custos Totais" sheetId="24" r:id="rId10"/>
  </sheets>
  <definedNames>
    <definedName name="_xlnm._FilterDatabase" localSheetId="1" hidden="1">'An IIA Distribuição Postos'!#REF!</definedName>
    <definedName name="_xlnm._FilterDatabase" localSheetId="2" hidden="1">'An IIB Relação das Unidades'!#REF!</definedName>
    <definedName name="_xlnm.Print_Area" localSheetId="8">'Anexo IV A Custos Mão de Obra'!$A$1:$G$26</definedName>
  </definedNames>
  <calcPr calcId="144525"/>
</workbook>
</file>

<file path=xl/comments1.xml><?xml version="1.0" encoding="utf-8"?>
<comments xmlns="http://schemas.openxmlformats.org/spreadsheetml/2006/main">
  <authors>
    <author>JoaoPaulo</author>
  </authors>
  <commentList>
    <comment ref="C15" authorId="0">
      <text>
        <r>
          <rPr>
            <b/>
            <sz val="9"/>
            <rFont val="Segoe UI"/>
            <charset val="134"/>
          </rPr>
          <t>Correpondente a 5% do subitem 1. Esse resultado não é objeto de lance.</t>
        </r>
        <r>
          <rPr>
            <sz val="9"/>
            <rFont val="Segoe UI"/>
            <charset val="134"/>
          </rPr>
          <t xml:space="preserve">
</t>
        </r>
      </text>
    </comment>
  </commentList>
</comments>
</file>

<file path=xl/sharedStrings.xml><?xml version="1.0" encoding="utf-8"?>
<sst xmlns="http://schemas.openxmlformats.org/spreadsheetml/2006/main" count="2356" uniqueCount="588">
  <si>
    <t>PRÓ-REITORIA DE ADMINISTRAÇÃO</t>
  </si>
  <si>
    <t>COORDENAÇÃO DE CONTRATOS</t>
  </si>
  <si>
    <t>Contratação de empresa para prestação de serviços continuados de Manutenção Predial com regime de dedicação exclusiva de mão de obra, com fornecimento de materiais de reposição e atendimento na Universidade Federal Fluminense</t>
  </si>
  <si>
    <t>dos Equipamentos (preenchimento licitante)</t>
  </si>
  <si>
    <t>Anexo II - A - DISTRIBUIÇÃO DOS POSTOS</t>
  </si>
  <si>
    <t>ITEM</t>
  </si>
  <si>
    <t>DISCRIMINAÇÃO DO POSTO</t>
  </si>
  <si>
    <t>NITERÓI</t>
  </si>
  <si>
    <t>VOLTA REDONDA</t>
  </si>
  <si>
    <t>ANGRA DOS REIS</t>
  </si>
  <si>
    <t>PETRÓPOLIS</t>
  </si>
  <si>
    <t>NOVA FRIBURGO</t>
  </si>
  <si>
    <t>RIO DAS OSTRAS</t>
  </si>
  <si>
    <t>MACAÉ</t>
  </si>
  <si>
    <t>CAMPOS DOS GOYTACAZES</t>
  </si>
  <si>
    <t>SANTO ANTÔNIO DE PÁDUA</t>
  </si>
  <si>
    <t>CACHOEIRA DE MACACU</t>
  </si>
  <si>
    <t>POSTOS</t>
  </si>
  <si>
    <t>Encarregado geral e supervisores 44h</t>
  </si>
  <si>
    <t>Técnico em Eletrotécnica 44h</t>
  </si>
  <si>
    <t>Eletricista de manutenção 44h</t>
  </si>
  <si>
    <t>Eletricista de manutenção 12x36 Diurno</t>
  </si>
  <si>
    <t>Meio Oficial de Elétrica 44h</t>
  </si>
  <si>
    <t>Bombeiro hidráulico 44h</t>
  </si>
  <si>
    <t>Bombeiro hidráulico 12x36h Diurno</t>
  </si>
  <si>
    <t>Carpinteiro 44h</t>
  </si>
  <si>
    <t>Pedreiro 44h</t>
  </si>
  <si>
    <t>Gesseiro 44h</t>
  </si>
  <si>
    <t>Serralheiro 44h</t>
  </si>
  <si>
    <t>Soldador 44h</t>
  </si>
  <si>
    <t>Mecânico de refrigeração 44h</t>
  </si>
  <si>
    <t>Pintor 44h</t>
  </si>
  <si>
    <t>Ajudantes (serventes) 44h</t>
  </si>
  <si>
    <t>Motorista Cat. D 44h</t>
  </si>
  <si>
    <t>Assistente Técnico 44h</t>
  </si>
  <si>
    <t>TOTAL</t>
  </si>
  <si>
    <r>
      <rPr>
        <b/>
        <sz val="11"/>
        <color rgb="FFFF0000"/>
        <rFont val="Calibri"/>
        <charset val="134"/>
        <scheme val="minor"/>
      </rPr>
      <t>Anexo II B - ENDEREÇO DAS UNIDADES UFF</t>
    </r>
    <r>
      <rPr>
        <sz val="11"/>
        <color rgb="FFFF0000"/>
        <rFont val="Calibri"/>
        <charset val="134"/>
        <scheme val="minor"/>
      </rPr>
      <t xml:space="preserve">		</t>
    </r>
  </si>
  <si>
    <t>Unidade</t>
  </si>
  <si>
    <t>Endereço</t>
  </si>
  <si>
    <t>Reitoria Prédio Principal: 8 andares</t>
  </si>
  <si>
    <t>Rua Miguel de Frias, 9 - Icaraí - Niterói - RJ</t>
  </si>
  <si>
    <t>Perícia Médica</t>
  </si>
  <si>
    <t>Av. Miguel de Frias, 77 - Icaraí - Niterói</t>
  </si>
  <si>
    <t>Escola de Extensão, Protocolo e outros</t>
  </si>
  <si>
    <t>Av. Visconde do Rio Branco s/n.º, bairro Centro, Niterói - RJ</t>
  </si>
  <si>
    <t>Biblioteca Central e DCE</t>
  </si>
  <si>
    <t>Facu. Administração (antiga matematica)</t>
  </si>
  <si>
    <t>Dispensário “Mazine Bueno”</t>
  </si>
  <si>
    <t>Núcleo de Animais de Laboratório - NAL</t>
  </si>
  <si>
    <t>LANTE</t>
  </si>
  <si>
    <t>Faculdades de Nutrição e Administração</t>
  </si>
  <si>
    <t>Faculdade de Odontologia</t>
  </si>
  <si>
    <t>Pórtico de Entrada Valonguinho</t>
  </si>
  <si>
    <t xml:space="preserve">Instituto de Química </t>
  </si>
  <si>
    <t>Bloco B - DST</t>
  </si>
  <si>
    <t>Bloco C - Salas de Aula</t>
  </si>
  <si>
    <t>Bloco D - Anatômico</t>
  </si>
  <si>
    <t>Bloco E - Pesquisas</t>
  </si>
  <si>
    <t>Bloco A - Prédio Central</t>
  </si>
  <si>
    <t xml:space="preserve">Rua Professor Hernani Mello, 101 São Domingos Niterói – RJ </t>
  </si>
  <si>
    <t>Instituto de Biologia Bloco Principal</t>
  </si>
  <si>
    <t>Instituto de Biologia Bloco Anexo</t>
  </si>
  <si>
    <t>Prédio Salas de Aulas Biologia (Antigo Inst. Física)</t>
  </si>
  <si>
    <t>Biologia NOVO Bloco M</t>
  </si>
  <si>
    <t>R. Alexandre Moura, 8 - São Domingos, Niterói - RJ, 24210-200</t>
  </si>
  <si>
    <t>Bloco D - Faculdade de Educação</t>
  </si>
  <si>
    <t>Av. Visconde do Rio Branco s/n.º, bairro de São Domingos, Niterói - RJ</t>
  </si>
  <si>
    <t>Bloco E - Escola de Serviço Social</t>
  </si>
  <si>
    <t>Bloco F - Faculdade de Economia</t>
  </si>
  <si>
    <t>Bloco G - Instituto de Matemática e Estatística e Faculdade de Turismo</t>
  </si>
  <si>
    <t>Bloco H - Faculdade de Turismo e Hotelaria</t>
  </si>
  <si>
    <t>Superintendência de Documentação - SDC</t>
  </si>
  <si>
    <t>Faculdade de Educação Física - FACDEF</t>
  </si>
  <si>
    <t>Bloco N - Instituto de Ciências Humanas e Filosofia - ICHF</t>
  </si>
  <si>
    <t>Bloco O - Instituto de Ciências Humanas e Filosofia - ICHF</t>
  </si>
  <si>
    <t>Bloco P  - Instituto de Ciências Humanas e Filosofia - ICHF</t>
  </si>
  <si>
    <t>Bloco B - Instituto de Letras</t>
  </si>
  <si>
    <t>Bloco C - Instituto de Letras</t>
  </si>
  <si>
    <t>Escola de Arquitetura (e anexos)</t>
  </si>
  <si>
    <t>Rua Passo da Pátria, n.º 156, bairro São Domingos, Niterói - RJ</t>
  </si>
  <si>
    <t>Instituto de Geociências - Bloco O e P</t>
  </si>
  <si>
    <t>Biblioteca do Campus</t>
  </si>
  <si>
    <t>Horto Viveiro</t>
  </si>
  <si>
    <t>Bloco D  - Escola de Engenharia - Niterói</t>
  </si>
  <si>
    <t>Bloco  E - Escola de Engenharia Niterói</t>
  </si>
  <si>
    <t>Instituto de Computação - Laboratórios</t>
  </si>
  <si>
    <t>Instituto de Computação - Salas de Aula UFAS</t>
  </si>
  <si>
    <t>ADDLABS</t>
  </si>
  <si>
    <t>Instituto de Física - Bloco N</t>
  </si>
  <si>
    <t>Restaurante Universitário - Gragoatá</t>
  </si>
  <si>
    <t>Restaurante Universitário - Praia Vermelha</t>
  </si>
  <si>
    <t>Restaurante Universitário - HUAP</t>
  </si>
  <si>
    <t>Rua Marquês de Paraná 303 - Centro, Niterói - RJ</t>
  </si>
  <si>
    <t>Restaurante Universitário - Reitoria</t>
  </si>
  <si>
    <t>Moradia Estudantil - Niterói</t>
  </si>
  <si>
    <t>Moradia Estudantil - Rio das Ostras</t>
  </si>
  <si>
    <t>Rua Recife. Quadra 07, Jardim Bela Vista, Rio das Ostras - RJ</t>
  </si>
  <si>
    <t>Instituto de Artes e Comunicação Social - IACS</t>
  </si>
  <si>
    <t>Rua Lara Vilela, 126 - São Domingos, Niterói - RJ</t>
  </si>
  <si>
    <t>Arquivo SDC - Jurujuba</t>
  </si>
  <si>
    <t>Av. Bento Maria da Costa, 115 A - Jurujuba, Niterói - RJ</t>
  </si>
  <si>
    <t>CRIAA - Barreto</t>
  </si>
  <si>
    <t>Rua General Castrioto, 588, Barreto, Niterói - RJ</t>
  </si>
  <si>
    <t>CAJUFF e NEPHU</t>
  </si>
  <si>
    <t>Almirante Teffé, 637, Centro, Niterói - RJ</t>
  </si>
  <si>
    <t>Escola de Enfermagem</t>
  </si>
  <si>
    <t>Rua Dr. Celestino,78- Centro, Niterói - RJ</t>
  </si>
  <si>
    <t xml:space="preserve">Faculdade de Medicina </t>
  </si>
  <si>
    <t>Instituto de Saúde da Comunidade</t>
  </si>
  <si>
    <t>Rua Marquês de Paraná, 303 - Centro, Niterói - RJ</t>
  </si>
  <si>
    <t>Mequinho</t>
  </si>
  <si>
    <t>Av.  Jansem de Mello, 174/Fundos – Centro, Niterói - RJ</t>
  </si>
  <si>
    <t>Faculdade de Direito</t>
  </si>
  <si>
    <t>Rua Presidente Pedreira,62 - Ingá, Niterói - RJ</t>
  </si>
  <si>
    <t>Faculdade de Direito II</t>
  </si>
  <si>
    <t>Rua Tiradentes, 17 - Ingá, Niterói - RJ</t>
  </si>
  <si>
    <t>Faculdade de Farmácia</t>
  </si>
  <si>
    <t>Rua Mário Viana. 523 - Santa Rosa, Niterói - RJ</t>
  </si>
  <si>
    <t>Farmácia Universitária</t>
  </si>
  <si>
    <t>Rua Marquês do Paraná, 282 – Centro, Niterói - RJ</t>
  </si>
  <si>
    <t>Colégio Universitário Geraldo Reis - COLUNI</t>
  </si>
  <si>
    <t>Rua Alexandre Moura, 8 - São Domingos, Niterói - RJ</t>
  </si>
  <si>
    <t>Creche UFF</t>
  </si>
  <si>
    <t>Bloco A - UFASA PROGRAD Gragoatá</t>
  </si>
  <si>
    <t>Bloco H - UFFASA PROGRAD - Praia Vermelha</t>
  </si>
  <si>
    <t>Escola de Engenharia de Petrópolis</t>
  </si>
  <si>
    <t>Rua Domingos Silvério, sn. Quitandinha - Petrópolis</t>
  </si>
  <si>
    <t>Instituto de Saúde de Nova Friburgo (incluindo unidade de Fonoaudiologia)</t>
  </si>
  <si>
    <t>Rua Dr. Silvio Henrique Braune, 22, Centro, Nova Friburgo - RJ</t>
  </si>
  <si>
    <t>Instituto do Noroeste Fluminense e Educação Superior</t>
  </si>
  <si>
    <t>Rua Chaim Elias, s/n.º, Centro, Santo Antônio de Pádua - RJ</t>
  </si>
  <si>
    <t>Instituto de Ciência e Tecnologia - ICT</t>
  </si>
  <si>
    <t>Instituto de Humanidades e Saúde - IHS</t>
  </si>
  <si>
    <t>Serviço de Psicologia Aplicada (SPA) Rio das Ostras</t>
  </si>
  <si>
    <t>Pólo Univ. de Macaé (incluindo prédio novo)</t>
  </si>
  <si>
    <t>Av. Aluízio da Silva Gomes, 50 - Granja dos Cavaleiros - Macaé</t>
  </si>
  <si>
    <t>Pólo Campos Goytacazes (incluindo SPA)</t>
  </si>
  <si>
    <t>Rua José do Patrocínio, 71 - Campos dos Goytacazes - RJ</t>
  </si>
  <si>
    <t>Faculdade de Veterinária</t>
  </si>
  <si>
    <t>Rua Vital Brazil Filho, 64 - Vital Brazil, Niteroi - RJ</t>
  </si>
  <si>
    <t>Hospital Veterinário - HUVET</t>
  </si>
  <si>
    <t>Núcleo Experimental de Iguaba</t>
  </si>
  <si>
    <t>Rod. Amaral Peixoto, Km 100 - Iguaba Grande - RJ</t>
  </si>
  <si>
    <t>Fazenda Escola da Faculdade de Veterinária</t>
  </si>
  <si>
    <t>Rod. RJ 122, Km 32 - Funchal - Cachoeira de Macacu - RJ</t>
  </si>
  <si>
    <t>Escola de Engenharia Industrial e Metalúrgica de Volta Redonda</t>
  </si>
  <si>
    <t>Av. dos Trabalhadores, 420 - Volta Redonda - RJ</t>
  </si>
  <si>
    <t>Instituto de Ciências Humanas  e Sociais de VR</t>
  </si>
  <si>
    <t>Rua Desembargador Ellys Hermidyo Figueira 783 - Aterrado - Volta Redonda</t>
  </si>
  <si>
    <t>Instituto de Ciências Exatas de VR</t>
  </si>
  <si>
    <t>Instituto de Educação de Angra dos Reis</t>
  </si>
  <si>
    <t>Av. do Trabalhador, 179 - Jacuecanga - Angra dos Reis</t>
  </si>
  <si>
    <t>Angra dos Reis II</t>
  </si>
  <si>
    <t>Av. Vereador Benedito Adelino - Retiro, Angra dos Reis - RJ</t>
  </si>
  <si>
    <t>Anexo II - C - RELAÇÃO DE UNIFORMES E MATERIAIS</t>
  </si>
  <si>
    <t>UNIFORMES ENCARREGADOS</t>
  </si>
  <si>
    <t>DISCRIMINAÇÃO UNIFORME</t>
  </si>
  <si>
    <t>QUANT. ANUAL</t>
  </si>
  <si>
    <t>UNIDADE</t>
  </si>
  <si>
    <t>VALOR</t>
  </si>
  <si>
    <t>Conjunto de uniforme</t>
  </si>
  <si>
    <t>UNITÁRIO</t>
  </si>
  <si>
    <t>TOTAL ANUAL POR FUNCIONÁRIO</t>
  </si>
  <si>
    <t>1.1</t>
  </si>
  <si>
    <t xml:space="preserve">Calça comprida jeans, modelo tradicional, com bolsos laterais e traseiros, fechamento com botão e zíper </t>
  </si>
  <si>
    <t xml:space="preserve"> unid.</t>
  </si>
  <si>
    <t>Cada conjunto de uniforme será composto por: 3 calças, 3 camisas, 5 pares de meia, 1 capa de chuva e 1 crachá.</t>
  </si>
  <si>
    <t>1.2</t>
  </si>
  <si>
    <t>Camisa polo, malha piquet, com emblema da empresa e os dizeres A SERVIÇO DA UFF</t>
  </si>
  <si>
    <t>unid.</t>
  </si>
  <si>
    <t>1.3</t>
  </si>
  <si>
    <t>Par de meia, mínimo de 70% algodão, cano médio</t>
  </si>
  <si>
    <t>par</t>
  </si>
  <si>
    <t>1.4</t>
  </si>
  <si>
    <t>Capa de chuva plástica, com faixas fluorescentes, material pvc, uso profissional.</t>
  </si>
  <si>
    <t>1.5</t>
  </si>
  <si>
    <t>Crachá funcional, em pvc, com foto, nome e cargo.</t>
  </si>
  <si>
    <t>Total anual por funcionário</t>
  </si>
  <si>
    <t>Total mensal UNIFORME por funcionário</t>
  </si>
  <si>
    <t>EPIS ENCARREGADOS</t>
  </si>
  <si>
    <t>Subitem</t>
  </si>
  <si>
    <t>Descrição</t>
  </si>
  <si>
    <t>Quantidade por Funcionário</t>
  </si>
  <si>
    <t>Prazo para Troca</t>
  </si>
  <si>
    <t>Quantidade Anual por Funcionário</t>
  </si>
  <si>
    <t>Valor unitário estimado R$</t>
  </si>
  <si>
    <t>Valor total anual</t>
  </si>
  <si>
    <t>2.1</t>
  </si>
  <si>
    <t>Botina de segurança de borracha isolante (PAR)</t>
  </si>
  <si>
    <t>6 meses</t>
  </si>
  <si>
    <t>2.2</t>
  </si>
  <si>
    <t>Capacete de segurança classe B, com jugular (UN)</t>
  </si>
  <si>
    <t>18 meses</t>
  </si>
  <si>
    <t>2.3</t>
  </si>
  <si>
    <t>Luva de algodão tricotada pigmentada (PAR)</t>
  </si>
  <si>
    <t>3 meses</t>
  </si>
  <si>
    <t>2.4</t>
  </si>
  <si>
    <t>Luva isolante para eletricista, classe 0, tensão 5.000V - máximo para uso 1.000V (PAR)</t>
  </si>
  <si>
    <t>Luva de segurança de tipo cobertura, em vaqueta e raspa (PAR)</t>
  </si>
  <si>
    <t>Óculos de segurança para proteção dos olhos contra impactos de partículas volantes, contra raios ultravioletas e contra luminosidade intensa (CA 19072, 19631 e similares)</t>
  </si>
  <si>
    <t>Óculos de Segurança proteção luminosidade intensa</t>
  </si>
  <si>
    <t xml:space="preserve">6 meses </t>
  </si>
  <si>
    <t>Protetor auricular de silicone tipo plug</t>
  </si>
  <si>
    <t>12 meses</t>
  </si>
  <si>
    <t>Uniforme com tratamento retardante de chamas risco 2, conforme NR10</t>
  </si>
  <si>
    <t>3.1</t>
  </si>
  <si>
    <t>Protetor auricular tipo concha com haste atrás da nuca</t>
  </si>
  <si>
    <t>8 meses</t>
  </si>
  <si>
    <t>3.2</t>
  </si>
  <si>
    <t>Avental de raspa (UN)</t>
  </si>
  <si>
    <t>3.3</t>
  </si>
  <si>
    <t>Cinto de segurança, tipo PQD, com regulagem de cintura, coxas e suspensório e com 3 argolas (UN)</t>
  </si>
  <si>
    <t>24 meses</t>
  </si>
  <si>
    <t>3.4</t>
  </si>
  <si>
    <t>Luva de látex, cano 26cm, palma antiderrapante (PAR)</t>
  </si>
  <si>
    <t>3.5</t>
  </si>
  <si>
    <t>Luva nitrílica com forro cano médio</t>
  </si>
  <si>
    <t>3.6</t>
  </si>
  <si>
    <t>Luva de raspa soldador (PAR)</t>
  </si>
  <si>
    <t>3.7</t>
  </si>
  <si>
    <t>Luva de vaqueta de couro mista, cano curto (PAR)</t>
  </si>
  <si>
    <t>3.8</t>
  </si>
  <si>
    <t>Mangote de raspa (par)</t>
  </si>
  <si>
    <t>3.9</t>
  </si>
  <si>
    <t>Máscara de solda, tipo escudo (UN)</t>
  </si>
  <si>
    <t>3.10</t>
  </si>
  <si>
    <t>Perneiras em raspa de couro, fechamento por fivela (par)</t>
  </si>
  <si>
    <t>3.11</t>
  </si>
  <si>
    <t>Boné com proteção de pescoço</t>
  </si>
  <si>
    <t>3.12</t>
  </si>
  <si>
    <t>Talabarte duplo para cinto de segurança com elástico e absorvedor de impacto (UN)</t>
  </si>
  <si>
    <t>3.13</t>
  </si>
  <si>
    <t>Trava queda para corda até 12mm (UN)</t>
  </si>
  <si>
    <t>EPIS - Valor mensal por funcionário</t>
  </si>
  <si>
    <t>UNIFORMES MAIS EPIS - Valor mensal por funcionário</t>
  </si>
  <si>
    <t>UNIFORMES ELETRICISTAS E MEIO OFICIAIS DE ELÉTRICA</t>
  </si>
  <si>
    <t>Calça comprida, material brim, modelo unissex, com elástico e cordão na cintura, 2 bolsos laterais e 2 traseiros</t>
  </si>
  <si>
    <t>Cada conjunto de uniforme será composto por: 3 calças, 3 camisetas, 5 pares de meia, 1 capa de chuva, 2 jalecos e 1 crachá.</t>
  </si>
  <si>
    <t>Camiseta, material 100% algodão, tipo manga curta, gola redonda, identificada com logomarca da empresa  os dizeres A SERVIÇO DA UFF</t>
  </si>
  <si>
    <t>Jaleco profissional em brim leve, manga curta, fechamento com botões, com um bolso frontal, gola esporte e com logomarca da empresa.</t>
  </si>
  <si>
    <t>1.6</t>
  </si>
  <si>
    <t>EPIS ELETRICISTAS E MEIO OFICIAIS DE ELÉTRICA</t>
  </si>
  <si>
    <t>UNIFORMES BOMBEIROS HIDRÁULICOS</t>
  </si>
  <si>
    <t>EPIS BOMBEIROS HIDRÁULICOS</t>
  </si>
  <si>
    <t>Botina de segurança com elástico coberto, cabedal confeccionado em couro curtido ao cromo, com forração em sintético, solado de PU, Bi densidade, injetado diretamente ao cabedal. Marca Marluvas ou similar. (PAR)</t>
  </si>
  <si>
    <t>Capacete de segurança classe A, com jugular (UN)</t>
  </si>
  <si>
    <t>2 meses</t>
  </si>
  <si>
    <t>Máscara descartável Pff2</t>
  </si>
  <si>
    <t>Óculos de segurança incolor</t>
  </si>
  <si>
    <t>Luva de PVC cano longo (PAR)</t>
  </si>
  <si>
    <t>Bota de PVC cano longo (PAR)</t>
  </si>
  <si>
    <t>Respirador, purificador de ar de manutenção, reutilizável, meia peça facial.</t>
  </si>
  <si>
    <t>UNIFORMES PINTOR</t>
  </si>
  <si>
    <t>EPIS PINTOR</t>
  </si>
  <si>
    <t>UNIFORMES CARPINTEIRO E PEDREIRO</t>
  </si>
  <si>
    <t>1.</t>
  </si>
  <si>
    <t>EPIS CARPINTEIRO E PEDREIRO</t>
  </si>
  <si>
    <t xml:space="preserve">Respirador PFF2 contra poeira, névoas e fumos com válvula </t>
  </si>
  <si>
    <t>UNIFORMES TÉCNICO EM ELETROTÉCNICA</t>
  </si>
  <si>
    <t>EPIS TÉCNICO EM ELETROTÉCNICA</t>
  </si>
  <si>
    <t>Capuz carrasco contra risco de arco elétrico</t>
  </si>
  <si>
    <t>Luva isolante para eletricista, classe 2, tensão 17.000 V (PAR)</t>
  </si>
  <si>
    <t>Protetor facial contra arco elétrico</t>
  </si>
  <si>
    <t>3.14</t>
  </si>
  <si>
    <t xml:space="preserve">UNIFORMES MAIS EPIS - Valor mensal por funcionário </t>
  </si>
  <si>
    <t>UNIFORMES AJUDANTE,SERRALHEIRO, SOLDADOR E MECÂNICO DE REFRIGERAÇÃO</t>
  </si>
  <si>
    <t>EPIS AJUDANTE,SERRALHEIRO, SOLDADOR E MECÂNICO DE REFRIGERAÇÃO</t>
  </si>
  <si>
    <t>UNIFORMES MOTORISTAS</t>
  </si>
  <si>
    <t>Cada conjunto de uniforme será composto por: 3 camisas, 3 calças, 1 sapato, 5 pares de meia, 1 crachá.</t>
  </si>
  <si>
    <t>Sapato fechado profissional, com cadarço, acolchoado, tipo derby, em couro preto</t>
  </si>
  <si>
    <t>UNIFORMES ASSISTENTE TÉCNICO</t>
  </si>
  <si>
    <t>UNIFORMES GESSEIROS</t>
  </si>
  <si>
    <t>EPIS GESSEIRO</t>
  </si>
  <si>
    <t>1.7</t>
  </si>
  <si>
    <t>1.8</t>
  </si>
  <si>
    <t>1.9</t>
  </si>
  <si>
    <t>1.10</t>
  </si>
  <si>
    <t>1.11</t>
  </si>
  <si>
    <t>1.12</t>
  </si>
  <si>
    <t>Anexo II - D - RELAÇÃO DE EQUIPAMENTOS</t>
  </si>
  <si>
    <t>DESCRIÇÃO</t>
  </si>
  <si>
    <t>QTDE.</t>
  </si>
  <si>
    <t>CUSTO UNITÁRIO</t>
  </si>
  <si>
    <t>CUSTO 
TOTAL</t>
  </si>
  <si>
    <t>Alicate bomba d’água 10'</t>
  </si>
  <si>
    <t>Alicate cortador, descascador e desencapador de fio</t>
  </si>
  <si>
    <t>Alicate de bico 1/2” cano reto 6”</t>
  </si>
  <si>
    <t>Alicate de corte diagonal 6”</t>
  </si>
  <si>
    <t>Alicate de corte diagonal rente reforçado 6”</t>
  </si>
  <si>
    <t>Alicate de pressão 10"</t>
  </si>
  <si>
    <t>Alicate para prensar terminais p/ fios e cabos 0,5 - 10mm</t>
  </si>
  <si>
    <t>Alicate universal 8”</t>
  </si>
  <si>
    <t>Alicate volt-amperímetro (true rms) - Fluke ou similar</t>
  </si>
  <si>
    <t>Arco de serra manual fixo 12”</t>
  </si>
  <si>
    <t>Broxa retangular para pintura 190 x 76 mm</t>
  </si>
  <si>
    <t>Carrinho de mão de pedreiro</t>
  </si>
  <si>
    <t>Cavadeira articulada com cabo de eucalipto 110cm</t>
  </si>
  <si>
    <t>Chave cortador de tubo manual, 1/2” a 6”</t>
  </si>
  <si>
    <t>Jogo de chave de boca com 18 chaves do n° 6 ao 22</t>
  </si>
  <si>
    <t>Chave de fenda 1/4 x 6”</t>
  </si>
  <si>
    <t>Chave de fenda 1/4 x 8”</t>
  </si>
  <si>
    <t>Chave de fenda 1/8 x 6”</t>
  </si>
  <si>
    <t>Chave fenda 1/8 x 3”</t>
  </si>
  <si>
    <t>Chave fenda 3/16 x 4”</t>
  </si>
  <si>
    <t>Chave Inglesa 15"</t>
  </si>
  <si>
    <t>Chave inglesa 8"</t>
  </si>
  <si>
    <t>Chave Inglesa 10"</t>
  </si>
  <si>
    <t>Chave Philips 1/8 x 3”</t>
  </si>
  <si>
    <t>Chave Philips 3/16 x 4”</t>
  </si>
  <si>
    <t>Chave Philips 3/16 x 3”</t>
  </si>
  <si>
    <t>Chave Philips 1/4 x 5”</t>
  </si>
  <si>
    <t>CONJUNTO DE CHAVES DE FENDA, COMPOSTO POR 01 unid - CHAVE GRIFO MODELO HEAVY DUTY COM 14 , SIMILAR OU DE MELHOR QUALIDAD</t>
  </si>
  <si>
    <t>Colher de pedreiro forjada 7”</t>
  </si>
  <si>
    <t>Desempenadeira de aço dentada fechada</t>
  </si>
  <si>
    <t>Desentupidor de esgotos, pias, ralos e banheiras</t>
  </si>
  <si>
    <t>Enxada com cabo de eucalipto</t>
  </si>
  <si>
    <t>Escada de alumínio de 10 degraus</t>
  </si>
  <si>
    <t>Escada de alumínio de 5 degraus</t>
  </si>
  <si>
    <t>Esquadro 90° x 30 cm para Pedreiro</t>
  </si>
  <si>
    <t>Estilete (cartucho com 10 lâminas)</t>
  </si>
  <si>
    <t>Estilete profissional (com lâmina de 18mm para trabalho pesado com empunhadura de borracha antideslizante)</t>
  </si>
  <si>
    <t>Ferro de solda 100W</t>
  </si>
  <si>
    <t>Formões (jogo) – 3/8”, 1/2”, 5/8”, 3/4”</t>
  </si>
  <si>
    <t>Furadeira elétrica de impacto 5/8” 1300 W – DEWALT ou similar</t>
  </si>
  <si>
    <t>Jogo de chave ALLEN 1,5mm a 10mm</t>
  </si>
  <si>
    <t>Jogo de chave hexagonal de 1/16” a 3/8”</t>
  </si>
  <si>
    <t>Jogo de chaves combinadas 6 a 32mm</t>
  </si>
  <si>
    <t>Jogo de chaves de boca 6 a 22mm</t>
  </si>
  <si>
    <t>Jogo de chaves de fenda c/ 6 peças (3x75, 5x100 e 6x150 – ponta chata, 3x150, 5x100 e 6x150 – ponta cruzada)</t>
  </si>
  <si>
    <t>Jogo de chaves Tork reta de T4 a T30.</t>
  </si>
  <si>
    <t>Jogo de Soquetes Sextavados ½” Profissional (aço cromo vanádio temperado - encaixe de 1/2", 20 Soquetes Sextavados (mm): 10 a 32mm)</t>
  </si>
  <si>
    <t>Lanterna recarregável de 15 Leds.</t>
  </si>
  <si>
    <t>Lima chata 6” bastarda</t>
  </si>
  <si>
    <t>Lima chata de 8” bastarda</t>
  </si>
  <si>
    <t>Lima redonda 6” bastarda</t>
  </si>
  <si>
    <t>Prumo Pedreiro 0,8 X 10 m</t>
  </si>
  <si>
    <t>Lixadeira elétrica (p/metal)</t>
  </si>
  <si>
    <t>Lupa com cabo (60mm de diâmetro)</t>
  </si>
  <si>
    <t>Maleta para ferramentas com divisórias (43x33x15cm)</t>
  </si>
  <si>
    <t>Máquina de Solda Inversora Portátil 150 Amperes 220V</t>
  </si>
  <si>
    <t>Máquina Desentupidora Elétrica - Motor de 1/2 HP</t>
  </si>
  <si>
    <t>Martelo de unha com cabo em madeira 25 mm</t>
  </si>
  <si>
    <t>Máscara protetora de poeira com 8 peças</t>
  </si>
  <si>
    <t>Máscara protetora de solda</t>
  </si>
  <si>
    <t>Nível em alumínio 250 mm</t>
  </si>
  <si>
    <t>Pá ajuntadeira bico grande com cabo reto</t>
  </si>
  <si>
    <t>Parafusadeira velocidade variável 1/4'' 700W</t>
  </si>
  <si>
    <t>Picareta, 5 libras com olho de 70 x 45 mm e cabo de madeira de 90 cm</t>
  </si>
  <si>
    <t>Pincel para retoque</t>
  </si>
  <si>
    <t>Plaina elétrica</t>
  </si>
  <si>
    <t>Ponteiro 10”</t>
  </si>
  <si>
    <t>Rádio portátil talkabout</t>
  </si>
  <si>
    <t>Rolo p/ pintura</t>
  </si>
  <si>
    <t>Serra circular elétrica 7.1/4" 1.400 W – Makita ou similar</t>
  </si>
  <si>
    <t>Serra elétrica tico-tico</t>
  </si>
  <si>
    <t>Serrote de 22”</t>
  </si>
  <si>
    <t>Sugador de solda</t>
  </si>
  <si>
    <t>Suporte para ferro de solda</t>
  </si>
  <si>
    <t>Talhadeira 125 x 14mm</t>
  </si>
  <si>
    <t>Talhadeira 12"</t>
  </si>
  <si>
    <t>Talhadeira 250 comprimento</t>
  </si>
  <si>
    <t>Termômetro digital com mira laser</t>
  </si>
  <si>
    <t>Chave de teste com ponta fenda 18x3"</t>
  </si>
  <si>
    <t>Trena de 5 metros corpo emborrachado c/ fita de metal reversível</t>
  </si>
  <si>
    <t>Alicate de corte com cabo isolado 1000V 8”</t>
  </si>
  <si>
    <t>Alicate universal com cabo isolado 1000V 8”</t>
  </si>
  <si>
    <t>Alicate prensa terminal hidráulico 10-300m²</t>
  </si>
  <si>
    <t>Multímetro digital (voltímetro, amperímetro, ohmímetro)</t>
  </si>
  <si>
    <t>Saca-fusível NH</t>
  </si>
  <si>
    <t>Tesoura doméstica 19,5cm</t>
  </si>
  <si>
    <t>Alicate desencapador de cabos</t>
  </si>
  <si>
    <t>Conjunto de serra-copo 25 a 54 mm</t>
  </si>
  <si>
    <t>Conjunto de brocas aço rápido 4 a 10mm</t>
  </si>
  <si>
    <t>Conjunto de brocas vídea 4 a 10mm</t>
  </si>
  <si>
    <t>Rebitador Manual 3/32", 1/8", 5/32", 3/16"</t>
  </si>
  <si>
    <t>Jogo de chave Philips isolada</t>
  </si>
  <si>
    <t>Escada extensiva de fibra de 11 metros</t>
  </si>
  <si>
    <t>Filtro de linha 3 metros</t>
  </si>
  <si>
    <t>Extensões elétricas 5 metros</t>
  </si>
  <si>
    <t>Extensões elétricas 10 metros</t>
  </si>
  <si>
    <t>Extensões elétricas 30 metros</t>
  </si>
  <si>
    <t>Grupo Gerador portátil 5 kVA</t>
  </si>
  <si>
    <t>Fasímetro indicador de rotação de fase digital - Minipa ou similar</t>
  </si>
  <si>
    <t>Guincho de Alavanca tipo “TIFOR” 2tf</t>
  </si>
  <si>
    <t>Jogo de soquete estriado de 8 a 32 mm encaixe de 1/2"</t>
  </si>
  <si>
    <t>Talha Manual de Alavanca 3,2 tf</t>
  </si>
  <si>
    <t>Moitão/Cardenal com 1 gorne 700 kgf</t>
  </si>
  <si>
    <t>Conjunto de tarrachas e cossinetes de 1.1/4" até 2.1/2” com jogo de macho rosca fina de 1.1/4" até 1 " e macho rosca grossa de 1.1/4" até 1 "</t>
  </si>
  <si>
    <t>Terrômetro digital tipo alicate para medições sem necessidade de abertura da malha de aterramento ou a colocação de estacas extras, com capacidade de medição de 0,01 a 1.200 ohms, Minipa ou similar</t>
  </si>
  <si>
    <t>Termohigrômetro Digital - Minipa ou similar</t>
  </si>
  <si>
    <t>Alicate corta-vergalhão</t>
  </si>
  <si>
    <t>Facão para mato</t>
  </si>
  <si>
    <t>Alavanca de aço de 1”</t>
  </si>
  <si>
    <t>Relógio de Ponto eletrônico</t>
  </si>
  <si>
    <t>Tripé para espaço confinado</t>
  </si>
  <si>
    <t>Medidor de gases</t>
  </si>
  <si>
    <t>Exaustor para espaço confinado</t>
  </si>
  <si>
    <t>Corda de poliamida 12mm tipo bombeiro, para trabalho em altura (15 metros)</t>
  </si>
  <si>
    <t>Total</t>
  </si>
  <si>
    <t>Taxa de Depreciação Anual (A taxa de depreciação utilizada de acordo com tabela da I.N. da SRF n.º 1700/2017.)</t>
  </si>
  <si>
    <t>Custo Utilização Anual (Valor Tx. Depreciação)</t>
  </si>
  <si>
    <t>Custo Utilização Mensal</t>
  </si>
  <si>
    <r>
      <rPr>
        <b/>
        <sz val="10"/>
        <color rgb="FF000000"/>
        <rFont val="Calibri"/>
        <charset val="134"/>
        <scheme val="minor"/>
      </rPr>
      <t>Observações:</t>
    </r>
    <r>
      <rPr>
        <sz val="10"/>
        <color rgb="FF000000"/>
        <rFont val="Calibri"/>
        <charset val="134"/>
        <scheme val="minor"/>
      </rPr>
      <t xml:space="preserve">
a)  A Contratada deverá disponibilizar  e manter  constantes, durante o período de vigência  contratual, todos   os   quantitativos   listados   acima,   devendo   repor   imediatamente   qualquer   ferramenta   ou equipamento danificado;
b) Esta relação não é exaustiva, devendo a Contratada fornecer todos os equipamentos, ferramentas e instrumentos necessários à execução dos serviços, objeto deste Termo de Referência;
c) Metodologia de cálculo adotada: Acórdão 966/2010;
d) A taxa de depreciação anual adotada foi retirada da IN SRF Nº162/98.
e)   Ao   término   contratual,   os   equipamentos   e   ferramentas   utilizados   serão   de   propriedade   da Contratada. O valor pago pela Contratante limita-se a compensação da depreciação ocasionada pelo uso dos equipamentos, instrumentos e ferramentas nas atividades de manutenção predial.</t>
    </r>
  </si>
  <si>
    <t>Disponibilização de carros  sem motorista, franquia mensal de 8.000 Km</t>
  </si>
  <si>
    <t>Item</t>
  </si>
  <si>
    <t>Quantidade</t>
  </si>
  <si>
    <t>Valor de referência FIPE (mar/2022)</t>
  </si>
  <si>
    <t>Depreciação</t>
  </si>
  <si>
    <t>Veículo com capacidade para 15 passageiros + motorista, 4 portas, com no máximo 1 ano de fabricação, motor 2.3 L movido à diesel, com ar condicionado e direção hidráulica. Modelo comercial de referência: Ducato Multi 2.3 16V Diesel</t>
  </si>
  <si>
    <t>60 meses</t>
  </si>
  <si>
    <t>Veículo com capacidade para 5 passageiros, 5 portas, com no máximo 1 ano de fabricação, motor 1,6 L, com ar condicionado e direção elétrica assistida. Modelo comercial de referência: Gol 1.6 MSI Flex 8V 5p</t>
  </si>
  <si>
    <t>Veículo com capacidade para 2 passageiros, 3 portas, com caçamba para transporte de cargas, capacidade de transporte de carga de  650kg, motor 1.4 L, com ar condicionado e direção hidráulica. Modelo comercial de referência: Strada Endurance 1.4 Flex 8V CD</t>
  </si>
  <si>
    <t>Custo mensal de utilização veículos</t>
  </si>
  <si>
    <t>Custo estimado de combustível para 8000 km/ mês</t>
  </si>
  <si>
    <t>Consumo médio Km/l</t>
  </si>
  <si>
    <t>Franquia</t>
  </si>
  <si>
    <t>Valor médio do combustível (litro)</t>
  </si>
  <si>
    <t>Quantidade média de litros por mês</t>
  </si>
  <si>
    <t>Custo mensal estimado</t>
  </si>
  <si>
    <t>2000 km</t>
  </si>
  <si>
    <t>6000 km</t>
  </si>
  <si>
    <t>Estimativa de custo para disponibilização de 3 carros, sem motorista, com franquia mensal de 8.000 Km</t>
  </si>
  <si>
    <t>Valor mensal (R$)</t>
  </si>
  <si>
    <t>Custo anual (R$)</t>
  </si>
  <si>
    <t xml:space="preserve">CUSTO de Equipamentos </t>
  </si>
  <si>
    <t>Consulta ao site &lt;http://preco.anp.gov.br/include/Resumo_Por_Municipio_Posto.asp&gt; Acesso em 27/04/2022</t>
  </si>
  <si>
    <t>Anexo III A  - FORMAÇÃO CUSTOS POSTOS DE  MANUTENÇÃO PREDIAL</t>
  </si>
  <si>
    <t>MÃO-DE-OBRA VINCULADA À EXECUÇÃO CONTRATUAL</t>
  </si>
  <si>
    <t>Dados para composição dos custos referentes a mão de obra</t>
  </si>
  <si>
    <t>Regime tributário da Licitante</t>
  </si>
  <si>
    <r>
      <rPr>
        <b/>
        <sz val="11"/>
        <rFont val="Calibri"/>
        <charset val="134"/>
        <scheme val="minor"/>
      </rPr>
      <t xml:space="preserve">Documento Comprobatório </t>
    </r>
    <r>
      <rPr>
        <b/>
        <i/>
        <sz val="11"/>
        <rFont val="Calibri"/>
        <charset val="134"/>
        <scheme val="minor"/>
      </rPr>
      <t>*Anexar Comprovante</t>
    </r>
  </si>
  <si>
    <r>
      <rPr>
        <b/>
        <sz val="11"/>
        <color theme="1"/>
        <rFont val="Calibri"/>
        <charset val="134"/>
        <scheme val="minor"/>
      </rPr>
      <t>ACT/CCT/DCT</t>
    </r>
    <r>
      <rPr>
        <sz val="11"/>
        <color theme="1"/>
        <rFont val="Calibri"/>
        <charset val="134"/>
        <scheme val="minor"/>
      </rPr>
      <t xml:space="preserve"> </t>
    </r>
    <r>
      <rPr>
        <i/>
        <sz val="8"/>
        <color theme="1"/>
        <rFont val="Calibri"/>
        <charset val="134"/>
        <scheme val="minor"/>
      </rPr>
      <t>inclusive aditivos se houver</t>
    </r>
  </si>
  <si>
    <t>Entidade Sindical da Empresa</t>
  </si>
  <si>
    <t>Entidade Sindical dos Empregados</t>
  </si>
  <si>
    <t>Número de Registro</t>
  </si>
  <si>
    <t>Início Vigência</t>
  </si>
  <si>
    <t>Fim Vigência</t>
  </si>
  <si>
    <t>Descrição Cargos</t>
  </si>
  <si>
    <t>Dias/Mês</t>
  </si>
  <si>
    <t>Posto</t>
  </si>
  <si>
    <t>CBO</t>
  </si>
  <si>
    <t>Salário</t>
  </si>
  <si>
    <t>Encarregado geral  44h</t>
  </si>
  <si>
    <t>7102-05</t>
  </si>
  <si>
    <t>3131-05</t>
  </si>
  <si>
    <t>9511-05</t>
  </si>
  <si>
    <t>Meio Oficial de Elétrica</t>
  </si>
  <si>
    <t>MÓDULO 1 : COMPOSIÇÃO DA REMUNERAÇÃO</t>
  </si>
  <si>
    <t>Composição da Remuneração</t>
  </si>
  <si>
    <t>Valor(R$)</t>
  </si>
  <si>
    <t>A</t>
  </si>
  <si>
    <t>Salário Base</t>
  </si>
  <si>
    <t>B</t>
  </si>
  <si>
    <t>Adicional de Periculosidade</t>
  </si>
  <si>
    <t>C</t>
  </si>
  <si>
    <t>Adicional de Insalubridade (20% ou 40%)</t>
  </si>
  <si>
    <t>D</t>
  </si>
  <si>
    <t>Adicional Noturno</t>
  </si>
  <si>
    <t>E</t>
  </si>
  <si>
    <t>Adicional de Hora Noturna Reduzida</t>
  </si>
  <si>
    <t>F</t>
  </si>
  <si>
    <t>Gratificação Liderança (15% ou 30%)</t>
  </si>
  <si>
    <t>Total de Remuneração</t>
  </si>
  <si>
    <t>MÓDULO 2: ENCARGOS E BENEFÍCIOS ANUAIS, MENSAIS E DIÁRIOS</t>
  </si>
  <si>
    <t>Submódulo 2.1 - 13º (décimo terceiro) Salário, Férias e Adicional de Férias</t>
  </si>
  <si>
    <t>13º (décimo terceiro) Salário</t>
  </si>
  <si>
    <t>Férias e Adicional de Férias</t>
  </si>
  <si>
    <t>Incidência do Submódulo 2.2 - Encargos previdenciários (GPS), FGTS e outras contribuições                                                                                     (Cálculo sobre a remuneração, pois será adotada a Conta Vinculada)</t>
  </si>
  <si>
    <t>Submódulo 2.2 - Encargos Previdenciários (GPS), Fundo de Garantia por Tempo de Serviço (FGTS) e outras contribuições</t>
  </si>
  <si>
    <t>GPS, FGTS e outras contribuições</t>
  </si>
  <si>
    <t>%</t>
  </si>
  <si>
    <t>INSS</t>
  </si>
  <si>
    <t>Salário Educação</t>
  </si>
  <si>
    <t>Seguro acidente do trabalho</t>
  </si>
  <si>
    <t>SESI ou SESC</t>
  </si>
  <si>
    <t>SENAI ou SENAC</t>
  </si>
  <si>
    <t>SEBRAE</t>
  </si>
  <si>
    <t>G</t>
  </si>
  <si>
    <t>INCRA</t>
  </si>
  <si>
    <t>H</t>
  </si>
  <si>
    <t>FGTS</t>
  </si>
  <si>
    <t>Itens não aplicáveis a Optantes do SIMPLES</t>
  </si>
  <si>
    <t>Submódulo 2.3 - Benefícios Mensais e Diários</t>
  </si>
  <si>
    <t>Benefícios Mensais e Diários</t>
  </si>
  <si>
    <t>Transporte -Cláusula 12ª da CCT - considerando 4 passagens/dia</t>
  </si>
  <si>
    <t>Ticket Alimentação - Cláusula 11ª da CCT</t>
  </si>
  <si>
    <t>Benefício Assistencial</t>
  </si>
  <si>
    <t>Seguro de Vida</t>
  </si>
  <si>
    <t>Total de Benefícios Mensais e Diários</t>
  </si>
  <si>
    <t>Quadro-Resumo do Módulo 2 - Encargos e Benefícios anuais, mensais e diários</t>
  </si>
  <si>
    <t>Encargos e Benefícios Anuais, Mensais e Diários</t>
  </si>
  <si>
    <t>Valor (R$)</t>
  </si>
  <si>
    <t>13º (décimo terceiro) Salário, Férias e Adicional de Férias</t>
  </si>
  <si>
    <t>MÓDULO 3: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</si>
  <si>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</si>
  <si>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</si>
  <si>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</si>
  <si>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</si>
  <si>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</si>
  <si>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de GPS, FGTS e outras contribuições sobre o aviso prévio trabalhado</t>
  </si>
  <si>
    <t>Multa do FGTS e contribuição social sobre o aviso prévio trabalhado</t>
  </si>
  <si>
    <t>MÓDULO 4: CUSTO DE REPOSIÇÃO DO PROFISSIONAL AUSENTE</t>
  </si>
  <si>
    <t>4.1</t>
  </si>
  <si>
    <t>Submódulo 4.1. Ausências legais</t>
  </si>
  <si>
    <t>Substituto na cobertura de férias</t>
  </si>
  <si>
    <t>Substituto na cobertura de Ausências legais</t>
  </si>
  <si>
    <t>Substituto na cobertura de Licença paternidade</t>
  </si>
  <si>
    <t>Substituto na cobertura de Ausência por Acidente de trabalho</t>
  </si>
  <si>
    <t>Substituto na cobertura de Afastamento Maternidade</t>
  </si>
  <si>
    <t>Substituto na cobertura de outras ausências (especificar)</t>
  </si>
  <si>
    <t>Submódulo 4.2 - Intrajornada</t>
  </si>
  <si>
    <t>4.2</t>
  </si>
  <si>
    <t>Intrajornada</t>
  </si>
  <si>
    <t>Intervalo para repouso ou alimentação</t>
  </si>
  <si>
    <t>Quadro-Resumo do Módulo 4 - Custo de Reposição do Profissional Ausente</t>
  </si>
  <si>
    <t>Custo de reposição</t>
  </si>
  <si>
    <t>Ausências legais</t>
  </si>
  <si>
    <t>MÓDULO 5: INSUMOS DIVERSOS</t>
  </si>
  <si>
    <t>Insumos Diversos</t>
  </si>
  <si>
    <t>Uniformes E EPIS</t>
  </si>
  <si>
    <t>Materiais</t>
  </si>
  <si>
    <t>Equipamentos</t>
  </si>
  <si>
    <t xml:space="preserve">Outros </t>
  </si>
  <si>
    <t>Total de Insumos Diversos</t>
  </si>
  <si>
    <t>MÓDULO 6: CUSTOS INDIRETOS, TRIBUTOS E LUCRO – (LUCRO PRESUMIDO)</t>
  </si>
  <si>
    <t>Custos Indiretos, Tributos e Lucro</t>
  </si>
  <si>
    <t>Custos Indiretos</t>
  </si>
  <si>
    <t>Lucro</t>
  </si>
  <si>
    <t>Tributos</t>
  </si>
  <si>
    <t>C.1) Tributos Federais (PIS = 0,65% e COFINS = 3%)</t>
  </si>
  <si>
    <t>C.2) Tributos Estaduais (especificar)</t>
  </si>
  <si>
    <t>C.3) Tributos Municipais (ISS = 5,0%)</t>
  </si>
  <si>
    <t>C.4) Outros tributos (especificar)</t>
  </si>
  <si>
    <t>Quadro-resumo do Custo por Empregado (LUCRO PRESUMIDO)</t>
  </si>
  <si>
    <t>LUCRO PRESUMIDO</t>
  </si>
  <si>
    <t>Mão-de-obra vinculada à execução contratual (valor por empregado)</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</si>
  <si>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</si>
  <si>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</si>
  <si>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</si>
  <si>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</si>
  <si>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</si>
  <si>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D+E)</t>
  </si>
  <si>
    <t>Módulo 6 – Custos Indiretos, Tributos e Lucro</t>
  </si>
  <si>
    <t>Valor total por empregado</t>
  </si>
  <si>
    <t>Valor total por posto 12x36h</t>
  </si>
  <si>
    <t>FATOR K</t>
  </si>
  <si>
    <t>MÓDULO 6: CUSTOS INDIRETOS, TRIBUTOS E LUCRO – (LUCRO REAL)</t>
  </si>
  <si>
    <t>C.1) Tributos Federais (PIS = 1,65% e COFINS = 7,60%)</t>
  </si>
  <si>
    <t>Quadro-resumo do Custo por Empregado (LUCRO REAL)</t>
  </si>
  <si>
    <t>LUCRO REAL</t>
  </si>
  <si>
    <t>Anexo III B  - FORMAÇÃO CUSTOS POSTOS DE  MANUTENÇÃO PREDIAL</t>
  </si>
  <si>
    <t>7241-10</t>
  </si>
  <si>
    <t>7155-05</t>
  </si>
  <si>
    <t>7152-10</t>
  </si>
  <si>
    <t>7164-05</t>
  </si>
  <si>
    <t>7244-40</t>
  </si>
  <si>
    <t>Anexo III C  - FORMAÇÃO CUSTOS POSTOS DE  MANUTENÇÃO PREDIAL</t>
  </si>
  <si>
    <t>7243-15</t>
  </si>
  <si>
    <t>9112-05</t>
  </si>
  <si>
    <t>7166-10</t>
  </si>
  <si>
    <t>7170-20</t>
  </si>
  <si>
    <t>7823-10</t>
  </si>
  <si>
    <t xml:space="preserve"> 3911-45</t>
  </si>
  <si>
    <r>
      <rPr>
        <b/>
        <sz val="9"/>
        <color rgb="FFFF0000"/>
        <rFont val="Verdana"/>
        <charset val="134"/>
      </rPr>
      <t>Anexo IV A - PLANILHA DE COMPOSIÇÃO DE CUSTOS E FORMAÇÃO DE PREÇOS</t>
    </r>
    <r>
      <rPr>
        <sz val="9"/>
        <color rgb="FFFF0000"/>
        <rFont val="Verdana"/>
        <charset val="134"/>
      </rPr>
      <t xml:space="preserve"> (Anexo VII da I.N. da SLTI/MPOG n.º 5 de 26/Maio/2017			</t>
    </r>
  </si>
  <si>
    <t>Custo total da contratação</t>
  </si>
  <si>
    <t>FUNCIONÁRIOS</t>
  </si>
  <si>
    <t>VALOR MENSAL POR POSTO</t>
  </si>
  <si>
    <t>TOTAL MENSAL</t>
  </si>
  <si>
    <t>TOTAL ANUAL</t>
  </si>
  <si>
    <t>Encarregado geral 44h</t>
  </si>
  <si>
    <r>
      <rPr>
        <b/>
        <sz val="9"/>
        <color rgb="FFFF0000"/>
        <rFont val="Verdana"/>
        <charset val="134"/>
      </rPr>
      <t>Anexo IV B - PLANILHA DE COMPOSIÇÃO DE CUSTOS E FORMAÇÃO DE PREÇOS</t>
    </r>
    <r>
      <rPr>
        <sz val="9"/>
        <color rgb="FFFF0000"/>
        <rFont val="Verdana"/>
        <charset val="134"/>
      </rPr>
      <t xml:space="preserve"> (Anexo VII da I.N. da SLTI/MPOG n.º 5 de 26/Maio/2017			</t>
    </r>
  </si>
  <si>
    <t>Subitens</t>
  </si>
  <si>
    <t>UNID</t>
  </si>
  <si>
    <t>QTDADE</t>
  </si>
  <si>
    <t>CÁLCULO MENSAL</t>
  </si>
  <si>
    <t>TOTAL ESTIMADO (qtd x 12 meses)</t>
  </si>
  <si>
    <t>CUSTOS MÁXIMOS MENSAIS</t>
  </si>
  <si>
    <t>BDI (SERV. OU MAT.)</t>
  </si>
  <si>
    <t>ITEM 01</t>
  </si>
  <si>
    <t>Mão de obra permanente</t>
  </si>
  <si>
    <t>MÊS</t>
  </si>
  <si>
    <t>Custo de Disponibilização de 3 veículos, com franquia de 8000 km</t>
  </si>
  <si>
    <t>Custo de aluguel de guindauto, capacidade mínima de 6.200 kg, com operador (estimado 40 horas/mês)</t>
  </si>
  <si>
    <t>HORA</t>
  </si>
  <si>
    <t>Custo de equipamentos, instrumentos e ferramentas</t>
  </si>
  <si>
    <t>Serviços eventuais (5% da mão de obra)</t>
  </si>
  <si>
    <t>Peças para manutenção (5% mão de obra)</t>
  </si>
  <si>
    <r>
      <rPr>
        <b/>
        <sz val="11"/>
        <color theme="1"/>
        <rFont val="Calibri"/>
        <charset val="134"/>
        <scheme val="minor"/>
      </rPr>
      <t xml:space="preserve">TOTAL ITEM 1 </t>
    </r>
    <r>
      <rPr>
        <b/>
        <sz val="11"/>
        <color rgb="FFFF0000"/>
        <rFont val="Calibri"/>
        <charset val="134"/>
        <scheme val="minor"/>
      </rPr>
      <t>(VALOR DO LANCE COMPRASNET)</t>
    </r>
  </si>
</sst>
</file>

<file path=xl/styles.xml><?xml version="1.0" encoding="utf-8"?>
<styleSheet xmlns="http://schemas.openxmlformats.org/spreadsheetml/2006/main">
  <numFmts count="12">
    <numFmt numFmtId="176" formatCode="_-&quot;R$&quot;\ * #,##0.00_-;\-&quot;R$&quot;\ * #,##0.00_-;_-&quot;R$&quot;\ * &quot;-&quot;??_-;_-@_-"/>
    <numFmt numFmtId="177" formatCode="_-&quot;R$&quot;\ * #,##0_-;\-&quot;R$&quot;\ * #,##0_-;_-&quot;R$&quot;\ * &quot;-&quot;_-;_-@_-"/>
    <numFmt numFmtId="178" formatCode="_-* #,##0.00_-;\-* #,##0.00_-;_-* &quot;-&quot;??_-;_-@_-"/>
    <numFmt numFmtId="179" formatCode="_-* #,##0_-;\-* #,##0_-;_-* &quot;-&quot;_-;_-@_-"/>
    <numFmt numFmtId="180" formatCode="0.0"/>
    <numFmt numFmtId="181" formatCode="&quot;R$&quot;\ #,##0.00"/>
    <numFmt numFmtId="182" formatCode="d/m/yyyy"/>
    <numFmt numFmtId="183" formatCode="d\.m"/>
    <numFmt numFmtId="184" formatCode="#,##0.00_);\(#,##0.00\)"/>
    <numFmt numFmtId="185" formatCode="00"/>
    <numFmt numFmtId="186" formatCode="&quot;R$&quot;\ #,##0.00;[Red]\-&quot;R$&quot;\ #,##0.00"/>
    <numFmt numFmtId="187" formatCode="&quot;R$&quot;\ #,##0.000"/>
  </numFmts>
  <fonts count="69">
    <font>
      <sz val="11"/>
      <color theme="1"/>
      <name val="Calibri"/>
      <charset val="134"/>
      <scheme val="minor"/>
    </font>
    <font>
      <b/>
      <sz val="14"/>
      <color theme="1"/>
      <name val="Calibri"/>
      <charset val="134"/>
      <scheme val="minor"/>
    </font>
    <font>
      <b/>
      <sz val="9"/>
      <color rgb="FFFF0000"/>
      <name val="Verdana"/>
      <charset val="134"/>
    </font>
    <font>
      <b/>
      <sz val="9"/>
      <name val="Verdana"/>
      <charset val="134"/>
    </font>
    <font>
      <b/>
      <sz val="11"/>
      <color theme="9" tint="-0.249977111117893"/>
      <name val="Calibri"/>
      <charset val="134"/>
      <scheme val="minor"/>
    </font>
    <font>
      <b/>
      <sz val="10"/>
      <color theme="1"/>
      <name val="Calibri"/>
      <charset val="134"/>
      <scheme val="minor"/>
    </font>
    <font>
      <b/>
      <sz val="18"/>
      <color theme="1"/>
      <name val="Calibri"/>
      <charset val="134"/>
      <scheme val="minor"/>
    </font>
    <font>
      <sz val="11"/>
      <name val="Calibri"/>
      <charset val="134"/>
      <scheme val="minor"/>
    </font>
    <font>
      <b/>
      <sz val="11"/>
      <color theme="1"/>
      <name val="Calibri"/>
      <charset val="134"/>
      <scheme val="minor"/>
    </font>
    <font>
      <b/>
      <sz val="11"/>
      <name val="Calibri"/>
      <charset val="134"/>
      <scheme val="minor"/>
    </font>
    <font>
      <sz val="10"/>
      <name val="Verdana"/>
      <charset val="134"/>
    </font>
    <font>
      <b/>
      <sz val="11"/>
      <color rgb="FFFF0000"/>
      <name val="Calibri"/>
      <charset val="134"/>
      <scheme val="minor"/>
    </font>
    <font>
      <b/>
      <sz val="10"/>
      <name val="Calibri"/>
      <charset val="134"/>
      <scheme val="minor"/>
    </font>
    <font>
      <sz val="11"/>
      <color rgb="FF000000"/>
      <name val="Calibri"/>
      <charset val="134"/>
      <scheme val="minor"/>
    </font>
    <font>
      <b/>
      <sz val="11"/>
      <color rgb="FF000000"/>
      <name val="Calibri"/>
      <charset val="134"/>
      <scheme val="minor"/>
    </font>
    <font>
      <sz val="11"/>
      <color indexed="8"/>
      <name val="Calibri"/>
      <charset val="134"/>
      <scheme val="minor"/>
    </font>
    <font>
      <sz val="11"/>
      <color indexed="20"/>
      <name val="Calibri"/>
      <charset val="134"/>
      <scheme val="minor"/>
    </font>
    <font>
      <b/>
      <sz val="11"/>
      <color indexed="8"/>
      <name val="Calibri"/>
      <charset val="134"/>
      <scheme val="minor"/>
    </font>
    <font>
      <sz val="11"/>
      <color rgb="FFFF0000"/>
      <name val="Calibri"/>
      <charset val="134"/>
      <scheme val="minor"/>
    </font>
    <font>
      <i/>
      <sz val="11"/>
      <color theme="1"/>
      <name val="Calibri"/>
      <charset val="134"/>
      <scheme val="minor"/>
    </font>
    <font>
      <sz val="11"/>
      <color rgb="FF800080"/>
      <name val="Calibri"/>
      <charset val="134"/>
      <scheme val="minor"/>
    </font>
    <font>
      <sz val="10"/>
      <color theme="1"/>
      <name val="Calibri"/>
      <charset val="134"/>
      <scheme val="minor"/>
    </font>
    <font>
      <b/>
      <sz val="12"/>
      <color theme="1"/>
      <name val="Calibri"/>
      <charset val="134"/>
      <scheme val="minor"/>
    </font>
    <font>
      <b/>
      <sz val="12"/>
      <color rgb="FFFF0000"/>
      <name val="Calibri"/>
      <charset val="134"/>
      <scheme val="minor"/>
    </font>
    <font>
      <b/>
      <sz val="10"/>
      <name val="Calibri"/>
      <charset val="134"/>
    </font>
    <font>
      <sz val="10"/>
      <name val="Calibri"/>
      <charset val="134"/>
    </font>
    <font>
      <sz val="11"/>
      <name val="Calibri"/>
      <charset val="134"/>
    </font>
    <font>
      <sz val="10"/>
      <name val="Calibri"/>
      <charset val="134"/>
      <scheme val="minor"/>
    </font>
    <font>
      <sz val="10"/>
      <color rgb="FF000000"/>
      <name val="Calibri"/>
      <charset val="134"/>
    </font>
    <font>
      <sz val="10"/>
      <color rgb="FFFF0000"/>
      <name val="Calibri"/>
      <charset val="134"/>
    </font>
    <font>
      <sz val="10"/>
      <color rgb="FF000000"/>
      <name val="Calibri"/>
      <charset val="134"/>
      <scheme val="minor"/>
    </font>
    <font>
      <sz val="10"/>
      <color rgb="FF000000"/>
      <name val="Times New Roman"/>
      <charset val="134"/>
    </font>
    <font>
      <b/>
      <sz val="10"/>
      <color rgb="FFFF0000"/>
      <name val="Calibri"/>
      <charset val="134"/>
      <scheme val="minor"/>
    </font>
    <font>
      <i/>
      <sz val="10"/>
      <color theme="1"/>
      <name val="Calibri"/>
      <charset val="134"/>
      <scheme val="minor"/>
    </font>
    <font>
      <b/>
      <sz val="11"/>
      <color rgb="FFFF0000"/>
      <name val="Calibri"/>
      <charset val="134"/>
    </font>
    <font>
      <sz val="11"/>
      <color rgb="FFFF0000"/>
      <name val="Calibri"/>
      <charset val="134"/>
    </font>
    <font>
      <b/>
      <sz val="11"/>
      <name val="Calibri"/>
      <charset val="134"/>
    </font>
    <font>
      <b/>
      <sz val="11"/>
      <name val="Arial"/>
      <charset val="134"/>
    </font>
    <font>
      <sz val="11"/>
      <color rgb="FF333333"/>
      <name val="Calibri"/>
      <charset val="134"/>
    </font>
    <font>
      <sz val="10"/>
      <name val="Arial"/>
      <charset val="134"/>
    </font>
    <font>
      <b/>
      <sz val="12"/>
      <color rgb="FFFFFFFF"/>
      <name val="Calibri"/>
      <charset val="134"/>
      <scheme val="minor"/>
    </font>
    <font>
      <sz val="11"/>
      <color theme="0"/>
      <name val="Calibri"/>
      <charset val="0"/>
      <scheme val="minor"/>
    </font>
    <font>
      <sz val="11"/>
      <color theme="1"/>
      <name val="Calibri"/>
      <charset val="0"/>
      <scheme val="minor"/>
    </font>
    <font>
      <b/>
      <sz val="11"/>
      <color theme="3"/>
      <name val="Calibri"/>
      <charset val="134"/>
      <scheme val="minor"/>
    </font>
    <font>
      <sz val="11"/>
      <color rgb="FFFA7D00"/>
      <name val="Calibri"/>
      <charset val="0"/>
      <scheme val="minor"/>
    </font>
    <font>
      <b/>
      <sz val="11"/>
      <color rgb="FFFFFFFF"/>
      <name val="Calibri"/>
      <charset val="0"/>
      <scheme val="minor"/>
    </font>
    <font>
      <b/>
      <sz val="11"/>
      <color rgb="FFFA7D00"/>
      <name val="Calibri"/>
      <charset val="0"/>
      <scheme val="minor"/>
    </font>
    <font>
      <i/>
      <sz val="11"/>
      <color rgb="FF7F7F7F"/>
      <name val="Calibri"/>
      <charset val="0"/>
      <scheme val="minor"/>
    </font>
    <font>
      <u/>
      <sz val="11"/>
      <color rgb="FF0000FF"/>
      <name val="Calibri"/>
      <charset val="0"/>
      <scheme val="minor"/>
    </font>
    <font>
      <u/>
      <sz val="11"/>
      <color rgb="FF800080"/>
      <name val="Calibri"/>
      <charset val="0"/>
      <scheme val="minor"/>
    </font>
    <font>
      <b/>
      <sz val="18"/>
      <color theme="3"/>
      <name val="Calibri"/>
      <charset val="134"/>
      <scheme val="minor"/>
    </font>
    <font>
      <sz val="11"/>
      <color rgb="FF000000"/>
      <name val="Calibri"/>
      <charset val="134"/>
    </font>
    <font>
      <sz val="11"/>
      <color theme="1"/>
      <name val="Arial"/>
      <charset val="134"/>
    </font>
    <font>
      <sz val="11"/>
      <color rgb="FFFF0000"/>
      <name val="Calibri"/>
      <charset val="0"/>
      <scheme val="minor"/>
    </font>
    <font>
      <sz val="11"/>
      <color rgb="FF9C0006"/>
      <name val="Calibri"/>
      <charset val="0"/>
      <scheme val="minor"/>
    </font>
    <font>
      <b/>
      <sz val="11"/>
      <color rgb="FF3F3F3F"/>
      <name val="Calibri"/>
      <charset val="0"/>
      <scheme val="minor"/>
    </font>
    <font>
      <b/>
      <sz val="11"/>
      <color theme="1"/>
      <name val="Calibri"/>
      <charset val="0"/>
      <scheme val="minor"/>
    </font>
    <font>
      <b/>
      <sz val="15"/>
      <color theme="3"/>
      <name val="Calibri"/>
      <charset val="134"/>
      <scheme val="minor"/>
    </font>
    <font>
      <b/>
      <sz val="13"/>
      <color theme="3"/>
      <name val="Calibri"/>
      <charset val="134"/>
      <scheme val="minor"/>
    </font>
    <font>
      <sz val="11"/>
      <color rgb="FF3F3F76"/>
      <name val="Calibri"/>
      <charset val="0"/>
      <scheme val="minor"/>
    </font>
    <font>
      <sz val="11"/>
      <color rgb="FF9C6500"/>
      <name val="Calibri"/>
      <charset val="0"/>
      <scheme val="minor"/>
    </font>
    <font>
      <sz val="11"/>
      <color rgb="FF006100"/>
      <name val="Calibri"/>
      <charset val="0"/>
      <scheme val="minor"/>
    </font>
    <font>
      <sz val="9"/>
      <name val="Verdana"/>
      <charset val="134"/>
    </font>
    <font>
      <sz val="9"/>
      <color rgb="FFFF0000"/>
      <name val="Verdana"/>
      <charset val="134"/>
    </font>
    <font>
      <b/>
      <i/>
      <sz val="11"/>
      <name val="Calibri"/>
      <charset val="134"/>
      <scheme val="minor"/>
    </font>
    <font>
      <i/>
      <sz val="8"/>
      <color theme="1"/>
      <name val="Calibri"/>
      <charset val="134"/>
      <scheme val="minor"/>
    </font>
    <font>
      <b/>
      <sz val="10"/>
      <color rgb="FF000000"/>
      <name val="Calibri"/>
      <charset val="134"/>
      <scheme val="minor"/>
    </font>
    <font>
      <b/>
      <sz val="9"/>
      <name val="Segoe UI"/>
      <charset val="134"/>
    </font>
    <font>
      <sz val="9"/>
      <name val="Segoe UI"/>
      <charset val="134"/>
    </font>
  </fonts>
  <fills count="42">
    <fill>
      <patternFill patternType="none"/>
    </fill>
    <fill>
      <patternFill patternType="gray125"/>
    </fill>
    <fill>
      <patternFill patternType="solid">
        <fgColor theme="4" tint="0.599993896298105"/>
        <bgColor indexed="64"/>
      </patternFill>
    </fill>
    <fill>
      <patternFill patternType="solid">
        <fgColor indexed="22"/>
        <bgColor indexed="31"/>
      </patternFill>
    </fill>
    <fill>
      <patternFill patternType="solid">
        <fgColor theme="0"/>
        <bgColor indexed="64"/>
      </patternFill>
    </fill>
    <fill>
      <patternFill patternType="solid">
        <fgColor indexed="9"/>
        <bgColor indexed="26"/>
      </patternFill>
    </fill>
    <fill>
      <patternFill patternType="solid">
        <fgColor theme="4" tint="0.799981688894314"/>
        <bgColor indexed="26"/>
      </patternFill>
    </fill>
    <fill>
      <patternFill patternType="solid">
        <fgColor theme="0"/>
        <bgColor rgb="FF000000"/>
      </patternFill>
    </fill>
    <fill>
      <patternFill patternType="solid">
        <fgColor theme="0"/>
        <bgColor indexed="26"/>
      </patternFill>
    </fill>
    <fill>
      <patternFill patternType="solid">
        <fgColor theme="4" tint="0.799981688894314"/>
        <bgColor indexed="64"/>
      </patternFill>
    </fill>
    <fill>
      <patternFill patternType="solid">
        <fgColor theme="3" tint="0.799981688894314"/>
        <bgColor indexed="64"/>
      </patternFill>
    </fill>
    <fill>
      <patternFill patternType="solid">
        <fgColor rgb="FFB8CCE4"/>
        <bgColor rgb="FFB8CCE4"/>
      </patternFill>
    </fill>
    <fill>
      <patternFill patternType="solid">
        <fgColor theme="0"/>
        <bgColor rgb="FFB8CCE4"/>
      </patternFill>
    </fill>
    <fill>
      <patternFill patternType="solid">
        <fgColor theme="7"/>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799981688894314"/>
        <bgColor indexed="64"/>
      </patternFill>
    </fill>
    <fill>
      <patternFill patternType="solid">
        <fgColor theme="9"/>
        <bgColor indexed="64"/>
      </patternFill>
    </fill>
    <fill>
      <patternFill patternType="solid">
        <fgColor rgb="FFFFC7CE"/>
        <bgColor indexed="64"/>
      </patternFill>
    </fill>
    <fill>
      <patternFill patternType="solid">
        <fgColor theme="6"/>
        <bgColor indexed="64"/>
      </patternFill>
    </fill>
    <fill>
      <patternFill patternType="solid">
        <fgColor theme="4"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FCC99"/>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theme="5"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9" tint="0.399975585192419"/>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top/>
      <bottom style="medium">
        <color auto="1"/>
      </bottom>
      <diagonal/>
    </border>
    <border>
      <left style="thin">
        <color indexed="8"/>
      </left>
      <right style="medium">
        <color indexed="8"/>
      </right>
      <top style="thin">
        <color indexed="8"/>
      </top>
      <bottom style="thin">
        <color indexed="8"/>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s>
  <cellStyleXfs count="57">
    <xf numFmtId="0" fontId="0" fillId="0" borderId="0"/>
    <xf numFmtId="178" fontId="21" fillId="0" borderId="0" applyFont="0" applyFill="0" applyBorder="0" applyAlignment="0" applyProtection="0">
      <alignment vertical="center"/>
    </xf>
    <xf numFmtId="179" fontId="21" fillId="0" borderId="0" applyFont="0" applyFill="0" applyBorder="0" applyAlignment="0" applyProtection="0">
      <alignment vertical="center"/>
    </xf>
    <xf numFmtId="0" fontId="42" fillId="14" borderId="0" applyNumberFormat="0" applyBorder="0" applyAlignment="0" applyProtection="0">
      <alignment vertical="center"/>
    </xf>
    <xf numFmtId="9" fontId="21" fillId="0" borderId="0" applyFont="0" applyFill="0" applyBorder="0" applyAlignment="0" applyProtection="0">
      <alignment vertical="center"/>
    </xf>
    <xf numFmtId="0" fontId="44" fillId="0" borderId="46" applyNumberFormat="0" applyFill="0" applyAlignment="0" applyProtection="0">
      <alignment vertical="center"/>
    </xf>
    <xf numFmtId="0" fontId="45" fillId="19" borderId="47" applyNumberFormat="0" applyAlignment="0" applyProtection="0">
      <alignment vertical="center"/>
    </xf>
    <xf numFmtId="0" fontId="0" fillId="0" borderId="0"/>
    <xf numFmtId="177" fontId="21" fillId="0" borderId="0" applyFont="0" applyFill="0" applyBorder="0" applyAlignment="0" applyProtection="0">
      <alignment vertical="center"/>
    </xf>
    <xf numFmtId="0" fontId="42" fillId="21" borderId="0" applyNumberFormat="0" applyBorder="0" applyAlignment="0" applyProtection="0">
      <alignment vertical="center"/>
    </xf>
    <xf numFmtId="176" fontId="0" fillId="0" borderId="0" applyFont="0" applyFill="0" applyBorder="0" applyAlignment="0" applyProtection="0"/>
    <xf numFmtId="0" fontId="4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25" borderId="0" applyNumberFormat="0" applyBorder="0" applyAlignment="0" applyProtection="0">
      <alignment vertical="center"/>
    </xf>
    <xf numFmtId="0" fontId="21" fillId="26" borderId="50" applyNumberFormat="0" applyFont="0" applyAlignment="0" applyProtection="0">
      <alignment vertical="center"/>
    </xf>
    <xf numFmtId="0" fontId="52" fillId="0" borderId="0"/>
    <xf numFmtId="0" fontId="42" fillId="17" borderId="0" applyNumberFormat="0" applyBorder="0" applyAlignment="0" applyProtection="0">
      <alignment vertical="center"/>
    </xf>
    <xf numFmtId="0" fontId="5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xf numFmtId="0" fontId="47" fillId="0" borderId="0" applyNumberFormat="0" applyFill="0" applyBorder="0" applyAlignment="0" applyProtection="0">
      <alignment vertical="center"/>
    </xf>
    <xf numFmtId="0" fontId="41" fillId="30" borderId="0" applyNumberFormat="0" applyBorder="0" applyAlignment="0" applyProtection="0">
      <alignment vertical="center"/>
    </xf>
    <xf numFmtId="0" fontId="57" fillId="0" borderId="53" applyNumberFormat="0" applyFill="0" applyAlignment="0" applyProtection="0">
      <alignment vertical="center"/>
    </xf>
    <xf numFmtId="0" fontId="41" fillId="13" borderId="0" applyNumberFormat="0" applyBorder="0" applyAlignment="0" applyProtection="0">
      <alignment vertical="center"/>
    </xf>
    <xf numFmtId="0" fontId="58" fillId="0" borderId="53" applyNumberFormat="0" applyFill="0" applyAlignment="0" applyProtection="0">
      <alignment vertical="center"/>
    </xf>
    <xf numFmtId="0" fontId="41" fillId="32" borderId="0" applyNumberFormat="0" applyBorder="0" applyAlignment="0" applyProtection="0">
      <alignment vertical="center"/>
    </xf>
    <xf numFmtId="0" fontId="43" fillId="0" borderId="49" applyNumberFormat="0" applyFill="0" applyAlignment="0" applyProtection="0">
      <alignment vertical="center"/>
    </xf>
    <xf numFmtId="0" fontId="41" fillId="28" borderId="0" applyNumberFormat="0" applyBorder="0" applyAlignment="0" applyProtection="0">
      <alignment vertical="center"/>
    </xf>
    <xf numFmtId="0" fontId="43" fillId="0" borderId="0" applyNumberFormat="0" applyFill="0" applyBorder="0" applyAlignment="0" applyProtection="0">
      <alignment vertical="center"/>
    </xf>
    <xf numFmtId="0" fontId="59" fillId="34" borderId="48" applyNumberFormat="0" applyAlignment="0" applyProtection="0">
      <alignment vertical="center"/>
    </xf>
    <xf numFmtId="0" fontId="55" fillId="20" borderId="51" applyNumberFormat="0" applyAlignment="0" applyProtection="0">
      <alignment vertical="center"/>
    </xf>
    <xf numFmtId="0" fontId="46" fillId="20" borderId="48" applyNumberFormat="0" applyAlignment="0" applyProtection="0">
      <alignment vertical="center"/>
    </xf>
    <xf numFmtId="0" fontId="56" fillId="0" borderId="52" applyNumberFormat="0" applyFill="0" applyAlignment="0" applyProtection="0">
      <alignment vertical="center"/>
    </xf>
    <xf numFmtId="0" fontId="42" fillId="2" borderId="0" applyNumberFormat="0" applyBorder="0" applyAlignment="0" applyProtection="0">
      <alignment vertical="center"/>
    </xf>
    <xf numFmtId="0" fontId="61" fillId="37" borderId="0" applyNumberFormat="0" applyBorder="0" applyAlignment="0" applyProtection="0">
      <alignment vertical="center"/>
    </xf>
    <xf numFmtId="0" fontId="54" fillId="29" borderId="0" applyNumberFormat="0" applyBorder="0" applyAlignment="0" applyProtection="0">
      <alignment vertical="center"/>
    </xf>
    <xf numFmtId="0" fontId="60" fillId="36" borderId="0" applyNumberFormat="0" applyBorder="0" applyAlignment="0" applyProtection="0">
      <alignment vertical="center"/>
    </xf>
    <xf numFmtId="176" fontId="0" fillId="0" borderId="0" applyFont="0" applyFill="0" applyBorder="0" applyAlignment="0" applyProtection="0"/>
    <xf numFmtId="0" fontId="42" fillId="24" borderId="0" applyNumberFormat="0" applyBorder="0" applyAlignment="0" applyProtection="0">
      <alignment vertical="center"/>
    </xf>
    <xf numFmtId="0" fontId="41" fillId="35" borderId="0" applyNumberFormat="0" applyBorder="0" applyAlignment="0" applyProtection="0">
      <alignment vertical="center"/>
    </xf>
    <xf numFmtId="0" fontId="42" fillId="9" borderId="0" applyNumberFormat="0" applyBorder="0" applyAlignment="0" applyProtection="0">
      <alignment vertical="center"/>
    </xf>
    <xf numFmtId="0" fontId="41" fillId="31" borderId="0" applyNumberFormat="0" applyBorder="0" applyAlignment="0" applyProtection="0">
      <alignment vertical="center"/>
    </xf>
    <xf numFmtId="0" fontId="42" fillId="27" borderId="0" applyNumberFormat="0" applyBorder="0" applyAlignment="0" applyProtection="0">
      <alignment vertical="center"/>
    </xf>
    <xf numFmtId="0" fontId="41" fillId="39" borderId="0" applyNumberFormat="0" applyBorder="0" applyAlignment="0" applyProtection="0">
      <alignment vertical="center"/>
    </xf>
    <xf numFmtId="0" fontId="42" fillId="38" borderId="0" applyNumberFormat="0" applyBorder="0" applyAlignment="0" applyProtection="0">
      <alignment vertical="center"/>
    </xf>
    <xf numFmtId="0" fontId="41" fillId="33" borderId="0" applyNumberFormat="0" applyBorder="0" applyAlignment="0" applyProtection="0">
      <alignment vertical="center"/>
    </xf>
    <xf numFmtId="0" fontId="42" fillId="18" borderId="0" applyNumberFormat="0" applyBorder="0" applyAlignment="0" applyProtection="0">
      <alignment vertical="center"/>
    </xf>
    <xf numFmtId="0" fontId="41" fillId="16" borderId="0" applyNumberFormat="0" applyBorder="0" applyAlignment="0" applyProtection="0">
      <alignment vertical="center"/>
    </xf>
    <xf numFmtId="0" fontId="42" fillId="15" borderId="0" applyNumberFormat="0" applyBorder="0" applyAlignment="0" applyProtection="0">
      <alignment vertical="center"/>
    </xf>
    <xf numFmtId="0" fontId="41" fillId="40" borderId="0" applyNumberFormat="0" applyBorder="0" applyAlignment="0" applyProtection="0">
      <alignment vertical="center"/>
    </xf>
    <xf numFmtId="0" fontId="42" fillId="23" borderId="0" applyNumberFormat="0" applyBorder="0" applyAlignment="0" applyProtection="0">
      <alignment vertical="center"/>
    </xf>
    <xf numFmtId="0" fontId="41" fillId="22" borderId="0" applyNumberFormat="0" applyBorder="0" applyAlignment="0" applyProtection="0">
      <alignment vertical="center"/>
    </xf>
    <xf numFmtId="0" fontId="41" fillId="41" borderId="0" applyNumberFormat="0" applyBorder="0" applyAlignment="0" applyProtection="0">
      <alignment vertical="center"/>
    </xf>
    <xf numFmtId="0" fontId="39" fillId="0" borderId="0"/>
    <xf numFmtId="0" fontId="62" fillId="0" borderId="0"/>
    <xf numFmtId="0" fontId="51" fillId="0" borderId="0"/>
    <xf numFmtId="0" fontId="26" fillId="0" borderId="0"/>
  </cellStyleXfs>
  <cellXfs count="411">
    <xf numFmtId="0" fontId="0" fillId="0" borderId="0" xfId="0"/>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center" vertical="distributed" wrapText="1" shrinkToFit="1" readingOrder="1"/>
    </xf>
    <xf numFmtId="0" fontId="3" fillId="0" borderId="0" xfId="0" applyFont="1" applyAlignment="1">
      <alignment horizontal="center" vertical="center" wrapText="1"/>
    </xf>
    <xf numFmtId="0" fontId="4" fillId="0" borderId="0" xfId="0" applyFont="1"/>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181" fontId="0" fillId="0" borderId="1" xfId="0" applyNumberFormat="1" applyBorder="1" applyAlignment="1">
      <alignment horizontal="center" vertical="center"/>
    </xf>
    <xf numFmtId="0" fontId="0" fillId="0" borderId="1" xfId="0" applyFont="1" applyBorder="1" applyAlignment="1">
      <alignment horizontal="center" vertical="center" wrapText="1"/>
    </xf>
    <xf numFmtId="10" fontId="0" fillId="0" borderId="1" xfId="0" applyNumberFormat="1" applyBorder="1" applyAlignment="1">
      <alignment horizontal="center" vertical="center"/>
    </xf>
    <xf numFmtId="181" fontId="7" fillId="0" borderId="1"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181" fontId="9" fillId="2" borderId="1" xfId="0" applyNumberFormat="1" applyFont="1" applyFill="1" applyBorder="1" applyAlignment="1">
      <alignment horizontal="center" vertical="center" wrapText="1"/>
    </xf>
    <xf numFmtId="181" fontId="7" fillId="0" borderId="1" xfId="0" applyNumberFormat="1" applyFont="1" applyBorder="1" applyAlignment="1">
      <alignment horizontal="center" vertical="center"/>
    </xf>
    <xf numFmtId="0" fontId="1" fillId="0" borderId="0" xfId="0" applyFont="1" applyAlignment="1">
      <alignment wrapText="1"/>
    </xf>
    <xf numFmtId="0" fontId="1" fillId="0" borderId="0" xfId="0" applyFont="1" applyAlignment="1"/>
    <xf numFmtId="0" fontId="3" fillId="0" borderId="0" xfId="0" applyFont="1" applyAlignment="1">
      <alignment vertical="distributed" wrapText="1" shrinkToFit="1" readingOrder="1"/>
    </xf>
    <xf numFmtId="0" fontId="3" fillId="0" borderId="0" xfId="0" applyFont="1" applyAlignment="1">
      <alignment vertical="center" wrapText="1"/>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9"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176" fontId="9" fillId="4" borderId="1" xfId="0" applyNumberFormat="1" applyFont="1" applyFill="1" applyBorder="1" applyAlignment="1">
      <alignment horizontal="center" vertical="center" wrapText="1"/>
    </xf>
    <xf numFmtId="176" fontId="9" fillId="4" borderId="9"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3" fontId="9" fillId="2" borderId="11" xfId="0" applyNumberFormat="1" applyFont="1" applyFill="1" applyBorder="1" applyAlignment="1">
      <alignment horizontal="center" vertical="center"/>
    </xf>
    <xf numFmtId="181" fontId="9" fillId="2" borderId="11" xfId="0" applyNumberFormat="1" applyFont="1" applyFill="1" applyBorder="1" applyAlignment="1">
      <alignment horizontal="center" vertical="center" wrapText="1"/>
    </xf>
    <xf numFmtId="176" fontId="9" fillId="2" borderId="11" xfId="0" applyNumberFormat="1" applyFont="1" applyFill="1" applyBorder="1" applyAlignment="1">
      <alignment horizontal="center" vertical="center" wrapText="1"/>
    </xf>
    <xf numFmtId="176" fontId="9" fillId="2" borderId="12" xfId="0" applyNumberFormat="1" applyFont="1" applyFill="1" applyBorder="1" applyAlignment="1">
      <alignment horizontal="center" vertical="center" wrapText="1"/>
    </xf>
    <xf numFmtId="0" fontId="11" fillId="0" borderId="0" xfId="0" applyFont="1" applyAlignment="1">
      <alignment horizontal="center" vertical="distributed" wrapText="1" shrinkToFit="1" readingOrder="1"/>
    </xf>
    <xf numFmtId="0" fontId="9" fillId="0" borderId="0" xfId="0" applyFont="1" applyAlignment="1">
      <alignment horizontal="center" vertical="center" wrapText="1"/>
    </xf>
    <xf numFmtId="0" fontId="9" fillId="5" borderId="0" xfId="0" applyFont="1" applyFill="1" applyAlignment="1">
      <alignment horizontal="center"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9" fillId="6" borderId="6" xfId="0" applyFont="1" applyFill="1" applyBorder="1" applyAlignment="1">
      <alignment horizontal="left" vertical="center" wrapText="1"/>
    </xf>
    <xf numFmtId="0" fontId="9" fillId="6" borderId="7" xfId="0" applyFont="1" applyFill="1" applyBorder="1" applyAlignment="1">
      <alignment horizontal="left" vertical="center" wrapText="1"/>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0" fillId="5" borderId="0" xfId="0" applyFill="1" applyAlignment="1">
      <alignment vertical="center"/>
    </xf>
    <xf numFmtId="0" fontId="12" fillId="5" borderId="0" xfId="0" applyFont="1" applyFill="1" applyAlignment="1">
      <alignment horizontal="left" vertical="center" wrapText="1"/>
    </xf>
    <xf numFmtId="0" fontId="12" fillId="5" borderId="0" xfId="0" applyFont="1" applyFill="1" applyAlignment="1">
      <alignment horizontal="center" vertical="center"/>
    </xf>
    <xf numFmtId="0" fontId="0" fillId="6" borderId="5" xfId="0" applyFill="1" applyBorder="1" applyAlignment="1">
      <alignment horizontal="left" vertical="center"/>
    </xf>
    <xf numFmtId="0" fontId="0" fillId="6" borderId="6" xfId="0" applyFill="1" applyBorder="1" applyAlignment="1">
      <alignment horizontal="left" vertical="center"/>
    </xf>
    <xf numFmtId="0" fontId="0" fillId="6" borderId="7" xfId="0" applyFill="1" applyBorder="1" applyAlignment="1">
      <alignment horizontal="left" vertical="center"/>
    </xf>
    <xf numFmtId="0" fontId="13" fillId="7" borderId="8"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12" fillId="5" borderId="1" xfId="0" applyFont="1" applyFill="1" applyBorder="1" applyAlignment="1">
      <alignment horizontal="center" vertical="center"/>
    </xf>
    <xf numFmtId="0" fontId="12" fillId="5" borderId="9" xfId="0" applyFont="1" applyFill="1" applyBorder="1" applyAlignment="1">
      <alignment horizontal="center" vertical="center"/>
    </xf>
    <xf numFmtId="0" fontId="14" fillId="7" borderId="8"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3" fillId="7" borderId="10" xfId="0" applyFont="1" applyFill="1" applyBorder="1" applyAlignment="1">
      <alignment horizontal="left" vertical="center" wrapText="1"/>
    </xf>
    <xf numFmtId="0" fontId="13" fillId="7" borderId="11" xfId="0" applyFont="1" applyFill="1" applyBorder="1" applyAlignment="1">
      <alignment horizontal="left" vertical="center" wrapText="1"/>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8" borderId="0" xfId="0" applyFont="1" applyFill="1" applyAlignment="1">
      <alignment vertical="center"/>
    </xf>
    <xf numFmtId="0" fontId="8" fillId="6" borderId="8" xfId="0" applyFont="1" applyFill="1" applyBorder="1" applyAlignment="1">
      <alignment horizontal="center" vertical="center" wrapText="1"/>
    </xf>
    <xf numFmtId="0" fontId="8"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9" xfId="0" applyFont="1" applyFill="1" applyBorder="1" applyAlignment="1">
      <alignment horizontal="center" vertical="center"/>
    </xf>
    <xf numFmtId="0" fontId="8" fillId="8" borderId="8" xfId="0" applyFont="1" applyFill="1" applyBorder="1" applyAlignment="1">
      <alignment horizontal="center" vertical="center"/>
    </xf>
    <xf numFmtId="0" fontId="10" fillId="0" borderId="1" xfId="0" applyFont="1" applyBorder="1" applyAlignment="1">
      <alignment horizontal="left" vertical="center" wrapText="1"/>
    </xf>
    <xf numFmtId="0" fontId="9" fillId="8" borderId="1" xfId="0" applyFont="1" applyFill="1" applyBorder="1" applyAlignment="1">
      <alignment horizontal="center" vertical="center"/>
    </xf>
    <xf numFmtId="181" fontId="9" fillId="8" borderId="9" xfId="0" applyNumberFormat="1" applyFont="1" applyFill="1" applyBorder="1" applyAlignment="1">
      <alignment horizontal="center" vertical="center"/>
    </xf>
    <xf numFmtId="0" fontId="8" fillId="8" borderId="10" xfId="0" applyFont="1" applyFill="1" applyBorder="1" applyAlignment="1">
      <alignment horizontal="center" vertical="center"/>
    </xf>
    <xf numFmtId="0" fontId="10" fillId="0" borderId="11" xfId="0" applyFont="1" applyBorder="1" applyAlignment="1">
      <alignment horizontal="left" vertical="center" wrapText="1"/>
    </xf>
    <xf numFmtId="0" fontId="9" fillId="8" borderId="11" xfId="0" applyFont="1" applyFill="1" applyBorder="1" applyAlignment="1">
      <alignment horizontal="center" vertical="center"/>
    </xf>
    <xf numFmtId="181" fontId="9" fillId="8" borderId="12" xfId="0" applyNumberFormat="1" applyFont="1" applyFill="1" applyBorder="1" applyAlignment="1">
      <alignment horizontal="center" vertical="center"/>
    </xf>
    <xf numFmtId="182" fontId="0" fillId="5" borderId="0" xfId="0" applyNumberFormat="1" applyFill="1" applyAlignment="1">
      <alignment horizontal="center" vertical="center"/>
    </xf>
    <xf numFmtId="0" fontId="0" fillId="5" borderId="0" xfId="0" applyFill="1" applyAlignment="1">
      <alignment horizontal="center" vertical="center"/>
    </xf>
    <xf numFmtId="0" fontId="9" fillId="9" borderId="5" xfId="0" applyFont="1" applyFill="1" applyBorder="1" applyAlignment="1" applyProtection="1">
      <alignment horizontal="center" vertical="center"/>
      <protection locked="0"/>
    </xf>
    <xf numFmtId="0" fontId="9" fillId="9" borderId="6" xfId="0" applyFont="1" applyFill="1" applyBorder="1" applyAlignment="1" applyProtection="1">
      <alignment horizontal="center" vertical="center"/>
      <protection locked="0"/>
    </xf>
    <xf numFmtId="0" fontId="12" fillId="9" borderId="6" xfId="0" applyFont="1" applyFill="1" applyBorder="1" applyAlignment="1">
      <alignment horizontal="center" vertical="center" wrapText="1"/>
    </xf>
    <xf numFmtId="0" fontId="9" fillId="5" borderId="8" xfId="0" applyFont="1" applyFill="1" applyBorder="1" applyAlignment="1">
      <alignment horizontal="center" vertical="center"/>
    </xf>
    <xf numFmtId="0" fontId="9" fillId="0" borderId="1" xfId="0" applyFont="1" applyBorder="1" applyAlignment="1" applyProtection="1">
      <alignment horizontal="left" vertical="center"/>
      <protection locked="0"/>
    </xf>
    <xf numFmtId="0" fontId="9" fillId="0" borderId="1" xfId="0" applyFont="1" applyBorder="1" applyAlignment="1" applyProtection="1">
      <alignment horizontal="center" vertical="center"/>
      <protection locked="0"/>
    </xf>
    <xf numFmtId="0" fontId="7" fillId="5" borderId="8" xfId="0" applyFont="1" applyFill="1" applyBorder="1" applyAlignment="1">
      <alignment horizontal="center" vertical="center"/>
    </xf>
    <xf numFmtId="0" fontId="7" fillId="0" borderId="1" xfId="0" applyFont="1" applyBorder="1" applyAlignment="1" applyProtection="1">
      <alignment horizontal="left" vertical="center"/>
      <protection locked="0"/>
    </xf>
    <xf numFmtId="176" fontId="15" fillId="0" borderId="1" xfId="37" applyFont="1" applyFill="1" applyBorder="1" applyAlignment="1" applyProtection="1">
      <alignment vertical="center"/>
    </xf>
    <xf numFmtId="176" fontId="15" fillId="0" borderId="1" xfId="37" applyFont="1" applyFill="1" applyBorder="1" applyAlignment="1" applyProtection="1">
      <alignment vertical="center"/>
      <protection locked="0"/>
    </xf>
    <xf numFmtId="0" fontId="0" fillId="5" borderId="1" xfId="0" applyFill="1" applyBorder="1" applyAlignment="1">
      <alignment horizontal="center" vertical="center"/>
    </xf>
    <xf numFmtId="0" fontId="0" fillId="0" borderId="1" xfId="0" applyBorder="1"/>
    <xf numFmtId="181" fontId="0" fillId="5" borderId="1" xfId="0" applyNumberFormat="1" applyFill="1" applyBorder="1" applyAlignment="1">
      <alignment vertical="center"/>
    </xf>
    <xf numFmtId="0" fontId="7" fillId="0" borderId="1" xfId="0" applyFont="1" applyBorder="1" applyAlignment="1">
      <alignment horizontal="left" vertical="center" wrapText="1"/>
    </xf>
    <xf numFmtId="0" fontId="7" fillId="4" borderId="1" xfId="0" applyFont="1" applyFill="1" applyBorder="1" applyAlignment="1">
      <alignment horizontal="left" vertical="center" wrapText="1"/>
    </xf>
    <xf numFmtId="176" fontId="15" fillId="4" borderId="1" xfId="37" applyFont="1" applyFill="1" applyBorder="1" applyAlignment="1" applyProtection="1">
      <alignment vertical="center"/>
      <protection locked="0"/>
    </xf>
    <xf numFmtId="181" fontId="0" fillId="0" borderId="1" xfId="0" applyNumberFormat="1" applyBorder="1"/>
    <xf numFmtId="0" fontId="7" fillId="5" borderId="10" xfId="0" applyFont="1" applyFill="1" applyBorder="1" applyAlignment="1">
      <alignment vertical="center"/>
    </xf>
    <xf numFmtId="0" fontId="9" fillId="0" borderId="11" xfId="0" applyFont="1" applyBorder="1" applyAlignment="1" applyProtection="1">
      <alignment horizontal="left" vertical="center"/>
      <protection locked="0"/>
    </xf>
    <xf numFmtId="176" fontId="9" fillId="0" borderId="11" xfId="37" applyFont="1" applyFill="1" applyBorder="1" applyAlignment="1" applyProtection="1">
      <alignment vertical="center"/>
    </xf>
    <xf numFmtId="0" fontId="0" fillId="0" borderId="0" xfId="0" applyAlignment="1" applyProtection="1">
      <alignment horizontal="center" vertical="center"/>
      <protection locked="0"/>
    </xf>
    <xf numFmtId="0" fontId="9" fillId="9" borderId="5" xfId="0" applyFont="1" applyFill="1" applyBorder="1" applyAlignment="1" applyProtection="1">
      <alignment horizontal="left" vertical="center"/>
      <protection locked="0"/>
    </xf>
    <xf numFmtId="0" fontId="9" fillId="9" borderId="6" xfId="0" applyFont="1" applyFill="1" applyBorder="1" applyAlignment="1" applyProtection="1">
      <alignment horizontal="left" vertical="center"/>
      <protection locked="0"/>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vertical="center"/>
    </xf>
    <xf numFmtId="0" fontId="7" fillId="0" borderId="1" xfId="0" applyFont="1" applyBorder="1" applyAlignment="1">
      <alignment vertical="center"/>
    </xf>
    <xf numFmtId="176" fontId="15" fillId="5" borderId="1" xfId="37" applyFont="1" applyFill="1" applyBorder="1" applyAlignment="1" applyProtection="1">
      <alignment vertical="center"/>
    </xf>
    <xf numFmtId="176" fontId="9" fillId="5" borderId="1" xfId="37" applyFont="1" applyFill="1" applyBorder="1" applyAlignment="1" applyProtection="1">
      <alignment vertical="center"/>
    </xf>
    <xf numFmtId="0" fontId="7" fillId="5" borderId="10" xfId="0" applyFont="1" applyFill="1" applyBorder="1" applyAlignment="1">
      <alignment horizontal="center" vertical="center"/>
    </xf>
    <xf numFmtId="0" fontId="7" fillId="0" borderId="11" xfId="0" applyFont="1" applyBorder="1" applyAlignment="1">
      <alignment vertical="center" wrapText="1"/>
    </xf>
    <xf numFmtId="176" fontId="15" fillId="5" borderId="11" xfId="37" applyFont="1" applyFill="1" applyBorder="1" applyAlignment="1" applyProtection="1">
      <alignment vertical="center"/>
    </xf>
    <xf numFmtId="0" fontId="9" fillId="9" borderId="5" xfId="0" applyFont="1" applyFill="1" applyBorder="1" applyAlignment="1" applyProtection="1">
      <alignment horizontal="left" vertical="center" wrapText="1"/>
      <protection locked="0"/>
    </xf>
    <xf numFmtId="0" fontId="9" fillId="9" borderId="6" xfId="0" applyFont="1" applyFill="1" applyBorder="1" applyAlignment="1" applyProtection="1">
      <alignment horizontal="left" vertical="center" wrapText="1"/>
      <protection locked="0"/>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7" fillId="0" borderId="1" xfId="0" applyFont="1" applyBorder="1" applyAlignment="1">
      <alignment horizontal="justify" vertical="center" wrapText="1"/>
    </xf>
    <xf numFmtId="2" fontId="7" fillId="5" borderId="1" xfId="0" applyNumberFormat="1" applyFont="1" applyFill="1" applyBorder="1" applyAlignment="1">
      <alignment horizontal="center" vertical="center"/>
    </xf>
    <xf numFmtId="0" fontId="16" fillId="0" borderId="1" xfId="0" applyFont="1" applyBorder="1" applyAlignment="1">
      <alignment horizontal="justify" vertical="center" wrapText="1"/>
    </xf>
    <xf numFmtId="2" fontId="16" fillId="5" borderId="1" xfId="0" applyNumberFormat="1" applyFont="1" applyFill="1" applyBorder="1" applyAlignment="1">
      <alignment horizontal="center" vertical="center"/>
    </xf>
    <xf numFmtId="176" fontId="16" fillId="5" borderId="1" xfId="37" applyFont="1" applyFill="1" applyBorder="1" applyAlignment="1" applyProtection="1">
      <alignment vertical="center"/>
    </xf>
    <xf numFmtId="0" fontId="9" fillId="0" borderId="11" xfId="0" applyFont="1" applyBorder="1" applyAlignment="1">
      <alignment horizontal="justify" vertical="center" wrapText="1"/>
    </xf>
    <xf numFmtId="2" fontId="9" fillId="5" borderId="11" xfId="0" applyNumberFormat="1" applyFont="1" applyFill="1" applyBorder="1" applyAlignment="1">
      <alignment horizontal="center" vertical="center"/>
    </xf>
    <xf numFmtId="176" fontId="9" fillId="5" borderId="11" xfId="37" applyFont="1" applyFill="1" applyBorder="1" applyAlignment="1" applyProtection="1">
      <alignment vertical="center"/>
    </xf>
    <xf numFmtId="0" fontId="7" fillId="5" borderId="0" xfId="0" applyFont="1" applyFill="1" applyAlignment="1">
      <alignment vertical="center"/>
    </xf>
    <xf numFmtId="0" fontId="16" fillId="5" borderId="0" xfId="0" applyFont="1" applyFill="1" applyAlignment="1">
      <alignment vertical="center"/>
    </xf>
    <xf numFmtId="0" fontId="17" fillId="6" borderId="5" xfId="0" applyFont="1" applyFill="1" applyBorder="1" applyAlignment="1">
      <alignment horizontal="left" vertical="center"/>
    </xf>
    <xf numFmtId="0" fontId="17" fillId="6" borderId="6" xfId="0" applyFont="1" applyFill="1" applyBorder="1" applyAlignment="1">
      <alignment horizontal="left" vertical="center"/>
    </xf>
    <xf numFmtId="0" fontId="7" fillId="0" borderId="1" xfId="0" applyFont="1" applyBorder="1" applyAlignment="1" applyProtection="1">
      <alignment horizontal="left" vertical="center" wrapText="1"/>
      <protection locked="0"/>
    </xf>
    <xf numFmtId="176" fontId="7" fillId="0" borderId="1" xfId="37" applyFont="1" applyFill="1" applyBorder="1" applyAlignment="1" applyProtection="1">
      <alignment vertical="center"/>
      <protection locked="0"/>
    </xf>
    <xf numFmtId="0" fontId="12" fillId="9" borderId="7" xfId="0" applyFont="1" applyFill="1" applyBorder="1" applyAlignment="1">
      <alignment horizontal="center" vertical="center" wrapText="1"/>
    </xf>
    <xf numFmtId="0" fontId="9" fillId="0" borderId="9" xfId="0" applyFont="1" applyBorder="1" applyAlignment="1" applyProtection="1">
      <alignment horizontal="center" vertical="center"/>
      <protection locked="0"/>
    </xf>
    <xf numFmtId="176" fontId="15" fillId="0" borderId="9" xfId="37" applyFont="1" applyFill="1" applyBorder="1" applyAlignment="1" applyProtection="1">
      <alignment vertical="center"/>
    </xf>
    <xf numFmtId="0" fontId="0" fillId="0" borderId="9" xfId="0" applyBorder="1"/>
    <xf numFmtId="176" fontId="9" fillId="0" borderId="12" xfId="37" applyFont="1" applyFill="1" applyBorder="1" applyAlignment="1" applyProtection="1">
      <alignment vertical="center"/>
    </xf>
    <xf numFmtId="176" fontId="15" fillId="5" borderId="9" xfId="37" applyFont="1" applyFill="1" applyBorder="1" applyAlignment="1" applyProtection="1">
      <alignment vertical="center"/>
    </xf>
    <xf numFmtId="176" fontId="9" fillId="5" borderId="9" xfId="37" applyFont="1" applyFill="1" applyBorder="1" applyAlignment="1" applyProtection="1">
      <alignment vertical="center"/>
    </xf>
    <xf numFmtId="176" fontId="15" fillId="5" borderId="12" xfId="37" applyFont="1" applyFill="1" applyBorder="1" applyAlignment="1" applyProtection="1">
      <alignment vertical="center"/>
    </xf>
    <xf numFmtId="176" fontId="16" fillId="5" borderId="9" xfId="37" applyFont="1" applyFill="1" applyBorder="1" applyAlignment="1" applyProtection="1">
      <alignment vertical="center"/>
    </xf>
    <xf numFmtId="176" fontId="9" fillId="5" borderId="12" xfId="37" applyFont="1" applyFill="1" applyBorder="1" applyAlignment="1" applyProtection="1">
      <alignment vertical="center"/>
    </xf>
    <xf numFmtId="176" fontId="7" fillId="0" borderId="9" xfId="37" applyFont="1" applyFill="1" applyBorder="1" applyAlignment="1" applyProtection="1">
      <alignment vertical="center"/>
      <protection locked="0"/>
    </xf>
    <xf numFmtId="0" fontId="9" fillId="0" borderId="0" xfId="0" applyFont="1" applyAlignment="1" applyProtection="1">
      <alignment vertical="center"/>
      <protection locked="0"/>
    </xf>
    <xf numFmtId="184" fontId="9" fillId="0" borderId="0" xfId="0" applyNumberFormat="1" applyFont="1" applyAlignment="1">
      <alignment horizontal="center" vertical="center"/>
    </xf>
    <xf numFmtId="0" fontId="7" fillId="5" borderId="8" xfId="0" applyFont="1" applyFill="1" applyBorder="1" applyAlignment="1">
      <alignment horizontal="left" vertical="center"/>
    </xf>
    <xf numFmtId="184" fontId="9" fillId="0" borderId="1" xfId="0" applyNumberFormat="1" applyFont="1" applyBorder="1" applyAlignment="1">
      <alignment horizontal="center" vertical="center"/>
    </xf>
    <xf numFmtId="0" fontId="7" fillId="5" borderId="10" xfId="0" applyFont="1" applyFill="1" applyBorder="1" applyAlignment="1">
      <alignment horizontal="left" vertical="center"/>
    </xf>
    <xf numFmtId="0" fontId="9" fillId="0" borderId="0" xfId="0" applyFont="1" applyAlignment="1" applyProtection="1">
      <alignment horizontal="center" vertical="center"/>
      <protection locked="0"/>
    </xf>
    <xf numFmtId="0" fontId="9" fillId="0" borderId="1" xfId="0" applyFont="1" applyBorder="1" applyAlignment="1">
      <alignment horizontal="left" vertical="center" wrapText="1"/>
    </xf>
    <xf numFmtId="0" fontId="9" fillId="0" borderId="11" xfId="0" applyFont="1" applyBorder="1" applyAlignment="1">
      <alignment horizontal="left" vertical="center" wrapText="1"/>
    </xf>
    <xf numFmtId="0" fontId="7" fillId="0" borderId="1" xfId="15" applyFont="1" applyBorder="1" applyAlignment="1">
      <alignment horizontal="left" vertical="center" wrapText="1"/>
    </xf>
    <xf numFmtId="0" fontId="9" fillId="9" borderId="13" xfId="0" applyFont="1" applyFill="1" applyBorder="1" applyAlignment="1" applyProtection="1">
      <alignment horizontal="left" vertical="center"/>
      <protection locked="0"/>
    </xf>
    <xf numFmtId="0" fontId="9" fillId="9" borderId="14" xfId="0" applyFont="1" applyFill="1" applyBorder="1" applyAlignment="1" applyProtection="1">
      <alignment horizontal="left" vertical="center"/>
      <protection locked="0"/>
    </xf>
    <xf numFmtId="0" fontId="12" fillId="9" borderId="14" xfId="0" applyFont="1" applyFill="1" applyBorder="1" applyAlignment="1">
      <alignment horizontal="center" vertical="center" wrapText="1"/>
    </xf>
    <xf numFmtId="0" fontId="9" fillId="5" borderId="15" xfId="0" applyFont="1" applyFill="1" applyBorder="1" applyAlignment="1">
      <alignment horizontal="center" vertical="center"/>
    </xf>
    <xf numFmtId="0" fontId="9" fillId="0" borderId="16" xfId="0" applyFont="1" applyBorder="1" applyAlignment="1">
      <alignment horizontal="left" vertical="center" wrapText="1"/>
    </xf>
    <xf numFmtId="0" fontId="9" fillId="0" borderId="16" xfId="0" applyFont="1" applyBorder="1" applyAlignment="1">
      <alignment horizontal="center" vertical="center" wrapText="1"/>
    </xf>
    <xf numFmtId="0" fontId="7" fillId="5" borderId="15" xfId="0" applyFont="1" applyFill="1" applyBorder="1" applyAlignment="1">
      <alignment horizontal="center" vertical="center"/>
    </xf>
    <xf numFmtId="0" fontId="7" fillId="5" borderId="16" xfId="0" applyFont="1" applyFill="1" applyBorder="1" applyAlignment="1">
      <alignment horizontal="left" vertical="center"/>
    </xf>
    <xf numFmtId="0" fontId="7" fillId="5" borderId="17" xfId="0" applyFont="1" applyFill="1" applyBorder="1" applyAlignment="1">
      <alignment horizontal="center" vertical="center"/>
    </xf>
    <xf numFmtId="0" fontId="9" fillId="0" borderId="18" xfId="0" applyFont="1" applyBorder="1" applyAlignment="1">
      <alignment horizontal="left" vertical="center" wrapText="1"/>
    </xf>
    <xf numFmtId="0" fontId="9" fillId="5" borderId="8" xfId="0" applyFont="1" applyFill="1" applyBorder="1" applyAlignment="1">
      <alignment horizontal="left" vertical="center"/>
    </xf>
    <xf numFmtId="0" fontId="9" fillId="0" borderId="8" xfId="0" applyFont="1" applyBorder="1" applyAlignment="1">
      <alignment horizontal="center" vertical="center"/>
    </xf>
    <xf numFmtId="0" fontId="7" fillId="0" borderId="8" xfId="0" applyFont="1" applyBorder="1" applyAlignment="1">
      <alignment horizontal="center" vertical="center"/>
    </xf>
    <xf numFmtId="181" fontId="18" fillId="0" borderId="1" xfId="37" applyNumberFormat="1" applyFont="1" applyFill="1" applyBorder="1" applyAlignment="1" applyProtection="1">
      <alignment vertical="center"/>
      <protection locked="0"/>
    </xf>
    <xf numFmtId="176" fontId="15" fillId="8" borderId="1" xfId="37" applyFont="1" applyFill="1" applyBorder="1" applyAlignment="1" applyProtection="1">
      <alignment vertical="center"/>
      <protection locked="0"/>
    </xf>
    <xf numFmtId="0" fontId="7" fillId="0" borderId="10" xfId="0" applyFont="1" applyBorder="1" applyAlignment="1">
      <alignment vertical="center"/>
    </xf>
    <xf numFmtId="0" fontId="0" fillId="0" borderId="0" xfId="0" applyAlignment="1">
      <alignment vertical="center"/>
    </xf>
    <xf numFmtId="0" fontId="9" fillId="0" borderId="0" xfId="0" applyFont="1" applyAlignment="1">
      <alignment horizontal="justify" vertical="center" wrapText="1"/>
    </xf>
    <xf numFmtId="2" fontId="9" fillId="5" borderId="0" xfId="0" applyNumberFormat="1" applyFont="1" applyFill="1" applyAlignment="1">
      <alignment horizontal="center" vertical="center"/>
    </xf>
    <xf numFmtId="0" fontId="9" fillId="9" borderId="6" xfId="0" applyFont="1" applyFill="1" applyBorder="1" applyAlignment="1" applyProtection="1">
      <alignment vertical="center"/>
      <protection locked="0"/>
    </xf>
    <xf numFmtId="0" fontId="7" fillId="5"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9" fillId="3" borderId="19" xfId="0" applyFont="1" applyFill="1" applyBorder="1" applyAlignment="1">
      <alignment horizontal="center" vertical="center"/>
    </xf>
    <xf numFmtId="0" fontId="7" fillId="5" borderId="8" xfId="0" applyFont="1" applyFill="1" applyBorder="1" applyAlignment="1">
      <alignment vertical="center"/>
    </xf>
    <xf numFmtId="184" fontId="9" fillId="0" borderId="9" xfId="0" applyNumberFormat="1" applyFont="1" applyBorder="1" applyAlignment="1">
      <alignment horizontal="center" vertical="center"/>
    </xf>
    <xf numFmtId="184" fontId="9" fillId="0" borderId="20" xfId="0" applyNumberFormat="1" applyFont="1" applyBorder="1" applyAlignment="1">
      <alignment horizontal="center" vertical="center"/>
    </xf>
    <xf numFmtId="181" fontId="18" fillId="0" borderId="9" xfId="37" applyNumberFormat="1" applyFont="1" applyFill="1" applyBorder="1" applyAlignment="1" applyProtection="1">
      <alignment vertical="center"/>
      <protection locked="0"/>
    </xf>
    <xf numFmtId="181" fontId="19" fillId="0" borderId="0" xfId="0" applyNumberFormat="1" applyFont="1"/>
    <xf numFmtId="176" fontId="15" fillId="8" borderId="9" xfId="37" applyFont="1" applyFill="1" applyBorder="1" applyAlignment="1" applyProtection="1">
      <alignment vertical="center"/>
      <protection locked="0"/>
    </xf>
    <xf numFmtId="176" fontId="19" fillId="0" borderId="0" xfId="0" applyNumberFormat="1" applyFont="1"/>
    <xf numFmtId="0" fontId="9" fillId="5" borderId="0" xfId="0" applyFont="1" applyFill="1" applyAlignment="1">
      <alignment vertical="center"/>
    </xf>
    <xf numFmtId="0" fontId="9" fillId="6" borderId="5" xfId="0" applyFont="1" applyFill="1" applyBorder="1" applyAlignment="1">
      <alignment horizontal="center" vertical="center"/>
    </xf>
    <xf numFmtId="0" fontId="9" fillId="6" borderId="6" xfId="0" applyFont="1" applyFill="1" applyBorder="1" applyAlignment="1">
      <alignment horizontal="center" vertical="center"/>
    </xf>
    <xf numFmtId="2" fontId="9" fillId="5" borderId="1" xfId="0" applyNumberFormat="1" applyFont="1" applyFill="1" applyBorder="1" applyAlignment="1">
      <alignment horizontal="center" vertical="center"/>
    </xf>
    <xf numFmtId="2" fontId="9" fillId="5" borderId="21" xfId="0" applyNumberFormat="1" applyFont="1" applyFill="1" applyBorder="1" applyAlignment="1">
      <alignment horizontal="center" vertical="center"/>
    </xf>
    <xf numFmtId="2" fontId="9" fillId="5" borderId="12" xfId="0" applyNumberFormat="1" applyFont="1" applyFill="1" applyBorder="1" applyAlignment="1">
      <alignment horizontal="center" vertical="center"/>
    </xf>
    <xf numFmtId="2" fontId="9" fillId="5" borderId="9" xfId="0" applyNumberFormat="1" applyFont="1" applyFill="1" applyBorder="1" applyAlignment="1">
      <alignment horizontal="center" vertical="center"/>
    </xf>
    <xf numFmtId="2" fontId="9" fillId="5" borderId="22"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0" fillId="0" borderId="0" xfId="0" applyFill="1"/>
    <xf numFmtId="0" fontId="0" fillId="0" borderId="0" xfId="0" applyFill="1" applyBorder="1" applyAlignment="1">
      <alignment horizontal="left" vertical="center"/>
    </xf>
    <xf numFmtId="0" fontId="12" fillId="0" borderId="0" xfId="0" applyFont="1" applyFill="1" applyBorder="1" applyAlignment="1">
      <alignment horizontal="center" vertical="center"/>
    </xf>
    <xf numFmtId="0" fontId="12" fillId="5" borderId="0" xfId="0" applyFont="1" applyFill="1" applyBorder="1" applyAlignment="1">
      <alignment horizontal="center" vertical="center"/>
    </xf>
    <xf numFmtId="0" fontId="8" fillId="8" borderId="23" xfId="0" applyFont="1" applyFill="1" applyBorder="1" applyAlignment="1">
      <alignment horizontal="center" vertical="center"/>
    </xf>
    <xf numFmtId="0" fontId="10" fillId="0" borderId="24" xfId="0" applyFont="1" applyBorder="1" applyAlignment="1">
      <alignment horizontal="left" vertical="center" wrapText="1"/>
    </xf>
    <xf numFmtId="0" fontId="9" fillId="8" borderId="24" xfId="0" applyFont="1" applyFill="1" applyBorder="1" applyAlignment="1">
      <alignment horizontal="center" vertical="center"/>
    </xf>
    <xf numFmtId="181" fontId="9" fillId="8" borderId="25" xfId="0" applyNumberFormat="1" applyFont="1" applyFill="1" applyBorder="1" applyAlignment="1">
      <alignment horizontal="center" vertical="center"/>
    </xf>
    <xf numFmtId="0" fontId="12" fillId="9" borderId="26" xfId="0" applyFont="1" applyFill="1" applyBorder="1" applyAlignment="1">
      <alignment horizontal="center" vertical="center" wrapText="1"/>
    </xf>
    <xf numFmtId="181" fontId="15" fillId="5" borderId="2" xfId="37" applyNumberFormat="1" applyFont="1" applyFill="1" applyBorder="1" applyAlignment="1" applyProtection="1">
      <alignment vertical="center"/>
    </xf>
    <xf numFmtId="0" fontId="0" fillId="0" borderId="2" xfId="0" applyBorder="1"/>
    <xf numFmtId="181" fontId="0" fillId="0" borderId="2" xfId="0" applyNumberFormat="1" applyBorder="1"/>
    <xf numFmtId="176" fontId="20" fillId="5" borderId="1" xfId="37" applyFont="1" applyFill="1" applyBorder="1" applyAlignment="1" applyProtection="1">
      <alignment vertical="center"/>
    </xf>
    <xf numFmtId="0" fontId="9" fillId="0" borderId="9" xfId="0" applyFont="1" applyBorder="1" applyAlignment="1">
      <alignment horizontal="center" vertical="center" wrapText="1"/>
    </xf>
    <xf numFmtId="176" fontId="20" fillId="5" borderId="9" xfId="37" applyFont="1" applyFill="1" applyBorder="1" applyAlignment="1" applyProtection="1">
      <alignment vertical="center"/>
    </xf>
    <xf numFmtId="0" fontId="9" fillId="3" borderId="0" xfId="0" applyFont="1" applyFill="1" applyAlignment="1">
      <alignment horizontal="center" vertical="center"/>
    </xf>
    <xf numFmtId="0" fontId="12" fillId="9" borderId="27" xfId="0" applyFont="1" applyFill="1" applyBorder="1" applyAlignment="1">
      <alignment horizontal="center" vertical="center" wrapText="1"/>
    </xf>
    <xf numFmtId="0" fontId="9" fillId="0" borderId="20" xfId="0" applyFont="1" applyBorder="1" applyAlignment="1">
      <alignment horizontal="center" vertical="center" wrapText="1"/>
    </xf>
    <xf numFmtId="181" fontId="0" fillId="0" borderId="0" xfId="0" applyNumberFormat="1"/>
    <xf numFmtId="181" fontId="15" fillId="5" borderId="9" xfId="37" applyNumberFormat="1" applyFont="1" applyFill="1" applyBorder="1" applyAlignment="1" applyProtection="1">
      <alignment vertical="center"/>
    </xf>
    <xf numFmtId="0" fontId="9" fillId="0" borderId="20" xfId="0" applyFont="1" applyBorder="1" applyAlignment="1" applyProtection="1">
      <alignment horizontal="center" vertical="center"/>
      <protection locked="0"/>
    </xf>
    <xf numFmtId="176" fontId="15" fillId="5" borderId="16" xfId="37" applyFont="1" applyFill="1" applyBorder="1" applyAlignment="1" applyProtection="1">
      <alignment vertical="center"/>
    </xf>
    <xf numFmtId="176" fontId="15" fillId="5" borderId="20" xfId="37" applyFont="1" applyFill="1" applyBorder="1" applyAlignment="1" applyProtection="1">
      <alignment vertical="center"/>
    </xf>
    <xf numFmtId="176" fontId="9" fillId="5" borderId="18" xfId="37" applyFont="1" applyFill="1" applyBorder="1" applyAlignment="1" applyProtection="1">
      <alignment vertical="center"/>
    </xf>
    <xf numFmtId="176" fontId="9" fillId="5" borderId="28" xfId="37" applyFont="1" applyFill="1" applyBorder="1" applyAlignment="1" applyProtection="1">
      <alignment vertical="center"/>
    </xf>
    <xf numFmtId="0" fontId="21" fillId="0" borderId="0" xfId="0" applyFont="1"/>
    <xf numFmtId="0" fontId="0" fillId="0" borderId="0" xfId="0" applyAlignment="1">
      <alignment wrapText="1"/>
    </xf>
    <xf numFmtId="0" fontId="22" fillId="0" borderId="0" xfId="0" applyFont="1" applyAlignment="1">
      <alignment horizontal="center" wrapText="1"/>
    </xf>
    <xf numFmtId="0" fontId="22" fillId="0" borderId="0" xfId="0" applyFont="1" applyAlignment="1">
      <alignment wrapText="1"/>
    </xf>
    <xf numFmtId="0" fontId="22" fillId="0" borderId="0" xfId="0" applyFont="1" applyAlignment="1">
      <alignment horizontal="center"/>
    </xf>
    <xf numFmtId="0" fontId="22" fillId="0" borderId="0" xfId="0" applyFont="1" applyAlignment="1"/>
    <xf numFmtId="0" fontId="9" fillId="0" borderId="0" xfId="0" applyFont="1" applyAlignment="1">
      <alignment horizontal="center" vertical="distributed" wrapText="1" shrinkToFit="1" readingOrder="1"/>
    </xf>
    <xf numFmtId="0" fontId="9" fillId="0" borderId="0" xfId="0" applyFont="1" applyAlignment="1">
      <alignment vertical="distributed" wrapText="1" shrinkToFit="1" readingOrder="1"/>
    </xf>
    <xf numFmtId="0" fontId="7" fillId="0" borderId="0" xfId="0" applyFont="1" applyAlignment="1">
      <alignment horizontal="center" vertical="center" wrapText="1"/>
    </xf>
    <xf numFmtId="0" fontId="7" fillId="0" borderId="0" xfId="0" applyFont="1" applyAlignment="1">
      <alignment vertical="center" wrapText="1"/>
    </xf>
    <xf numFmtId="0" fontId="9" fillId="0" borderId="0" xfId="0" applyFont="1" applyAlignment="1">
      <alignment vertical="center" wrapText="1"/>
    </xf>
    <xf numFmtId="0" fontId="23" fillId="0" borderId="0" xfId="0" applyFont="1" applyAlignment="1">
      <alignment horizontal="center" vertical="top"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7" xfId="0" applyFont="1" applyFill="1" applyBorder="1" applyAlignment="1">
      <alignment horizontal="center" vertical="center" wrapText="1"/>
    </xf>
    <xf numFmtId="185" fontId="25" fillId="0" borderId="8" xfId="0" applyNumberFormat="1" applyFont="1" applyBorder="1" applyAlignment="1">
      <alignment horizontal="center" vertical="center" shrinkToFit="1"/>
    </xf>
    <xf numFmtId="0" fontId="25" fillId="0" borderId="1" xfId="0" applyFont="1" applyBorder="1" applyAlignment="1">
      <alignment horizontal="left" vertical="center" wrapText="1"/>
    </xf>
    <xf numFmtId="185" fontId="25" fillId="0" borderId="1" xfId="0" applyNumberFormat="1" applyFont="1" applyBorder="1" applyAlignment="1">
      <alignment horizontal="center" vertical="center" shrinkToFit="1"/>
    </xf>
    <xf numFmtId="176" fontId="26" fillId="4" borderId="1" xfId="54" applyNumberFormat="1" applyFont="1" applyFill="1" applyBorder="1" applyAlignment="1">
      <alignment horizontal="right" vertical="center"/>
    </xf>
    <xf numFmtId="176" fontId="25" fillId="0" borderId="9" xfId="0" applyNumberFormat="1" applyFont="1" applyBorder="1" applyAlignment="1">
      <alignment horizontal="right" vertical="center" wrapText="1"/>
    </xf>
    <xf numFmtId="1" fontId="25" fillId="0" borderId="8" xfId="0" applyNumberFormat="1" applyFont="1" applyBorder="1" applyAlignment="1">
      <alignment horizontal="center" vertical="center" shrinkToFit="1"/>
    </xf>
    <xf numFmtId="1" fontId="25" fillId="0" borderId="1" xfId="0" applyNumberFormat="1" applyFont="1" applyBorder="1" applyAlignment="1">
      <alignment horizontal="center" vertical="center" shrinkToFit="1"/>
    </xf>
    <xf numFmtId="0" fontId="27" fillId="0" borderId="23" xfId="0" applyFont="1" applyBorder="1" applyAlignment="1">
      <alignment horizontal="center" vertical="center"/>
    </xf>
    <xf numFmtId="0" fontId="27" fillId="0" borderId="24" xfId="0" applyFont="1" applyBorder="1" applyAlignment="1">
      <alignment horizontal="left" vertical="top" wrapText="1"/>
    </xf>
    <xf numFmtId="0" fontId="27" fillId="0" borderId="24" xfId="0" applyFont="1" applyBorder="1" applyAlignment="1">
      <alignment horizontal="center" vertical="center"/>
    </xf>
    <xf numFmtId="176" fontId="27" fillId="0" borderId="25" xfId="0" applyNumberFormat="1" applyFont="1" applyBorder="1" applyAlignment="1">
      <alignment horizontal="right" vertical="center"/>
    </xf>
    <xf numFmtId="0" fontId="27" fillId="0" borderId="1" xfId="0" applyFont="1" applyBorder="1" applyAlignment="1">
      <alignment horizontal="center" vertical="center"/>
    </xf>
    <xf numFmtId="176" fontId="27" fillId="0" borderId="1" xfId="0" applyNumberFormat="1" applyFont="1" applyBorder="1" applyAlignment="1">
      <alignment horizontal="left" vertical="top"/>
    </xf>
    <xf numFmtId="186" fontId="25" fillId="0" borderId="0" xfId="0" applyNumberFormat="1" applyFont="1" applyBorder="1" applyAlignment="1">
      <alignment horizontal="right" vertical="center" wrapText="1"/>
    </xf>
    <xf numFmtId="0" fontId="21" fillId="0" borderId="0" xfId="0" applyFont="1" applyAlignment="1">
      <alignment horizontal="center" vertical="center"/>
    </xf>
    <xf numFmtId="1" fontId="25" fillId="0" borderId="10" xfId="0" applyNumberFormat="1" applyFont="1" applyBorder="1" applyAlignment="1">
      <alignment horizontal="center" vertical="center" shrinkToFit="1"/>
    </xf>
    <xf numFmtId="0" fontId="27" fillId="0" borderId="11" xfId="0" applyFont="1" applyBorder="1" applyAlignment="1">
      <alignment horizontal="left" vertical="top" wrapText="1"/>
    </xf>
    <xf numFmtId="0" fontId="27" fillId="0" borderId="11" xfId="0" applyFont="1" applyBorder="1" applyAlignment="1">
      <alignment horizontal="center" vertical="center"/>
    </xf>
    <xf numFmtId="176" fontId="27" fillId="0" borderId="11" xfId="0" applyNumberFormat="1" applyFont="1" applyBorder="1" applyAlignment="1">
      <alignment horizontal="left" vertical="top"/>
    </xf>
    <xf numFmtId="176" fontId="25" fillId="0" borderId="12" xfId="0" applyNumberFormat="1" applyFont="1" applyBorder="1" applyAlignment="1">
      <alignment horizontal="right" vertical="center" wrapText="1"/>
    </xf>
    <xf numFmtId="0" fontId="21" fillId="0" borderId="0" xfId="0" applyFont="1" applyAlignment="1">
      <alignment horizontal="left" vertical="top"/>
    </xf>
    <xf numFmtId="0" fontId="24" fillId="2" borderId="29" xfId="0" applyFont="1" applyFill="1" applyBorder="1" applyAlignment="1">
      <alignment horizontal="center" vertical="top" wrapText="1"/>
    </xf>
    <xf numFmtId="0" fontId="24" fillId="2" borderId="30" xfId="0" applyFont="1" applyFill="1" applyBorder="1" applyAlignment="1">
      <alignment horizontal="center" vertical="top" wrapText="1"/>
    </xf>
    <xf numFmtId="176" fontId="24" fillId="2" borderId="31" xfId="10" applyNumberFormat="1" applyFont="1" applyFill="1" applyBorder="1" applyAlignment="1">
      <alignment horizontal="center" vertical="top" wrapText="1"/>
    </xf>
    <xf numFmtId="0" fontId="25" fillId="0" borderId="8" xfId="0" applyFont="1" applyBorder="1" applyAlignment="1">
      <alignment horizontal="center" vertical="top" wrapText="1"/>
    </xf>
    <xf numFmtId="0" fontId="25" fillId="0" borderId="1" xfId="0" applyFont="1" applyBorder="1" applyAlignment="1">
      <alignment horizontal="center" vertical="top" wrapText="1"/>
    </xf>
    <xf numFmtId="9" fontId="28" fillId="0" borderId="9" xfId="0" applyNumberFormat="1" applyFont="1" applyBorder="1" applyAlignment="1">
      <alignment horizontal="right" vertical="top" wrapText="1" shrinkToFit="1"/>
    </xf>
    <xf numFmtId="176" fontId="25" fillId="0" borderId="9" xfId="10" applyFont="1" applyFill="1" applyBorder="1" applyAlignment="1">
      <alignment horizontal="center" vertical="top" wrapText="1"/>
    </xf>
    <xf numFmtId="0" fontId="29" fillId="0" borderId="10" xfId="0" applyFont="1" applyBorder="1" applyAlignment="1">
      <alignment horizontal="center" vertical="top" wrapText="1"/>
    </xf>
    <xf numFmtId="0" fontId="29" fillId="0" borderId="11" xfId="0" applyFont="1" applyBorder="1" applyAlignment="1">
      <alignment horizontal="center" vertical="top" wrapText="1"/>
    </xf>
    <xf numFmtId="176" fontId="29" fillId="0" borderId="12" xfId="10" applyFont="1" applyFill="1" applyBorder="1" applyAlignment="1">
      <alignment horizontal="center" vertical="top" wrapText="1"/>
    </xf>
    <xf numFmtId="0" fontId="21" fillId="0" borderId="0" xfId="0" applyFont="1" applyAlignment="1">
      <alignment horizontal="left" vertical="top" wrapText="1"/>
    </xf>
    <xf numFmtId="0" fontId="30" fillId="0" borderId="0" xfId="0" applyFont="1" applyAlignment="1">
      <alignment horizontal="left" vertical="top" wrapText="1"/>
    </xf>
    <xf numFmtId="0" fontId="31" fillId="0" borderId="0" xfId="0" applyFont="1" applyAlignment="1">
      <alignment vertical="top" wrapText="1"/>
    </xf>
    <xf numFmtId="0" fontId="12" fillId="2" borderId="32" xfId="0" applyFont="1" applyFill="1" applyBorder="1" applyAlignment="1">
      <alignment horizontal="center" vertical="top" wrapText="1"/>
    </xf>
    <xf numFmtId="0" fontId="12" fillId="2" borderId="33" xfId="0" applyFont="1" applyFill="1" applyBorder="1" applyAlignment="1">
      <alignment horizontal="center" vertical="top" wrapText="1"/>
    </xf>
    <xf numFmtId="0" fontId="12" fillId="2" borderId="34" xfId="0" applyFont="1" applyFill="1" applyBorder="1" applyAlignment="1">
      <alignment horizontal="center" vertical="top" wrapText="1"/>
    </xf>
    <xf numFmtId="0" fontId="12" fillId="0" borderId="23"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 xfId="0" applyFont="1" applyBorder="1" applyAlignment="1">
      <alignment horizontal="left" vertical="center" wrapText="1"/>
    </xf>
    <xf numFmtId="0" fontId="27" fillId="0" borderId="1" xfId="0" applyFont="1" applyBorder="1" applyAlignment="1">
      <alignment horizontal="center" vertical="center" wrapText="1"/>
    </xf>
    <xf numFmtId="4" fontId="27" fillId="0" borderId="1" xfId="0" applyNumberFormat="1" applyFont="1" applyBorder="1" applyAlignment="1">
      <alignment horizontal="center" vertical="center" wrapText="1"/>
    </xf>
    <xf numFmtId="176" fontId="27" fillId="0" borderId="9" xfId="10" applyFont="1" applyFill="1" applyBorder="1" applyAlignment="1">
      <alignment horizontal="center" vertical="center" wrapText="1"/>
    </xf>
    <xf numFmtId="186" fontId="27" fillId="0" borderId="1"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181" fontId="12" fillId="0" borderId="1" xfId="0" applyNumberFormat="1" applyFont="1" applyBorder="1" applyAlignment="1">
      <alignment horizontal="center" vertical="center" wrapText="1"/>
    </xf>
    <xf numFmtId="181" fontId="12" fillId="0" borderId="9" xfId="0" applyNumberFormat="1" applyFont="1" applyBorder="1" applyAlignment="1">
      <alignment horizontal="center" vertical="center" wrapText="1"/>
    </xf>
    <xf numFmtId="0" fontId="27" fillId="0" borderId="37" xfId="0" applyFont="1" applyBorder="1" applyAlignment="1">
      <alignment horizontal="center" vertical="top" wrapText="1"/>
    </xf>
    <xf numFmtId="0" fontId="27" fillId="0" borderId="0" xfId="0" applyFont="1" applyBorder="1" applyAlignment="1">
      <alignment horizontal="center" vertical="top" wrapText="1"/>
    </xf>
    <xf numFmtId="176" fontId="27" fillId="0" borderId="0" xfId="10" applyFont="1" applyFill="1" applyBorder="1" applyAlignment="1">
      <alignment horizontal="center" vertical="top" wrapText="1"/>
    </xf>
    <xf numFmtId="0" fontId="27" fillId="0" borderId="38" xfId="0" applyFont="1" applyBorder="1"/>
    <xf numFmtId="0" fontId="12" fillId="2" borderId="39" xfId="0" applyFont="1" applyFill="1" applyBorder="1" applyAlignment="1">
      <alignment horizontal="center"/>
    </xf>
    <xf numFmtId="0" fontId="12" fillId="2" borderId="3" xfId="0" applyFont="1" applyFill="1" applyBorder="1" applyAlignment="1">
      <alignment horizontal="center"/>
    </xf>
    <xf numFmtId="0" fontId="12" fillId="2" borderId="40" xfId="0" applyFont="1" applyFill="1" applyBorder="1" applyAlignment="1">
      <alignment horizontal="center"/>
    </xf>
    <xf numFmtId="0" fontId="12" fillId="0" borderId="8" xfId="0" applyFont="1" applyBorder="1" applyAlignment="1">
      <alignment horizontal="center" vertical="center"/>
    </xf>
    <xf numFmtId="0" fontId="12" fillId="0" borderId="1" xfId="53" applyFont="1" applyBorder="1" applyAlignment="1">
      <alignment horizontal="center" vertical="center" wrapText="1"/>
    </xf>
    <xf numFmtId="0" fontId="12" fillId="0" borderId="1" xfId="0" applyFont="1" applyBorder="1" applyAlignment="1">
      <alignment horizontal="center" vertical="top" wrapText="1"/>
    </xf>
    <xf numFmtId="0" fontId="12" fillId="0" borderId="9" xfId="53" applyFont="1" applyBorder="1" applyAlignment="1">
      <alignment horizontal="center" vertical="center" wrapText="1"/>
    </xf>
    <xf numFmtId="0" fontId="27" fillId="0" borderId="8" xfId="0" applyFont="1" applyBorder="1" applyAlignment="1">
      <alignment horizontal="center" vertical="center"/>
    </xf>
    <xf numFmtId="180" fontId="27" fillId="0" borderId="1" xfId="53" applyNumberFormat="1" applyFont="1" applyBorder="1" applyAlignment="1">
      <alignment horizontal="center" vertical="center" wrapText="1"/>
    </xf>
    <xf numFmtId="2" fontId="27" fillId="0" borderId="1" xfId="53" applyNumberFormat="1" applyFont="1" applyBorder="1" applyAlignment="1">
      <alignment horizontal="center" vertical="center"/>
    </xf>
    <xf numFmtId="187" fontId="27" fillId="0" borderId="1" xfId="53" applyNumberFormat="1" applyFont="1" applyBorder="1" applyAlignment="1">
      <alignment horizontal="center" vertical="center"/>
    </xf>
    <xf numFmtId="2" fontId="27" fillId="0" borderId="1" xfId="0" applyNumberFormat="1" applyFont="1" applyBorder="1" applyAlignment="1">
      <alignment horizontal="center" vertical="center"/>
    </xf>
    <xf numFmtId="176" fontId="27" fillId="0" borderId="9" xfId="10" applyFont="1" applyBorder="1" applyAlignment="1">
      <alignment horizontal="center" vertical="center"/>
    </xf>
    <xf numFmtId="0" fontId="21" fillId="0" borderId="37" xfId="0" applyFont="1" applyBorder="1"/>
    <xf numFmtId="0" fontId="21" fillId="0" borderId="0" xfId="0" applyFont="1" applyBorder="1" applyAlignment="1">
      <alignment wrapText="1"/>
    </xf>
    <xf numFmtId="0" fontId="21" fillId="0" borderId="0" xfId="0" applyFont="1" applyBorder="1" applyAlignment="1">
      <alignment horizontal="center" vertical="center"/>
    </xf>
    <xf numFmtId="0" fontId="21" fillId="0" borderId="38" xfId="0" applyFont="1" applyBorder="1" applyAlignment="1">
      <alignment horizontal="center" vertical="center"/>
    </xf>
    <xf numFmtId="0" fontId="5" fillId="2" borderId="8" xfId="0"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9" xfId="0" applyFont="1" applyFill="1" applyBorder="1" applyAlignment="1">
      <alignment horizontal="center" vertical="center"/>
    </xf>
    <xf numFmtId="181" fontId="21" fillId="0" borderId="1" xfId="0" applyNumberFormat="1" applyFont="1" applyBorder="1" applyAlignment="1">
      <alignment horizontal="center" vertical="center"/>
    </xf>
    <xf numFmtId="181" fontId="21" fillId="0" borderId="9" xfId="0" applyNumberFormat="1" applyFont="1" applyBorder="1" applyAlignment="1">
      <alignment horizontal="center" vertical="center"/>
    </xf>
    <xf numFmtId="0" fontId="32" fillId="2" borderId="1" xfId="0" applyFont="1" applyFill="1" applyBorder="1" applyAlignment="1">
      <alignment horizontal="center" vertical="center" wrapText="1"/>
    </xf>
    <xf numFmtId="181" fontId="21" fillId="0" borderId="24" xfId="0" applyNumberFormat="1" applyFont="1" applyBorder="1" applyAlignment="1">
      <alignment horizontal="center" vertical="center"/>
    </xf>
    <xf numFmtId="181" fontId="21" fillId="0" borderId="25" xfId="0" applyNumberFormat="1" applyFont="1" applyBorder="1" applyAlignment="1">
      <alignment horizontal="center" vertical="center"/>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0" fillId="0" borderId="0" xfId="0" applyFont="1"/>
    <xf numFmtId="0" fontId="8"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xf>
    <xf numFmtId="0" fontId="8" fillId="0" borderId="0" xfId="0" applyFont="1" applyAlignment="1"/>
    <xf numFmtId="0" fontId="34" fillId="11" borderId="5" xfId="0" applyFont="1" applyFill="1" applyBorder="1" applyAlignment="1">
      <alignment horizontal="center" vertical="center" wrapText="1"/>
    </xf>
    <xf numFmtId="0" fontId="35" fillId="0" borderId="6" xfId="0" applyFont="1" applyBorder="1"/>
    <xf numFmtId="0" fontId="35" fillId="0" borderId="7" xfId="0" applyFont="1" applyBorder="1"/>
    <xf numFmtId="0" fontId="36" fillId="11" borderId="8" xfId="0" applyFont="1" applyFill="1" applyBorder="1" applyAlignment="1">
      <alignment horizontal="center" vertical="center" wrapText="1"/>
    </xf>
    <xf numFmtId="0" fontId="36" fillId="11" borderId="1" xfId="0" applyFont="1" applyFill="1" applyBorder="1" applyAlignment="1">
      <alignment horizontal="center" vertical="center" wrapText="1"/>
    </xf>
    <xf numFmtId="0" fontId="26" fillId="0" borderId="1" xfId="0" applyFont="1" applyBorder="1"/>
    <xf numFmtId="0" fontId="37" fillId="11" borderId="9" xfId="0" applyFont="1" applyFill="1" applyBorder="1" applyAlignment="1">
      <alignment horizontal="center" vertical="center" wrapText="1"/>
    </xf>
    <xf numFmtId="0" fontId="26" fillId="0" borderId="8" xfId="0" applyFont="1" applyBorder="1"/>
    <xf numFmtId="0" fontId="36" fillId="11" borderId="1" xfId="0" applyFont="1" applyFill="1" applyBorder="1" applyAlignment="1">
      <alignment horizontal="center" vertical="center"/>
    </xf>
    <xf numFmtId="0" fontId="26" fillId="0" borderId="9" xfId="0" applyFont="1" applyBorder="1"/>
    <xf numFmtId="0" fontId="26" fillId="0" borderId="8" xfId="0" applyFont="1" applyBorder="1" applyAlignment="1">
      <alignment horizontal="center" vertical="center" wrapText="1"/>
    </xf>
    <xf numFmtId="0" fontId="26" fillId="0" borderId="1" xfId="19" applyFont="1" applyBorder="1" applyAlignment="1">
      <alignment horizontal="center" vertical="center" wrapText="1"/>
    </xf>
    <xf numFmtId="176" fontId="38" fillId="4" borderId="1" xfId="56" applyNumberFormat="1" applyFont="1" applyFill="1" applyBorder="1" applyAlignment="1">
      <alignment horizontal="center" vertical="center"/>
    </xf>
    <xf numFmtId="176" fontId="26" fillId="0" borderId="1" xfId="0" applyNumberFormat="1" applyFont="1" applyBorder="1" applyAlignment="1">
      <alignment horizontal="center" vertical="center" wrapText="1"/>
    </xf>
    <xf numFmtId="0" fontId="39" fillId="0" borderId="9" xfId="0" applyFont="1" applyBorder="1" applyAlignment="1">
      <alignment horizontal="center" vertical="center" wrapText="1"/>
    </xf>
    <xf numFmtId="0" fontId="26" fillId="0" borderId="8" xfId="0" applyFont="1" applyBorder="1" applyAlignment="1">
      <alignment horizontal="center" vertical="center"/>
    </xf>
    <xf numFmtId="0" fontId="25" fillId="0" borderId="9" xfId="0" applyFont="1" applyBorder="1"/>
    <xf numFmtId="0" fontId="26" fillId="0" borderId="1" xfId="0" applyFont="1" applyBorder="1" applyAlignment="1">
      <alignment horizontal="center" vertical="center" wrapText="1"/>
    </xf>
    <xf numFmtId="176" fontId="26" fillId="4" borderId="1" xfId="56" applyNumberFormat="1" applyFont="1" applyFill="1" applyBorder="1" applyAlignment="1">
      <alignment horizontal="left" vertical="center"/>
    </xf>
    <xf numFmtId="0" fontId="36" fillId="9" borderId="8" xfId="0" applyFont="1" applyFill="1" applyBorder="1" applyAlignment="1">
      <alignment horizontal="center" vertical="center"/>
    </xf>
    <xf numFmtId="0" fontId="36" fillId="9" borderId="1" xfId="0" applyFont="1" applyFill="1" applyBorder="1"/>
    <xf numFmtId="176" fontId="36" fillId="0" borderId="1" xfId="0" applyNumberFormat="1" applyFont="1" applyBorder="1" applyAlignment="1">
      <alignment horizontal="center" vertical="center" wrapText="1"/>
    </xf>
    <xf numFmtId="176" fontId="36" fillId="0" borderId="9" xfId="0" applyNumberFormat="1" applyFont="1" applyBorder="1"/>
    <xf numFmtId="176" fontId="36" fillId="0" borderId="2" xfId="0" applyNumberFormat="1" applyFont="1" applyBorder="1" applyAlignment="1">
      <alignment horizontal="center" vertical="center" wrapText="1"/>
    </xf>
    <xf numFmtId="176" fontId="36" fillId="0" borderId="40" xfId="0" applyNumberFormat="1" applyFont="1" applyBorder="1" applyAlignment="1">
      <alignment horizontal="center" vertical="center" wrapText="1"/>
    </xf>
    <xf numFmtId="0" fontId="34" fillId="11" borderId="8" xfId="0" applyFont="1" applyFill="1" applyBorder="1" applyAlignment="1">
      <alignment horizontal="center" vertical="center" wrapText="1"/>
    </xf>
    <xf numFmtId="0" fontId="35" fillId="0" borderId="1" xfId="0" applyFont="1" applyBorder="1"/>
    <xf numFmtId="0" fontId="35" fillId="0" borderId="9" xfId="0" applyFont="1" applyBorder="1"/>
    <xf numFmtId="0" fontId="36" fillId="11" borderId="9" xfId="0" applyFont="1" applyFill="1" applyBorder="1" applyAlignment="1">
      <alignment horizontal="center" vertical="center" wrapText="1"/>
    </xf>
    <xf numFmtId="0" fontId="26" fillId="0" borderId="1" xfId="0" applyFont="1" applyBorder="1" applyAlignment="1">
      <alignment horizontal="center" vertical="center"/>
    </xf>
    <xf numFmtId="176" fontId="26" fillId="4" borderId="1" xfId="56" applyNumberFormat="1" applyFont="1" applyFill="1" applyBorder="1" applyAlignment="1">
      <alignment horizontal="right" vertical="center"/>
    </xf>
    <xf numFmtId="176" fontId="26" fillId="0" borderId="9" xfId="0" applyNumberFormat="1" applyFont="1" applyBorder="1" applyAlignment="1">
      <alignment horizontal="center" vertical="center"/>
    </xf>
    <xf numFmtId="183" fontId="26" fillId="0" borderId="8" xfId="0" applyNumberFormat="1" applyFont="1" applyBorder="1" applyAlignment="1">
      <alignment horizontal="center" vertical="center"/>
    </xf>
    <xf numFmtId="0" fontId="7" fillId="0" borderId="1" xfId="0" applyFont="1" applyBorder="1" applyAlignment="1">
      <alignment horizontal="center" wrapText="1"/>
    </xf>
    <xf numFmtId="181" fontId="0" fillId="0" borderId="1" xfId="0" applyNumberFormat="1" applyFont="1" applyBorder="1" applyAlignment="1">
      <alignment horizontal="center" vertical="center"/>
    </xf>
    <xf numFmtId="0" fontId="36" fillId="11" borderId="8" xfId="0" applyFont="1" applyFill="1" applyBorder="1" applyAlignment="1">
      <alignment horizontal="center" vertical="center"/>
    </xf>
    <xf numFmtId="176" fontId="36" fillId="12" borderId="9" xfId="0" applyNumberFormat="1" applyFont="1" applyFill="1" applyBorder="1" applyAlignment="1">
      <alignment horizontal="center" vertical="center"/>
    </xf>
    <xf numFmtId="0" fontId="34" fillId="11" borderId="10" xfId="0" applyFont="1" applyFill="1" applyBorder="1" applyAlignment="1">
      <alignment horizontal="center" vertical="center"/>
    </xf>
    <xf numFmtId="0" fontId="34" fillId="11" borderId="11" xfId="0" applyFont="1" applyFill="1" applyBorder="1" applyAlignment="1">
      <alignment horizontal="center" vertical="center"/>
    </xf>
    <xf numFmtId="176" fontId="8" fillId="0" borderId="12" xfId="0" applyNumberFormat="1" applyFont="1" applyBorder="1" applyAlignment="1">
      <alignment horizontal="center"/>
    </xf>
    <xf numFmtId="176" fontId="38" fillId="4" borderId="1" xfId="56" applyNumberFormat="1" applyFont="1" applyFill="1" applyBorder="1" applyAlignment="1">
      <alignment horizontal="right" vertical="center"/>
    </xf>
    <xf numFmtId="176" fontId="26" fillId="0" borderId="1" xfId="0" applyNumberFormat="1" applyFont="1" applyBorder="1" applyAlignment="1">
      <alignment horizontal="right" vertical="center" wrapText="1"/>
    </xf>
    <xf numFmtId="0" fontId="26" fillId="0" borderId="41" xfId="0" applyFont="1" applyBorder="1" applyAlignment="1">
      <alignment horizontal="center" vertical="center"/>
    </xf>
    <xf numFmtId="0" fontId="26" fillId="0" borderId="42" xfId="0" applyFont="1" applyBorder="1" applyAlignment="1">
      <alignment horizontal="center" vertical="center" wrapText="1"/>
    </xf>
    <xf numFmtId="0" fontId="26" fillId="0" borderId="42" xfId="0" applyFont="1" applyBorder="1" applyAlignment="1">
      <alignment horizontal="center" vertical="center"/>
    </xf>
    <xf numFmtId="176" fontId="26" fillId="0" borderId="9" xfId="0" applyNumberFormat="1" applyFont="1" applyBorder="1" applyAlignment="1">
      <alignment horizontal="right" vertical="center"/>
    </xf>
    <xf numFmtId="0" fontId="7" fillId="0" borderId="0" xfId="0" applyFont="1" applyBorder="1" applyAlignment="1">
      <alignment horizontal="center" wrapText="1"/>
    </xf>
    <xf numFmtId="0" fontId="26" fillId="0" borderId="42" xfId="0" applyFont="1" applyBorder="1" applyAlignment="1">
      <alignment horizontal="center"/>
    </xf>
    <xf numFmtId="0" fontId="26" fillId="0" borderId="42" xfId="0" applyFont="1" applyBorder="1" applyAlignment="1">
      <alignment horizontal="center" wrapText="1"/>
    </xf>
    <xf numFmtId="0" fontId="7" fillId="0" borderId="42" xfId="0" applyFont="1" applyBorder="1" applyAlignment="1">
      <alignment horizontal="center" vertical="center" wrapText="1"/>
    </xf>
    <xf numFmtId="176" fontId="38" fillId="4" borderId="1" xfId="56" applyNumberFormat="1" applyFont="1" applyFill="1" applyBorder="1" applyAlignment="1">
      <alignment horizontal="left" vertical="center"/>
    </xf>
    <xf numFmtId="176" fontId="26" fillId="12" borderId="1" xfId="0" applyNumberFormat="1" applyFont="1" applyFill="1" applyBorder="1" applyAlignment="1">
      <alignment horizontal="center" vertical="center" wrapText="1"/>
    </xf>
    <xf numFmtId="0" fontId="39" fillId="0" borderId="9" xfId="19" applyFont="1" applyBorder="1" applyAlignment="1">
      <alignment horizontal="center" vertical="center" wrapText="1"/>
    </xf>
    <xf numFmtId="0" fontId="25" fillId="0" borderId="9" xfId="19" applyFont="1" applyBorder="1"/>
    <xf numFmtId="0" fontId="36" fillId="9" borderId="10" xfId="0" applyFont="1" applyFill="1" applyBorder="1" applyAlignment="1">
      <alignment horizontal="center" vertical="center"/>
    </xf>
    <xf numFmtId="0" fontId="36" fillId="9" borderId="11" xfId="0" applyFont="1" applyFill="1" applyBorder="1"/>
    <xf numFmtId="176" fontId="36" fillId="0" borderId="43" xfId="0" applyNumberFormat="1" applyFont="1" applyBorder="1" applyAlignment="1">
      <alignment horizontal="center" vertical="center" wrapText="1"/>
    </xf>
    <xf numFmtId="176" fontId="36" fillId="0" borderId="44" xfId="0" applyNumberFormat="1" applyFont="1" applyBorder="1" applyAlignment="1">
      <alignment horizontal="center" vertical="center" wrapText="1"/>
    </xf>
    <xf numFmtId="0" fontId="0" fillId="0" borderId="0" xfId="0" applyFont="1" applyAlignment="1">
      <alignment horizontal="center" vertical="center"/>
    </xf>
    <xf numFmtId="0" fontId="26" fillId="0" borderId="0" xfId="0" applyFont="1" applyBorder="1" applyAlignment="1">
      <alignment horizontal="center" vertical="center"/>
    </xf>
    <xf numFmtId="0" fontId="7" fillId="0" borderId="0" xfId="0" applyFont="1" applyBorder="1" applyAlignment="1">
      <alignment horizontal="center" vertical="center" wrapText="1"/>
    </xf>
    <xf numFmtId="0" fontId="26" fillId="0" borderId="0" xfId="0" applyFont="1" applyBorder="1" applyAlignment="1">
      <alignment horizontal="center" vertical="center" wrapText="1"/>
    </xf>
    <xf numFmtId="176" fontId="26" fillId="12" borderId="0" xfId="0" applyNumberFormat="1" applyFont="1" applyFill="1" applyBorder="1" applyAlignment="1">
      <alignment horizontal="center" vertical="center" wrapText="1"/>
    </xf>
    <xf numFmtId="176" fontId="26" fillId="0" borderId="0" xfId="0" applyNumberFormat="1" applyFont="1" applyBorder="1" applyAlignment="1">
      <alignment horizontal="center" vertical="center"/>
    </xf>
    <xf numFmtId="0" fontId="11" fillId="0" borderId="0" xfId="0" applyFont="1" applyAlignment="1">
      <alignment vertical="distributed" wrapText="1" shrinkToFit="1" readingOrder="1"/>
    </xf>
    <xf numFmtId="0" fontId="12" fillId="9" borderId="1" xfId="0" applyFont="1" applyFill="1" applyBorder="1" applyAlignment="1">
      <alignment horizontal="center" vertical="center" wrapText="1"/>
    </xf>
    <xf numFmtId="0" fontId="27" fillId="0" borderId="1" xfId="53" applyFont="1" applyBorder="1" applyAlignment="1">
      <alignment horizontal="left" vertical="center" wrapText="1"/>
    </xf>
    <xf numFmtId="0" fontId="27" fillId="0" borderId="24"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30"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4"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30" xfId="0" applyFont="1" applyBorder="1" applyAlignment="1">
      <alignment horizontal="center" vertical="center" wrapText="1"/>
    </xf>
    <xf numFmtId="0" fontId="27" fillId="4"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9" fillId="2" borderId="1" xfId="0" applyFont="1" applyFill="1" applyBorder="1" applyAlignment="1">
      <alignment horizontal="center" vertical="center"/>
    </xf>
    <xf numFmtId="3"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3" fontId="0" fillId="0" borderId="1" xfId="0" applyNumberFormat="1" applyBorder="1" applyAlignment="1">
      <alignment horizontal="center" vertical="center"/>
    </xf>
    <xf numFmtId="3" fontId="0" fillId="0" borderId="1" xfId="0" applyNumberFormat="1" applyFill="1" applyBorder="1" applyAlignment="1">
      <alignment horizontal="center" vertical="center"/>
    </xf>
    <xf numFmtId="3" fontId="9" fillId="2" borderId="1" xfId="0" applyNumberFormat="1" applyFont="1" applyFill="1" applyBorder="1" applyAlignment="1">
      <alignment horizontal="center" vertical="center"/>
    </xf>
    <xf numFmtId="0" fontId="40" fillId="0" borderId="0" xfId="0" applyFont="1"/>
  </cellXfs>
  <cellStyles count="57">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Normal 5" xfId="7"/>
    <cellStyle name="Moeda [0]" xfId="8" builtinId="7"/>
    <cellStyle name="20% - Ênfase 3" xfId="9" builtinId="38"/>
    <cellStyle name="Moeda" xfId="10" builtinId="4"/>
    <cellStyle name="Hyperlink seguido" xfId="11" builtinId="9"/>
    <cellStyle name="Hyperlink" xfId="12" builtinId="8"/>
    <cellStyle name="40% - Ênfase 2" xfId="13" builtinId="35"/>
    <cellStyle name="Observação" xfId="14" builtinId="10"/>
    <cellStyle name="Normal 2" xfId="15"/>
    <cellStyle name="40% - Ênfase 6" xfId="16" builtinId="51"/>
    <cellStyle name="Texto de Aviso" xfId="17" builtinId="11"/>
    <cellStyle name="Título" xfId="18" builtinId="15"/>
    <cellStyle name="Normal 7" xfId="19"/>
    <cellStyle name="Texto Explicativo" xfId="20" builtinId="53"/>
    <cellStyle name="Ênfase 3" xfId="21" builtinId="37"/>
    <cellStyle name="Título 1" xfId="22" builtinId="16"/>
    <cellStyle name="Ênfase 4" xfId="23" builtinId="41"/>
    <cellStyle name="Título 2" xfId="24" builtinId="17"/>
    <cellStyle name="Ênfase 5" xfId="25" builtinId="45"/>
    <cellStyle name="Título 3" xfId="26" builtinId="18"/>
    <cellStyle name="Ênfase 6" xfId="27" builtinId="49"/>
    <cellStyle name="Título 4" xfId="28" builtinId="19"/>
    <cellStyle name="Entrada" xfId="29" builtinId="20"/>
    <cellStyle name="Saída" xfId="30" builtinId="21"/>
    <cellStyle name="Cálculo" xfId="31" builtinId="22"/>
    <cellStyle name="Total" xfId="32" builtinId="25"/>
    <cellStyle name="40% - Ênfase 1" xfId="33" builtinId="31"/>
    <cellStyle name="Bom" xfId="34" builtinId="26"/>
    <cellStyle name="Ruim" xfId="35" builtinId="27"/>
    <cellStyle name="Neutro" xfId="36" builtinId="28"/>
    <cellStyle name="Moeda 2" xfId="37"/>
    <cellStyle name="20% - Ênfase 5" xfId="38" builtinId="46"/>
    <cellStyle name="Ênfase 1" xfId="39" builtinId="29"/>
    <cellStyle name="20% - Ênfase 1" xfId="40" builtinId="30"/>
    <cellStyle name="60% - Ênfase 1" xfId="41" builtinId="32"/>
    <cellStyle name="20% - Ênfase 6" xfId="42" builtinId="50"/>
    <cellStyle name="Ênfase 2" xfId="43" builtinId="33"/>
    <cellStyle name="20% - Ênfase 2" xfId="44" builtinId="34"/>
    <cellStyle name="60% - Ênfase 2" xfId="45" builtinId="36"/>
    <cellStyle name="40% - Ênfase 3" xfId="46" builtinId="39"/>
    <cellStyle name="60% - Ênfase 3" xfId="47" builtinId="40"/>
    <cellStyle name="20% - Ênfase 4" xfId="48" builtinId="42"/>
    <cellStyle name="60% - Ênfase 4" xfId="49" builtinId="44"/>
    <cellStyle name="40% - Ênfase 5" xfId="50" builtinId="47"/>
    <cellStyle name="60% - Ênfase 5" xfId="51" builtinId="48"/>
    <cellStyle name="60% - Ênfase 6" xfId="52" builtinId="52"/>
    <cellStyle name="Normal 2 2" xfId="53"/>
    <cellStyle name="Normal 3" xfId="54"/>
    <cellStyle name="Normal 4" xfId="55"/>
    <cellStyle name="Normal 6" xfId="56"/>
  </cellStyles>
  <tableStyles count="0" defaultTableStyle="TableStyleMedium2" defaultPivotStyle="PivotStyleLight16"/>
  <colors>
    <mruColors>
      <color rgb="008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hyperlink" Target="#'An IIB Rela&#231;&#227;o das Unidades'!A1"/><Relationship Id="rId8" Type="http://schemas.openxmlformats.org/officeDocument/2006/relationships/hyperlink" Target="#'An IIA Distribui&#231;&#227;o Postos'!A1"/><Relationship Id="rId7" Type="http://schemas.openxmlformats.org/officeDocument/2006/relationships/hyperlink" Target="#'An IIIC Postos 3'!A1"/><Relationship Id="rId6" Type="http://schemas.openxmlformats.org/officeDocument/2006/relationships/hyperlink" Target="#'An IIIB Postos 2'!A1"/><Relationship Id="rId5" Type="http://schemas.openxmlformats.org/officeDocument/2006/relationships/hyperlink" Target="#'An IID Equipamentos'!A1"/><Relationship Id="rId4" Type="http://schemas.openxmlformats.org/officeDocument/2006/relationships/hyperlink" Target="#'Anexo IV A Custos M&#227;o de Obra'!A1"/><Relationship Id="rId3" Type="http://schemas.openxmlformats.org/officeDocument/2006/relationships/hyperlink" Target="#'An IIIA Postos 1'!A1"/><Relationship Id="rId2" Type="http://schemas.openxmlformats.org/officeDocument/2006/relationships/hyperlink" Target="#'An IIC Uniformes e Mat.'!A1"/><Relationship Id="rId10" Type="http://schemas.openxmlformats.org/officeDocument/2006/relationships/hyperlink" Target="#'Anexo IV B Custos Totais'!A1"/><Relationship Id="rId1" Type="http://schemas.openxmlformats.org/officeDocument/2006/relationships/hyperlink" Target="#'An IIA Relacao Postos'!A1"/></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7</xdr:row>
      <xdr:rowOff>0</xdr:rowOff>
    </xdr:from>
    <xdr:to>
      <xdr:col>2</xdr:col>
      <xdr:colOff>371475</xdr:colOff>
      <xdr:row>11</xdr:row>
      <xdr:rowOff>47625</xdr:rowOff>
    </xdr:to>
    <xdr:sp>
      <xdr:nvSpPr>
        <xdr:cNvPr id="2" name="Retângulo de cantos arredondados 3">
          <a:hlinkClick xmlns:r="http://schemas.openxmlformats.org/officeDocument/2006/relationships" r:id="rId1"/>
        </xdr:cNvPr>
        <xdr:cNvSpPr/>
      </xdr:nvSpPr>
      <xdr:spPr>
        <a:xfrm>
          <a:off x="0" y="1626870"/>
          <a:ext cx="2390775"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A - Relação dos Postos (informativo)</a:t>
          </a:r>
          <a:endParaRPr lang="pt-PT" sz="1200" b="1">
            <a:latin typeface="Calibri" panose="020F0502020204030204" pitchFamily="34" charset="0"/>
            <a:cs typeface="Arial" panose="020B0604020202020204" pitchFamily="7" charset="0"/>
          </a:endParaRPr>
        </a:p>
      </xdr:txBody>
    </xdr:sp>
    <xdr:clientData/>
  </xdr:twoCellAnchor>
  <xdr:twoCellAnchor>
    <xdr:from>
      <xdr:col>5</xdr:col>
      <xdr:colOff>171450</xdr:colOff>
      <xdr:row>6</xdr:row>
      <xdr:rowOff>180975</xdr:rowOff>
    </xdr:from>
    <xdr:to>
      <xdr:col>9</xdr:col>
      <xdr:colOff>78105</xdr:colOff>
      <xdr:row>11</xdr:row>
      <xdr:rowOff>38100</xdr:rowOff>
    </xdr:to>
    <xdr:sp>
      <xdr:nvSpPr>
        <xdr:cNvPr id="5" name="Retângulo de cantos arredondados 3">
          <a:hlinkClick xmlns:r="http://schemas.openxmlformats.org/officeDocument/2006/relationships" r:id="rId2"/>
        </xdr:cNvPr>
        <xdr:cNvSpPr/>
      </xdr:nvSpPr>
      <xdr:spPr>
        <a:xfrm>
          <a:off x="5429250" y="1617345"/>
          <a:ext cx="237363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C - Relação </a:t>
          </a:r>
          <a:r>
            <a:rPr lang="pt-PT" sz="1100" b="1" baseline="0">
              <a:solidFill>
                <a:schemeClr val="lt1"/>
              </a:solidFill>
              <a:effectLst/>
              <a:latin typeface="+mn-lt"/>
              <a:ea typeface="+mn-ea"/>
              <a:cs typeface="+mn-cs"/>
            </a:rPr>
            <a:t>dos Uniformes, EPIS e Materiais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771525</xdr:colOff>
      <xdr:row>12</xdr:row>
      <xdr:rowOff>154305</xdr:rowOff>
    </xdr:from>
    <xdr:to>
      <xdr:col>4</xdr:col>
      <xdr:colOff>742950</xdr:colOff>
      <xdr:row>16</xdr:row>
      <xdr:rowOff>186690</xdr:rowOff>
    </xdr:to>
    <xdr:sp>
      <xdr:nvSpPr>
        <xdr:cNvPr id="6" name="Retângulo de cantos arredondados 3">
          <a:hlinkClick xmlns:r="http://schemas.openxmlformats.org/officeDocument/2006/relationships" r:id="rId3"/>
        </xdr:cNvPr>
        <xdr:cNvSpPr/>
      </xdr:nvSpPr>
      <xdr:spPr>
        <a:xfrm>
          <a:off x="2790825" y="2733675"/>
          <a:ext cx="2390775" cy="803910"/>
        </a:xfrm>
        <a:prstGeom prst="roundRect">
          <a:avLst>
            <a:gd name="adj" fmla="val 4819"/>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IIIA - Custo Grupo postos 1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845820</xdr:colOff>
      <xdr:row>18</xdr:row>
      <xdr:rowOff>102870</xdr:rowOff>
    </xdr:from>
    <xdr:to>
      <xdr:col>4</xdr:col>
      <xdr:colOff>807720</xdr:colOff>
      <xdr:row>22</xdr:row>
      <xdr:rowOff>150495</xdr:rowOff>
    </xdr:to>
    <xdr:sp>
      <xdr:nvSpPr>
        <xdr:cNvPr id="15" name="Retângulo de cantos arredondados 3">
          <a:hlinkClick xmlns:r="http://schemas.openxmlformats.org/officeDocument/2006/relationships" r:id="rId4"/>
        </xdr:cNvPr>
        <xdr:cNvSpPr/>
      </xdr:nvSpPr>
      <xdr:spPr>
        <a:xfrm>
          <a:off x="2865120" y="3834765"/>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A- Composição custos mão de obra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0</xdr:colOff>
      <xdr:row>13</xdr:row>
      <xdr:rowOff>9525</xdr:rowOff>
    </xdr:from>
    <xdr:to>
      <xdr:col>2</xdr:col>
      <xdr:colOff>371475</xdr:colOff>
      <xdr:row>17</xdr:row>
      <xdr:rowOff>41910</xdr:rowOff>
    </xdr:to>
    <xdr:sp>
      <xdr:nvSpPr>
        <xdr:cNvPr id="7" name="Retângulo de cantos arredondados 3">
          <a:hlinkClick xmlns:r="http://schemas.openxmlformats.org/officeDocument/2006/relationships" r:id="rId5"/>
        </xdr:cNvPr>
        <xdr:cNvSpPr/>
      </xdr:nvSpPr>
      <xdr:spPr>
        <a:xfrm>
          <a:off x="0" y="2779395"/>
          <a:ext cx="2390775" cy="803910"/>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II-D - Relação dos Equipamentos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5</xdr:col>
      <xdr:colOff>228600</xdr:colOff>
      <xdr:row>12</xdr:row>
      <xdr:rowOff>171450</xdr:rowOff>
    </xdr:from>
    <xdr:to>
      <xdr:col>9</xdr:col>
      <xdr:colOff>152400</xdr:colOff>
      <xdr:row>17</xdr:row>
      <xdr:rowOff>13335</xdr:rowOff>
    </xdr:to>
    <xdr:sp>
      <xdr:nvSpPr>
        <xdr:cNvPr id="9" name="Retângulo de cantos arredondados 3">
          <a:hlinkClick xmlns:r="http://schemas.openxmlformats.org/officeDocument/2006/relationships" r:id="rId6"/>
        </xdr:cNvPr>
        <xdr:cNvSpPr/>
      </xdr:nvSpPr>
      <xdr:spPr>
        <a:xfrm>
          <a:off x="5486400" y="2750820"/>
          <a:ext cx="2390775" cy="803910"/>
        </a:xfrm>
        <a:prstGeom prst="roundRect">
          <a:avLst>
            <a:gd name="adj" fmla="val 4819"/>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III B - Custo Grupo Postos 2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0</xdr:colOff>
      <xdr:row>18</xdr:row>
      <xdr:rowOff>152400</xdr:rowOff>
    </xdr:from>
    <xdr:to>
      <xdr:col>2</xdr:col>
      <xdr:colOff>371475</xdr:colOff>
      <xdr:row>23</xdr:row>
      <xdr:rowOff>3810</xdr:rowOff>
    </xdr:to>
    <xdr:sp>
      <xdr:nvSpPr>
        <xdr:cNvPr id="10" name="Retângulo de cantos arredondados 3">
          <a:hlinkClick xmlns:r="http://schemas.openxmlformats.org/officeDocument/2006/relationships" r:id="rId7"/>
        </xdr:cNvPr>
        <xdr:cNvSpPr/>
      </xdr:nvSpPr>
      <xdr:spPr>
        <a:xfrm>
          <a:off x="0" y="3884295"/>
          <a:ext cx="2390775" cy="803910"/>
        </a:xfrm>
        <a:prstGeom prst="roundRect">
          <a:avLst>
            <a:gd name="adj" fmla="val 4819"/>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III  C- Custo Grupo Postos 3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0</xdr:colOff>
      <xdr:row>7</xdr:row>
      <xdr:rowOff>7620</xdr:rowOff>
    </xdr:from>
    <xdr:to>
      <xdr:col>2</xdr:col>
      <xdr:colOff>371475</xdr:colOff>
      <xdr:row>11</xdr:row>
      <xdr:rowOff>55245</xdr:rowOff>
    </xdr:to>
    <xdr:sp>
      <xdr:nvSpPr>
        <xdr:cNvPr id="11" name="Retângulo de cantos arredondados 3">
          <a:hlinkClick xmlns:r="http://schemas.openxmlformats.org/officeDocument/2006/relationships" r:id="rId8"/>
        </xdr:cNvPr>
        <xdr:cNvSpPr/>
      </xdr:nvSpPr>
      <xdr:spPr>
        <a:xfrm>
          <a:off x="0" y="1634490"/>
          <a:ext cx="2390775"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A - Distribuição dos Postos (informativo)</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752475</xdr:colOff>
      <xdr:row>6</xdr:row>
      <xdr:rowOff>161925</xdr:rowOff>
    </xdr:from>
    <xdr:to>
      <xdr:col>4</xdr:col>
      <xdr:colOff>723900</xdr:colOff>
      <xdr:row>11</xdr:row>
      <xdr:rowOff>19050</xdr:rowOff>
    </xdr:to>
    <xdr:sp>
      <xdr:nvSpPr>
        <xdr:cNvPr id="12" name="Retângulo de cantos arredondados 3">
          <a:hlinkClick xmlns:r="http://schemas.openxmlformats.org/officeDocument/2006/relationships" r:id="rId9"/>
        </xdr:cNvPr>
        <xdr:cNvSpPr/>
      </xdr:nvSpPr>
      <xdr:spPr>
        <a:xfrm>
          <a:off x="2771775" y="1598295"/>
          <a:ext cx="2390775"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B - Endereço das Unidades (informativo)</a:t>
          </a:r>
          <a:endParaRPr lang="pt-PT" sz="1200" b="1">
            <a:latin typeface="Calibri" panose="020F0502020204030204" pitchFamily="34" charset="0"/>
            <a:cs typeface="Arial" panose="020B0604020202020204" pitchFamily="7" charset="0"/>
          </a:endParaRPr>
        </a:p>
      </xdr:txBody>
    </xdr:sp>
    <xdr:clientData/>
  </xdr:twoCellAnchor>
  <xdr:twoCellAnchor>
    <xdr:from>
      <xdr:col>5</xdr:col>
      <xdr:colOff>257175</xdr:colOff>
      <xdr:row>18</xdr:row>
      <xdr:rowOff>85725</xdr:rowOff>
    </xdr:from>
    <xdr:to>
      <xdr:col>9</xdr:col>
      <xdr:colOff>171450</xdr:colOff>
      <xdr:row>22</xdr:row>
      <xdr:rowOff>133350</xdr:rowOff>
    </xdr:to>
    <xdr:sp>
      <xdr:nvSpPr>
        <xdr:cNvPr id="13" name="Retângulo de cantos arredondados 3">
          <a:hlinkClick xmlns:r="http://schemas.openxmlformats.org/officeDocument/2006/relationships" r:id="rId10"/>
        </xdr:cNvPr>
        <xdr:cNvSpPr/>
      </xdr:nvSpPr>
      <xdr:spPr>
        <a:xfrm>
          <a:off x="5514975" y="3817620"/>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B - Composição custos final (preenchimento licitante)</a:t>
          </a:r>
          <a:endParaRPr lang="pt-PT" sz="1200" b="1">
            <a:latin typeface="Calibri" panose="020F0502020204030204" pitchFamily="34" charset="0"/>
            <a:cs typeface="Arial" panose="020B0604020202020204" pitchFamily="7" charset="0"/>
          </a:endParaRPr>
        </a:p>
      </xdr:txBody>
    </xdr: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462915</xdr:colOff>
      <xdr:row>0</xdr:row>
      <xdr:rowOff>0</xdr:rowOff>
    </xdr:from>
    <xdr:to>
      <xdr:col>8</xdr:col>
      <xdr:colOff>76200</xdr:colOff>
      <xdr:row>2</xdr:row>
      <xdr:rowOff>180910</xdr:rowOff>
    </xdr:to>
    <xdr:pic>
      <xdr:nvPicPr>
        <xdr:cNvPr id="2" name="Imagem 1">
          <a:hlinkClick xmlns:r="http://schemas.openxmlformats.org/officeDocument/2006/relationships" r:id="rId1"/>
        </xdr:cNvPr>
        <xdr:cNvPicPr>
          <a:picLocks noChangeAspect="1"/>
        </xdr:cNvPicPr>
      </xdr:nvPicPr>
      <xdr:blipFill>
        <a:blip r:embed="rId2"/>
        <a:stretch>
          <a:fillRect/>
        </a:stretch>
      </xdr:blipFill>
      <xdr:spPr>
        <a:xfrm>
          <a:off x="6320790" y="0"/>
          <a:ext cx="908685" cy="60198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439207</xdr:colOff>
      <xdr:row>0</xdr:row>
      <xdr:rowOff>0</xdr:rowOff>
    </xdr:from>
    <xdr:to>
      <xdr:col>12</xdr:col>
      <xdr:colOff>18726</xdr:colOff>
      <xdr:row>3</xdr:row>
      <xdr:rowOff>81218</xdr:rowOff>
    </xdr:to>
    <xdr:pic>
      <xdr:nvPicPr>
        <xdr:cNvPr id="2" name="Imagem 1">
          <a:hlinkClick xmlns:r="http://schemas.openxmlformats.org/officeDocument/2006/relationships" r:id="rId1"/>
        </xdr:cNvPr>
        <xdr:cNvPicPr>
          <a:picLocks noChangeAspect="1"/>
        </xdr:cNvPicPr>
      </xdr:nvPicPr>
      <xdr:blipFill>
        <a:blip r:embed="rId2"/>
        <a:stretch>
          <a:fillRect/>
        </a:stretch>
      </xdr:blipFill>
      <xdr:spPr>
        <a:xfrm>
          <a:off x="8277860" y="0"/>
          <a:ext cx="1151255" cy="73787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1915582</xdr:colOff>
      <xdr:row>0</xdr:row>
      <xdr:rowOff>38100</xdr:rowOff>
    </xdr:from>
    <xdr:to>
      <xdr:col>2</xdr:col>
      <xdr:colOff>3066726</xdr:colOff>
      <xdr:row>3</xdr:row>
      <xdr:rowOff>109793</xdr:rowOff>
    </xdr:to>
    <xdr:pic>
      <xdr:nvPicPr>
        <xdr:cNvPr id="2" name="Imagem 1">
          <a:hlinkClick xmlns:r="http://schemas.openxmlformats.org/officeDocument/2006/relationships" r:id="rId1"/>
        </xdr:cNvPr>
        <xdr:cNvPicPr>
          <a:picLocks noChangeAspect="1"/>
        </xdr:cNvPicPr>
      </xdr:nvPicPr>
      <xdr:blipFill>
        <a:blip r:embed="rId2"/>
        <a:stretch>
          <a:fillRect/>
        </a:stretch>
      </xdr:blipFill>
      <xdr:spPr>
        <a:xfrm>
          <a:off x="4906010" y="38100"/>
          <a:ext cx="1151255" cy="737870"/>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396240</xdr:colOff>
      <xdr:row>0</xdr:row>
      <xdr:rowOff>47625</xdr:rowOff>
    </xdr:from>
    <xdr:to>
      <xdr:col>6</xdr:col>
      <xdr:colOff>562710</xdr:colOff>
      <xdr:row>3</xdr:row>
      <xdr:rowOff>176468</xdr:rowOff>
    </xdr:to>
    <xdr:pic>
      <xdr:nvPicPr>
        <xdr:cNvPr id="2" name="Imagem 1">
          <a:hlinkClick xmlns:r="http://schemas.openxmlformats.org/officeDocument/2006/relationships" r:id="rId1"/>
        </xdr:cNvPr>
        <xdr:cNvPicPr>
          <a:picLocks noChangeAspect="1"/>
        </xdr:cNvPicPr>
      </xdr:nvPicPr>
      <xdr:blipFill>
        <a:blip r:embed="rId2"/>
        <a:stretch>
          <a:fillRect/>
        </a:stretch>
      </xdr:blipFill>
      <xdr:spPr>
        <a:xfrm>
          <a:off x="6101715" y="47625"/>
          <a:ext cx="1109345" cy="747395"/>
        </a:xfrm>
        <a:prstGeom prst="rect">
          <a:avLst/>
        </a:prstGeom>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557106</xdr:colOff>
      <xdr:row>0</xdr:row>
      <xdr:rowOff>0</xdr:rowOff>
    </xdr:from>
    <xdr:to>
      <xdr:col>4</xdr:col>
      <xdr:colOff>817767</xdr:colOff>
      <xdr:row>3</xdr:row>
      <xdr:rowOff>81218</xdr:rowOff>
    </xdr:to>
    <xdr:pic>
      <xdr:nvPicPr>
        <xdr:cNvPr id="2" name="Imagem 1">
          <a:hlinkClick xmlns:r="http://schemas.openxmlformats.org/officeDocument/2006/relationships" r:id="rId1"/>
        </xdr:cNvPr>
        <xdr:cNvPicPr>
          <a:picLocks noChangeAspect="1"/>
        </xdr:cNvPicPr>
      </xdr:nvPicPr>
      <xdr:blipFill>
        <a:blip r:embed="rId2"/>
        <a:stretch>
          <a:fillRect/>
        </a:stretch>
      </xdr:blipFill>
      <xdr:spPr>
        <a:xfrm>
          <a:off x="5681345" y="0"/>
          <a:ext cx="1108075" cy="747395"/>
        </a:xfrm>
        <a:prstGeom prst="rect">
          <a:avLst/>
        </a:prstGeom>
      </xdr:spPr>
    </xdr:pic>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1122045</xdr:colOff>
      <xdr:row>0</xdr:row>
      <xdr:rowOff>0</xdr:rowOff>
    </xdr:from>
    <xdr:to>
      <xdr:col>5</xdr:col>
      <xdr:colOff>1002765</xdr:colOff>
      <xdr:row>3</xdr:row>
      <xdr:rowOff>157418</xdr:rowOff>
    </xdr:to>
    <xdr:pic>
      <xdr:nvPicPr>
        <xdr:cNvPr id="3" name="Imagem 2">
          <a:hlinkClick xmlns:r="http://schemas.openxmlformats.org/officeDocument/2006/relationships" r:id="rId1"/>
        </xdr:cNvPr>
        <xdr:cNvPicPr>
          <a:picLocks noChangeAspect="1"/>
        </xdr:cNvPicPr>
      </xdr:nvPicPr>
      <xdr:blipFill>
        <a:blip r:embed="rId2"/>
        <a:stretch>
          <a:fillRect/>
        </a:stretch>
      </xdr:blipFill>
      <xdr:spPr>
        <a:xfrm>
          <a:off x="7665720" y="0"/>
          <a:ext cx="1109345" cy="814070"/>
        </a:xfrm>
        <a:prstGeom prst="rect">
          <a:avLst/>
        </a:prstGeom>
      </xdr:spPr>
    </xdr:pic>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1064895</xdr:colOff>
      <xdr:row>0</xdr:row>
      <xdr:rowOff>66675</xdr:rowOff>
    </xdr:from>
    <xdr:to>
      <xdr:col>6</xdr:col>
      <xdr:colOff>945615</xdr:colOff>
      <xdr:row>4</xdr:row>
      <xdr:rowOff>43118</xdr:rowOff>
    </xdr:to>
    <xdr:pic>
      <xdr:nvPicPr>
        <xdr:cNvPr id="3" name="Imagem 2">
          <a:hlinkClick xmlns:r="http://schemas.openxmlformats.org/officeDocument/2006/relationships" r:id="rId1"/>
        </xdr:cNvPr>
        <xdr:cNvPicPr>
          <a:picLocks noChangeAspect="1"/>
        </xdr:cNvPicPr>
      </xdr:nvPicPr>
      <xdr:blipFill>
        <a:blip r:embed="rId2"/>
        <a:stretch>
          <a:fillRect/>
        </a:stretch>
      </xdr:blipFill>
      <xdr:spPr>
        <a:xfrm>
          <a:off x="8837295" y="66675"/>
          <a:ext cx="1109345" cy="816610"/>
        </a:xfrm>
        <a:prstGeom prst="rect">
          <a:avLst/>
        </a:prstGeom>
      </xdr:spPr>
    </xdr:pic>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1207770</xdr:colOff>
      <xdr:row>0</xdr:row>
      <xdr:rowOff>0</xdr:rowOff>
    </xdr:from>
    <xdr:to>
      <xdr:col>6</xdr:col>
      <xdr:colOff>1088490</xdr:colOff>
      <xdr:row>3</xdr:row>
      <xdr:rowOff>157418</xdr:rowOff>
    </xdr:to>
    <xdr:pic>
      <xdr:nvPicPr>
        <xdr:cNvPr id="3" name="Imagem 2">
          <a:hlinkClick xmlns:r="http://schemas.openxmlformats.org/officeDocument/2006/relationships" r:id="rId1"/>
        </xdr:cNvPr>
        <xdr:cNvPicPr>
          <a:picLocks noChangeAspect="1"/>
        </xdr:cNvPicPr>
      </xdr:nvPicPr>
      <xdr:blipFill>
        <a:blip r:embed="rId2"/>
        <a:stretch>
          <a:fillRect/>
        </a:stretch>
      </xdr:blipFill>
      <xdr:spPr>
        <a:xfrm>
          <a:off x="8980170" y="0"/>
          <a:ext cx="1109345" cy="814070"/>
        </a:xfrm>
        <a:prstGeom prst="rect">
          <a:avLst/>
        </a:prstGeom>
      </xdr:spPr>
    </xdr:pic>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100965</xdr:colOff>
      <xdr:row>0</xdr:row>
      <xdr:rowOff>0</xdr:rowOff>
    </xdr:from>
    <xdr:to>
      <xdr:col>6</xdr:col>
      <xdr:colOff>1009650</xdr:colOff>
      <xdr:row>2</xdr:row>
      <xdr:rowOff>180910</xdr:rowOff>
    </xdr:to>
    <xdr:pic>
      <xdr:nvPicPr>
        <xdr:cNvPr id="2" name="Imagem 1">
          <a:hlinkClick xmlns:r="http://schemas.openxmlformats.org/officeDocument/2006/relationships" r:id="rId1"/>
        </xdr:cNvPr>
        <xdr:cNvPicPr>
          <a:picLocks noChangeAspect="1"/>
        </xdr:cNvPicPr>
      </xdr:nvPicPr>
      <xdr:blipFill>
        <a:blip r:embed="rId2"/>
        <a:stretch>
          <a:fillRect/>
        </a:stretch>
      </xdr:blipFill>
      <xdr:spPr>
        <a:xfrm>
          <a:off x="5815965" y="0"/>
          <a:ext cx="908685" cy="60198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4" Type="http://schemas.openxmlformats.org/officeDocument/2006/relationships/vmlDrawing" Target="../drawings/vmlDrawing11.vml"/><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J1"/>
    </sheetView>
  </sheetViews>
  <sheetFormatPr defaultColWidth="8.85714285714286" defaultRowHeight="15"/>
  <cols>
    <col min="2" max="2" width="21.4285714285714" customWidth="1"/>
    <col min="3" max="3" width="17.2857142857143" customWidth="1"/>
    <col min="4" max="4" width="19" customWidth="1"/>
    <col min="5" max="5" width="12.2857142857143" customWidth="1"/>
    <col min="6" max="6" width="8.42857142857143" customWidth="1"/>
    <col min="7" max="7" width="10.8571428571429" customWidth="1"/>
  </cols>
  <sheetData>
    <row r="1" ht="18" customHeight="1" spans="1:14">
      <c r="A1" s="1" t="s">
        <v>0</v>
      </c>
      <c r="B1" s="1"/>
      <c r="C1" s="1"/>
      <c r="D1" s="1"/>
      <c r="E1" s="1"/>
      <c r="F1" s="1"/>
      <c r="G1" s="1"/>
      <c r="H1" s="1"/>
      <c r="I1" s="1"/>
      <c r="J1" s="1"/>
      <c r="K1" s="19"/>
      <c r="L1" s="19"/>
      <c r="M1" s="19"/>
      <c r="N1" s="19"/>
    </row>
    <row r="2" ht="18.75" spans="1:14">
      <c r="A2" s="2" t="s">
        <v>1</v>
      </c>
      <c r="B2" s="2"/>
      <c r="C2" s="2"/>
      <c r="D2" s="2"/>
      <c r="E2" s="2"/>
      <c r="F2" s="2"/>
      <c r="G2" s="2"/>
      <c r="H2" s="2"/>
      <c r="I2" s="2"/>
      <c r="J2" s="2"/>
      <c r="K2" s="20"/>
      <c r="L2" s="20"/>
      <c r="M2" s="20"/>
      <c r="N2" s="20"/>
    </row>
    <row r="4" ht="14.45" customHeight="1" spans="1:8">
      <c r="A4" s="228"/>
      <c r="B4" s="228"/>
      <c r="C4" s="228"/>
      <c r="D4" s="228"/>
      <c r="E4" s="228"/>
      <c r="F4" s="228"/>
      <c r="G4" s="228"/>
      <c r="H4" s="21"/>
    </row>
    <row r="5" ht="31.9" customHeight="1" spans="1:14">
      <c r="A5" s="42" t="s">
        <v>2</v>
      </c>
      <c r="B5" s="42"/>
      <c r="C5" s="42"/>
      <c r="D5" s="42"/>
      <c r="E5" s="42"/>
      <c r="F5" s="42"/>
      <c r="G5" s="42"/>
      <c r="H5" s="42"/>
      <c r="I5" s="42"/>
      <c r="J5" s="42"/>
      <c r="K5" s="232"/>
      <c r="L5" s="232"/>
      <c r="M5" s="232"/>
      <c r="N5" s="232"/>
    </row>
    <row r="16" ht="15.75" spans="5:5">
      <c r="E16" s="410" t="s">
        <v>3</v>
      </c>
    </row>
  </sheetData>
  <mergeCells count="4">
    <mergeCell ref="A1:J1"/>
    <mergeCell ref="A2:J2"/>
    <mergeCell ref="A4:G4"/>
    <mergeCell ref="A5:J5"/>
  </mergeCells>
  <pageMargins left="0.511811024" right="0.511811024" top="0.787401575" bottom="0.787401575" header="0.31496062" footer="0.31496062"/>
  <pageSetup paperSize="9" scale="83" orientation="landscape"/>
  <headerFooter>
    <oddHeader>&amp;L&amp;G&amp;CProcesso 23069.154758/2022-91
PE 57/2022&amp;R&amp;G</oddHeader>
    <oddFooter>&amp;L&amp;"-,Itálico"&amp;9&amp;A&amp;R&amp;"-,Itálico"&amp;9Página &amp;P de &amp;N</oddFooter>
  </headerFooter>
  <drawing r:id="rId1"/>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tabSelected="1" topLeftCell="A7" workbookViewId="0">
      <selection activeCell="I13" sqref="I13"/>
    </sheetView>
  </sheetViews>
  <sheetFormatPr defaultColWidth="9" defaultRowHeight="15"/>
  <cols>
    <col min="2" max="2" width="7.42857142857143" customWidth="1"/>
    <col min="3" max="3" width="26.7142857142857" customWidth="1"/>
    <col min="4" max="4" width="8" customWidth="1"/>
    <col min="5" max="5" width="7.42857142857143" customWidth="1"/>
    <col min="6" max="6" width="16.2857142857143" customWidth="1"/>
    <col min="7" max="7" width="13" customWidth="1"/>
    <col min="8" max="8" width="19.4285714285714" customWidth="1"/>
    <col min="9" max="9" width="28.4285714285714" customWidth="1"/>
  </cols>
  <sheetData>
    <row r="1" ht="14.45" customHeight="1" spans="2:9">
      <c r="B1" s="1" t="s">
        <v>0</v>
      </c>
      <c r="C1" s="1"/>
      <c r="D1" s="1"/>
      <c r="E1" s="1"/>
      <c r="F1" s="1"/>
      <c r="G1" s="1"/>
      <c r="H1" s="1"/>
      <c r="I1" s="1"/>
    </row>
    <row r="2" ht="18.75" spans="2:9">
      <c r="B2" s="2" t="s">
        <v>1</v>
      </c>
      <c r="C2" s="2"/>
      <c r="D2" s="2"/>
      <c r="E2" s="2"/>
      <c r="F2" s="2"/>
      <c r="G2" s="2"/>
      <c r="H2" s="2"/>
      <c r="I2" s="2"/>
    </row>
    <row r="3" ht="18.75" spans="2:8">
      <c r="B3" s="2"/>
      <c r="C3" s="2"/>
      <c r="D3" s="2"/>
      <c r="E3" s="2"/>
      <c r="F3" s="2"/>
      <c r="G3" s="2"/>
      <c r="H3" s="2"/>
    </row>
    <row r="4" ht="14.45" customHeight="1" spans="2:9">
      <c r="B4" s="3" t="s">
        <v>570</v>
      </c>
      <c r="C4" s="3"/>
      <c r="D4" s="3"/>
      <c r="E4" s="3"/>
      <c r="F4" s="3"/>
      <c r="G4" s="3"/>
      <c r="H4" s="3"/>
      <c r="I4" s="3"/>
    </row>
    <row r="5" ht="35.45" customHeight="1" spans="2:9">
      <c r="B5" s="4" t="s">
        <v>2</v>
      </c>
      <c r="C5" s="4"/>
      <c r="D5" s="4"/>
      <c r="E5" s="4"/>
      <c r="F5" s="4"/>
      <c r="G5" s="4"/>
      <c r="H5" s="4"/>
      <c r="I5" s="4"/>
    </row>
    <row r="7" spans="2:3">
      <c r="B7" s="5"/>
      <c r="C7" s="5"/>
    </row>
    <row r="8" spans="2:9">
      <c r="B8" s="6" t="s">
        <v>571</v>
      </c>
      <c r="C8" s="6" t="s">
        <v>280</v>
      </c>
      <c r="D8" s="6" t="s">
        <v>572</v>
      </c>
      <c r="E8" s="6" t="s">
        <v>573</v>
      </c>
      <c r="F8" s="6" t="s">
        <v>574</v>
      </c>
      <c r="G8" s="6"/>
      <c r="H8" s="6"/>
      <c r="I8" s="6" t="s">
        <v>575</v>
      </c>
    </row>
    <row r="9" ht="40.5" customHeight="1" spans="2:9">
      <c r="B9" s="6"/>
      <c r="C9" s="6"/>
      <c r="D9" s="6"/>
      <c r="E9" s="6"/>
      <c r="F9" s="6" t="s">
        <v>576</v>
      </c>
      <c r="G9" s="6" t="s">
        <v>577</v>
      </c>
      <c r="H9" s="6" t="s">
        <v>567</v>
      </c>
      <c r="I9" s="6"/>
    </row>
    <row r="10" spans="1:9">
      <c r="A10" s="7" t="s">
        <v>578</v>
      </c>
      <c r="B10" s="8">
        <v>1</v>
      </c>
      <c r="C10" s="9" t="s">
        <v>579</v>
      </c>
      <c r="D10" s="9" t="s">
        <v>580</v>
      </c>
      <c r="E10" s="8">
        <v>12</v>
      </c>
      <c r="F10" s="10">
        <f>'Anexo IV A Custos Mão de Obra'!F26</f>
        <v>643228.137889482</v>
      </c>
      <c r="G10" s="8"/>
      <c r="H10" s="10">
        <f>F10</f>
        <v>643228.137889482</v>
      </c>
      <c r="I10" s="10">
        <f>12*H10</f>
        <v>7718737.65467378</v>
      </c>
    </row>
    <row r="11" ht="45" spans="1:9">
      <c r="A11" s="7"/>
      <c r="B11" s="8">
        <v>2</v>
      </c>
      <c r="C11" s="11" t="s">
        <v>581</v>
      </c>
      <c r="D11" s="9" t="s">
        <v>580</v>
      </c>
      <c r="E11" s="8">
        <v>12</v>
      </c>
      <c r="F11" s="10">
        <f>'An IID Equipamentos'!E145</f>
        <v>11885.0021106259</v>
      </c>
      <c r="G11" s="12"/>
      <c r="H11" s="10">
        <f>F11</f>
        <v>11885.0021106259</v>
      </c>
      <c r="I11" s="10">
        <f>12*H11</f>
        <v>142620.025327511</v>
      </c>
    </row>
    <row r="12" ht="75" spans="1:9">
      <c r="A12" s="7"/>
      <c r="B12" s="8">
        <v>3</v>
      </c>
      <c r="C12" s="11" t="s">
        <v>582</v>
      </c>
      <c r="D12" s="9" t="s">
        <v>583</v>
      </c>
      <c r="E12" s="8">
        <v>480</v>
      </c>
      <c r="F12" s="10">
        <f>40*225.03</f>
        <v>9001.2</v>
      </c>
      <c r="G12" s="12">
        <v>0.2354</v>
      </c>
      <c r="H12" s="13">
        <f>(F12+(G12*(F12)))</f>
        <v>11120.08248</v>
      </c>
      <c r="I12" s="18">
        <f t="shared" ref="I12:I15" si="0">12*H12</f>
        <v>133440.98976</v>
      </c>
    </row>
    <row r="13" ht="30" spans="1:9">
      <c r="A13" s="7"/>
      <c r="B13" s="8">
        <v>4</v>
      </c>
      <c r="C13" s="11" t="s">
        <v>584</v>
      </c>
      <c r="D13" s="9" t="s">
        <v>580</v>
      </c>
      <c r="E13" s="8">
        <v>12</v>
      </c>
      <c r="F13" s="10">
        <f>'An IID Equipamentos'!E125</f>
        <v>1758.28</v>
      </c>
      <c r="G13" s="12">
        <v>0.1528</v>
      </c>
      <c r="H13" s="13">
        <f>(F13+(G13*(F13)))</f>
        <v>2026.945184</v>
      </c>
      <c r="I13" s="18">
        <f t="shared" ref="I13" si="1">12*H13</f>
        <v>24323.342208</v>
      </c>
    </row>
    <row r="14" ht="30" spans="1:9">
      <c r="A14" s="7"/>
      <c r="B14" s="8">
        <v>5</v>
      </c>
      <c r="C14" s="11" t="s">
        <v>585</v>
      </c>
      <c r="D14" s="9" t="s">
        <v>580</v>
      </c>
      <c r="E14" s="8">
        <v>12</v>
      </c>
      <c r="F14" s="10">
        <f>5%*F10</f>
        <v>32161.4068944741</v>
      </c>
      <c r="G14" s="12">
        <v>0.2354</v>
      </c>
      <c r="H14" s="13">
        <f>(F14+(G14*(F14)))</f>
        <v>39732.2020774333</v>
      </c>
      <c r="I14" s="18">
        <f t="shared" si="0"/>
        <v>476786.4249292</v>
      </c>
    </row>
    <row r="15" ht="30" spans="1:9">
      <c r="A15" s="7"/>
      <c r="B15" s="8">
        <v>6</v>
      </c>
      <c r="C15" s="11" t="s">
        <v>586</v>
      </c>
      <c r="D15" s="9" t="s">
        <v>580</v>
      </c>
      <c r="E15" s="8">
        <v>12</v>
      </c>
      <c r="F15" s="10">
        <f>5%*F10</f>
        <v>32161.4068944741</v>
      </c>
      <c r="G15" s="12">
        <v>0.1528</v>
      </c>
      <c r="H15" s="13">
        <f>(F15+(G15*(F15)))</f>
        <v>37075.6698679497</v>
      </c>
      <c r="I15" s="18">
        <f t="shared" si="0"/>
        <v>444908.038415397</v>
      </c>
    </row>
    <row r="16" customHeight="1" spans="2:9">
      <c r="B16" s="14" t="s">
        <v>587</v>
      </c>
      <c r="C16" s="15"/>
      <c r="D16" s="15"/>
      <c r="E16" s="15"/>
      <c r="F16" s="15"/>
      <c r="G16" s="16"/>
      <c r="H16" s="17">
        <f>SUM(H10:H15)</f>
        <v>745068.039609491</v>
      </c>
      <c r="I16" s="17">
        <f>SUM(I10:I15)</f>
        <v>8940816.47531389</v>
      </c>
    </row>
  </sheetData>
  <mergeCells count="12">
    <mergeCell ref="B1:I1"/>
    <mergeCell ref="B2:I2"/>
    <mergeCell ref="B4:I4"/>
    <mergeCell ref="B5:I5"/>
    <mergeCell ref="F8:H8"/>
    <mergeCell ref="B16:G16"/>
    <mergeCell ref="A10:A15"/>
    <mergeCell ref="B8:B9"/>
    <mergeCell ref="C8:C9"/>
    <mergeCell ref="D8:D9"/>
    <mergeCell ref="E8:E9"/>
    <mergeCell ref="I8:I9"/>
  </mergeCells>
  <pageMargins left="0.511811024" right="0.511811024" top="0.787401575" bottom="0.787401575" header="0.31496062" footer="0.31496062"/>
  <pageSetup paperSize="9" scale="83" orientation="landscape"/>
  <headerFooter>
    <oddHeader>&amp;L&amp;G&amp;CProcesso 23069.154758/2022-91
PE 57/2022&amp;R&amp;G</oddHeader>
    <oddFooter>&amp;L&amp;"-,Itálico"&amp;9&amp;A&amp;R&amp;"-,Itálico"&amp;9Página &amp;P de &amp;N</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zoomScaleSheetLayoutView="90" workbookViewId="0">
      <selection activeCell="A1" sqref="A1:M1"/>
    </sheetView>
  </sheetViews>
  <sheetFormatPr defaultColWidth="9" defaultRowHeight="15"/>
  <cols>
    <col min="1" max="1" width="5.42857142857143" customWidth="1"/>
    <col min="2" max="2" width="29.2857142857143" style="223" customWidth="1"/>
    <col min="4" max="4" width="10.8571428571429" customWidth="1"/>
    <col min="6" max="6" width="11.4285714285714" customWidth="1"/>
    <col min="7" max="7" width="10.4285714285714" customWidth="1"/>
    <col min="10" max="10" width="14.1428571428571" customWidth="1"/>
    <col min="11" max="11" width="12" customWidth="1"/>
    <col min="12" max="12" width="11.5714285714286" customWidth="1"/>
  </cols>
  <sheetData>
    <row r="1" ht="18" customHeight="1" spans="1:13">
      <c r="A1" s="1" t="s">
        <v>0</v>
      </c>
      <c r="B1" s="1"/>
      <c r="C1" s="1"/>
      <c r="D1" s="1"/>
      <c r="E1" s="1"/>
      <c r="F1" s="1"/>
      <c r="G1" s="1"/>
      <c r="H1" s="1"/>
      <c r="I1" s="1"/>
      <c r="J1" s="1"/>
      <c r="K1" s="1"/>
      <c r="L1" s="1"/>
      <c r="M1" s="1"/>
    </row>
    <row r="2" ht="18.75" spans="1:13">
      <c r="A2" s="2" t="s">
        <v>1</v>
      </c>
      <c r="B2" s="2"/>
      <c r="C2" s="2"/>
      <c r="D2" s="2"/>
      <c r="E2" s="2"/>
      <c r="F2" s="2"/>
      <c r="G2" s="2"/>
      <c r="H2" s="2"/>
      <c r="I2" s="2"/>
      <c r="J2" s="2"/>
      <c r="K2" s="2"/>
      <c r="L2" s="2"/>
      <c r="M2" s="2"/>
    </row>
    <row r="4" ht="14.45" customHeight="1" spans="1:13">
      <c r="A4" s="41" t="s">
        <v>4</v>
      </c>
      <c r="B4" s="41"/>
      <c r="C4" s="41"/>
      <c r="D4" s="41"/>
      <c r="E4" s="41"/>
      <c r="F4" s="41"/>
      <c r="G4" s="41"/>
      <c r="H4" s="41"/>
      <c r="I4" s="41"/>
      <c r="J4" s="41"/>
      <c r="K4" s="41"/>
      <c r="L4" s="41"/>
      <c r="M4" s="41"/>
    </row>
    <row r="5" ht="55.9" customHeight="1" spans="1:13">
      <c r="A5" s="42" t="s">
        <v>2</v>
      </c>
      <c r="B5" s="42"/>
      <c r="C5" s="42"/>
      <c r="D5" s="42"/>
      <c r="E5" s="42"/>
      <c r="F5" s="42"/>
      <c r="G5" s="42"/>
      <c r="H5" s="42"/>
      <c r="I5" s="42"/>
      <c r="J5" s="42"/>
      <c r="K5" s="42"/>
      <c r="L5" s="42"/>
      <c r="M5" s="42"/>
    </row>
    <row r="7" ht="45" spans="1:13">
      <c r="A7" s="27" t="s">
        <v>5</v>
      </c>
      <c r="B7" s="27" t="s">
        <v>6</v>
      </c>
      <c r="C7" s="401" t="s">
        <v>7</v>
      </c>
      <c r="D7" s="401" t="s">
        <v>8</v>
      </c>
      <c r="E7" s="401" t="s">
        <v>9</v>
      </c>
      <c r="F7" s="401" t="s">
        <v>10</v>
      </c>
      <c r="G7" s="401" t="s">
        <v>11</v>
      </c>
      <c r="H7" s="401" t="s">
        <v>12</v>
      </c>
      <c r="I7" s="401" t="s">
        <v>13</v>
      </c>
      <c r="J7" s="401" t="s">
        <v>14</v>
      </c>
      <c r="K7" s="401" t="s">
        <v>15</v>
      </c>
      <c r="L7" s="401" t="s">
        <v>16</v>
      </c>
      <c r="M7" s="27" t="s">
        <v>17</v>
      </c>
    </row>
    <row r="8" ht="25.5" spans="1:13">
      <c r="A8" s="30">
        <v>1</v>
      </c>
      <c r="B8" s="30" t="s">
        <v>18</v>
      </c>
      <c r="C8" s="31">
        <v>5</v>
      </c>
      <c r="D8" s="8">
        <v>0</v>
      </c>
      <c r="E8" s="8">
        <v>0</v>
      </c>
      <c r="F8" s="8">
        <v>0</v>
      </c>
      <c r="G8" s="8">
        <v>0</v>
      </c>
      <c r="H8" s="8">
        <v>0</v>
      </c>
      <c r="I8" s="8">
        <v>0</v>
      </c>
      <c r="J8" s="8">
        <v>0</v>
      </c>
      <c r="K8" s="8">
        <v>0</v>
      </c>
      <c r="L8" s="8">
        <v>0</v>
      </c>
      <c r="M8" s="407">
        <f t="shared" ref="M8:M24" si="0">SUM(C8:L8)</f>
        <v>5</v>
      </c>
    </row>
    <row r="9" spans="1:13">
      <c r="A9" s="30">
        <v>2</v>
      </c>
      <c r="B9" s="30" t="s">
        <v>19</v>
      </c>
      <c r="C9" s="31">
        <v>2</v>
      </c>
      <c r="D9" s="8">
        <v>0</v>
      </c>
      <c r="E9" s="8">
        <v>0</v>
      </c>
      <c r="F9" s="8">
        <v>0</v>
      </c>
      <c r="G9" s="8">
        <v>0</v>
      </c>
      <c r="H9" s="8">
        <v>0</v>
      </c>
      <c r="I9" s="8">
        <v>0</v>
      </c>
      <c r="J9" s="8">
        <v>0</v>
      </c>
      <c r="K9" s="8">
        <v>0</v>
      </c>
      <c r="L9" s="8">
        <v>0</v>
      </c>
      <c r="M9" s="407">
        <f t="shared" si="0"/>
        <v>2</v>
      </c>
    </row>
    <row r="10" ht="25.5" spans="1:13">
      <c r="A10" s="30">
        <v>3</v>
      </c>
      <c r="B10" s="30" t="s">
        <v>20</v>
      </c>
      <c r="C10" s="31">
        <v>8</v>
      </c>
      <c r="D10" s="8">
        <v>2</v>
      </c>
      <c r="E10" s="8">
        <v>1</v>
      </c>
      <c r="F10" s="8">
        <v>1</v>
      </c>
      <c r="G10" s="8">
        <v>1</v>
      </c>
      <c r="H10" s="8">
        <v>1</v>
      </c>
      <c r="I10" s="8">
        <v>1</v>
      </c>
      <c r="J10" s="8">
        <v>1</v>
      </c>
      <c r="K10" s="8">
        <v>1</v>
      </c>
      <c r="L10" s="8">
        <v>1</v>
      </c>
      <c r="M10" s="407">
        <f t="shared" si="0"/>
        <v>18</v>
      </c>
    </row>
    <row r="11" ht="25.5" spans="1:13">
      <c r="A11" s="30">
        <v>4</v>
      </c>
      <c r="B11" s="30" t="s">
        <v>21</v>
      </c>
      <c r="C11" s="31">
        <v>1</v>
      </c>
      <c r="D11" s="8">
        <v>0</v>
      </c>
      <c r="E11" s="8">
        <v>0</v>
      </c>
      <c r="F11" s="8">
        <v>0</v>
      </c>
      <c r="G11" s="8">
        <v>0</v>
      </c>
      <c r="H11" s="8">
        <v>0</v>
      </c>
      <c r="I11" s="8">
        <v>0</v>
      </c>
      <c r="J11" s="8">
        <v>0</v>
      </c>
      <c r="K11" s="8">
        <v>0</v>
      </c>
      <c r="L11" s="8">
        <v>0</v>
      </c>
      <c r="M11" s="407">
        <f t="shared" si="0"/>
        <v>1</v>
      </c>
    </row>
    <row r="12" s="197" customFormat="1" spans="1:13">
      <c r="A12" s="34">
        <v>5</v>
      </c>
      <c r="B12" s="34" t="s">
        <v>22</v>
      </c>
      <c r="C12" s="402">
        <v>4</v>
      </c>
      <c r="D12" s="403">
        <v>0</v>
      </c>
      <c r="E12" s="403">
        <v>0</v>
      </c>
      <c r="F12" s="403">
        <v>0</v>
      </c>
      <c r="G12" s="403">
        <v>0</v>
      </c>
      <c r="H12" s="403">
        <v>0</v>
      </c>
      <c r="I12" s="403">
        <v>0</v>
      </c>
      <c r="J12" s="403">
        <v>0</v>
      </c>
      <c r="K12" s="403">
        <v>0</v>
      </c>
      <c r="L12" s="403">
        <v>0</v>
      </c>
      <c r="M12" s="408">
        <f t="shared" si="0"/>
        <v>4</v>
      </c>
    </row>
    <row r="13" spans="1:13">
      <c r="A13" s="30">
        <v>6</v>
      </c>
      <c r="B13" s="30" t="s">
        <v>23</v>
      </c>
      <c r="C13" s="31">
        <v>8</v>
      </c>
      <c r="D13" s="8">
        <v>2</v>
      </c>
      <c r="E13" s="8">
        <v>1</v>
      </c>
      <c r="F13" s="8">
        <v>1</v>
      </c>
      <c r="G13" s="8">
        <v>1</v>
      </c>
      <c r="H13" s="8">
        <v>1</v>
      </c>
      <c r="I13" s="8">
        <v>1</v>
      </c>
      <c r="J13" s="8">
        <v>1</v>
      </c>
      <c r="K13" s="8">
        <v>1</v>
      </c>
      <c r="L13" s="8">
        <v>1</v>
      </c>
      <c r="M13" s="407">
        <f t="shared" si="0"/>
        <v>18</v>
      </c>
    </row>
    <row r="14" ht="25.5" spans="1:13">
      <c r="A14" s="30">
        <v>7</v>
      </c>
      <c r="B14" s="30" t="s">
        <v>24</v>
      </c>
      <c r="C14" s="31">
        <v>1</v>
      </c>
      <c r="D14" s="8">
        <v>0</v>
      </c>
      <c r="E14" s="8">
        <v>0</v>
      </c>
      <c r="F14" s="8">
        <v>0</v>
      </c>
      <c r="G14" s="8">
        <v>0</v>
      </c>
      <c r="H14" s="8">
        <v>0</v>
      </c>
      <c r="I14" s="8">
        <v>0</v>
      </c>
      <c r="J14" s="8">
        <v>0</v>
      </c>
      <c r="K14" s="8">
        <v>0</v>
      </c>
      <c r="L14" s="8">
        <v>0</v>
      </c>
      <c r="M14" s="407">
        <f t="shared" si="0"/>
        <v>1</v>
      </c>
    </row>
    <row r="15" spans="1:13">
      <c r="A15" s="30">
        <v>8</v>
      </c>
      <c r="B15" s="30" t="s">
        <v>25</v>
      </c>
      <c r="C15" s="31">
        <v>3</v>
      </c>
      <c r="D15" s="8">
        <v>0</v>
      </c>
      <c r="E15" s="8">
        <v>0</v>
      </c>
      <c r="F15" s="8">
        <v>0</v>
      </c>
      <c r="G15" s="8">
        <v>0</v>
      </c>
      <c r="H15" s="8">
        <v>0</v>
      </c>
      <c r="I15" s="8">
        <v>0</v>
      </c>
      <c r="J15" s="8">
        <v>0</v>
      </c>
      <c r="K15" s="8">
        <v>0</v>
      </c>
      <c r="L15" s="8">
        <v>0</v>
      </c>
      <c r="M15" s="407">
        <f t="shared" si="0"/>
        <v>3</v>
      </c>
    </row>
    <row r="16" spans="1:13">
      <c r="A16" s="30">
        <v>9</v>
      </c>
      <c r="B16" s="30" t="s">
        <v>26</v>
      </c>
      <c r="C16" s="31">
        <v>6</v>
      </c>
      <c r="D16" s="8">
        <v>2</v>
      </c>
      <c r="E16" s="8">
        <v>1</v>
      </c>
      <c r="F16" s="8">
        <v>1</v>
      </c>
      <c r="G16" s="8">
        <v>1</v>
      </c>
      <c r="H16" s="8">
        <v>1</v>
      </c>
      <c r="I16" s="8">
        <v>1</v>
      </c>
      <c r="J16" s="8">
        <v>1</v>
      </c>
      <c r="K16" s="8">
        <v>1</v>
      </c>
      <c r="L16" s="8">
        <v>1</v>
      </c>
      <c r="M16" s="407">
        <f t="shared" si="0"/>
        <v>16</v>
      </c>
    </row>
    <row r="17" spans="1:13">
      <c r="A17" s="30">
        <v>10</v>
      </c>
      <c r="B17" s="30" t="s">
        <v>27</v>
      </c>
      <c r="C17" s="31">
        <v>1</v>
      </c>
      <c r="D17" s="8">
        <v>0</v>
      </c>
      <c r="E17" s="8">
        <v>0</v>
      </c>
      <c r="F17" s="8">
        <v>0</v>
      </c>
      <c r="G17" s="8">
        <v>0</v>
      </c>
      <c r="H17" s="8">
        <v>0</v>
      </c>
      <c r="I17" s="8">
        <v>0</v>
      </c>
      <c r="J17" s="8">
        <v>0</v>
      </c>
      <c r="K17" s="8">
        <v>0</v>
      </c>
      <c r="L17" s="8">
        <v>0</v>
      </c>
      <c r="M17" s="407">
        <f t="shared" si="0"/>
        <v>1</v>
      </c>
    </row>
    <row r="18" spans="1:13">
      <c r="A18" s="30">
        <v>11</v>
      </c>
      <c r="B18" s="30" t="s">
        <v>28</v>
      </c>
      <c r="C18" s="31">
        <v>3</v>
      </c>
      <c r="D18" s="8">
        <v>0</v>
      </c>
      <c r="E18" s="8">
        <v>0</v>
      </c>
      <c r="F18" s="8">
        <v>0</v>
      </c>
      <c r="G18" s="8">
        <v>0</v>
      </c>
      <c r="H18" s="8">
        <v>0</v>
      </c>
      <c r="I18" s="8">
        <v>0</v>
      </c>
      <c r="J18" s="8">
        <v>0</v>
      </c>
      <c r="K18" s="8">
        <v>0</v>
      </c>
      <c r="L18" s="8">
        <v>0</v>
      </c>
      <c r="M18" s="407">
        <f t="shared" si="0"/>
        <v>3</v>
      </c>
    </row>
    <row r="19" spans="1:13">
      <c r="A19" s="30">
        <v>12</v>
      </c>
      <c r="B19" s="30" t="s">
        <v>29</v>
      </c>
      <c r="C19" s="31">
        <v>1</v>
      </c>
      <c r="D19" s="8">
        <v>0</v>
      </c>
      <c r="E19" s="8">
        <v>0</v>
      </c>
      <c r="F19" s="8">
        <v>0</v>
      </c>
      <c r="G19" s="8">
        <v>0</v>
      </c>
      <c r="H19" s="8">
        <v>0</v>
      </c>
      <c r="I19" s="8">
        <v>0</v>
      </c>
      <c r="J19" s="8">
        <v>0</v>
      </c>
      <c r="K19" s="8">
        <v>0</v>
      </c>
      <c r="L19" s="8">
        <v>0</v>
      </c>
      <c r="M19" s="407">
        <f t="shared" si="0"/>
        <v>1</v>
      </c>
    </row>
    <row r="20" spans="1:13">
      <c r="A20" s="30">
        <v>13</v>
      </c>
      <c r="B20" s="30" t="s">
        <v>30</v>
      </c>
      <c r="C20" s="31">
        <v>4</v>
      </c>
      <c r="D20" s="8">
        <v>0</v>
      </c>
      <c r="E20" s="8">
        <v>0</v>
      </c>
      <c r="F20" s="8">
        <v>0</v>
      </c>
      <c r="G20" s="8">
        <v>0</v>
      </c>
      <c r="H20" s="8">
        <v>0</v>
      </c>
      <c r="I20" s="8">
        <v>0</v>
      </c>
      <c r="J20" s="8">
        <v>0</v>
      </c>
      <c r="K20" s="8">
        <v>0</v>
      </c>
      <c r="L20" s="8">
        <v>0</v>
      </c>
      <c r="M20" s="407">
        <f t="shared" si="0"/>
        <v>4</v>
      </c>
    </row>
    <row r="21" spans="1:13">
      <c r="A21" s="30">
        <v>14</v>
      </c>
      <c r="B21" s="30" t="s">
        <v>31</v>
      </c>
      <c r="C21" s="31">
        <v>6</v>
      </c>
      <c r="D21" s="8">
        <v>0</v>
      </c>
      <c r="E21" s="8">
        <v>0</v>
      </c>
      <c r="F21" s="8">
        <v>0</v>
      </c>
      <c r="G21" s="8">
        <v>0</v>
      </c>
      <c r="H21" s="8">
        <v>0</v>
      </c>
      <c r="I21" s="8">
        <v>0</v>
      </c>
      <c r="J21" s="8">
        <v>0</v>
      </c>
      <c r="K21" s="8">
        <v>0</v>
      </c>
      <c r="L21" s="8">
        <v>0</v>
      </c>
      <c r="M21" s="407">
        <f t="shared" si="0"/>
        <v>6</v>
      </c>
    </row>
    <row r="22" spans="1:13">
      <c r="A22" s="30">
        <v>15</v>
      </c>
      <c r="B22" s="30" t="s">
        <v>32</v>
      </c>
      <c r="C22" s="31">
        <v>15</v>
      </c>
      <c r="D22" s="8">
        <v>2</v>
      </c>
      <c r="E22" s="8">
        <v>1</v>
      </c>
      <c r="F22" s="8">
        <v>1</v>
      </c>
      <c r="G22" s="8">
        <v>1</v>
      </c>
      <c r="H22" s="8">
        <v>1</v>
      </c>
      <c r="I22" s="8">
        <v>1</v>
      </c>
      <c r="J22" s="8">
        <v>1</v>
      </c>
      <c r="K22" s="8">
        <v>1</v>
      </c>
      <c r="L22" s="8">
        <v>1</v>
      </c>
      <c r="M22" s="407">
        <f t="shared" si="0"/>
        <v>25</v>
      </c>
    </row>
    <row r="23" spans="1:13">
      <c r="A23" s="30">
        <v>16</v>
      </c>
      <c r="B23" s="30" t="s">
        <v>33</v>
      </c>
      <c r="C23" s="31">
        <v>3</v>
      </c>
      <c r="D23" s="8">
        <v>0</v>
      </c>
      <c r="E23" s="8">
        <v>0</v>
      </c>
      <c r="F23" s="8">
        <v>0</v>
      </c>
      <c r="G23" s="8">
        <v>0</v>
      </c>
      <c r="H23" s="8">
        <v>0</v>
      </c>
      <c r="I23" s="8">
        <v>0</v>
      </c>
      <c r="J23" s="8">
        <v>0</v>
      </c>
      <c r="K23" s="8">
        <v>0</v>
      </c>
      <c r="L23" s="8">
        <v>0</v>
      </c>
      <c r="M23" s="407">
        <f t="shared" si="0"/>
        <v>3</v>
      </c>
    </row>
    <row r="24" spans="1:13">
      <c r="A24" s="30">
        <v>17</v>
      </c>
      <c r="B24" s="30" t="s">
        <v>34</v>
      </c>
      <c r="C24" s="31">
        <v>1</v>
      </c>
      <c r="D24" s="8">
        <v>0</v>
      </c>
      <c r="E24" s="8">
        <v>0</v>
      </c>
      <c r="F24" s="8">
        <v>0</v>
      </c>
      <c r="G24" s="8">
        <v>0</v>
      </c>
      <c r="H24" s="8">
        <v>0</v>
      </c>
      <c r="I24" s="8">
        <v>0</v>
      </c>
      <c r="J24" s="8">
        <v>0</v>
      </c>
      <c r="K24" s="8">
        <v>0</v>
      </c>
      <c r="L24" s="8">
        <v>0</v>
      </c>
      <c r="M24" s="407">
        <f t="shared" si="0"/>
        <v>1</v>
      </c>
    </row>
    <row r="25" spans="1:13">
      <c r="A25" s="404" t="s">
        <v>35</v>
      </c>
      <c r="B25" s="404"/>
      <c r="C25" s="405">
        <f>SUM(C8:C24)</f>
        <v>72</v>
      </c>
      <c r="D25" s="406">
        <f t="shared" ref="D25:M25" si="1">SUM(D8:D24)</f>
        <v>8</v>
      </c>
      <c r="E25" s="406">
        <f t="shared" si="1"/>
        <v>4</v>
      </c>
      <c r="F25" s="406">
        <f t="shared" si="1"/>
        <v>4</v>
      </c>
      <c r="G25" s="406">
        <f t="shared" si="1"/>
        <v>4</v>
      </c>
      <c r="H25" s="406">
        <f t="shared" si="1"/>
        <v>4</v>
      </c>
      <c r="I25" s="406">
        <f t="shared" si="1"/>
        <v>4</v>
      </c>
      <c r="J25" s="406">
        <f t="shared" si="1"/>
        <v>4</v>
      </c>
      <c r="K25" s="406">
        <f t="shared" si="1"/>
        <v>4</v>
      </c>
      <c r="L25" s="406">
        <f t="shared" si="1"/>
        <v>4</v>
      </c>
      <c r="M25" s="409">
        <f t="shared" si="1"/>
        <v>112</v>
      </c>
    </row>
  </sheetData>
  <mergeCells count="5">
    <mergeCell ref="A1:M1"/>
    <mergeCell ref="A2:M2"/>
    <mergeCell ref="A4:M4"/>
    <mergeCell ref="A5:M5"/>
    <mergeCell ref="A25:B25"/>
  </mergeCells>
  <pageMargins left="0.511811024" right="0.511811024" top="0.787401575" bottom="0.787401575" header="0.31496062" footer="0.31496062"/>
  <pageSetup paperSize="9" scale="83" orientation="landscape"/>
  <headerFooter>
    <oddHeader>&amp;L&amp;G&amp;CProcesso 23069.154758/2022-91
PE 57/2022&amp;R&amp;G</oddHeader>
    <oddFooter>&amp;L&amp;"-,Itálico"&amp;9&amp;A&amp;R&amp;"-,Itálico"&amp;9Página &amp;P de &amp;N</oddFooter>
  </headerFooter>
  <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9"/>
  <sheetViews>
    <sheetView zoomScaleSheetLayoutView="90" workbookViewId="0">
      <selection activeCell="A1" sqref="A1:C1"/>
    </sheetView>
  </sheetViews>
  <sheetFormatPr defaultColWidth="9" defaultRowHeight="15"/>
  <cols>
    <col min="1" max="1" width="5.42857142857143" customWidth="1"/>
    <col min="2" max="2" width="39.4285714285714" customWidth="1"/>
    <col min="3" max="3" width="49.2857142857143" customWidth="1"/>
    <col min="4" max="4" width="10.8571428571429" customWidth="1"/>
    <col min="6" max="6" width="11.4285714285714" customWidth="1"/>
    <col min="7" max="7" width="10.4285714285714" customWidth="1"/>
    <col min="10" max="10" width="14.1428571428571" customWidth="1"/>
    <col min="11" max="11" width="12" customWidth="1"/>
    <col min="12" max="12" width="11.5714285714286" customWidth="1"/>
  </cols>
  <sheetData>
    <row r="1" ht="18.75" customHeight="1" spans="1:13">
      <c r="A1" s="1" t="s">
        <v>0</v>
      </c>
      <c r="B1" s="1"/>
      <c r="C1" s="1"/>
      <c r="D1" s="19"/>
      <c r="E1" s="19"/>
      <c r="F1" s="19"/>
      <c r="G1" s="19"/>
      <c r="H1" s="19"/>
      <c r="I1" s="19"/>
      <c r="J1" s="19"/>
      <c r="K1" s="19"/>
      <c r="L1" s="19"/>
      <c r="M1" s="19"/>
    </row>
    <row r="2" ht="18.75" spans="1:13">
      <c r="A2" s="2" t="s">
        <v>1</v>
      </c>
      <c r="B2" s="2"/>
      <c r="C2" s="2"/>
      <c r="D2" s="20"/>
      <c r="E2" s="20"/>
      <c r="F2" s="20"/>
      <c r="G2" s="20"/>
      <c r="H2" s="20"/>
      <c r="I2" s="20"/>
      <c r="J2" s="20"/>
      <c r="K2" s="20"/>
      <c r="L2" s="20"/>
      <c r="M2" s="20"/>
    </row>
    <row r="4" customHeight="1" spans="1:13">
      <c r="A4" s="41" t="s">
        <v>36</v>
      </c>
      <c r="B4" s="41"/>
      <c r="C4" s="41"/>
      <c r="D4" s="390"/>
      <c r="E4" s="390"/>
      <c r="F4" s="390"/>
      <c r="G4" s="390"/>
      <c r="H4" s="390"/>
      <c r="I4" s="390"/>
      <c r="J4" s="390"/>
      <c r="K4" s="390"/>
      <c r="L4" s="390"/>
      <c r="M4" s="390"/>
    </row>
    <row r="5" ht="53.25" customHeight="1" spans="1:13">
      <c r="A5" s="42" t="s">
        <v>2</v>
      </c>
      <c r="B5" s="42"/>
      <c r="C5" s="42"/>
      <c r="D5" s="232"/>
      <c r="E5" s="232"/>
      <c r="F5" s="232"/>
      <c r="G5" s="232"/>
      <c r="H5" s="232"/>
      <c r="I5" s="232"/>
      <c r="J5" s="232"/>
      <c r="K5" s="232"/>
      <c r="L5" s="232"/>
      <c r="M5" s="232"/>
    </row>
    <row r="6" spans="1:13">
      <c r="A6" s="42"/>
      <c r="B6" s="42"/>
      <c r="C6" s="42"/>
      <c r="D6" s="232"/>
      <c r="E6" s="232"/>
      <c r="F6" s="232"/>
      <c r="G6" s="232"/>
      <c r="H6" s="232"/>
      <c r="I6" s="232"/>
      <c r="J6" s="232"/>
      <c r="K6" s="232"/>
      <c r="L6" s="232"/>
      <c r="M6" s="232"/>
    </row>
    <row r="7" spans="2:3">
      <c r="B7" s="391" t="s">
        <v>37</v>
      </c>
      <c r="C7" s="391" t="s">
        <v>38</v>
      </c>
    </row>
    <row r="8" spans="2:3">
      <c r="B8" s="280" t="s">
        <v>39</v>
      </c>
      <c r="C8" s="280" t="s">
        <v>40</v>
      </c>
    </row>
    <row r="9" spans="2:3">
      <c r="B9" s="280" t="s">
        <v>41</v>
      </c>
      <c r="C9" s="280" t="s">
        <v>42</v>
      </c>
    </row>
    <row r="10" spans="2:3">
      <c r="B10" s="392" t="s">
        <v>43</v>
      </c>
      <c r="C10" s="393" t="s">
        <v>44</v>
      </c>
    </row>
    <row r="11" spans="2:3">
      <c r="B11" s="392" t="s">
        <v>45</v>
      </c>
      <c r="C11" s="394"/>
    </row>
    <row r="12" spans="2:3">
      <c r="B12" s="392" t="s">
        <v>46</v>
      </c>
      <c r="C12" s="394"/>
    </row>
    <row r="13" spans="2:3">
      <c r="B13" s="392" t="s">
        <v>47</v>
      </c>
      <c r="C13" s="394"/>
    </row>
    <row r="14" spans="2:3">
      <c r="B14" s="392" t="s">
        <v>48</v>
      </c>
      <c r="C14" s="394"/>
    </row>
    <row r="15" spans="2:3">
      <c r="B15" s="392" t="s">
        <v>49</v>
      </c>
      <c r="C15" s="394"/>
    </row>
    <row r="16" spans="2:3">
      <c r="B16" s="392" t="s">
        <v>50</v>
      </c>
      <c r="C16" s="394"/>
    </row>
    <row r="17" spans="2:3">
      <c r="B17" s="392" t="s">
        <v>51</v>
      </c>
      <c r="C17" s="394"/>
    </row>
    <row r="18" spans="2:3">
      <c r="B18" s="392" t="s">
        <v>52</v>
      </c>
      <c r="C18" s="395"/>
    </row>
    <row r="19" spans="2:3">
      <c r="B19" s="392" t="s">
        <v>53</v>
      </c>
      <c r="C19" s="396" t="s">
        <v>44</v>
      </c>
    </row>
    <row r="20" spans="2:3">
      <c r="B20" s="392" t="s">
        <v>54</v>
      </c>
      <c r="C20" s="397" t="s">
        <v>44</v>
      </c>
    </row>
    <row r="21" spans="2:3">
      <c r="B21" s="392" t="s">
        <v>55</v>
      </c>
      <c r="C21" s="398"/>
    </row>
    <row r="22" spans="2:3">
      <c r="B22" s="392" t="s">
        <v>56</v>
      </c>
      <c r="C22" s="398"/>
    </row>
    <row r="23" spans="2:3">
      <c r="B23" s="392" t="s">
        <v>57</v>
      </c>
      <c r="C23" s="399"/>
    </row>
    <row r="24" spans="2:3">
      <c r="B24" s="392" t="s">
        <v>58</v>
      </c>
      <c r="C24" s="396" t="s">
        <v>59</v>
      </c>
    </row>
    <row r="25" spans="2:3">
      <c r="B25" s="392" t="s">
        <v>60</v>
      </c>
      <c r="C25" s="393" t="s">
        <v>44</v>
      </c>
    </row>
    <row r="26" spans="2:3">
      <c r="B26" s="392" t="s">
        <v>61</v>
      </c>
      <c r="C26" s="394"/>
    </row>
    <row r="27" ht="25.5" spans="2:3">
      <c r="B27" s="392" t="s">
        <v>62</v>
      </c>
      <c r="C27" s="395"/>
    </row>
    <row r="28" spans="2:3">
      <c r="B28" s="280" t="s">
        <v>63</v>
      </c>
      <c r="C28" s="280" t="s">
        <v>64</v>
      </c>
    </row>
    <row r="29" ht="25.5" customHeight="1" spans="2:3">
      <c r="B29" s="396" t="s">
        <v>65</v>
      </c>
      <c r="C29" s="393" t="s">
        <v>66</v>
      </c>
    </row>
    <row r="30" spans="2:3">
      <c r="B30" s="396" t="s">
        <v>67</v>
      </c>
      <c r="C30" s="394"/>
    </row>
    <row r="31" spans="2:3">
      <c r="B31" s="396" t="s">
        <v>68</v>
      </c>
      <c r="C31" s="394"/>
    </row>
    <row r="32" ht="25.5" spans="2:3">
      <c r="B32" s="396" t="s">
        <v>69</v>
      </c>
      <c r="C32" s="394"/>
    </row>
    <row r="33" spans="2:3">
      <c r="B33" s="396" t="s">
        <v>70</v>
      </c>
      <c r="C33" s="394"/>
    </row>
    <row r="34" spans="2:3">
      <c r="B34" s="396" t="s">
        <v>71</v>
      </c>
      <c r="C34" s="394"/>
    </row>
    <row r="35" spans="2:3">
      <c r="B35" s="396" t="s">
        <v>72</v>
      </c>
      <c r="C35" s="395"/>
    </row>
    <row r="36" ht="25.5" spans="2:3">
      <c r="B36" s="396" t="s">
        <v>73</v>
      </c>
      <c r="C36" s="393" t="s">
        <v>64</v>
      </c>
    </row>
    <row r="37" ht="25.5" spans="2:3">
      <c r="B37" s="396" t="s">
        <v>74</v>
      </c>
      <c r="C37" s="394"/>
    </row>
    <row r="38" ht="25.5" spans="2:3">
      <c r="B38" s="396" t="s">
        <v>75</v>
      </c>
      <c r="C38" s="395"/>
    </row>
    <row r="39" ht="25.5" customHeight="1" spans="2:3">
      <c r="B39" s="396" t="s">
        <v>76</v>
      </c>
      <c r="C39" s="393" t="s">
        <v>64</v>
      </c>
    </row>
    <row r="40" spans="2:3">
      <c r="B40" s="396" t="s">
        <v>77</v>
      </c>
      <c r="C40" s="395"/>
    </row>
    <row r="41" ht="25.5" customHeight="1" spans="2:3">
      <c r="B41" s="396" t="s">
        <v>78</v>
      </c>
      <c r="C41" s="393" t="s">
        <v>79</v>
      </c>
    </row>
    <row r="42" spans="2:3">
      <c r="B42" s="396" t="s">
        <v>80</v>
      </c>
      <c r="C42" s="394"/>
    </row>
    <row r="43" spans="2:3">
      <c r="B43" s="396" t="s">
        <v>81</v>
      </c>
      <c r="C43" s="394"/>
    </row>
    <row r="44" spans="2:3">
      <c r="B44" s="396" t="s">
        <v>82</v>
      </c>
      <c r="C44" s="395"/>
    </row>
    <row r="45" ht="25.5" customHeight="1" spans="2:3">
      <c r="B45" s="396" t="s">
        <v>83</v>
      </c>
      <c r="C45" s="393" t="s">
        <v>79</v>
      </c>
    </row>
    <row r="46" spans="2:3">
      <c r="B46" s="396" t="s">
        <v>84</v>
      </c>
      <c r="C46" s="394"/>
    </row>
    <row r="47" ht="25.5" customHeight="1" spans="2:3">
      <c r="B47" s="396" t="s">
        <v>85</v>
      </c>
      <c r="C47" s="394"/>
    </row>
    <row r="48" spans="2:3">
      <c r="B48" s="400" t="s">
        <v>86</v>
      </c>
      <c r="C48" s="394"/>
    </row>
    <row r="49" spans="2:3">
      <c r="B49" s="396" t="s">
        <v>87</v>
      </c>
      <c r="C49" s="394"/>
    </row>
    <row r="50" ht="25.5" customHeight="1" spans="2:3">
      <c r="B50" s="396" t="s">
        <v>88</v>
      </c>
      <c r="C50" s="395"/>
    </row>
    <row r="51" ht="25.5" spans="2:3">
      <c r="B51" s="396" t="s">
        <v>89</v>
      </c>
      <c r="C51" s="396" t="s">
        <v>66</v>
      </c>
    </row>
    <row r="52" ht="25.5" spans="2:3">
      <c r="B52" s="396" t="s">
        <v>90</v>
      </c>
      <c r="C52" s="396" t="s">
        <v>79</v>
      </c>
    </row>
    <row r="53" spans="2:3">
      <c r="B53" s="280" t="s">
        <v>91</v>
      </c>
      <c r="C53" s="280" t="s">
        <v>92</v>
      </c>
    </row>
    <row r="54" spans="2:3">
      <c r="B54" s="280" t="s">
        <v>93</v>
      </c>
      <c r="C54" s="396" t="s">
        <v>40</v>
      </c>
    </row>
    <row r="55" ht="25.5" spans="2:3">
      <c r="B55" s="396" t="s">
        <v>94</v>
      </c>
      <c r="C55" s="396" t="s">
        <v>66</v>
      </c>
    </row>
    <row r="56" spans="2:3">
      <c r="B56" s="280" t="s">
        <v>95</v>
      </c>
      <c r="C56" s="280" t="s">
        <v>96</v>
      </c>
    </row>
    <row r="57" spans="2:3">
      <c r="B57" s="396" t="s">
        <v>97</v>
      </c>
      <c r="C57" s="280" t="s">
        <v>98</v>
      </c>
    </row>
    <row r="58" spans="2:3">
      <c r="B58" s="396" t="s">
        <v>99</v>
      </c>
      <c r="C58" s="280" t="s">
        <v>100</v>
      </c>
    </row>
    <row r="59" spans="2:3">
      <c r="B59" s="396" t="s">
        <v>101</v>
      </c>
      <c r="C59" s="280" t="s">
        <v>102</v>
      </c>
    </row>
    <row r="60" spans="2:3">
      <c r="B60" s="396" t="s">
        <v>103</v>
      </c>
      <c r="C60" s="280" t="s">
        <v>104</v>
      </c>
    </row>
    <row r="61" spans="2:3">
      <c r="B61" s="396" t="s">
        <v>105</v>
      </c>
      <c r="C61" s="280" t="s">
        <v>106</v>
      </c>
    </row>
    <row r="62" spans="2:3">
      <c r="B62" s="396" t="s">
        <v>107</v>
      </c>
      <c r="C62" s="280" t="s">
        <v>92</v>
      </c>
    </row>
    <row r="63" spans="2:3">
      <c r="B63" s="280" t="s">
        <v>108</v>
      </c>
      <c r="C63" s="280" t="s">
        <v>109</v>
      </c>
    </row>
    <row r="64" spans="2:3">
      <c r="B64" s="396" t="s">
        <v>110</v>
      </c>
      <c r="C64" s="280" t="s">
        <v>111</v>
      </c>
    </row>
    <row r="65" spans="2:3">
      <c r="B65" s="396" t="s">
        <v>112</v>
      </c>
      <c r="C65" s="280" t="s">
        <v>113</v>
      </c>
    </row>
    <row r="66" spans="2:3">
      <c r="B66" s="396" t="s">
        <v>114</v>
      </c>
      <c r="C66" s="280" t="s">
        <v>115</v>
      </c>
    </row>
    <row r="67" spans="2:3">
      <c r="B67" s="396" t="s">
        <v>116</v>
      </c>
      <c r="C67" s="280" t="s">
        <v>117</v>
      </c>
    </row>
    <row r="68" spans="2:3">
      <c r="B68" s="396" t="s">
        <v>118</v>
      </c>
      <c r="C68" s="280" t="s">
        <v>119</v>
      </c>
    </row>
    <row r="69" spans="2:3">
      <c r="B69" s="396" t="s">
        <v>120</v>
      </c>
      <c r="C69" s="280" t="s">
        <v>121</v>
      </c>
    </row>
    <row r="70" spans="2:3">
      <c r="B70" s="396" t="s">
        <v>122</v>
      </c>
      <c r="C70" s="280" t="s">
        <v>64</v>
      </c>
    </row>
    <row r="71" spans="2:3">
      <c r="B71" s="396" t="s">
        <v>123</v>
      </c>
      <c r="C71" s="280" t="s">
        <v>64</v>
      </c>
    </row>
    <row r="72" ht="25.5" spans="2:3">
      <c r="B72" s="396" t="s">
        <v>124</v>
      </c>
      <c r="C72" s="280" t="s">
        <v>79</v>
      </c>
    </row>
    <row r="73" spans="2:3">
      <c r="B73" s="280" t="s">
        <v>125</v>
      </c>
      <c r="C73" s="280" t="s">
        <v>126</v>
      </c>
    </row>
    <row r="74" ht="25.5" spans="2:3">
      <c r="B74" s="280" t="s">
        <v>127</v>
      </c>
      <c r="C74" s="280" t="s">
        <v>128</v>
      </c>
    </row>
    <row r="75" ht="25.5" spans="2:3">
      <c r="B75" s="280" t="s">
        <v>129</v>
      </c>
      <c r="C75" s="280" t="s">
        <v>130</v>
      </c>
    </row>
    <row r="76" spans="2:3">
      <c r="B76" s="280" t="s">
        <v>131</v>
      </c>
      <c r="C76" s="280" t="s">
        <v>96</v>
      </c>
    </row>
    <row r="77" spans="2:3">
      <c r="B77" s="280" t="s">
        <v>132</v>
      </c>
      <c r="C77" s="280" t="s">
        <v>96</v>
      </c>
    </row>
    <row r="78" ht="25.5" spans="2:3">
      <c r="B78" s="280" t="s">
        <v>133</v>
      </c>
      <c r="C78" s="280" t="s">
        <v>96</v>
      </c>
    </row>
    <row r="79" ht="25.5" spans="2:3">
      <c r="B79" s="280" t="s">
        <v>134</v>
      </c>
      <c r="C79" s="280" t="s">
        <v>135</v>
      </c>
    </row>
    <row r="80" spans="2:3">
      <c r="B80" s="280" t="s">
        <v>136</v>
      </c>
      <c r="C80" s="280" t="s">
        <v>137</v>
      </c>
    </row>
    <row r="81" spans="2:3">
      <c r="B81" s="396" t="s">
        <v>138</v>
      </c>
      <c r="C81" s="280" t="s">
        <v>139</v>
      </c>
    </row>
    <row r="82" spans="2:3">
      <c r="B82" s="396" t="s">
        <v>140</v>
      </c>
      <c r="C82" s="280"/>
    </row>
    <row r="83" spans="2:3">
      <c r="B83" s="280" t="s">
        <v>141</v>
      </c>
      <c r="C83" s="280" t="s">
        <v>142</v>
      </c>
    </row>
    <row r="84" spans="2:3">
      <c r="B84" s="280" t="s">
        <v>143</v>
      </c>
      <c r="C84" s="280" t="s">
        <v>144</v>
      </c>
    </row>
    <row r="85" ht="25.5" spans="2:3">
      <c r="B85" s="280" t="s">
        <v>145</v>
      </c>
      <c r="C85" s="280" t="s">
        <v>146</v>
      </c>
    </row>
    <row r="86" ht="25.5" spans="2:3">
      <c r="B86" s="280" t="s">
        <v>147</v>
      </c>
      <c r="C86" s="280" t="s">
        <v>148</v>
      </c>
    </row>
    <row r="87" ht="25.5" spans="2:3">
      <c r="B87" s="280" t="s">
        <v>149</v>
      </c>
      <c r="C87" s="280" t="s">
        <v>148</v>
      </c>
    </row>
    <row r="88" spans="2:3">
      <c r="B88" s="280" t="s">
        <v>150</v>
      </c>
      <c r="C88" s="280" t="s">
        <v>151</v>
      </c>
    </row>
    <row r="89" spans="2:3">
      <c r="B89" s="396" t="s">
        <v>152</v>
      </c>
      <c r="C89" s="280" t="s">
        <v>153</v>
      </c>
    </row>
  </sheetData>
  <mergeCells count="12">
    <mergeCell ref="A1:C1"/>
    <mergeCell ref="A2:C2"/>
    <mergeCell ref="A4:C4"/>
    <mergeCell ref="A5:C5"/>
    <mergeCell ref="C10:C18"/>
    <mergeCell ref="C20:C23"/>
    <mergeCell ref="C25:C27"/>
    <mergeCell ref="C29:C35"/>
    <mergeCell ref="C36:C38"/>
    <mergeCell ref="C39:C40"/>
    <mergeCell ref="C41:C44"/>
    <mergeCell ref="C45:C50"/>
  </mergeCells>
  <pageMargins left="0.511811024" right="0.511811024" top="0.787401575" bottom="0.787401575" header="0.31496062" footer="0.31496062"/>
  <pageSetup paperSize="9" scale="83" orientation="portrait"/>
  <headerFooter>
    <oddHeader>&amp;L&amp;G&amp;CProcesso 23069.154758/2022-91
PE 57/2022&amp;R&amp;G</oddHeader>
    <oddFooter>&amp;L&amp;"-,Itálico"&amp;9&amp;A&amp;R&amp;"-,Itálico"&amp;9Página &amp;P de &amp;N</oddFooter>
  </headerFooter>
  <colBreaks count="1" manualBreakCount="1">
    <brk id="3" max="1048575" man="1"/>
  </colBreaks>
  <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7"/>
  <sheetViews>
    <sheetView topLeftCell="A41" workbookViewId="0">
      <selection activeCell="A1" sqref="A1:G1"/>
    </sheetView>
  </sheetViews>
  <sheetFormatPr defaultColWidth="8.85714285714286" defaultRowHeight="15" outlineLevelCol="7"/>
  <cols>
    <col min="1" max="1" width="5.28571428571429" style="321" customWidth="1"/>
    <col min="2" max="2" width="46.8571428571429" style="321" customWidth="1"/>
    <col min="3" max="3" width="9.85714285714286" style="321" customWidth="1"/>
    <col min="4" max="4" width="11.7142857142857" style="321" customWidth="1"/>
    <col min="5" max="5" width="11.8571428571429" style="321" customWidth="1"/>
    <col min="6" max="6" width="14.1428571428571" style="321" customWidth="1"/>
    <col min="7" max="7" width="12.1428571428571" style="321" customWidth="1"/>
    <col min="8" max="8" width="12.5714285714286" style="321" customWidth="1"/>
    <col min="9" max="16384" width="8.85714285714286" style="321"/>
  </cols>
  <sheetData>
    <row r="1" ht="18.75" customHeight="1" spans="1:8">
      <c r="A1" s="322" t="s">
        <v>0</v>
      </c>
      <c r="B1" s="322"/>
      <c r="C1" s="322"/>
      <c r="D1" s="322"/>
      <c r="E1" s="322"/>
      <c r="F1" s="322"/>
      <c r="G1" s="322"/>
      <c r="H1" s="323"/>
    </row>
    <row r="2" spans="1:8">
      <c r="A2" s="324" t="s">
        <v>1</v>
      </c>
      <c r="B2" s="324"/>
      <c r="C2" s="324"/>
      <c r="D2" s="324"/>
      <c r="E2" s="324"/>
      <c r="F2" s="324"/>
      <c r="G2" s="324"/>
      <c r="H2" s="325"/>
    </row>
    <row r="4" customHeight="1" spans="1:8">
      <c r="A4" s="228" t="s">
        <v>154</v>
      </c>
      <c r="B4" s="228"/>
      <c r="C4" s="228"/>
      <c r="D4" s="228"/>
      <c r="E4" s="228"/>
      <c r="F4" s="228"/>
      <c r="G4" s="228"/>
      <c r="H4" s="229"/>
    </row>
    <row r="5" ht="38.25" customHeight="1" spans="1:8">
      <c r="A5" s="42" t="s">
        <v>2</v>
      </c>
      <c r="B5" s="42"/>
      <c r="C5" s="42"/>
      <c r="D5" s="42"/>
      <c r="E5" s="42"/>
      <c r="F5" s="42"/>
      <c r="G5" s="42"/>
      <c r="H5" s="232"/>
    </row>
    <row r="6" ht="15.75" customHeight="1" spans="1:7">
      <c r="A6" s="326" t="s">
        <v>155</v>
      </c>
      <c r="B6" s="327"/>
      <c r="C6" s="327"/>
      <c r="D6" s="327"/>
      <c r="E6" s="327"/>
      <c r="F6" s="327"/>
      <c r="G6" s="328"/>
    </row>
    <row r="7" ht="15.75" customHeight="1" spans="1:7">
      <c r="A7" s="329" t="s">
        <v>5</v>
      </c>
      <c r="B7" s="330" t="s">
        <v>156</v>
      </c>
      <c r="C7" s="330" t="s">
        <v>157</v>
      </c>
      <c r="D7" s="330" t="s">
        <v>158</v>
      </c>
      <c r="E7" s="330" t="s">
        <v>159</v>
      </c>
      <c r="F7" s="331"/>
      <c r="G7" s="332" t="s">
        <v>160</v>
      </c>
    </row>
    <row r="8" ht="45" spans="1:7">
      <c r="A8" s="333"/>
      <c r="B8" s="331"/>
      <c r="C8" s="331"/>
      <c r="D8" s="331"/>
      <c r="E8" s="334" t="s">
        <v>161</v>
      </c>
      <c r="F8" s="330" t="s">
        <v>162</v>
      </c>
      <c r="G8" s="335"/>
    </row>
    <row r="9" ht="51.75" customHeight="1" spans="1:7">
      <c r="A9" s="336" t="s">
        <v>163</v>
      </c>
      <c r="B9" s="337" t="s">
        <v>164</v>
      </c>
      <c r="C9" s="337">
        <v>6</v>
      </c>
      <c r="D9" s="337" t="s">
        <v>165</v>
      </c>
      <c r="E9" s="338">
        <v>48.96</v>
      </c>
      <c r="F9" s="339">
        <f>E9*C9</f>
        <v>293.76</v>
      </c>
      <c r="G9" s="340" t="s">
        <v>166</v>
      </c>
    </row>
    <row r="10" ht="30" spans="1:7">
      <c r="A10" s="341" t="s">
        <v>167</v>
      </c>
      <c r="B10" s="337" t="s">
        <v>168</v>
      </c>
      <c r="C10" s="337">
        <v>6</v>
      </c>
      <c r="D10" s="337" t="s">
        <v>169</v>
      </c>
      <c r="E10" s="338">
        <v>37.85</v>
      </c>
      <c r="F10" s="339">
        <f t="shared" ref="F10:F13" si="0">E10*C10</f>
        <v>227.1</v>
      </c>
      <c r="G10" s="342"/>
    </row>
    <row r="11" spans="1:7">
      <c r="A11" s="341" t="s">
        <v>170</v>
      </c>
      <c r="B11" s="343" t="s">
        <v>171</v>
      </c>
      <c r="C11" s="343">
        <v>10</v>
      </c>
      <c r="D11" s="343" t="s">
        <v>172</v>
      </c>
      <c r="E11" s="344">
        <v>10.07</v>
      </c>
      <c r="F11" s="339">
        <f t="shared" si="0"/>
        <v>100.7</v>
      </c>
      <c r="G11" s="342"/>
    </row>
    <row r="12" ht="30" spans="1:7">
      <c r="A12" s="341" t="s">
        <v>173</v>
      </c>
      <c r="B12" s="343" t="s">
        <v>174</v>
      </c>
      <c r="C12" s="343">
        <v>2</v>
      </c>
      <c r="D12" s="343" t="s">
        <v>169</v>
      </c>
      <c r="E12" s="344">
        <v>19.56</v>
      </c>
      <c r="F12" s="339">
        <f t="shared" si="0"/>
        <v>39.12</v>
      </c>
      <c r="G12" s="342"/>
    </row>
    <row r="13" spans="1:7">
      <c r="A13" s="341" t="s">
        <v>175</v>
      </c>
      <c r="B13" s="343" t="s">
        <v>176</v>
      </c>
      <c r="C13" s="343">
        <v>1</v>
      </c>
      <c r="D13" s="343" t="s">
        <v>169</v>
      </c>
      <c r="E13" s="344">
        <v>3.17</v>
      </c>
      <c r="F13" s="339">
        <f t="shared" si="0"/>
        <v>3.17</v>
      </c>
      <c r="G13" s="342"/>
    </row>
    <row r="14" spans="1:7">
      <c r="A14" s="345" t="s">
        <v>177</v>
      </c>
      <c r="B14" s="346"/>
      <c r="C14" s="346"/>
      <c r="D14" s="346"/>
      <c r="E14" s="346"/>
      <c r="F14" s="347">
        <f>SUM(F9:F13)</f>
        <v>663.85</v>
      </c>
      <c r="G14" s="348"/>
    </row>
    <row r="15" spans="1:7">
      <c r="A15" s="345" t="s">
        <v>178</v>
      </c>
      <c r="B15" s="346"/>
      <c r="C15" s="346"/>
      <c r="D15" s="346"/>
      <c r="E15" s="346"/>
      <c r="F15" s="349">
        <f>F14/12</f>
        <v>55.3208333333333</v>
      </c>
      <c r="G15" s="350"/>
    </row>
    <row r="16" ht="15.75" customHeight="1" spans="1:7">
      <c r="A16" s="351" t="s">
        <v>179</v>
      </c>
      <c r="B16" s="352"/>
      <c r="C16" s="352"/>
      <c r="D16" s="352"/>
      <c r="E16" s="352"/>
      <c r="F16" s="352"/>
      <c r="G16" s="353"/>
    </row>
    <row r="17" ht="60" spans="1:7">
      <c r="A17" s="329" t="s">
        <v>180</v>
      </c>
      <c r="B17" s="330" t="s">
        <v>181</v>
      </c>
      <c r="C17" s="330" t="s">
        <v>182</v>
      </c>
      <c r="D17" s="330" t="s">
        <v>183</v>
      </c>
      <c r="E17" s="330" t="s">
        <v>184</v>
      </c>
      <c r="F17" s="330" t="s">
        <v>185</v>
      </c>
      <c r="G17" s="354" t="s">
        <v>186</v>
      </c>
    </row>
    <row r="18" spans="1:7">
      <c r="A18" s="341" t="s">
        <v>187</v>
      </c>
      <c r="B18" s="343" t="s">
        <v>188</v>
      </c>
      <c r="C18" s="355">
        <v>1</v>
      </c>
      <c r="D18" s="355" t="s">
        <v>189</v>
      </c>
      <c r="E18" s="355">
        <v>2</v>
      </c>
      <c r="F18" s="356">
        <v>64.73</v>
      </c>
      <c r="G18" s="357">
        <f>F18*E18</f>
        <v>129.46</v>
      </c>
    </row>
    <row r="19" spans="1:7">
      <c r="A19" s="341" t="s">
        <v>190</v>
      </c>
      <c r="B19" s="343" t="s">
        <v>191</v>
      </c>
      <c r="C19" s="355">
        <v>1</v>
      </c>
      <c r="D19" s="355" t="s">
        <v>192</v>
      </c>
      <c r="E19" s="355">
        <v>1</v>
      </c>
      <c r="F19" s="356">
        <v>44.91</v>
      </c>
      <c r="G19" s="357">
        <f t="shared" ref="G19:G39" si="1">F19*E19</f>
        <v>44.91</v>
      </c>
    </row>
    <row r="20" spans="1:7">
      <c r="A20" s="341" t="s">
        <v>193</v>
      </c>
      <c r="B20" s="343" t="s">
        <v>194</v>
      </c>
      <c r="C20" s="355">
        <v>1</v>
      </c>
      <c r="D20" s="355" t="s">
        <v>195</v>
      </c>
      <c r="E20" s="355">
        <v>4</v>
      </c>
      <c r="F20" s="356">
        <v>2.95</v>
      </c>
      <c r="G20" s="357">
        <f t="shared" si="1"/>
        <v>11.8</v>
      </c>
    </row>
    <row r="21" ht="30" spans="1:7">
      <c r="A21" s="341" t="s">
        <v>196</v>
      </c>
      <c r="B21" s="343" t="s">
        <v>197</v>
      </c>
      <c r="C21" s="355">
        <v>1</v>
      </c>
      <c r="D21" s="355" t="s">
        <v>192</v>
      </c>
      <c r="E21" s="355">
        <v>1</v>
      </c>
      <c r="F21" s="356">
        <v>313.14</v>
      </c>
      <c r="G21" s="357">
        <f t="shared" si="1"/>
        <v>313.14</v>
      </c>
    </row>
    <row r="22" ht="30" spans="1:7">
      <c r="A22" s="358">
        <v>44683</v>
      </c>
      <c r="B22" s="343" t="s">
        <v>198</v>
      </c>
      <c r="C22" s="355">
        <v>1</v>
      </c>
      <c r="D22" s="355" t="s">
        <v>192</v>
      </c>
      <c r="E22" s="355">
        <v>1</v>
      </c>
      <c r="F22" s="356">
        <v>20.13</v>
      </c>
      <c r="G22" s="357">
        <f t="shared" si="1"/>
        <v>20.13</v>
      </c>
    </row>
    <row r="23" ht="60" spans="1:7">
      <c r="A23" s="358">
        <v>44714</v>
      </c>
      <c r="B23" s="343" t="s">
        <v>199</v>
      </c>
      <c r="C23" s="355">
        <v>1</v>
      </c>
      <c r="D23" s="355" t="s">
        <v>189</v>
      </c>
      <c r="E23" s="355">
        <v>2</v>
      </c>
      <c r="F23" s="356">
        <v>10.49</v>
      </c>
      <c r="G23" s="357">
        <f t="shared" si="1"/>
        <v>20.98</v>
      </c>
    </row>
    <row r="24" spans="1:7">
      <c r="A24" s="358">
        <v>44744</v>
      </c>
      <c r="B24" s="359" t="s">
        <v>200</v>
      </c>
      <c r="C24" s="355">
        <v>1</v>
      </c>
      <c r="D24" s="355" t="s">
        <v>201</v>
      </c>
      <c r="E24" s="355">
        <v>2</v>
      </c>
      <c r="F24" s="356">
        <v>7.35</v>
      </c>
      <c r="G24" s="357">
        <f t="shared" si="1"/>
        <v>14.7</v>
      </c>
    </row>
    <row r="25" spans="1:7">
      <c r="A25" s="358">
        <v>44775</v>
      </c>
      <c r="B25" s="343" t="s">
        <v>202</v>
      </c>
      <c r="C25" s="355">
        <v>1</v>
      </c>
      <c r="D25" s="355" t="s">
        <v>203</v>
      </c>
      <c r="E25" s="355">
        <v>1</v>
      </c>
      <c r="F25" s="356">
        <v>1.73</v>
      </c>
      <c r="G25" s="357">
        <f t="shared" si="1"/>
        <v>1.73</v>
      </c>
    </row>
    <row r="26" ht="30" spans="1:7">
      <c r="A26" s="358">
        <v>44806</v>
      </c>
      <c r="B26" s="343" t="s">
        <v>204</v>
      </c>
      <c r="C26" s="355">
        <v>1</v>
      </c>
      <c r="D26" s="355" t="s">
        <v>203</v>
      </c>
      <c r="E26" s="355">
        <v>1</v>
      </c>
      <c r="F26" s="356">
        <v>160.36</v>
      </c>
      <c r="G26" s="357">
        <f t="shared" si="1"/>
        <v>160.36</v>
      </c>
    </row>
    <row r="27" ht="30" spans="1:7">
      <c r="A27" s="341" t="s">
        <v>205</v>
      </c>
      <c r="B27" s="343" t="s">
        <v>206</v>
      </c>
      <c r="C27" s="355">
        <v>3</v>
      </c>
      <c r="D27" s="355" t="s">
        <v>207</v>
      </c>
      <c r="E27" s="355">
        <v>5</v>
      </c>
      <c r="F27" s="356">
        <v>42.23</v>
      </c>
      <c r="G27" s="357">
        <f t="shared" si="1"/>
        <v>211.15</v>
      </c>
    </row>
    <row r="28" spans="1:7">
      <c r="A28" s="341" t="s">
        <v>208</v>
      </c>
      <c r="B28" s="343" t="s">
        <v>209</v>
      </c>
      <c r="C28" s="355">
        <v>1</v>
      </c>
      <c r="D28" s="355" t="s">
        <v>189</v>
      </c>
      <c r="E28" s="355">
        <v>2</v>
      </c>
      <c r="F28" s="356">
        <v>33.07</v>
      </c>
      <c r="G28" s="357">
        <f t="shared" si="1"/>
        <v>66.14</v>
      </c>
    </row>
    <row r="29" ht="30" spans="1:7">
      <c r="A29" s="341" t="s">
        <v>210</v>
      </c>
      <c r="B29" s="343" t="s">
        <v>211</v>
      </c>
      <c r="C29" s="355">
        <v>3</v>
      </c>
      <c r="D29" s="355" t="s">
        <v>212</v>
      </c>
      <c r="E29" s="355">
        <v>2</v>
      </c>
      <c r="F29" s="356">
        <v>140.67</v>
      </c>
      <c r="G29" s="357">
        <f t="shared" si="1"/>
        <v>281.34</v>
      </c>
    </row>
    <row r="30" ht="30" spans="1:7">
      <c r="A30" s="341" t="s">
        <v>213</v>
      </c>
      <c r="B30" s="343" t="s">
        <v>214</v>
      </c>
      <c r="C30" s="355">
        <v>3</v>
      </c>
      <c r="D30" s="355" t="s">
        <v>189</v>
      </c>
      <c r="E30" s="355">
        <v>6</v>
      </c>
      <c r="F30" s="356">
        <v>15.85</v>
      </c>
      <c r="G30" s="357">
        <f t="shared" si="1"/>
        <v>95.1</v>
      </c>
    </row>
    <row r="31" spans="1:7">
      <c r="A31" s="341" t="s">
        <v>215</v>
      </c>
      <c r="B31" s="343" t="s">
        <v>216</v>
      </c>
      <c r="C31" s="355">
        <v>3</v>
      </c>
      <c r="D31" s="355" t="s">
        <v>189</v>
      </c>
      <c r="E31" s="355">
        <v>6</v>
      </c>
      <c r="F31" s="356">
        <v>7.55</v>
      </c>
      <c r="G31" s="357">
        <f t="shared" si="1"/>
        <v>45.3</v>
      </c>
    </row>
    <row r="32" spans="1:7">
      <c r="A32" s="341" t="s">
        <v>217</v>
      </c>
      <c r="B32" s="343" t="s">
        <v>218</v>
      </c>
      <c r="C32" s="355">
        <v>1</v>
      </c>
      <c r="D32" s="355" t="s">
        <v>189</v>
      </c>
      <c r="E32" s="355">
        <v>2</v>
      </c>
      <c r="F32" s="356">
        <v>15.08</v>
      </c>
      <c r="G32" s="357">
        <f t="shared" si="1"/>
        <v>30.16</v>
      </c>
    </row>
    <row r="33" spans="1:7">
      <c r="A33" s="341" t="s">
        <v>219</v>
      </c>
      <c r="B33" s="343" t="s">
        <v>220</v>
      </c>
      <c r="C33" s="355">
        <v>3</v>
      </c>
      <c r="D33" s="355" t="s">
        <v>195</v>
      </c>
      <c r="E33" s="355">
        <v>12</v>
      </c>
      <c r="F33" s="356">
        <v>15.1</v>
      </c>
      <c r="G33" s="357">
        <f t="shared" si="1"/>
        <v>181.2</v>
      </c>
    </row>
    <row r="34" spans="1:7">
      <c r="A34" s="341" t="s">
        <v>221</v>
      </c>
      <c r="B34" s="343" t="s">
        <v>222</v>
      </c>
      <c r="C34" s="355">
        <v>1</v>
      </c>
      <c r="D34" s="355" t="s">
        <v>189</v>
      </c>
      <c r="E34" s="355">
        <v>2</v>
      </c>
      <c r="F34" s="356">
        <v>16.63</v>
      </c>
      <c r="G34" s="357">
        <f t="shared" si="1"/>
        <v>33.26</v>
      </c>
    </row>
    <row r="35" spans="1:7">
      <c r="A35" s="341" t="s">
        <v>223</v>
      </c>
      <c r="B35" s="343" t="s">
        <v>224</v>
      </c>
      <c r="C35" s="355">
        <v>1</v>
      </c>
      <c r="D35" s="355" t="s">
        <v>192</v>
      </c>
      <c r="E35" s="355">
        <v>1</v>
      </c>
      <c r="F35" s="356">
        <v>120.67</v>
      </c>
      <c r="G35" s="357">
        <f t="shared" si="1"/>
        <v>120.67</v>
      </c>
    </row>
    <row r="36" ht="30" spans="1:7">
      <c r="A36" s="341" t="s">
        <v>225</v>
      </c>
      <c r="B36" s="343" t="s">
        <v>226</v>
      </c>
      <c r="C36" s="355">
        <v>1</v>
      </c>
      <c r="D36" s="355" t="s">
        <v>189</v>
      </c>
      <c r="E36" s="355">
        <v>2</v>
      </c>
      <c r="F36" s="356">
        <v>39.57</v>
      </c>
      <c r="G36" s="357">
        <f t="shared" si="1"/>
        <v>79.14</v>
      </c>
    </row>
    <row r="37" spans="1:7">
      <c r="A37" s="341" t="s">
        <v>227</v>
      </c>
      <c r="B37" s="9" t="s">
        <v>228</v>
      </c>
      <c r="C37" s="9">
        <v>1</v>
      </c>
      <c r="D37" s="9" t="s">
        <v>203</v>
      </c>
      <c r="E37" s="9">
        <v>1</v>
      </c>
      <c r="F37" s="360">
        <v>15.07</v>
      </c>
      <c r="G37" s="360">
        <f t="shared" si="1"/>
        <v>15.07</v>
      </c>
    </row>
    <row r="38" ht="30" spans="1:7">
      <c r="A38" s="341" t="s">
        <v>229</v>
      </c>
      <c r="B38" s="343" t="s">
        <v>230</v>
      </c>
      <c r="C38" s="355">
        <v>3</v>
      </c>
      <c r="D38" s="355" t="s">
        <v>212</v>
      </c>
      <c r="E38" s="355">
        <v>2</v>
      </c>
      <c r="F38" s="356">
        <v>241.33</v>
      </c>
      <c r="G38" s="357">
        <f t="shared" si="1"/>
        <v>482.66</v>
      </c>
    </row>
    <row r="39" spans="1:7">
      <c r="A39" s="341" t="s">
        <v>231</v>
      </c>
      <c r="B39" s="343" t="s">
        <v>232</v>
      </c>
      <c r="C39" s="355">
        <v>3</v>
      </c>
      <c r="D39" s="355" t="s">
        <v>212</v>
      </c>
      <c r="E39" s="355">
        <v>2</v>
      </c>
      <c r="F39" s="356">
        <v>173.33</v>
      </c>
      <c r="G39" s="357">
        <f t="shared" si="1"/>
        <v>346.66</v>
      </c>
    </row>
    <row r="40" spans="1:7">
      <c r="A40" s="361" t="s">
        <v>177</v>
      </c>
      <c r="B40" s="334"/>
      <c r="C40" s="334"/>
      <c r="D40" s="334"/>
      <c r="E40" s="334"/>
      <c r="F40" s="334"/>
      <c r="G40" s="362">
        <f>SUM(G18:G39)</f>
        <v>2705.06</v>
      </c>
    </row>
    <row r="41" spans="1:7">
      <c r="A41" s="361" t="s">
        <v>233</v>
      </c>
      <c r="B41" s="334"/>
      <c r="C41" s="334"/>
      <c r="D41" s="334"/>
      <c r="E41" s="334"/>
      <c r="F41" s="334"/>
      <c r="G41" s="362">
        <f>G40/12</f>
        <v>225.421666666667</v>
      </c>
    </row>
    <row r="42" ht="15.75" spans="1:7">
      <c r="A42" s="363" t="s">
        <v>234</v>
      </c>
      <c r="B42" s="364"/>
      <c r="C42" s="364"/>
      <c r="D42" s="364"/>
      <c r="E42" s="364"/>
      <c r="F42" s="364"/>
      <c r="G42" s="365">
        <f>G41+F15</f>
        <v>280.7425</v>
      </c>
    </row>
    <row r="43" ht="15.75"/>
    <row r="44" ht="15.75" customHeight="1" spans="1:7">
      <c r="A44" s="326" t="s">
        <v>235</v>
      </c>
      <c r="B44" s="327"/>
      <c r="C44" s="327"/>
      <c r="D44" s="327"/>
      <c r="E44" s="327"/>
      <c r="F44" s="327"/>
      <c r="G44" s="328"/>
    </row>
    <row r="45" ht="15.75" customHeight="1" spans="1:7">
      <c r="A45" s="329" t="s">
        <v>5</v>
      </c>
      <c r="B45" s="330" t="s">
        <v>156</v>
      </c>
      <c r="C45" s="330" t="s">
        <v>157</v>
      </c>
      <c r="D45" s="330" t="s">
        <v>158</v>
      </c>
      <c r="E45" s="330" t="s">
        <v>159</v>
      </c>
      <c r="F45" s="331"/>
      <c r="G45" s="332" t="s">
        <v>160</v>
      </c>
    </row>
    <row r="46" ht="45" spans="1:7">
      <c r="A46" s="333"/>
      <c r="B46" s="331"/>
      <c r="C46" s="331"/>
      <c r="D46" s="331"/>
      <c r="E46" s="334" t="s">
        <v>161</v>
      </c>
      <c r="F46" s="330" t="s">
        <v>162</v>
      </c>
      <c r="G46" s="335"/>
    </row>
    <row r="47" ht="51.75" customHeight="1" spans="1:7">
      <c r="A47" s="336" t="s">
        <v>163</v>
      </c>
      <c r="B47" s="343" t="s">
        <v>236</v>
      </c>
      <c r="C47" s="343">
        <v>6</v>
      </c>
      <c r="D47" s="343" t="s">
        <v>169</v>
      </c>
      <c r="E47" s="344">
        <v>42</v>
      </c>
      <c r="F47" s="339">
        <f>E47*C47</f>
        <v>252</v>
      </c>
      <c r="G47" s="340" t="s">
        <v>237</v>
      </c>
    </row>
    <row r="48" ht="45" spans="1:7">
      <c r="A48" s="341" t="s">
        <v>167</v>
      </c>
      <c r="B48" s="343" t="s">
        <v>238</v>
      </c>
      <c r="C48" s="343">
        <v>6</v>
      </c>
      <c r="D48" s="343" t="s">
        <v>169</v>
      </c>
      <c r="E48" s="344">
        <v>17.85</v>
      </c>
      <c r="F48" s="339">
        <f t="shared" ref="F48:F52" si="2">E48*C48</f>
        <v>107.1</v>
      </c>
      <c r="G48" s="342"/>
    </row>
    <row r="49" spans="1:7">
      <c r="A49" s="341" t="s">
        <v>170</v>
      </c>
      <c r="B49" s="343" t="s">
        <v>171</v>
      </c>
      <c r="C49" s="343">
        <v>10</v>
      </c>
      <c r="D49" s="343" t="s">
        <v>172</v>
      </c>
      <c r="E49" s="344">
        <v>10.07</v>
      </c>
      <c r="F49" s="339">
        <f t="shared" si="2"/>
        <v>100.7</v>
      </c>
      <c r="G49" s="342"/>
    </row>
    <row r="50" ht="30" spans="1:7">
      <c r="A50" s="341" t="s">
        <v>173</v>
      </c>
      <c r="B50" s="343" t="s">
        <v>174</v>
      </c>
      <c r="C50" s="343">
        <v>2</v>
      </c>
      <c r="D50" s="343" t="s">
        <v>169</v>
      </c>
      <c r="E50" s="344">
        <v>19.56</v>
      </c>
      <c r="F50" s="339">
        <f t="shared" si="2"/>
        <v>39.12</v>
      </c>
      <c r="G50" s="342"/>
    </row>
    <row r="51" ht="45" spans="1:7">
      <c r="A51" s="341" t="s">
        <v>175</v>
      </c>
      <c r="B51" s="343" t="s">
        <v>239</v>
      </c>
      <c r="C51" s="343">
        <v>4</v>
      </c>
      <c r="D51" s="343" t="s">
        <v>169</v>
      </c>
      <c r="E51" s="344">
        <v>42.33</v>
      </c>
      <c r="F51" s="339">
        <f t="shared" si="2"/>
        <v>169.32</v>
      </c>
      <c r="G51" s="342"/>
    </row>
    <row r="52" spans="1:7">
      <c r="A52" s="341" t="s">
        <v>240</v>
      </c>
      <c r="B52" s="343" t="s">
        <v>176</v>
      </c>
      <c r="C52" s="343">
        <v>1</v>
      </c>
      <c r="D52" s="343" t="s">
        <v>169</v>
      </c>
      <c r="E52" s="344">
        <v>3.17</v>
      </c>
      <c r="F52" s="339">
        <f t="shared" si="2"/>
        <v>3.17</v>
      </c>
      <c r="G52" s="342"/>
    </row>
    <row r="53" spans="1:7">
      <c r="A53" s="345" t="s">
        <v>177</v>
      </c>
      <c r="B53" s="346"/>
      <c r="C53" s="346"/>
      <c r="D53" s="346"/>
      <c r="E53" s="346"/>
      <c r="F53" s="347">
        <f>SUM(F47:F52)</f>
        <v>671.41</v>
      </c>
      <c r="G53" s="348"/>
    </row>
    <row r="54" spans="1:7">
      <c r="A54" s="345" t="s">
        <v>178</v>
      </c>
      <c r="B54" s="346"/>
      <c r="C54" s="346"/>
      <c r="D54" s="346"/>
      <c r="E54" s="346"/>
      <c r="F54" s="349">
        <f>F53/12</f>
        <v>55.9508333333333</v>
      </c>
      <c r="G54" s="350"/>
    </row>
    <row r="55" ht="15.75" customHeight="1" spans="1:7">
      <c r="A55" s="351" t="s">
        <v>241</v>
      </c>
      <c r="B55" s="352"/>
      <c r="C55" s="352"/>
      <c r="D55" s="352"/>
      <c r="E55" s="352"/>
      <c r="F55" s="352"/>
      <c r="G55" s="353"/>
    </row>
    <row r="56" ht="60" spans="1:7">
      <c r="A56" s="329" t="s">
        <v>180</v>
      </c>
      <c r="B56" s="330" t="s">
        <v>181</v>
      </c>
      <c r="C56" s="330" t="s">
        <v>182</v>
      </c>
      <c r="D56" s="330" t="s">
        <v>183</v>
      </c>
      <c r="E56" s="330" t="s">
        <v>184</v>
      </c>
      <c r="F56" s="330" t="s">
        <v>185</v>
      </c>
      <c r="G56" s="354" t="s">
        <v>186</v>
      </c>
    </row>
    <row r="57" spans="1:7">
      <c r="A57" s="341" t="s">
        <v>187</v>
      </c>
      <c r="B57" s="343" t="s">
        <v>188</v>
      </c>
      <c r="C57" s="355">
        <v>1</v>
      </c>
      <c r="D57" s="355" t="s">
        <v>189</v>
      </c>
      <c r="E57" s="355">
        <v>2</v>
      </c>
      <c r="F57" s="356">
        <v>64.73</v>
      </c>
      <c r="G57" s="357">
        <f>F57*E57</f>
        <v>129.46</v>
      </c>
    </row>
    <row r="58" spans="1:7">
      <c r="A58" s="341" t="s">
        <v>190</v>
      </c>
      <c r="B58" s="343" t="s">
        <v>191</v>
      </c>
      <c r="C58" s="355">
        <v>1</v>
      </c>
      <c r="D58" s="355" t="s">
        <v>192</v>
      </c>
      <c r="E58" s="355">
        <v>1</v>
      </c>
      <c r="F58" s="356">
        <v>44.91</v>
      </c>
      <c r="G58" s="357">
        <f t="shared" ref="G58:G78" si="3">F58*E58</f>
        <v>44.91</v>
      </c>
    </row>
    <row r="59" spans="1:7">
      <c r="A59" s="341" t="s">
        <v>193</v>
      </c>
      <c r="B59" s="343" t="s">
        <v>194</v>
      </c>
      <c r="C59" s="355">
        <v>1</v>
      </c>
      <c r="D59" s="355" t="s">
        <v>195</v>
      </c>
      <c r="E59" s="355">
        <v>4</v>
      </c>
      <c r="F59" s="356">
        <v>2.95</v>
      </c>
      <c r="G59" s="357">
        <f t="shared" si="3"/>
        <v>11.8</v>
      </c>
    </row>
    <row r="60" ht="30" spans="1:7">
      <c r="A60" s="341" t="s">
        <v>196</v>
      </c>
      <c r="B60" s="343" t="s">
        <v>197</v>
      </c>
      <c r="C60" s="355">
        <v>1</v>
      </c>
      <c r="D60" s="355" t="s">
        <v>192</v>
      </c>
      <c r="E60" s="355">
        <v>1</v>
      </c>
      <c r="F60" s="356">
        <v>313.14</v>
      </c>
      <c r="G60" s="357">
        <f t="shared" si="3"/>
        <v>313.14</v>
      </c>
    </row>
    <row r="61" ht="30" spans="1:7">
      <c r="A61" s="358">
        <v>44683</v>
      </c>
      <c r="B61" s="343" t="s">
        <v>198</v>
      </c>
      <c r="C61" s="355">
        <v>1</v>
      </c>
      <c r="D61" s="355" t="s">
        <v>192</v>
      </c>
      <c r="E61" s="355">
        <v>1</v>
      </c>
      <c r="F61" s="356">
        <v>20.13</v>
      </c>
      <c r="G61" s="357">
        <f t="shared" si="3"/>
        <v>20.13</v>
      </c>
    </row>
    <row r="62" ht="60" spans="1:7">
      <c r="A62" s="358">
        <v>44714</v>
      </c>
      <c r="B62" s="343" t="s">
        <v>199</v>
      </c>
      <c r="C62" s="355">
        <v>1</v>
      </c>
      <c r="D62" s="355" t="s">
        <v>189</v>
      </c>
      <c r="E62" s="355">
        <v>2</v>
      </c>
      <c r="F62" s="356">
        <v>10.49</v>
      </c>
      <c r="G62" s="357">
        <f t="shared" si="3"/>
        <v>20.98</v>
      </c>
    </row>
    <row r="63" spans="1:7">
      <c r="A63" s="358">
        <v>44744</v>
      </c>
      <c r="B63" s="359" t="s">
        <v>200</v>
      </c>
      <c r="C63" s="355">
        <v>1</v>
      </c>
      <c r="D63" s="355" t="s">
        <v>201</v>
      </c>
      <c r="E63" s="355">
        <v>2</v>
      </c>
      <c r="F63" s="356">
        <v>7.35</v>
      </c>
      <c r="G63" s="357">
        <f t="shared" si="3"/>
        <v>14.7</v>
      </c>
    </row>
    <row r="64" spans="1:7">
      <c r="A64" s="358">
        <v>44775</v>
      </c>
      <c r="B64" s="343" t="s">
        <v>202</v>
      </c>
      <c r="C64" s="355">
        <v>1</v>
      </c>
      <c r="D64" s="355" t="s">
        <v>203</v>
      </c>
      <c r="E64" s="355">
        <v>1</v>
      </c>
      <c r="F64" s="356">
        <v>1.73</v>
      </c>
      <c r="G64" s="357">
        <f t="shared" si="3"/>
        <v>1.73</v>
      </c>
    </row>
    <row r="65" ht="30" spans="1:7">
      <c r="A65" s="358">
        <v>44806</v>
      </c>
      <c r="B65" s="343" t="s">
        <v>204</v>
      </c>
      <c r="C65" s="355">
        <v>1</v>
      </c>
      <c r="D65" s="355" t="s">
        <v>203</v>
      </c>
      <c r="E65" s="355">
        <v>1</v>
      </c>
      <c r="F65" s="356">
        <v>160.36</v>
      </c>
      <c r="G65" s="357">
        <f t="shared" si="3"/>
        <v>160.36</v>
      </c>
    </row>
    <row r="66" ht="30" spans="1:7">
      <c r="A66" s="341" t="s">
        <v>205</v>
      </c>
      <c r="B66" s="343" t="s">
        <v>206</v>
      </c>
      <c r="C66" s="355">
        <v>3</v>
      </c>
      <c r="D66" s="355" t="s">
        <v>207</v>
      </c>
      <c r="E66" s="355">
        <v>5</v>
      </c>
      <c r="F66" s="356">
        <v>42.23</v>
      </c>
      <c r="G66" s="357">
        <f t="shared" si="3"/>
        <v>211.15</v>
      </c>
    </row>
    <row r="67" spans="1:7">
      <c r="A67" s="341" t="s">
        <v>208</v>
      </c>
      <c r="B67" s="343" t="s">
        <v>209</v>
      </c>
      <c r="C67" s="355">
        <v>1</v>
      </c>
      <c r="D67" s="355" t="s">
        <v>189</v>
      </c>
      <c r="E67" s="355">
        <v>2</v>
      </c>
      <c r="F67" s="356">
        <v>33.07</v>
      </c>
      <c r="G67" s="357">
        <f t="shared" si="3"/>
        <v>66.14</v>
      </c>
    </row>
    <row r="68" ht="30" spans="1:7">
      <c r="A68" s="341" t="s">
        <v>210</v>
      </c>
      <c r="B68" s="343" t="s">
        <v>211</v>
      </c>
      <c r="C68" s="355">
        <v>3</v>
      </c>
      <c r="D68" s="355" t="s">
        <v>212</v>
      </c>
      <c r="E68" s="355">
        <v>2</v>
      </c>
      <c r="F68" s="356">
        <v>140.67</v>
      </c>
      <c r="G68" s="357">
        <f t="shared" si="3"/>
        <v>281.34</v>
      </c>
    </row>
    <row r="69" ht="30" spans="1:7">
      <c r="A69" s="341" t="s">
        <v>213</v>
      </c>
      <c r="B69" s="343" t="s">
        <v>214</v>
      </c>
      <c r="C69" s="355">
        <v>3</v>
      </c>
      <c r="D69" s="355" t="s">
        <v>189</v>
      </c>
      <c r="E69" s="355">
        <v>6</v>
      </c>
      <c r="F69" s="356">
        <v>15.85</v>
      </c>
      <c r="G69" s="357">
        <f t="shared" si="3"/>
        <v>95.1</v>
      </c>
    </row>
    <row r="70" spans="1:7">
      <c r="A70" s="341" t="s">
        <v>215</v>
      </c>
      <c r="B70" s="343" t="s">
        <v>216</v>
      </c>
      <c r="C70" s="355">
        <v>3</v>
      </c>
      <c r="D70" s="355" t="s">
        <v>189</v>
      </c>
      <c r="E70" s="355">
        <v>6</v>
      </c>
      <c r="F70" s="356">
        <v>7.55</v>
      </c>
      <c r="G70" s="357">
        <f t="shared" si="3"/>
        <v>45.3</v>
      </c>
    </row>
    <row r="71" spans="1:7">
      <c r="A71" s="341" t="s">
        <v>217</v>
      </c>
      <c r="B71" s="343" t="s">
        <v>218</v>
      </c>
      <c r="C71" s="355">
        <v>1</v>
      </c>
      <c r="D71" s="355" t="s">
        <v>189</v>
      </c>
      <c r="E71" s="355">
        <v>2</v>
      </c>
      <c r="F71" s="356">
        <v>15.08</v>
      </c>
      <c r="G71" s="357">
        <f t="shared" si="3"/>
        <v>30.16</v>
      </c>
    </row>
    <row r="72" spans="1:7">
      <c r="A72" s="341" t="s">
        <v>219</v>
      </c>
      <c r="B72" s="343" t="s">
        <v>220</v>
      </c>
      <c r="C72" s="355">
        <v>3</v>
      </c>
      <c r="D72" s="355" t="s">
        <v>195</v>
      </c>
      <c r="E72" s="355">
        <v>12</v>
      </c>
      <c r="F72" s="356">
        <v>15.1</v>
      </c>
      <c r="G72" s="357">
        <f t="shared" si="3"/>
        <v>181.2</v>
      </c>
    </row>
    <row r="73" spans="1:7">
      <c r="A73" s="341" t="s">
        <v>221</v>
      </c>
      <c r="B73" s="343" t="s">
        <v>222</v>
      </c>
      <c r="C73" s="355">
        <v>1</v>
      </c>
      <c r="D73" s="355" t="s">
        <v>189</v>
      </c>
      <c r="E73" s="355">
        <v>2</v>
      </c>
      <c r="F73" s="356">
        <v>16.63</v>
      </c>
      <c r="G73" s="357">
        <f t="shared" si="3"/>
        <v>33.26</v>
      </c>
    </row>
    <row r="74" spans="1:7">
      <c r="A74" s="341" t="s">
        <v>223</v>
      </c>
      <c r="B74" s="343" t="s">
        <v>224</v>
      </c>
      <c r="C74" s="355">
        <v>1</v>
      </c>
      <c r="D74" s="355" t="s">
        <v>192</v>
      </c>
      <c r="E74" s="355">
        <v>1</v>
      </c>
      <c r="F74" s="356">
        <v>120.67</v>
      </c>
      <c r="G74" s="357">
        <f t="shared" si="3"/>
        <v>120.67</v>
      </c>
    </row>
    <row r="75" ht="30" spans="1:7">
      <c r="A75" s="341" t="s">
        <v>225</v>
      </c>
      <c r="B75" s="343" t="s">
        <v>226</v>
      </c>
      <c r="C75" s="355">
        <v>1</v>
      </c>
      <c r="D75" s="355" t="s">
        <v>189</v>
      </c>
      <c r="E75" s="355">
        <v>2</v>
      </c>
      <c r="F75" s="356">
        <v>39.57</v>
      </c>
      <c r="G75" s="357">
        <f t="shared" si="3"/>
        <v>79.14</v>
      </c>
    </row>
    <row r="76" ht="30" spans="1:7">
      <c r="A76" s="341" t="s">
        <v>227</v>
      </c>
      <c r="B76" s="343" t="s">
        <v>230</v>
      </c>
      <c r="C76" s="355">
        <v>3</v>
      </c>
      <c r="D76" s="355" t="s">
        <v>212</v>
      </c>
      <c r="E76" s="355">
        <v>2</v>
      </c>
      <c r="F76" s="356">
        <v>241.33</v>
      </c>
      <c r="G76" s="357">
        <f t="shared" si="3"/>
        <v>482.66</v>
      </c>
    </row>
    <row r="77" spans="1:7">
      <c r="A77" s="341" t="s">
        <v>229</v>
      </c>
      <c r="B77" s="9" t="s">
        <v>228</v>
      </c>
      <c r="C77" s="9">
        <v>1</v>
      </c>
      <c r="D77" s="9" t="s">
        <v>203</v>
      </c>
      <c r="E77" s="9">
        <v>1</v>
      </c>
      <c r="F77" s="360">
        <v>15.07</v>
      </c>
      <c r="G77" s="360">
        <f t="shared" si="3"/>
        <v>15.07</v>
      </c>
    </row>
    <row r="78" spans="1:7">
      <c r="A78" s="341" t="s">
        <v>231</v>
      </c>
      <c r="B78" s="343" t="s">
        <v>232</v>
      </c>
      <c r="C78" s="355">
        <v>3</v>
      </c>
      <c r="D78" s="355" t="s">
        <v>212</v>
      </c>
      <c r="E78" s="355">
        <v>2</v>
      </c>
      <c r="F78" s="356">
        <v>173.33</v>
      </c>
      <c r="G78" s="357">
        <f t="shared" si="3"/>
        <v>346.66</v>
      </c>
    </row>
    <row r="79" spans="1:7">
      <c r="A79" s="361" t="s">
        <v>177</v>
      </c>
      <c r="B79" s="334"/>
      <c r="C79" s="334"/>
      <c r="D79" s="334"/>
      <c r="E79" s="334"/>
      <c r="F79" s="334"/>
      <c r="G79" s="362">
        <f>SUM(G57:G78)</f>
        <v>2705.06</v>
      </c>
    </row>
    <row r="80" spans="1:7">
      <c r="A80" s="361" t="s">
        <v>233</v>
      </c>
      <c r="B80" s="334"/>
      <c r="C80" s="334"/>
      <c r="D80" s="334"/>
      <c r="E80" s="334"/>
      <c r="F80" s="334"/>
      <c r="G80" s="362">
        <f>G79/12</f>
        <v>225.421666666667</v>
      </c>
    </row>
    <row r="81" ht="15.75" spans="1:7">
      <c r="A81" s="363" t="s">
        <v>234</v>
      </c>
      <c r="B81" s="364"/>
      <c r="C81" s="364"/>
      <c r="D81" s="364"/>
      <c r="E81" s="364"/>
      <c r="F81" s="364"/>
      <c r="G81" s="365">
        <f>G80+F54</f>
        <v>281.3725</v>
      </c>
    </row>
    <row r="82" ht="15.75"/>
    <row r="83" spans="1:7">
      <c r="A83" s="326" t="s">
        <v>242</v>
      </c>
      <c r="B83" s="327"/>
      <c r="C83" s="327"/>
      <c r="D83" s="327"/>
      <c r="E83" s="327"/>
      <c r="F83" s="327"/>
      <c r="G83" s="328"/>
    </row>
    <row r="84" spans="1:7">
      <c r="A84" s="329" t="s">
        <v>5</v>
      </c>
      <c r="B84" s="330" t="s">
        <v>156</v>
      </c>
      <c r="C84" s="330" t="s">
        <v>157</v>
      </c>
      <c r="D84" s="330" t="s">
        <v>158</v>
      </c>
      <c r="E84" s="330" t="s">
        <v>159</v>
      </c>
      <c r="F84" s="331"/>
      <c r="G84" s="332" t="s">
        <v>160</v>
      </c>
    </row>
    <row r="85" ht="45" spans="1:7">
      <c r="A85" s="333"/>
      <c r="B85" s="331"/>
      <c r="C85" s="331"/>
      <c r="D85" s="331"/>
      <c r="E85" s="334" t="s">
        <v>161</v>
      </c>
      <c r="F85" s="330" t="s">
        <v>162</v>
      </c>
      <c r="G85" s="335"/>
    </row>
    <row r="86" ht="45" spans="1:7">
      <c r="A86" s="336" t="s">
        <v>163</v>
      </c>
      <c r="B86" s="343" t="s">
        <v>236</v>
      </c>
      <c r="C86" s="343">
        <v>6</v>
      </c>
      <c r="D86" s="343" t="s">
        <v>169</v>
      </c>
      <c r="E86" s="366">
        <v>42</v>
      </c>
      <c r="F86" s="367">
        <f>E86*C86</f>
        <v>252</v>
      </c>
      <c r="G86" s="340" t="s">
        <v>237</v>
      </c>
    </row>
    <row r="87" ht="45" spans="1:7">
      <c r="A87" s="341" t="s">
        <v>167</v>
      </c>
      <c r="B87" s="343" t="s">
        <v>238</v>
      </c>
      <c r="C87" s="343">
        <v>6</v>
      </c>
      <c r="D87" s="343" t="s">
        <v>169</v>
      </c>
      <c r="E87" s="366">
        <v>17.85</v>
      </c>
      <c r="F87" s="367">
        <f t="shared" ref="F87:F91" si="4">E87*C87</f>
        <v>107.1</v>
      </c>
      <c r="G87" s="342"/>
    </row>
    <row r="88" spans="1:7">
      <c r="A88" s="341" t="s">
        <v>170</v>
      </c>
      <c r="B88" s="343" t="s">
        <v>171</v>
      </c>
      <c r="C88" s="343">
        <v>10</v>
      </c>
      <c r="D88" s="343" t="s">
        <v>172</v>
      </c>
      <c r="E88" s="366">
        <v>10.07</v>
      </c>
      <c r="F88" s="367">
        <f t="shared" si="4"/>
        <v>100.7</v>
      </c>
      <c r="G88" s="342"/>
    </row>
    <row r="89" ht="30" spans="1:7">
      <c r="A89" s="341" t="s">
        <v>173</v>
      </c>
      <c r="B89" s="343" t="s">
        <v>174</v>
      </c>
      <c r="C89" s="343">
        <v>2</v>
      </c>
      <c r="D89" s="343" t="s">
        <v>169</v>
      </c>
      <c r="E89" s="366">
        <v>19.56</v>
      </c>
      <c r="F89" s="367">
        <f t="shared" si="4"/>
        <v>39.12</v>
      </c>
      <c r="G89" s="342"/>
    </row>
    <row r="90" ht="45" spans="1:7">
      <c r="A90" s="341" t="s">
        <v>175</v>
      </c>
      <c r="B90" s="343" t="s">
        <v>239</v>
      </c>
      <c r="C90" s="343">
        <v>4</v>
      </c>
      <c r="D90" s="343" t="s">
        <v>169</v>
      </c>
      <c r="E90" s="366">
        <v>42.33</v>
      </c>
      <c r="F90" s="367">
        <f t="shared" si="4"/>
        <v>169.32</v>
      </c>
      <c r="G90" s="342"/>
    </row>
    <row r="91" spans="1:7">
      <c r="A91" s="341" t="s">
        <v>240</v>
      </c>
      <c r="B91" s="343" t="s">
        <v>176</v>
      </c>
      <c r="C91" s="343">
        <v>1</v>
      </c>
      <c r="D91" s="343" t="s">
        <v>169</v>
      </c>
      <c r="E91" s="366">
        <v>3.17</v>
      </c>
      <c r="F91" s="367">
        <f t="shared" si="4"/>
        <v>3.17</v>
      </c>
      <c r="G91" s="342"/>
    </row>
    <row r="92" spans="1:7">
      <c r="A92" s="345" t="s">
        <v>177</v>
      </c>
      <c r="B92" s="346"/>
      <c r="C92" s="346"/>
      <c r="D92" s="346"/>
      <c r="E92" s="346"/>
      <c r="F92" s="347">
        <f>SUM(F86:F91)</f>
        <v>671.41</v>
      </c>
      <c r="G92" s="348"/>
    </row>
    <row r="93" spans="1:7">
      <c r="A93" s="345" t="s">
        <v>178</v>
      </c>
      <c r="B93" s="346"/>
      <c r="C93" s="346"/>
      <c r="D93" s="346"/>
      <c r="E93" s="346"/>
      <c r="F93" s="349">
        <f>F92/12</f>
        <v>55.9508333333333</v>
      </c>
      <c r="G93" s="350"/>
    </row>
    <row r="94" spans="1:7">
      <c r="A94" s="351" t="s">
        <v>243</v>
      </c>
      <c r="B94" s="352"/>
      <c r="C94" s="352"/>
      <c r="D94" s="352"/>
      <c r="E94" s="352"/>
      <c r="F94" s="352"/>
      <c r="G94" s="353"/>
    </row>
    <row r="95" ht="60" spans="1:7">
      <c r="A95" s="329" t="s">
        <v>180</v>
      </c>
      <c r="B95" s="330" t="s">
        <v>181</v>
      </c>
      <c r="C95" s="330" t="s">
        <v>182</v>
      </c>
      <c r="D95" s="330" t="s">
        <v>183</v>
      </c>
      <c r="E95" s="330" t="s">
        <v>184</v>
      </c>
      <c r="F95" s="330" t="s">
        <v>185</v>
      </c>
      <c r="G95" s="354" t="s">
        <v>186</v>
      </c>
    </row>
    <row r="96" ht="75" spans="1:7">
      <c r="A96" s="368" t="s">
        <v>163</v>
      </c>
      <c r="B96" s="369" t="s">
        <v>244</v>
      </c>
      <c r="C96" s="370">
        <v>1</v>
      </c>
      <c r="D96" s="370" t="s">
        <v>189</v>
      </c>
      <c r="E96" s="370">
        <v>2</v>
      </c>
      <c r="F96" s="356">
        <v>33.3</v>
      </c>
      <c r="G96" s="371">
        <f t="shared" ref="G96:G103" si="5">F96*E96</f>
        <v>66.6</v>
      </c>
    </row>
    <row r="97" spans="1:7">
      <c r="A97" s="368" t="s">
        <v>167</v>
      </c>
      <c r="B97" s="369" t="s">
        <v>245</v>
      </c>
      <c r="C97" s="370">
        <v>1</v>
      </c>
      <c r="D97" s="370" t="s">
        <v>192</v>
      </c>
      <c r="E97" s="370">
        <v>1</v>
      </c>
      <c r="F97" s="356">
        <v>17.47</v>
      </c>
      <c r="G97" s="371">
        <f t="shared" si="5"/>
        <v>17.47</v>
      </c>
    </row>
    <row r="98" spans="1:7">
      <c r="A98" s="368" t="s">
        <v>170</v>
      </c>
      <c r="B98" s="369" t="s">
        <v>194</v>
      </c>
      <c r="C98" s="370">
        <v>1</v>
      </c>
      <c r="D98" s="370" t="s">
        <v>246</v>
      </c>
      <c r="E98" s="370">
        <v>6</v>
      </c>
      <c r="F98" s="356">
        <v>2.95</v>
      </c>
      <c r="G98" s="371">
        <f t="shared" si="5"/>
        <v>17.7</v>
      </c>
    </row>
    <row r="99" spans="1:7">
      <c r="A99" s="368" t="s">
        <v>173</v>
      </c>
      <c r="B99" s="369" t="s">
        <v>247</v>
      </c>
      <c r="C99" s="370">
        <v>1</v>
      </c>
      <c r="D99" s="370" t="s">
        <v>195</v>
      </c>
      <c r="E99" s="370">
        <v>4</v>
      </c>
      <c r="F99" s="356">
        <v>1.38</v>
      </c>
      <c r="G99" s="371">
        <f t="shared" si="5"/>
        <v>5.52</v>
      </c>
    </row>
    <row r="100" spans="1:7">
      <c r="A100" s="368" t="s">
        <v>175</v>
      </c>
      <c r="B100" s="369" t="s">
        <v>248</v>
      </c>
      <c r="C100" s="370">
        <v>1</v>
      </c>
      <c r="D100" s="370" t="s">
        <v>189</v>
      </c>
      <c r="E100" s="370">
        <v>2</v>
      </c>
      <c r="F100" s="356">
        <v>10.49</v>
      </c>
      <c r="G100" s="371">
        <f t="shared" si="5"/>
        <v>20.98</v>
      </c>
    </row>
    <row r="101" spans="1:7">
      <c r="A101" s="368"/>
      <c r="B101" s="372" t="s">
        <v>200</v>
      </c>
      <c r="C101" s="370">
        <v>1</v>
      </c>
      <c r="D101" s="370" t="s">
        <v>201</v>
      </c>
      <c r="E101" s="370">
        <v>2</v>
      </c>
      <c r="F101" s="356">
        <v>7.35</v>
      </c>
      <c r="G101" s="371">
        <f t="shared" si="5"/>
        <v>14.7</v>
      </c>
    </row>
    <row r="102" spans="1:7">
      <c r="A102" s="368" t="s">
        <v>240</v>
      </c>
      <c r="B102" s="369" t="s">
        <v>202</v>
      </c>
      <c r="C102" s="370">
        <v>1</v>
      </c>
      <c r="D102" s="370" t="s">
        <v>195</v>
      </c>
      <c r="E102" s="370">
        <v>4</v>
      </c>
      <c r="F102" s="356">
        <v>1.73</v>
      </c>
      <c r="G102" s="371">
        <f t="shared" si="5"/>
        <v>6.92</v>
      </c>
    </row>
    <row r="103" spans="1:7">
      <c r="A103" s="341" t="s">
        <v>187</v>
      </c>
      <c r="B103" s="373" t="s">
        <v>249</v>
      </c>
      <c r="C103" s="374">
        <v>1</v>
      </c>
      <c r="D103" s="370" t="s">
        <v>203</v>
      </c>
      <c r="E103" s="370">
        <v>2</v>
      </c>
      <c r="F103" s="356">
        <v>12.83</v>
      </c>
      <c r="G103" s="371">
        <f t="shared" si="5"/>
        <v>25.66</v>
      </c>
    </row>
    <row r="104" spans="1:7">
      <c r="A104" s="341" t="s">
        <v>190</v>
      </c>
      <c r="B104" s="373" t="s">
        <v>250</v>
      </c>
      <c r="C104" s="374">
        <v>1</v>
      </c>
      <c r="D104" s="370" t="s">
        <v>203</v>
      </c>
      <c r="E104" s="370">
        <v>2</v>
      </c>
      <c r="F104" s="356">
        <v>32.35</v>
      </c>
      <c r="G104" s="371">
        <f t="shared" ref="G104:G118" si="6">F104*E104</f>
        <v>64.7</v>
      </c>
    </row>
    <row r="105" ht="30" spans="1:7">
      <c r="A105" s="341" t="s">
        <v>193</v>
      </c>
      <c r="B105" s="375" t="s">
        <v>251</v>
      </c>
      <c r="C105" s="369">
        <v>1</v>
      </c>
      <c r="D105" s="369" t="s">
        <v>192</v>
      </c>
      <c r="E105" s="369">
        <v>1</v>
      </c>
      <c r="F105" s="356">
        <v>1.38</v>
      </c>
      <c r="G105" s="371">
        <f t="shared" si="6"/>
        <v>1.38</v>
      </c>
    </row>
    <row r="106" ht="30" spans="1:7">
      <c r="A106" s="341" t="s">
        <v>205</v>
      </c>
      <c r="B106" s="343" t="s">
        <v>206</v>
      </c>
      <c r="C106" s="355">
        <v>3</v>
      </c>
      <c r="D106" s="355" t="s">
        <v>207</v>
      </c>
      <c r="E106" s="355">
        <v>5</v>
      </c>
      <c r="F106" s="356">
        <v>42.23</v>
      </c>
      <c r="G106" s="371">
        <f t="shared" si="6"/>
        <v>211.15</v>
      </c>
    </row>
    <row r="107" spans="1:7">
      <c r="A107" s="341" t="s">
        <v>208</v>
      </c>
      <c r="B107" s="343" t="s">
        <v>209</v>
      </c>
      <c r="C107" s="355">
        <v>1</v>
      </c>
      <c r="D107" s="355" t="s">
        <v>189</v>
      </c>
      <c r="E107" s="355">
        <v>2</v>
      </c>
      <c r="F107" s="356">
        <v>33.07</v>
      </c>
      <c r="G107" s="371">
        <f t="shared" si="6"/>
        <v>66.14</v>
      </c>
    </row>
    <row r="108" ht="30" spans="1:7">
      <c r="A108" s="341" t="s">
        <v>210</v>
      </c>
      <c r="B108" s="343" t="s">
        <v>211</v>
      </c>
      <c r="C108" s="355">
        <v>3</v>
      </c>
      <c r="D108" s="355" t="s">
        <v>212</v>
      </c>
      <c r="E108" s="355">
        <v>2</v>
      </c>
      <c r="F108" s="356">
        <v>140.67</v>
      </c>
      <c r="G108" s="371">
        <f t="shared" si="6"/>
        <v>281.34</v>
      </c>
    </row>
    <row r="109" ht="30" spans="1:7">
      <c r="A109" s="341" t="s">
        <v>213</v>
      </c>
      <c r="B109" s="343" t="s">
        <v>214</v>
      </c>
      <c r="C109" s="355">
        <v>3</v>
      </c>
      <c r="D109" s="355" t="s">
        <v>189</v>
      </c>
      <c r="E109" s="355">
        <v>6</v>
      </c>
      <c r="F109" s="356">
        <v>15.85</v>
      </c>
      <c r="G109" s="371">
        <f t="shared" si="6"/>
        <v>95.1</v>
      </c>
    </row>
    <row r="110" spans="1:7">
      <c r="A110" s="341" t="s">
        <v>215</v>
      </c>
      <c r="B110" s="343" t="s">
        <v>216</v>
      </c>
      <c r="C110" s="355">
        <v>3</v>
      </c>
      <c r="D110" s="355" t="s">
        <v>189</v>
      </c>
      <c r="E110" s="355">
        <v>6</v>
      </c>
      <c r="F110" s="356">
        <v>7.55</v>
      </c>
      <c r="G110" s="371">
        <f t="shared" si="6"/>
        <v>45.3</v>
      </c>
    </row>
    <row r="111" spans="1:7">
      <c r="A111" s="341" t="s">
        <v>217</v>
      </c>
      <c r="B111" s="343" t="s">
        <v>218</v>
      </c>
      <c r="C111" s="355">
        <v>1</v>
      </c>
      <c r="D111" s="355" t="s">
        <v>189</v>
      </c>
      <c r="E111" s="355">
        <v>2</v>
      </c>
      <c r="F111" s="356">
        <v>15.08</v>
      </c>
      <c r="G111" s="371">
        <f t="shared" si="6"/>
        <v>30.16</v>
      </c>
    </row>
    <row r="112" spans="1:7">
      <c r="A112" s="341" t="s">
        <v>219</v>
      </c>
      <c r="B112" s="343" t="s">
        <v>220</v>
      </c>
      <c r="C112" s="355">
        <v>3</v>
      </c>
      <c r="D112" s="355" t="s">
        <v>195</v>
      </c>
      <c r="E112" s="355">
        <v>12</v>
      </c>
      <c r="F112" s="356">
        <v>15.1</v>
      </c>
      <c r="G112" s="371">
        <f t="shared" si="6"/>
        <v>181.2</v>
      </c>
    </row>
    <row r="113" spans="1:7">
      <c r="A113" s="341" t="s">
        <v>221</v>
      </c>
      <c r="B113" s="343" t="s">
        <v>222</v>
      </c>
      <c r="C113" s="355">
        <v>1</v>
      </c>
      <c r="D113" s="355" t="s">
        <v>189</v>
      </c>
      <c r="E113" s="355">
        <v>2</v>
      </c>
      <c r="F113" s="356">
        <v>16.63</v>
      </c>
      <c r="G113" s="371">
        <f t="shared" si="6"/>
        <v>33.26</v>
      </c>
    </row>
    <row r="114" spans="1:7">
      <c r="A114" s="341" t="s">
        <v>223</v>
      </c>
      <c r="B114" s="343" t="s">
        <v>224</v>
      </c>
      <c r="C114" s="355">
        <v>1</v>
      </c>
      <c r="D114" s="355" t="s">
        <v>192</v>
      </c>
      <c r="E114" s="355">
        <v>1</v>
      </c>
      <c r="F114" s="356">
        <v>120.67</v>
      </c>
      <c r="G114" s="371">
        <f t="shared" si="6"/>
        <v>120.67</v>
      </c>
    </row>
    <row r="115" ht="30" spans="1:7">
      <c r="A115" s="341" t="s">
        <v>225</v>
      </c>
      <c r="B115" s="343" t="s">
        <v>226</v>
      </c>
      <c r="C115" s="355">
        <v>1</v>
      </c>
      <c r="D115" s="355" t="s">
        <v>189</v>
      </c>
      <c r="E115" s="355">
        <v>2</v>
      </c>
      <c r="F115" s="356">
        <v>39.57</v>
      </c>
      <c r="G115" s="371">
        <f t="shared" si="6"/>
        <v>79.14</v>
      </c>
    </row>
    <row r="116" ht="30" spans="1:7">
      <c r="A116" s="341" t="s">
        <v>227</v>
      </c>
      <c r="B116" s="343" t="s">
        <v>230</v>
      </c>
      <c r="C116" s="355">
        <v>3</v>
      </c>
      <c r="D116" s="355" t="s">
        <v>212</v>
      </c>
      <c r="E116" s="355">
        <v>2</v>
      </c>
      <c r="F116" s="356">
        <v>241.33</v>
      </c>
      <c r="G116" s="371">
        <f t="shared" si="6"/>
        <v>482.66</v>
      </c>
    </row>
    <row r="117" spans="1:7">
      <c r="A117" s="341" t="s">
        <v>229</v>
      </c>
      <c r="B117" s="9" t="s">
        <v>228</v>
      </c>
      <c r="C117" s="9">
        <v>1</v>
      </c>
      <c r="D117" s="9" t="s">
        <v>203</v>
      </c>
      <c r="E117" s="9">
        <v>1</v>
      </c>
      <c r="F117" s="360">
        <v>15.07</v>
      </c>
      <c r="G117" s="360">
        <f t="shared" si="6"/>
        <v>15.07</v>
      </c>
    </row>
    <row r="118" spans="1:7">
      <c r="A118" s="341" t="s">
        <v>231</v>
      </c>
      <c r="B118" s="343" t="s">
        <v>232</v>
      </c>
      <c r="C118" s="355">
        <v>3</v>
      </c>
      <c r="D118" s="355" t="s">
        <v>212</v>
      </c>
      <c r="E118" s="355">
        <v>2</v>
      </c>
      <c r="F118" s="356">
        <v>173.33</v>
      </c>
      <c r="G118" s="371">
        <f t="shared" si="6"/>
        <v>346.66</v>
      </c>
    </row>
    <row r="119" spans="1:7">
      <c r="A119" s="361" t="s">
        <v>177</v>
      </c>
      <c r="B119" s="334"/>
      <c r="C119" s="334"/>
      <c r="D119" s="334"/>
      <c r="E119" s="334"/>
      <c r="F119" s="334"/>
      <c r="G119" s="362">
        <f>SUM(G96:G118)</f>
        <v>2229.48</v>
      </c>
    </row>
    <row r="120" spans="1:7">
      <c r="A120" s="361" t="s">
        <v>233</v>
      </c>
      <c r="B120" s="334"/>
      <c r="C120" s="334"/>
      <c r="D120" s="334"/>
      <c r="E120" s="334"/>
      <c r="F120" s="334"/>
      <c r="G120" s="362">
        <f>G119/12</f>
        <v>185.79</v>
      </c>
    </row>
    <row r="121" ht="15.75" spans="1:7">
      <c r="A121" s="363" t="s">
        <v>234</v>
      </c>
      <c r="B121" s="364"/>
      <c r="C121" s="364"/>
      <c r="D121" s="364"/>
      <c r="E121" s="364"/>
      <c r="F121" s="364"/>
      <c r="G121" s="365">
        <f>G120+F93</f>
        <v>241.740833333333</v>
      </c>
    </row>
    <row r="122" ht="15.75"/>
    <row r="123" spans="1:7">
      <c r="A123" s="326" t="s">
        <v>252</v>
      </c>
      <c r="B123" s="327"/>
      <c r="C123" s="327"/>
      <c r="D123" s="327"/>
      <c r="E123" s="327"/>
      <c r="F123" s="327"/>
      <c r="G123" s="328"/>
    </row>
    <row r="124" spans="1:7">
      <c r="A124" s="329" t="s">
        <v>5</v>
      </c>
      <c r="B124" s="330" t="s">
        <v>156</v>
      </c>
      <c r="C124" s="330" t="s">
        <v>157</v>
      </c>
      <c r="D124" s="330" t="s">
        <v>158</v>
      </c>
      <c r="E124" s="330" t="s">
        <v>159</v>
      </c>
      <c r="F124" s="331"/>
      <c r="G124" s="332" t="s">
        <v>160</v>
      </c>
    </row>
    <row r="125" ht="45" spans="1:7">
      <c r="A125" s="333"/>
      <c r="B125" s="331"/>
      <c r="C125" s="331"/>
      <c r="D125" s="331"/>
      <c r="E125" s="334" t="s">
        <v>161</v>
      </c>
      <c r="F125" s="330" t="s">
        <v>162</v>
      </c>
      <c r="G125" s="335"/>
    </row>
    <row r="126" ht="45" spans="1:7">
      <c r="A126" s="336" t="s">
        <v>163</v>
      </c>
      <c r="B126" s="343" t="s">
        <v>236</v>
      </c>
      <c r="C126" s="343">
        <v>6</v>
      </c>
      <c r="D126" s="343" t="s">
        <v>169</v>
      </c>
      <c r="E126" s="376">
        <v>42</v>
      </c>
      <c r="F126" s="339">
        <f>E126*C126</f>
        <v>252</v>
      </c>
      <c r="G126" s="340" t="s">
        <v>237</v>
      </c>
    </row>
    <row r="127" ht="45" spans="1:7">
      <c r="A127" s="341" t="s">
        <v>167</v>
      </c>
      <c r="B127" s="343" t="s">
        <v>238</v>
      </c>
      <c r="C127" s="343">
        <v>6</v>
      </c>
      <c r="D127" s="343" t="s">
        <v>169</v>
      </c>
      <c r="E127" s="376">
        <v>17.85</v>
      </c>
      <c r="F127" s="339">
        <f t="shared" ref="F127:F131" si="7">E127*C127</f>
        <v>107.1</v>
      </c>
      <c r="G127" s="342"/>
    </row>
    <row r="128" spans="1:7">
      <c r="A128" s="341" t="s">
        <v>170</v>
      </c>
      <c r="B128" s="343" t="s">
        <v>171</v>
      </c>
      <c r="C128" s="343">
        <v>10</v>
      </c>
      <c r="D128" s="343" t="s">
        <v>172</v>
      </c>
      <c r="E128" s="376">
        <v>10.07</v>
      </c>
      <c r="F128" s="339">
        <f t="shared" si="7"/>
        <v>100.7</v>
      </c>
      <c r="G128" s="342"/>
    </row>
    <row r="129" ht="30" spans="1:7">
      <c r="A129" s="341" t="s">
        <v>173</v>
      </c>
      <c r="B129" s="343" t="s">
        <v>174</v>
      </c>
      <c r="C129" s="343">
        <v>2</v>
      </c>
      <c r="D129" s="343" t="s">
        <v>169</v>
      </c>
      <c r="E129" s="376">
        <v>19.56</v>
      </c>
      <c r="F129" s="339">
        <f t="shared" si="7"/>
        <v>39.12</v>
      </c>
      <c r="G129" s="342"/>
    </row>
    <row r="130" ht="45" spans="1:7">
      <c r="A130" s="341" t="s">
        <v>175</v>
      </c>
      <c r="B130" s="343" t="s">
        <v>239</v>
      </c>
      <c r="C130" s="343">
        <v>4</v>
      </c>
      <c r="D130" s="343" t="s">
        <v>169</v>
      </c>
      <c r="E130" s="376">
        <v>42.33</v>
      </c>
      <c r="F130" s="339">
        <f t="shared" si="7"/>
        <v>169.32</v>
      </c>
      <c r="G130" s="342"/>
    </row>
    <row r="131" spans="1:7">
      <c r="A131" s="341" t="s">
        <v>240</v>
      </c>
      <c r="B131" s="343" t="s">
        <v>176</v>
      </c>
      <c r="C131" s="343">
        <v>1</v>
      </c>
      <c r="D131" s="343" t="s">
        <v>169</v>
      </c>
      <c r="E131" s="376">
        <v>3.17</v>
      </c>
      <c r="F131" s="339">
        <f t="shared" si="7"/>
        <v>3.17</v>
      </c>
      <c r="G131" s="342"/>
    </row>
    <row r="132" spans="1:7">
      <c r="A132" s="345" t="s">
        <v>177</v>
      </c>
      <c r="B132" s="346"/>
      <c r="C132" s="346"/>
      <c r="D132" s="346"/>
      <c r="E132" s="346"/>
      <c r="F132" s="347">
        <f>SUM(F126:F131)</f>
        <v>671.41</v>
      </c>
      <c r="G132" s="348"/>
    </row>
    <row r="133" spans="1:7">
      <c r="A133" s="345" t="s">
        <v>178</v>
      </c>
      <c r="B133" s="346"/>
      <c r="C133" s="346"/>
      <c r="D133" s="346"/>
      <c r="E133" s="346"/>
      <c r="F133" s="349">
        <f>F132/12</f>
        <v>55.9508333333333</v>
      </c>
      <c r="G133" s="350"/>
    </row>
    <row r="134" spans="1:7">
      <c r="A134" s="351" t="s">
        <v>253</v>
      </c>
      <c r="B134" s="352"/>
      <c r="C134" s="352"/>
      <c r="D134" s="352"/>
      <c r="E134" s="352"/>
      <c r="F134" s="352"/>
      <c r="G134" s="353"/>
    </row>
    <row r="135" ht="60" spans="1:7">
      <c r="A135" s="329" t="s">
        <v>180</v>
      </c>
      <c r="B135" s="330" t="s">
        <v>181</v>
      </c>
      <c r="C135" s="330" t="s">
        <v>182</v>
      </c>
      <c r="D135" s="330" t="s">
        <v>183</v>
      </c>
      <c r="E135" s="330" t="s">
        <v>184</v>
      </c>
      <c r="F135" s="330" t="s">
        <v>185</v>
      </c>
      <c r="G135" s="354" t="s">
        <v>186</v>
      </c>
    </row>
    <row r="136" ht="75" spans="1:7">
      <c r="A136" s="368" t="s">
        <v>163</v>
      </c>
      <c r="B136" s="369" t="s">
        <v>244</v>
      </c>
      <c r="C136" s="370">
        <v>1</v>
      </c>
      <c r="D136" s="370" t="s">
        <v>189</v>
      </c>
      <c r="E136" s="370">
        <v>2</v>
      </c>
      <c r="F136" s="377">
        <v>33.3</v>
      </c>
      <c r="G136" s="357">
        <f t="shared" ref="G136:G143" si="8">F136*E136</f>
        <v>66.6</v>
      </c>
    </row>
    <row r="137" spans="1:7">
      <c r="A137" s="368" t="s">
        <v>167</v>
      </c>
      <c r="B137" s="369" t="s">
        <v>245</v>
      </c>
      <c r="C137" s="370">
        <v>1</v>
      </c>
      <c r="D137" s="370" t="s">
        <v>192</v>
      </c>
      <c r="E137" s="370">
        <v>1</v>
      </c>
      <c r="F137" s="377">
        <v>17.47</v>
      </c>
      <c r="G137" s="357">
        <f t="shared" si="8"/>
        <v>17.47</v>
      </c>
    </row>
    <row r="138" spans="1:7">
      <c r="A138" s="368" t="s">
        <v>170</v>
      </c>
      <c r="B138" s="369" t="s">
        <v>194</v>
      </c>
      <c r="C138" s="370">
        <v>1</v>
      </c>
      <c r="D138" s="370" t="s">
        <v>246</v>
      </c>
      <c r="E138" s="370">
        <v>6</v>
      </c>
      <c r="F138" s="377">
        <v>2.95</v>
      </c>
      <c r="G138" s="357">
        <f t="shared" si="8"/>
        <v>17.7</v>
      </c>
    </row>
    <row r="139" spans="1:7">
      <c r="A139" s="368" t="s">
        <v>173</v>
      </c>
      <c r="B139" s="369" t="s">
        <v>247</v>
      </c>
      <c r="C139" s="370">
        <v>1</v>
      </c>
      <c r="D139" s="370" t="s">
        <v>195</v>
      </c>
      <c r="E139" s="370">
        <v>4</v>
      </c>
      <c r="F139" s="377">
        <v>1.38</v>
      </c>
      <c r="G139" s="357">
        <f t="shared" si="8"/>
        <v>5.52</v>
      </c>
    </row>
    <row r="140" spans="1:7">
      <c r="A140" s="368" t="s">
        <v>175</v>
      </c>
      <c r="B140" s="369" t="s">
        <v>248</v>
      </c>
      <c r="C140" s="370">
        <v>1</v>
      </c>
      <c r="D140" s="370" t="s">
        <v>189</v>
      </c>
      <c r="E140" s="370">
        <v>2</v>
      </c>
      <c r="F140" s="377">
        <v>10.49</v>
      </c>
      <c r="G140" s="357">
        <f t="shared" si="8"/>
        <v>20.98</v>
      </c>
    </row>
    <row r="141" spans="1:7">
      <c r="A141" s="368"/>
      <c r="B141" s="372" t="s">
        <v>200</v>
      </c>
      <c r="C141" s="370">
        <v>1</v>
      </c>
      <c r="D141" s="370" t="s">
        <v>201</v>
      </c>
      <c r="E141" s="370">
        <v>2</v>
      </c>
      <c r="F141" s="377">
        <v>7.35</v>
      </c>
      <c r="G141" s="357">
        <f t="shared" si="8"/>
        <v>14.7</v>
      </c>
    </row>
    <row r="142" spans="1:7">
      <c r="A142" s="368" t="s">
        <v>240</v>
      </c>
      <c r="B142" s="369" t="s">
        <v>202</v>
      </c>
      <c r="C142" s="370">
        <v>1</v>
      </c>
      <c r="D142" s="370" t="s">
        <v>195</v>
      </c>
      <c r="E142" s="370">
        <v>4</v>
      </c>
      <c r="F142" s="377">
        <v>1.73</v>
      </c>
      <c r="G142" s="357">
        <f t="shared" si="8"/>
        <v>6.92</v>
      </c>
    </row>
    <row r="143" ht="30" spans="1:7">
      <c r="A143" s="341" t="s">
        <v>187</v>
      </c>
      <c r="B143" s="375" t="s">
        <v>251</v>
      </c>
      <c r="C143" s="369">
        <v>1</v>
      </c>
      <c r="D143" s="370" t="s">
        <v>192</v>
      </c>
      <c r="E143" s="370">
        <v>1</v>
      </c>
      <c r="F143" s="377">
        <v>1.38</v>
      </c>
      <c r="G143" s="357">
        <f t="shared" si="8"/>
        <v>1.38</v>
      </c>
    </row>
    <row r="144" ht="30" spans="1:7">
      <c r="A144" s="341" t="s">
        <v>205</v>
      </c>
      <c r="B144" s="343" t="s">
        <v>206</v>
      </c>
      <c r="C144" s="355">
        <v>3</v>
      </c>
      <c r="D144" s="355" t="s">
        <v>207</v>
      </c>
      <c r="E144" s="355">
        <v>5</v>
      </c>
      <c r="F144" s="377">
        <v>42.23</v>
      </c>
      <c r="G144" s="357">
        <f t="shared" ref="G144:G156" si="9">F144*E144</f>
        <v>211.15</v>
      </c>
    </row>
    <row r="145" spans="1:7">
      <c r="A145" s="341" t="s">
        <v>208</v>
      </c>
      <c r="B145" s="343" t="s">
        <v>209</v>
      </c>
      <c r="C145" s="355">
        <v>1</v>
      </c>
      <c r="D145" s="355" t="s">
        <v>189</v>
      </c>
      <c r="E145" s="355">
        <v>2</v>
      </c>
      <c r="F145" s="377">
        <v>33.07</v>
      </c>
      <c r="G145" s="357">
        <f t="shared" si="9"/>
        <v>66.14</v>
      </c>
    </row>
    <row r="146" ht="30" spans="1:7">
      <c r="A146" s="341" t="s">
        <v>210</v>
      </c>
      <c r="B146" s="343" t="s">
        <v>211</v>
      </c>
      <c r="C146" s="355">
        <v>3</v>
      </c>
      <c r="D146" s="355" t="s">
        <v>212</v>
      </c>
      <c r="E146" s="355">
        <v>2</v>
      </c>
      <c r="F146" s="377">
        <v>140.67</v>
      </c>
      <c r="G146" s="357">
        <f t="shared" si="9"/>
        <v>281.34</v>
      </c>
    </row>
    <row r="147" ht="30" spans="1:7">
      <c r="A147" s="341" t="s">
        <v>213</v>
      </c>
      <c r="B147" s="343" t="s">
        <v>214</v>
      </c>
      <c r="C147" s="355">
        <v>3</v>
      </c>
      <c r="D147" s="355" t="s">
        <v>189</v>
      </c>
      <c r="E147" s="355">
        <v>6</v>
      </c>
      <c r="F147" s="377">
        <v>15.85</v>
      </c>
      <c r="G147" s="357">
        <f t="shared" si="9"/>
        <v>95.1</v>
      </c>
    </row>
    <row r="148" spans="1:7">
      <c r="A148" s="341" t="s">
        <v>215</v>
      </c>
      <c r="B148" s="343" t="s">
        <v>216</v>
      </c>
      <c r="C148" s="355">
        <v>3</v>
      </c>
      <c r="D148" s="355" t="s">
        <v>189</v>
      </c>
      <c r="E148" s="355">
        <v>6</v>
      </c>
      <c r="F148" s="377">
        <v>7.55</v>
      </c>
      <c r="G148" s="357">
        <f t="shared" si="9"/>
        <v>45.3</v>
      </c>
    </row>
    <row r="149" spans="1:7">
      <c r="A149" s="341" t="s">
        <v>217</v>
      </c>
      <c r="B149" s="343" t="s">
        <v>218</v>
      </c>
      <c r="C149" s="355">
        <v>1</v>
      </c>
      <c r="D149" s="355" t="s">
        <v>189</v>
      </c>
      <c r="E149" s="355">
        <v>2</v>
      </c>
      <c r="F149" s="377">
        <v>15.08</v>
      </c>
      <c r="G149" s="357">
        <f t="shared" si="9"/>
        <v>30.16</v>
      </c>
    </row>
    <row r="150" spans="1:7">
      <c r="A150" s="341" t="s">
        <v>219</v>
      </c>
      <c r="B150" s="343" t="s">
        <v>220</v>
      </c>
      <c r="C150" s="355">
        <v>3</v>
      </c>
      <c r="D150" s="355" t="s">
        <v>195</v>
      </c>
      <c r="E150" s="355">
        <v>12</v>
      </c>
      <c r="F150" s="377">
        <v>15.1</v>
      </c>
      <c r="G150" s="357">
        <f t="shared" si="9"/>
        <v>181.2</v>
      </c>
    </row>
    <row r="151" spans="1:7">
      <c r="A151" s="341" t="s">
        <v>221</v>
      </c>
      <c r="B151" s="343" t="s">
        <v>222</v>
      </c>
      <c r="C151" s="355">
        <v>1</v>
      </c>
      <c r="D151" s="355" t="s">
        <v>189</v>
      </c>
      <c r="E151" s="355">
        <v>2</v>
      </c>
      <c r="F151" s="377">
        <v>16.63</v>
      </c>
      <c r="G151" s="357">
        <f t="shared" si="9"/>
        <v>33.26</v>
      </c>
    </row>
    <row r="152" spans="1:7">
      <c r="A152" s="341" t="s">
        <v>223</v>
      </c>
      <c r="B152" s="343" t="s">
        <v>224</v>
      </c>
      <c r="C152" s="355">
        <v>1</v>
      </c>
      <c r="D152" s="355" t="s">
        <v>192</v>
      </c>
      <c r="E152" s="355">
        <v>1</v>
      </c>
      <c r="F152" s="377">
        <v>120.67</v>
      </c>
      <c r="G152" s="357">
        <f t="shared" si="9"/>
        <v>120.67</v>
      </c>
    </row>
    <row r="153" ht="30" spans="1:7">
      <c r="A153" s="341" t="s">
        <v>225</v>
      </c>
      <c r="B153" s="343" t="s">
        <v>226</v>
      </c>
      <c r="C153" s="355">
        <v>1</v>
      </c>
      <c r="D153" s="355" t="s">
        <v>189</v>
      </c>
      <c r="E153" s="355">
        <v>2</v>
      </c>
      <c r="F153" s="377">
        <v>39.57</v>
      </c>
      <c r="G153" s="357">
        <f t="shared" si="9"/>
        <v>79.14</v>
      </c>
    </row>
    <row r="154" ht="30" spans="1:7">
      <c r="A154" s="341" t="s">
        <v>227</v>
      </c>
      <c r="B154" s="343" t="s">
        <v>230</v>
      </c>
      <c r="C154" s="355">
        <v>3</v>
      </c>
      <c r="D154" s="355" t="s">
        <v>212</v>
      </c>
      <c r="E154" s="355">
        <v>2</v>
      </c>
      <c r="F154" s="377">
        <v>241.33</v>
      </c>
      <c r="G154" s="357">
        <f t="shared" si="9"/>
        <v>482.66</v>
      </c>
    </row>
    <row r="155" spans="1:7">
      <c r="A155" s="341" t="s">
        <v>229</v>
      </c>
      <c r="B155" s="9" t="s">
        <v>228</v>
      </c>
      <c r="C155" s="9">
        <v>1</v>
      </c>
      <c r="D155" s="9" t="s">
        <v>203</v>
      </c>
      <c r="E155" s="9">
        <v>1</v>
      </c>
      <c r="F155" s="360">
        <v>15.07</v>
      </c>
      <c r="G155" s="360">
        <f t="shared" si="9"/>
        <v>15.07</v>
      </c>
    </row>
    <row r="156" spans="1:7">
      <c r="A156" s="341" t="s">
        <v>231</v>
      </c>
      <c r="B156" s="343" t="s">
        <v>232</v>
      </c>
      <c r="C156" s="355">
        <v>3</v>
      </c>
      <c r="D156" s="355" t="s">
        <v>212</v>
      </c>
      <c r="E156" s="355">
        <v>2</v>
      </c>
      <c r="F156" s="377">
        <v>173.33</v>
      </c>
      <c r="G156" s="357">
        <f t="shared" si="9"/>
        <v>346.66</v>
      </c>
    </row>
    <row r="157" spans="1:7">
      <c r="A157" s="361" t="s">
        <v>177</v>
      </c>
      <c r="B157" s="334"/>
      <c r="C157" s="334"/>
      <c r="D157" s="334"/>
      <c r="E157" s="334"/>
      <c r="F157" s="334"/>
      <c r="G157" s="362">
        <f>SUM(G136:G156)</f>
        <v>2139.12</v>
      </c>
    </row>
    <row r="158" spans="1:7">
      <c r="A158" s="361" t="s">
        <v>233</v>
      </c>
      <c r="B158" s="334"/>
      <c r="C158" s="334"/>
      <c r="D158" s="334"/>
      <c r="E158" s="334"/>
      <c r="F158" s="334"/>
      <c r="G158" s="362">
        <f>G157/12</f>
        <v>178.26</v>
      </c>
    </row>
    <row r="159" ht="15.75" spans="1:7">
      <c r="A159" s="363" t="s">
        <v>234</v>
      </c>
      <c r="B159" s="364"/>
      <c r="C159" s="364"/>
      <c r="D159" s="364"/>
      <c r="E159" s="364"/>
      <c r="F159" s="364"/>
      <c r="G159" s="365">
        <f>G158+F133</f>
        <v>234.210833333333</v>
      </c>
    </row>
    <row r="160" ht="15.75"/>
    <row r="161" spans="1:7">
      <c r="A161" s="326" t="s">
        <v>254</v>
      </c>
      <c r="B161" s="327"/>
      <c r="C161" s="327"/>
      <c r="D161" s="327"/>
      <c r="E161" s="327"/>
      <c r="F161" s="327"/>
      <c r="G161" s="328"/>
    </row>
    <row r="162" spans="1:7">
      <c r="A162" s="329" t="s">
        <v>5</v>
      </c>
      <c r="B162" s="330" t="s">
        <v>156</v>
      </c>
      <c r="C162" s="330" t="s">
        <v>157</v>
      </c>
      <c r="D162" s="330" t="s">
        <v>158</v>
      </c>
      <c r="E162" s="330" t="s">
        <v>159</v>
      </c>
      <c r="F162" s="331"/>
      <c r="G162" s="332" t="s">
        <v>160</v>
      </c>
    </row>
    <row r="163" ht="45" spans="1:7">
      <c r="A163" s="333"/>
      <c r="B163" s="331"/>
      <c r="C163" s="331"/>
      <c r="D163" s="331"/>
      <c r="E163" s="334" t="s">
        <v>161</v>
      </c>
      <c r="F163" s="330" t="s">
        <v>162</v>
      </c>
      <c r="G163" s="335"/>
    </row>
    <row r="164" spans="1:7">
      <c r="A164" s="329" t="s">
        <v>255</v>
      </c>
      <c r="B164" s="330"/>
      <c r="C164" s="331"/>
      <c r="D164" s="331"/>
      <c r="E164" s="331"/>
      <c r="F164" s="331"/>
      <c r="G164" s="335"/>
    </row>
    <row r="165" ht="45" spans="1:7">
      <c r="A165" s="336" t="s">
        <v>163</v>
      </c>
      <c r="B165" s="343" t="s">
        <v>236</v>
      </c>
      <c r="C165" s="343">
        <v>6</v>
      </c>
      <c r="D165" s="343" t="s">
        <v>169</v>
      </c>
      <c r="E165" s="376">
        <v>42</v>
      </c>
      <c r="F165" s="339">
        <f>E165*C165</f>
        <v>252</v>
      </c>
      <c r="G165" s="340" t="s">
        <v>237</v>
      </c>
    </row>
    <row r="166" ht="45" spans="1:7">
      <c r="A166" s="341" t="s">
        <v>167</v>
      </c>
      <c r="B166" s="343" t="s">
        <v>238</v>
      </c>
      <c r="C166" s="343">
        <v>6</v>
      </c>
      <c r="D166" s="343" t="s">
        <v>169</v>
      </c>
      <c r="E166" s="376">
        <v>17.85</v>
      </c>
      <c r="F166" s="339">
        <f t="shared" ref="F166:F170" si="10">E166*C166</f>
        <v>107.1</v>
      </c>
      <c r="G166" s="342"/>
    </row>
    <row r="167" spans="1:7">
      <c r="A167" s="341" t="s">
        <v>170</v>
      </c>
      <c r="B167" s="343" t="s">
        <v>171</v>
      </c>
      <c r="C167" s="343">
        <v>10</v>
      </c>
      <c r="D167" s="343" t="s">
        <v>172</v>
      </c>
      <c r="E167" s="376">
        <v>10.07</v>
      </c>
      <c r="F167" s="339">
        <f t="shared" si="10"/>
        <v>100.7</v>
      </c>
      <c r="G167" s="342"/>
    </row>
    <row r="168" ht="30" spans="1:7">
      <c r="A168" s="341" t="s">
        <v>173</v>
      </c>
      <c r="B168" s="343" t="s">
        <v>174</v>
      </c>
      <c r="C168" s="343">
        <v>2</v>
      </c>
      <c r="D168" s="343" t="s">
        <v>169</v>
      </c>
      <c r="E168" s="376">
        <v>19.56</v>
      </c>
      <c r="F168" s="339">
        <f t="shared" si="10"/>
        <v>39.12</v>
      </c>
      <c r="G168" s="342"/>
    </row>
    <row r="169" ht="45" spans="1:7">
      <c r="A169" s="341" t="s">
        <v>175</v>
      </c>
      <c r="B169" s="343" t="s">
        <v>239</v>
      </c>
      <c r="C169" s="343">
        <v>4</v>
      </c>
      <c r="D169" s="343" t="s">
        <v>169</v>
      </c>
      <c r="E169" s="376">
        <v>42.33</v>
      </c>
      <c r="F169" s="339">
        <f t="shared" si="10"/>
        <v>169.32</v>
      </c>
      <c r="G169" s="342"/>
    </row>
    <row r="170" spans="1:7">
      <c r="A170" s="341" t="s">
        <v>240</v>
      </c>
      <c r="B170" s="343" t="s">
        <v>176</v>
      </c>
      <c r="C170" s="343">
        <v>1</v>
      </c>
      <c r="D170" s="343" t="s">
        <v>169</v>
      </c>
      <c r="E170" s="376">
        <v>3.17</v>
      </c>
      <c r="F170" s="339">
        <f t="shared" si="10"/>
        <v>3.17</v>
      </c>
      <c r="G170" s="342"/>
    </row>
    <row r="171" spans="1:7">
      <c r="A171" s="345" t="s">
        <v>177</v>
      </c>
      <c r="B171" s="346"/>
      <c r="C171" s="346"/>
      <c r="D171" s="346"/>
      <c r="E171" s="346"/>
      <c r="F171" s="347">
        <f>SUM(F165:F170)</f>
        <v>671.41</v>
      </c>
      <c r="G171" s="348"/>
    </row>
    <row r="172" spans="1:7">
      <c r="A172" s="345" t="s">
        <v>178</v>
      </c>
      <c r="B172" s="346"/>
      <c r="C172" s="346"/>
      <c r="D172" s="346"/>
      <c r="E172" s="346"/>
      <c r="F172" s="349">
        <f>F171/12</f>
        <v>55.9508333333333</v>
      </c>
      <c r="G172" s="350"/>
    </row>
    <row r="173" spans="1:7">
      <c r="A173" s="351" t="s">
        <v>256</v>
      </c>
      <c r="B173" s="352"/>
      <c r="C173" s="352"/>
      <c r="D173" s="352"/>
      <c r="E173" s="352"/>
      <c r="F173" s="352"/>
      <c r="G173" s="353"/>
    </row>
    <row r="174" ht="60" spans="1:7">
      <c r="A174" s="329" t="s">
        <v>180</v>
      </c>
      <c r="B174" s="330" t="s">
        <v>181</v>
      </c>
      <c r="C174" s="330" t="s">
        <v>182</v>
      </c>
      <c r="D174" s="330" t="s">
        <v>183</v>
      </c>
      <c r="E174" s="330" t="s">
        <v>184</v>
      </c>
      <c r="F174" s="330" t="s">
        <v>185</v>
      </c>
      <c r="G174" s="354" t="s">
        <v>186</v>
      </c>
    </row>
    <row r="175" ht="75" spans="1:7">
      <c r="A175" s="368" t="s">
        <v>163</v>
      </c>
      <c r="B175" s="369" t="s">
        <v>244</v>
      </c>
      <c r="C175" s="370">
        <v>1</v>
      </c>
      <c r="D175" s="370" t="s">
        <v>189</v>
      </c>
      <c r="E175" s="370">
        <v>2</v>
      </c>
      <c r="F175" s="377">
        <v>33.3</v>
      </c>
      <c r="G175" s="357">
        <f t="shared" ref="G175:G182" si="11">F175*E175</f>
        <v>66.6</v>
      </c>
    </row>
    <row r="176" spans="1:7">
      <c r="A176" s="368" t="s">
        <v>167</v>
      </c>
      <c r="B176" s="369" t="s">
        <v>245</v>
      </c>
      <c r="C176" s="370">
        <v>1</v>
      </c>
      <c r="D176" s="370" t="s">
        <v>192</v>
      </c>
      <c r="E176" s="370">
        <v>1</v>
      </c>
      <c r="F176" s="377">
        <v>17.47</v>
      </c>
      <c r="G176" s="357">
        <f t="shared" si="11"/>
        <v>17.47</v>
      </c>
    </row>
    <row r="177" spans="1:7">
      <c r="A177" s="368" t="s">
        <v>170</v>
      </c>
      <c r="B177" s="369" t="s">
        <v>194</v>
      </c>
      <c r="C177" s="370">
        <v>1</v>
      </c>
      <c r="D177" s="370" t="s">
        <v>246</v>
      </c>
      <c r="E177" s="370">
        <v>6</v>
      </c>
      <c r="F177" s="377">
        <v>2.95</v>
      </c>
      <c r="G177" s="357">
        <f t="shared" si="11"/>
        <v>17.7</v>
      </c>
    </row>
    <row r="178" spans="1:7">
      <c r="A178" s="368" t="s">
        <v>173</v>
      </c>
      <c r="B178" s="369" t="s">
        <v>247</v>
      </c>
      <c r="C178" s="370">
        <v>1</v>
      </c>
      <c r="D178" s="370" t="s">
        <v>195</v>
      </c>
      <c r="E178" s="370">
        <v>4</v>
      </c>
      <c r="F178" s="377">
        <v>1.38</v>
      </c>
      <c r="G178" s="357">
        <f t="shared" si="11"/>
        <v>5.52</v>
      </c>
    </row>
    <row r="179" spans="1:7">
      <c r="A179" s="368" t="s">
        <v>175</v>
      </c>
      <c r="B179" s="369" t="s">
        <v>248</v>
      </c>
      <c r="C179" s="370">
        <v>1</v>
      </c>
      <c r="D179" s="370" t="s">
        <v>189</v>
      </c>
      <c r="E179" s="370">
        <v>2</v>
      </c>
      <c r="F179" s="377">
        <v>10.49</v>
      </c>
      <c r="G179" s="357">
        <f t="shared" si="11"/>
        <v>20.98</v>
      </c>
    </row>
    <row r="180" spans="1:7">
      <c r="A180" s="368"/>
      <c r="B180" s="372" t="s">
        <v>200</v>
      </c>
      <c r="C180" s="370">
        <v>1</v>
      </c>
      <c r="D180" s="370" t="s">
        <v>201</v>
      </c>
      <c r="E180" s="370">
        <v>2</v>
      </c>
      <c r="F180" s="377">
        <v>7.35</v>
      </c>
      <c r="G180" s="357">
        <f t="shared" si="11"/>
        <v>14.7</v>
      </c>
    </row>
    <row r="181" spans="1:7">
      <c r="A181" s="368" t="s">
        <v>240</v>
      </c>
      <c r="B181" s="369" t="s">
        <v>202</v>
      </c>
      <c r="C181" s="370">
        <v>1</v>
      </c>
      <c r="D181" s="370" t="s">
        <v>195</v>
      </c>
      <c r="E181" s="370">
        <v>4</v>
      </c>
      <c r="F181" s="377">
        <v>1.73</v>
      </c>
      <c r="G181" s="357">
        <f t="shared" si="11"/>
        <v>6.92</v>
      </c>
    </row>
    <row r="182" ht="30" spans="1:7">
      <c r="A182" s="341" t="s">
        <v>187</v>
      </c>
      <c r="B182" s="369" t="s">
        <v>257</v>
      </c>
      <c r="C182" s="370">
        <v>1</v>
      </c>
      <c r="D182" s="370" t="s">
        <v>246</v>
      </c>
      <c r="E182" s="370">
        <v>6</v>
      </c>
      <c r="F182" s="344">
        <v>1.38</v>
      </c>
      <c r="G182" s="357">
        <f t="shared" si="11"/>
        <v>8.28</v>
      </c>
    </row>
    <row r="183" ht="30" spans="1:7">
      <c r="A183" s="341" t="s">
        <v>205</v>
      </c>
      <c r="B183" s="343" t="s">
        <v>206</v>
      </c>
      <c r="C183" s="355">
        <v>3</v>
      </c>
      <c r="D183" s="355" t="s">
        <v>207</v>
      </c>
      <c r="E183" s="355">
        <v>5</v>
      </c>
      <c r="F183" s="344">
        <v>42.23</v>
      </c>
      <c r="G183" s="357">
        <f t="shared" ref="G183:G195" si="12">F183*E183</f>
        <v>211.15</v>
      </c>
    </row>
    <row r="184" spans="1:7">
      <c r="A184" s="341" t="s">
        <v>208</v>
      </c>
      <c r="B184" s="343" t="s">
        <v>209</v>
      </c>
      <c r="C184" s="355">
        <v>1</v>
      </c>
      <c r="D184" s="355" t="s">
        <v>189</v>
      </c>
      <c r="E184" s="355">
        <v>2</v>
      </c>
      <c r="F184" s="344">
        <v>33.07</v>
      </c>
      <c r="G184" s="357">
        <f t="shared" si="12"/>
        <v>66.14</v>
      </c>
    </row>
    <row r="185" ht="30" spans="1:7">
      <c r="A185" s="341" t="s">
        <v>210</v>
      </c>
      <c r="B185" s="343" t="s">
        <v>211</v>
      </c>
      <c r="C185" s="355">
        <v>3</v>
      </c>
      <c r="D185" s="355" t="s">
        <v>212</v>
      </c>
      <c r="E185" s="355">
        <v>2</v>
      </c>
      <c r="F185" s="344">
        <v>140.67</v>
      </c>
      <c r="G185" s="357">
        <f t="shared" si="12"/>
        <v>281.34</v>
      </c>
    </row>
    <row r="186" ht="30" spans="1:7">
      <c r="A186" s="341" t="s">
        <v>213</v>
      </c>
      <c r="B186" s="343" t="s">
        <v>214</v>
      </c>
      <c r="C186" s="355">
        <v>3</v>
      </c>
      <c r="D186" s="355" t="s">
        <v>189</v>
      </c>
      <c r="E186" s="355">
        <v>6</v>
      </c>
      <c r="F186" s="344">
        <v>15.85</v>
      </c>
      <c r="G186" s="357">
        <f t="shared" si="12"/>
        <v>95.1</v>
      </c>
    </row>
    <row r="187" spans="1:7">
      <c r="A187" s="341" t="s">
        <v>215</v>
      </c>
      <c r="B187" s="343" t="s">
        <v>216</v>
      </c>
      <c r="C187" s="355">
        <v>3</v>
      </c>
      <c r="D187" s="355" t="s">
        <v>189</v>
      </c>
      <c r="E187" s="355">
        <v>6</v>
      </c>
      <c r="F187" s="344">
        <v>7.55</v>
      </c>
      <c r="G187" s="357">
        <f t="shared" si="12"/>
        <v>45.3</v>
      </c>
    </row>
    <row r="188" spans="1:7">
      <c r="A188" s="341" t="s">
        <v>217</v>
      </c>
      <c r="B188" s="343" t="s">
        <v>218</v>
      </c>
      <c r="C188" s="355">
        <v>1</v>
      </c>
      <c r="D188" s="355" t="s">
        <v>189</v>
      </c>
      <c r="E188" s="355">
        <v>2</v>
      </c>
      <c r="F188" s="344">
        <v>15.08</v>
      </c>
      <c r="G188" s="357">
        <f t="shared" si="12"/>
        <v>30.16</v>
      </c>
    </row>
    <row r="189" spans="1:7">
      <c r="A189" s="341" t="s">
        <v>219</v>
      </c>
      <c r="B189" s="343" t="s">
        <v>220</v>
      </c>
      <c r="C189" s="355">
        <v>3</v>
      </c>
      <c r="D189" s="355" t="s">
        <v>195</v>
      </c>
      <c r="E189" s="355">
        <v>12</v>
      </c>
      <c r="F189" s="344">
        <v>15.1</v>
      </c>
      <c r="G189" s="357">
        <f t="shared" si="12"/>
        <v>181.2</v>
      </c>
    </row>
    <row r="190" spans="1:7">
      <c r="A190" s="341" t="s">
        <v>221</v>
      </c>
      <c r="B190" s="343" t="s">
        <v>222</v>
      </c>
      <c r="C190" s="355">
        <v>1</v>
      </c>
      <c r="D190" s="355" t="s">
        <v>189</v>
      </c>
      <c r="E190" s="355">
        <v>2</v>
      </c>
      <c r="F190" s="344">
        <v>16.63</v>
      </c>
      <c r="G190" s="357">
        <f t="shared" si="12"/>
        <v>33.26</v>
      </c>
    </row>
    <row r="191" spans="1:7">
      <c r="A191" s="341" t="s">
        <v>223</v>
      </c>
      <c r="B191" s="343" t="s">
        <v>224</v>
      </c>
      <c r="C191" s="355">
        <v>1</v>
      </c>
      <c r="D191" s="355" t="s">
        <v>192</v>
      </c>
      <c r="E191" s="355">
        <v>1</v>
      </c>
      <c r="F191" s="344">
        <v>120.67</v>
      </c>
      <c r="G191" s="357">
        <f t="shared" si="12"/>
        <v>120.67</v>
      </c>
    </row>
    <row r="192" ht="30" spans="1:7">
      <c r="A192" s="341" t="s">
        <v>225</v>
      </c>
      <c r="B192" s="343" t="s">
        <v>226</v>
      </c>
      <c r="C192" s="355">
        <v>1</v>
      </c>
      <c r="D192" s="355" t="s">
        <v>189</v>
      </c>
      <c r="E192" s="355">
        <v>2</v>
      </c>
      <c r="F192" s="344">
        <v>39.57</v>
      </c>
      <c r="G192" s="357">
        <f t="shared" si="12"/>
        <v>79.14</v>
      </c>
    </row>
    <row r="193" ht="30" spans="1:7">
      <c r="A193" s="341" t="s">
        <v>227</v>
      </c>
      <c r="B193" s="343" t="s">
        <v>230</v>
      </c>
      <c r="C193" s="355">
        <v>3</v>
      </c>
      <c r="D193" s="355" t="s">
        <v>212</v>
      </c>
      <c r="E193" s="355">
        <v>2</v>
      </c>
      <c r="F193" s="344">
        <v>241.33</v>
      </c>
      <c r="G193" s="357">
        <f t="shared" si="12"/>
        <v>482.66</v>
      </c>
    </row>
    <row r="194" spans="1:7">
      <c r="A194" s="341" t="s">
        <v>229</v>
      </c>
      <c r="B194" s="9" t="s">
        <v>228</v>
      </c>
      <c r="C194" s="9">
        <v>1</v>
      </c>
      <c r="D194" s="9" t="s">
        <v>203</v>
      </c>
      <c r="E194" s="9">
        <v>1</v>
      </c>
      <c r="F194" s="360">
        <v>15.07</v>
      </c>
      <c r="G194" s="360">
        <f t="shared" si="12"/>
        <v>15.07</v>
      </c>
    </row>
    <row r="195" spans="1:7">
      <c r="A195" s="341" t="s">
        <v>231</v>
      </c>
      <c r="B195" s="343" t="s">
        <v>232</v>
      </c>
      <c r="C195" s="355">
        <v>3</v>
      </c>
      <c r="D195" s="355" t="s">
        <v>212</v>
      </c>
      <c r="E195" s="355">
        <v>2</v>
      </c>
      <c r="F195" s="344">
        <v>173.33</v>
      </c>
      <c r="G195" s="357">
        <f t="shared" si="12"/>
        <v>346.66</v>
      </c>
    </row>
    <row r="196" spans="1:7">
      <c r="A196" s="361" t="s">
        <v>177</v>
      </c>
      <c r="B196" s="334"/>
      <c r="C196" s="334"/>
      <c r="D196" s="334"/>
      <c r="E196" s="334"/>
      <c r="F196" s="334"/>
      <c r="G196" s="362">
        <f>SUM(G175:G195)</f>
        <v>2146.02</v>
      </c>
    </row>
    <row r="197" spans="1:7">
      <c r="A197" s="361" t="s">
        <v>233</v>
      </c>
      <c r="B197" s="334"/>
      <c r="C197" s="334"/>
      <c r="D197" s="334"/>
      <c r="E197" s="334"/>
      <c r="F197" s="334"/>
      <c r="G197" s="362">
        <f>G196/12</f>
        <v>178.835</v>
      </c>
    </row>
    <row r="198" ht="15.75" spans="1:7">
      <c r="A198" s="363" t="s">
        <v>234</v>
      </c>
      <c r="B198" s="364"/>
      <c r="C198" s="364"/>
      <c r="D198" s="364"/>
      <c r="E198" s="364"/>
      <c r="F198" s="364"/>
      <c r="G198" s="365">
        <f>G197+F172</f>
        <v>234.785833333333</v>
      </c>
    </row>
    <row r="199" ht="15.75"/>
    <row r="200" spans="1:7">
      <c r="A200" s="326" t="s">
        <v>258</v>
      </c>
      <c r="B200" s="327"/>
      <c r="C200" s="327"/>
      <c r="D200" s="327"/>
      <c r="E200" s="327"/>
      <c r="F200" s="327"/>
      <c r="G200" s="328"/>
    </row>
    <row r="201" spans="1:7">
      <c r="A201" s="329" t="s">
        <v>5</v>
      </c>
      <c r="B201" s="330" t="s">
        <v>156</v>
      </c>
      <c r="C201" s="330" t="s">
        <v>157</v>
      </c>
      <c r="D201" s="330" t="s">
        <v>158</v>
      </c>
      <c r="E201" s="330" t="s">
        <v>159</v>
      </c>
      <c r="F201" s="331"/>
      <c r="G201" s="332" t="s">
        <v>160</v>
      </c>
    </row>
    <row r="202" ht="45" spans="1:7">
      <c r="A202" s="333"/>
      <c r="B202" s="331"/>
      <c r="C202" s="331"/>
      <c r="D202" s="331"/>
      <c r="E202" s="334" t="s">
        <v>161</v>
      </c>
      <c r="F202" s="330" t="s">
        <v>162</v>
      </c>
      <c r="G202" s="335"/>
    </row>
    <row r="203" ht="45" spans="1:7">
      <c r="A203" s="336" t="s">
        <v>163</v>
      </c>
      <c r="B203" s="343" t="s">
        <v>236</v>
      </c>
      <c r="C203" s="343">
        <v>6</v>
      </c>
      <c r="D203" s="343" t="s">
        <v>169</v>
      </c>
      <c r="E203" s="376">
        <v>42</v>
      </c>
      <c r="F203" s="339">
        <f>E203*C203</f>
        <v>252</v>
      </c>
      <c r="G203" s="340" t="s">
        <v>237</v>
      </c>
    </row>
    <row r="204" ht="45" spans="1:7">
      <c r="A204" s="341" t="s">
        <v>167</v>
      </c>
      <c r="B204" s="343" t="s">
        <v>238</v>
      </c>
      <c r="C204" s="343">
        <v>6</v>
      </c>
      <c r="D204" s="343" t="s">
        <v>169</v>
      </c>
      <c r="E204" s="376">
        <v>17.85</v>
      </c>
      <c r="F204" s="339">
        <f t="shared" ref="F204:F208" si="13">E204*C204</f>
        <v>107.1</v>
      </c>
      <c r="G204" s="342"/>
    </row>
    <row r="205" spans="1:7">
      <c r="A205" s="341" t="s">
        <v>170</v>
      </c>
      <c r="B205" s="343" t="s">
        <v>171</v>
      </c>
      <c r="C205" s="343">
        <v>10</v>
      </c>
      <c r="D205" s="343" t="s">
        <v>172</v>
      </c>
      <c r="E205" s="376">
        <v>10.07</v>
      </c>
      <c r="F205" s="339">
        <f t="shared" si="13"/>
        <v>100.7</v>
      </c>
      <c r="G205" s="342"/>
    </row>
    <row r="206" ht="30" spans="1:7">
      <c r="A206" s="341" t="s">
        <v>173</v>
      </c>
      <c r="B206" s="343" t="s">
        <v>174</v>
      </c>
      <c r="C206" s="343">
        <v>2</v>
      </c>
      <c r="D206" s="343" t="s">
        <v>169</v>
      </c>
      <c r="E206" s="376">
        <v>19.56</v>
      </c>
      <c r="F206" s="339">
        <f t="shared" si="13"/>
        <v>39.12</v>
      </c>
      <c r="G206" s="342"/>
    </row>
    <row r="207" ht="45" spans="1:7">
      <c r="A207" s="341" t="s">
        <v>175</v>
      </c>
      <c r="B207" s="343" t="s">
        <v>239</v>
      </c>
      <c r="C207" s="343">
        <v>4</v>
      </c>
      <c r="D207" s="343" t="s">
        <v>169</v>
      </c>
      <c r="E207" s="376">
        <v>42.33</v>
      </c>
      <c r="F207" s="339">
        <f t="shared" si="13"/>
        <v>169.32</v>
      </c>
      <c r="G207" s="342"/>
    </row>
    <row r="208" spans="1:7">
      <c r="A208" s="341" t="s">
        <v>240</v>
      </c>
      <c r="B208" s="343" t="s">
        <v>176</v>
      </c>
      <c r="C208" s="343">
        <v>1</v>
      </c>
      <c r="D208" s="343" t="s">
        <v>169</v>
      </c>
      <c r="E208" s="376">
        <v>3.17</v>
      </c>
      <c r="F208" s="339">
        <f t="shared" si="13"/>
        <v>3.17</v>
      </c>
      <c r="G208" s="342"/>
    </row>
    <row r="209" spans="1:7">
      <c r="A209" s="345" t="s">
        <v>177</v>
      </c>
      <c r="B209" s="346"/>
      <c r="C209" s="346"/>
      <c r="D209" s="346"/>
      <c r="E209" s="346"/>
      <c r="F209" s="347">
        <f>SUM(F203:F208)</f>
        <v>671.41</v>
      </c>
      <c r="G209" s="348"/>
    </row>
    <row r="210" spans="1:7">
      <c r="A210" s="345" t="s">
        <v>178</v>
      </c>
      <c r="B210" s="346"/>
      <c r="C210" s="346"/>
      <c r="D210" s="346"/>
      <c r="E210" s="346"/>
      <c r="F210" s="349">
        <f>F209/12</f>
        <v>55.9508333333333</v>
      </c>
      <c r="G210" s="350"/>
    </row>
    <row r="211" spans="1:7">
      <c r="A211" s="351" t="s">
        <v>259</v>
      </c>
      <c r="B211" s="352"/>
      <c r="C211" s="352"/>
      <c r="D211" s="352"/>
      <c r="E211" s="352"/>
      <c r="F211" s="352"/>
      <c r="G211" s="353"/>
    </row>
    <row r="212" ht="60" spans="1:7">
      <c r="A212" s="329" t="s">
        <v>180</v>
      </c>
      <c r="B212" s="330" t="s">
        <v>181</v>
      </c>
      <c r="C212" s="330" t="s">
        <v>182</v>
      </c>
      <c r="D212" s="330" t="s">
        <v>183</v>
      </c>
      <c r="E212" s="330" t="s">
        <v>184</v>
      </c>
      <c r="F212" s="330" t="s">
        <v>185</v>
      </c>
      <c r="G212" s="354" t="s">
        <v>186</v>
      </c>
    </row>
    <row r="213" spans="1:7">
      <c r="A213" s="341" t="s">
        <v>187</v>
      </c>
      <c r="B213" s="369" t="s">
        <v>188</v>
      </c>
      <c r="C213" s="370">
        <v>1</v>
      </c>
      <c r="D213" s="370" t="s">
        <v>189</v>
      </c>
      <c r="E213" s="370">
        <v>2</v>
      </c>
      <c r="F213" s="344">
        <v>64.73</v>
      </c>
      <c r="G213" s="357">
        <f>F213*E213</f>
        <v>129.46</v>
      </c>
    </row>
    <row r="214" spans="1:7">
      <c r="A214" s="341" t="s">
        <v>190</v>
      </c>
      <c r="B214" s="369" t="s">
        <v>191</v>
      </c>
      <c r="C214" s="370">
        <v>1</v>
      </c>
      <c r="D214" s="370" t="s">
        <v>192</v>
      </c>
      <c r="E214" s="370">
        <v>1</v>
      </c>
      <c r="F214" s="344">
        <v>44.91</v>
      </c>
      <c r="G214" s="357">
        <f t="shared" ref="G214:G232" si="14">F214*E214</f>
        <v>44.91</v>
      </c>
    </row>
    <row r="215" spans="1:7">
      <c r="A215" s="341" t="s">
        <v>193</v>
      </c>
      <c r="B215" s="369" t="s">
        <v>260</v>
      </c>
      <c r="C215" s="370">
        <v>1</v>
      </c>
      <c r="D215" s="370" t="s">
        <v>203</v>
      </c>
      <c r="E215" s="370">
        <v>1</v>
      </c>
      <c r="F215" s="344">
        <v>150</v>
      </c>
      <c r="G215" s="357">
        <f t="shared" si="14"/>
        <v>150</v>
      </c>
    </row>
    <row r="216" ht="30" spans="1:7">
      <c r="A216" s="341"/>
      <c r="B216" s="369" t="s">
        <v>261</v>
      </c>
      <c r="C216" s="370">
        <v>1</v>
      </c>
      <c r="D216" s="370" t="s">
        <v>192</v>
      </c>
      <c r="E216" s="370">
        <v>1</v>
      </c>
      <c r="F216" s="344">
        <v>313.14</v>
      </c>
      <c r="G216" s="357">
        <f t="shared" si="14"/>
        <v>313.14</v>
      </c>
    </row>
    <row r="217" ht="30" spans="1:7">
      <c r="A217" s="358"/>
      <c r="B217" s="369" t="s">
        <v>198</v>
      </c>
      <c r="C217" s="370">
        <v>1</v>
      </c>
      <c r="D217" s="370" t="s">
        <v>192</v>
      </c>
      <c r="E217" s="370">
        <v>1</v>
      </c>
      <c r="F217" s="344">
        <v>20.13</v>
      </c>
      <c r="G217" s="357">
        <f t="shared" si="14"/>
        <v>20.13</v>
      </c>
    </row>
    <row r="218" spans="1:7">
      <c r="A218" s="358"/>
      <c r="B218" s="373" t="s">
        <v>262</v>
      </c>
      <c r="C218" s="374">
        <v>1</v>
      </c>
      <c r="D218" s="370" t="s">
        <v>212</v>
      </c>
      <c r="E218" s="370">
        <v>1</v>
      </c>
      <c r="F218" s="344">
        <v>362.32</v>
      </c>
      <c r="G218" s="357">
        <f t="shared" si="14"/>
        <v>362.32</v>
      </c>
    </row>
    <row r="219" ht="30" spans="1:7">
      <c r="A219" s="358"/>
      <c r="B219" s="369" t="s">
        <v>204</v>
      </c>
      <c r="C219" s="370">
        <v>1</v>
      </c>
      <c r="D219" s="370" t="s">
        <v>203</v>
      </c>
      <c r="E219" s="370">
        <v>1</v>
      </c>
      <c r="F219" s="344">
        <v>160.36</v>
      </c>
      <c r="G219" s="357">
        <f t="shared" si="14"/>
        <v>160.36</v>
      </c>
    </row>
    <row r="220" ht="30" spans="1:7">
      <c r="A220" s="341" t="s">
        <v>205</v>
      </c>
      <c r="B220" s="343" t="s">
        <v>206</v>
      </c>
      <c r="C220" s="355">
        <v>3</v>
      </c>
      <c r="D220" s="355" t="s">
        <v>207</v>
      </c>
      <c r="E220" s="355">
        <v>5</v>
      </c>
      <c r="F220" s="344">
        <v>42.23</v>
      </c>
      <c r="G220" s="357">
        <f t="shared" si="14"/>
        <v>211.15</v>
      </c>
    </row>
    <row r="221" spans="1:7">
      <c r="A221" s="341" t="s">
        <v>208</v>
      </c>
      <c r="B221" s="343" t="s">
        <v>209</v>
      </c>
      <c r="C221" s="355">
        <v>1</v>
      </c>
      <c r="D221" s="355" t="s">
        <v>189</v>
      </c>
      <c r="E221" s="355">
        <v>2</v>
      </c>
      <c r="F221" s="344">
        <v>33.07</v>
      </c>
      <c r="G221" s="357">
        <f t="shared" si="14"/>
        <v>66.14</v>
      </c>
    </row>
    <row r="222" ht="30" spans="1:7">
      <c r="A222" s="341" t="s">
        <v>210</v>
      </c>
      <c r="B222" s="343" t="s">
        <v>211</v>
      </c>
      <c r="C222" s="355">
        <v>3</v>
      </c>
      <c r="D222" s="355" t="s">
        <v>212</v>
      </c>
      <c r="E222" s="355">
        <v>2</v>
      </c>
      <c r="F222" s="344">
        <v>140.67</v>
      </c>
      <c r="G222" s="357">
        <f t="shared" si="14"/>
        <v>281.34</v>
      </c>
    </row>
    <row r="223" ht="30" spans="1:7">
      <c r="A223" s="358">
        <v>44684</v>
      </c>
      <c r="B223" s="343" t="s">
        <v>214</v>
      </c>
      <c r="C223" s="355">
        <v>3</v>
      </c>
      <c r="D223" s="355" t="s">
        <v>189</v>
      </c>
      <c r="E223" s="355">
        <v>6</v>
      </c>
      <c r="F223" s="344">
        <v>15.85</v>
      </c>
      <c r="G223" s="357">
        <f t="shared" si="14"/>
        <v>95.1</v>
      </c>
    </row>
    <row r="224" spans="1:7">
      <c r="A224" s="358">
        <v>44715</v>
      </c>
      <c r="B224" s="343" t="s">
        <v>216</v>
      </c>
      <c r="C224" s="355">
        <v>3</v>
      </c>
      <c r="D224" s="355" t="s">
        <v>189</v>
      </c>
      <c r="E224" s="355">
        <v>6</v>
      </c>
      <c r="F224" s="344">
        <v>7.55</v>
      </c>
      <c r="G224" s="357">
        <f t="shared" si="14"/>
        <v>45.3</v>
      </c>
    </row>
    <row r="225" spans="1:7">
      <c r="A225" s="358">
        <v>44745</v>
      </c>
      <c r="B225" s="343" t="s">
        <v>218</v>
      </c>
      <c r="C225" s="355">
        <v>1</v>
      </c>
      <c r="D225" s="355" t="s">
        <v>189</v>
      </c>
      <c r="E225" s="355">
        <v>2</v>
      </c>
      <c r="F225" s="344">
        <v>15.08</v>
      </c>
      <c r="G225" s="357">
        <f t="shared" si="14"/>
        <v>30.16</v>
      </c>
    </row>
    <row r="226" spans="1:7">
      <c r="A226" s="358">
        <v>44776</v>
      </c>
      <c r="B226" s="343" t="s">
        <v>220</v>
      </c>
      <c r="C226" s="355">
        <v>3</v>
      </c>
      <c r="D226" s="355" t="s">
        <v>195</v>
      </c>
      <c r="E226" s="355">
        <v>12</v>
      </c>
      <c r="F226" s="344">
        <v>15.1</v>
      </c>
      <c r="G226" s="357">
        <f t="shared" si="14"/>
        <v>181.2</v>
      </c>
    </row>
    <row r="227" spans="1:7">
      <c r="A227" s="358">
        <v>44807</v>
      </c>
      <c r="B227" s="343" t="s">
        <v>222</v>
      </c>
      <c r="C227" s="355">
        <v>1</v>
      </c>
      <c r="D227" s="355" t="s">
        <v>189</v>
      </c>
      <c r="E227" s="355">
        <v>2</v>
      </c>
      <c r="F227" s="344">
        <v>16.63</v>
      </c>
      <c r="G227" s="357">
        <f t="shared" si="14"/>
        <v>33.26</v>
      </c>
    </row>
    <row r="228" spans="1:7">
      <c r="A228" s="358">
        <v>44837</v>
      </c>
      <c r="B228" s="343" t="s">
        <v>224</v>
      </c>
      <c r="C228" s="355">
        <v>1</v>
      </c>
      <c r="D228" s="355" t="s">
        <v>192</v>
      </c>
      <c r="E228" s="355">
        <v>1</v>
      </c>
      <c r="F228" s="344">
        <v>120.67</v>
      </c>
      <c r="G228" s="357">
        <f t="shared" si="14"/>
        <v>120.67</v>
      </c>
    </row>
    <row r="229" ht="30" spans="1:7">
      <c r="A229" s="358">
        <v>44868</v>
      </c>
      <c r="B229" s="343" t="s">
        <v>226</v>
      </c>
      <c r="C229" s="355">
        <v>1</v>
      </c>
      <c r="D229" s="355" t="s">
        <v>189</v>
      </c>
      <c r="E229" s="355">
        <v>2</v>
      </c>
      <c r="F229" s="344">
        <v>39.57</v>
      </c>
      <c r="G229" s="357">
        <f t="shared" si="14"/>
        <v>79.14</v>
      </c>
    </row>
    <row r="230" ht="30" spans="1:7">
      <c r="A230" s="358">
        <v>44898</v>
      </c>
      <c r="B230" s="343" t="s">
        <v>230</v>
      </c>
      <c r="C230" s="355">
        <v>3</v>
      </c>
      <c r="D230" s="355" t="s">
        <v>212</v>
      </c>
      <c r="E230" s="355">
        <v>2</v>
      </c>
      <c r="F230" s="344">
        <v>241.33</v>
      </c>
      <c r="G230" s="357">
        <f t="shared" si="14"/>
        <v>482.66</v>
      </c>
    </row>
    <row r="231" spans="1:7">
      <c r="A231" s="358" t="s">
        <v>231</v>
      </c>
      <c r="B231" s="9" t="s">
        <v>228</v>
      </c>
      <c r="C231" s="9">
        <v>1</v>
      </c>
      <c r="D231" s="9" t="s">
        <v>203</v>
      </c>
      <c r="E231" s="9">
        <v>1</v>
      </c>
      <c r="F231" s="360">
        <v>15.07</v>
      </c>
      <c r="G231" s="360">
        <f t="shared" si="14"/>
        <v>15.07</v>
      </c>
    </row>
    <row r="232" spans="1:7">
      <c r="A232" s="341" t="s">
        <v>263</v>
      </c>
      <c r="B232" s="343" t="s">
        <v>232</v>
      </c>
      <c r="C232" s="355">
        <v>3</v>
      </c>
      <c r="D232" s="355" t="s">
        <v>212</v>
      </c>
      <c r="E232" s="355">
        <v>2</v>
      </c>
      <c r="F232" s="344">
        <v>173.33</v>
      </c>
      <c r="G232" s="357">
        <f t="shared" si="14"/>
        <v>346.66</v>
      </c>
    </row>
    <row r="233" spans="1:7">
      <c r="A233" s="361" t="s">
        <v>177</v>
      </c>
      <c r="B233" s="334"/>
      <c r="C233" s="334"/>
      <c r="D233" s="334"/>
      <c r="E233" s="334"/>
      <c r="F233" s="334"/>
      <c r="G233" s="362">
        <f>SUM(G213:G232)</f>
        <v>3168.17</v>
      </c>
    </row>
    <row r="234" spans="1:7">
      <c r="A234" s="361" t="s">
        <v>233</v>
      </c>
      <c r="B234" s="334"/>
      <c r="C234" s="334"/>
      <c r="D234" s="334"/>
      <c r="E234" s="334"/>
      <c r="F234" s="334"/>
      <c r="G234" s="362">
        <f>G233/12</f>
        <v>264.014166666667</v>
      </c>
    </row>
    <row r="235" ht="15.75" spans="1:7">
      <c r="A235" s="363" t="s">
        <v>264</v>
      </c>
      <c r="B235" s="364"/>
      <c r="C235" s="364"/>
      <c r="D235" s="364"/>
      <c r="E235" s="364"/>
      <c r="F235" s="364"/>
      <c r="G235" s="365">
        <f>G234+F210</f>
        <v>319.965</v>
      </c>
    </row>
    <row r="236" ht="15.75"/>
    <row r="237" spans="1:7">
      <c r="A237" s="326" t="s">
        <v>265</v>
      </c>
      <c r="B237" s="327"/>
      <c r="C237" s="327"/>
      <c r="D237" s="327"/>
      <c r="E237" s="327"/>
      <c r="F237" s="327"/>
      <c r="G237" s="328"/>
    </row>
    <row r="238" spans="1:7">
      <c r="A238" s="329" t="s">
        <v>5</v>
      </c>
      <c r="B238" s="330" t="s">
        <v>156</v>
      </c>
      <c r="C238" s="330" t="s">
        <v>157</v>
      </c>
      <c r="D238" s="330" t="s">
        <v>158</v>
      </c>
      <c r="E238" s="330" t="s">
        <v>159</v>
      </c>
      <c r="F238" s="331"/>
      <c r="G238" s="332" t="s">
        <v>160</v>
      </c>
    </row>
    <row r="239" ht="45" spans="1:7">
      <c r="A239" s="333"/>
      <c r="B239" s="331"/>
      <c r="C239" s="331"/>
      <c r="D239" s="331"/>
      <c r="E239" s="334" t="s">
        <v>161</v>
      </c>
      <c r="F239" s="330" t="s">
        <v>162</v>
      </c>
      <c r="G239" s="335"/>
    </row>
    <row r="240" ht="45" spans="1:7">
      <c r="A240" s="336" t="s">
        <v>163</v>
      </c>
      <c r="B240" s="343" t="s">
        <v>236</v>
      </c>
      <c r="C240" s="343">
        <v>6</v>
      </c>
      <c r="D240" s="343" t="s">
        <v>169</v>
      </c>
      <c r="E240" s="376">
        <v>42</v>
      </c>
      <c r="F240" s="339">
        <f>E240*C240</f>
        <v>252</v>
      </c>
      <c r="G240" s="340" t="s">
        <v>237</v>
      </c>
    </row>
    <row r="241" ht="45" spans="1:7">
      <c r="A241" s="341" t="s">
        <v>167</v>
      </c>
      <c r="B241" s="343" t="s">
        <v>238</v>
      </c>
      <c r="C241" s="343">
        <v>6</v>
      </c>
      <c r="D241" s="343" t="s">
        <v>169</v>
      </c>
      <c r="E241" s="376">
        <v>17.85</v>
      </c>
      <c r="F241" s="339">
        <f t="shared" ref="F241:F245" si="15">E241*C241</f>
        <v>107.1</v>
      </c>
      <c r="G241" s="342"/>
    </row>
    <row r="242" spans="1:7">
      <c r="A242" s="341" t="s">
        <v>170</v>
      </c>
      <c r="B242" s="343" t="s">
        <v>171</v>
      </c>
      <c r="C242" s="343">
        <v>10</v>
      </c>
      <c r="D242" s="343" t="s">
        <v>172</v>
      </c>
      <c r="E242" s="376">
        <v>10.07</v>
      </c>
      <c r="F242" s="339">
        <f t="shared" si="15"/>
        <v>100.7</v>
      </c>
      <c r="G242" s="342"/>
    </row>
    <row r="243" ht="30" spans="1:7">
      <c r="A243" s="341" t="s">
        <v>173</v>
      </c>
      <c r="B243" s="343" t="s">
        <v>174</v>
      </c>
      <c r="C243" s="343">
        <v>2</v>
      </c>
      <c r="D243" s="343" t="s">
        <v>169</v>
      </c>
      <c r="E243" s="376">
        <v>19.56</v>
      </c>
      <c r="F243" s="339">
        <f t="shared" si="15"/>
        <v>39.12</v>
      </c>
      <c r="G243" s="342"/>
    </row>
    <row r="244" ht="45" spans="1:7">
      <c r="A244" s="341" t="s">
        <v>175</v>
      </c>
      <c r="B244" s="343" t="s">
        <v>239</v>
      </c>
      <c r="C244" s="343">
        <v>4</v>
      </c>
      <c r="D244" s="343" t="s">
        <v>169</v>
      </c>
      <c r="E244" s="376">
        <v>42.33</v>
      </c>
      <c r="F244" s="339">
        <f t="shared" si="15"/>
        <v>169.32</v>
      </c>
      <c r="G244" s="342"/>
    </row>
    <row r="245" spans="1:7">
      <c r="A245" s="341" t="s">
        <v>240</v>
      </c>
      <c r="B245" s="343" t="s">
        <v>176</v>
      </c>
      <c r="C245" s="343">
        <v>1</v>
      </c>
      <c r="D245" s="343" t="s">
        <v>169</v>
      </c>
      <c r="E245" s="376">
        <v>3.17</v>
      </c>
      <c r="F245" s="339">
        <f t="shared" si="15"/>
        <v>3.17</v>
      </c>
      <c r="G245" s="342"/>
    </row>
    <row r="246" spans="1:7">
      <c r="A246" s="345" t="s">
        <v>177</v>
      </c>
      <c r="B246" s="346"/>
      <c r="C246" s="346"/>
      <c r="D246" s="346"/>
      <c r="E246" s="346"/>
      <c r="F246" s="347">
        <f>SUM(F240:F245)</f>
        <v>671.41</v>
      </c>
      <c r="G246" s="348"/>
    </row>
    <row r="247" spans="1:7">
      <c r="A247" s="345" t="s">
        <v>178</v>
      </c>
      <c r="B247" s="346"/>
      <c r="C247" s="346"/>
      <c r="D247" s="346"/>
      <c r="E247" s="346"/>
      <c r="F247" s="349">
        <f>F246/12</f>
        <v>55.9508333333333</v>
      </c>
      <c r="G247" s="350"/>
    </row>
    <row r="248" spans="1:7">
      <c r="A248" s="351" t="s">
        <v>266</v>
      </c>
      <c r="B248" s="352"/>
      <c r="C248" s="352"/>
      <c r="D248" s="352"/>
      <c r="E248" s="352"/>
      <c r="F248" s="352"/>
      <c r="G248" s="353"/>
    </row>
    <row r="249" ht="60" spans="1:7">
      <c r="A249" s="329" t="s">
        <v>180</v>
      </c>
      <c r="B249" s="330" t="s">
        <v>181</v>
      </c>
      <c r="C249" s="330" t="s">
        <v>182</v>
      </c>
      <c r="D249" s="330" t="s">
        <v>183</v>
      </c>
      <c r="E249" s="330" t="s">
        <v>184</v>
      </c>
      <c r="F249" s="330" t="s">
        <v>185</v>
      </c>
      <c r="G249" s="354" t="s">
        <v>186</v>
      </c>
    </row>
    <row r="250" ht="75" spans="1:7">
      <c r="A250" s="368" t="s">
        <v>163</v>
      </c>
      <c r="B250" s="369" t="s">
        <v>244</v>
      </c>
      <c r="C250" s="370">
        <v>1</v>
      </c>
      <c r="D250" s="370" t="s">
        <v>189</v>
      </c>
      <c r="E250" s="370">
        <v>2</v>
      </c>
      <c r="F250" s="377">
        <v>33.3</v>
      </c>
      <c r="G250" s="357">
        <f t="shared" ref="G250:G256" si="16">F250*E250</f>
        <v>66.6</v>
      </c>
    </row>
    <row r="251" spans="1:7">
      <c r="A251" s="368" t="s">
        <v>167</v>
      </c>
      <c r="B251" s="369" t="s">
        <v>245</v>
      </c>
      <c r="C251" s="370">
        <v>1</v>
      </c>
      <c r="D251" s="370" t="s">
        <v>192</v>
      </c>
      <c r="E251" s="370">
        <v>1</v>
      </c>
      <c r="F251" s="377">
        <v>17.47</v>
      </c>
      <c r="G251" s="357">
        <f t="shared" si="16"/>
        <v>17.47</v>
      </c>
    </row>
    <row r="252" spans="1:7">
      <c r="A252" s="368" t="s">
        <v>170</v>
      </c>
      <c r="B252" s="369" t="s">
        <v>194</v>
      </c>
      <c r="C252" s="370">
        <v>1</v>
      </c>
      <c r="D252" s="370" t="s">
        <v>246</v>
      </c>
      <c r="E252" s="370">
        <v>6</v>
      </c>
      <c r="F252" s="377">
        <v>2.95</v>
      </c>
      <c r="G252" s="357">
        <f t="shared" si="16"/>
        <v>17.7</v>
      </c>
    </row>
    <row r="253" spans="1:7">
      <c r="A253" s="368" t="s">
        <v>173</v>
      </c>
      <c r="B253" s="369" t="s">
        <v>247</v>
      </c>
      <c r="C253" s="370">
        <v>1</v>
      </c>
      <c r="D253" s="370" t="s">
        <v>195</v>
      </c>
      <c r="E253" s="370">
        <v>4</v>
      </c>
      <c r="F253" s="377">
        <v>1.38</v>
      </c>
      <c r="G253" s="357">
        <f t="shared" si="16"/>
        <v>5.52</v>
      </c>
    </row>
    <row r="254" spans="1:7">
      <c r="A254" s="368" t="s">
        <v>175</v>
      </c>
      <c r="B254" s="369" t="s">
        <v>248</v>
      </c>
      <c r="C254" s="370">
        <v>1</v>
      </c>
      <c r="D254" s="370" t="s">
        <v>189</v>
      </c>
      <c r="E254" s="370">
        <v>2</v>
      </c>
      <c r="F254" s="377">
        <v>10.49</v>
      </c>
      <c r="G254" s="357">
        <f t="shared" si="16"/>
        <v>20.98</v>
      </c>
    </row>
    <row r="255" spans="1:7">
      <c r="A255" s="368"/>
      <c r="B255" s="372" t="s">
        <v>200</v>
      </c>
      <c r="C255" s="370">
        <v>1</v>
      </c>
      <c r="D255" s="370" t="s">
        <v>201</v>
      </c>
      <c r="E255" s="370">
        <v>2</v>
      </c>
      <c r="F255" s="377">
        <v>7.35</v>
      </c>
      <c r="G255" s="357">
        <f t="shared" si="16"/>
        <v>14.7</v>
      </c>
    </row>
    <row r="256" spans="1:7">
      <c r="A256" s="368" t="s">
        <v>240</v>
      </c>
      <c r="B256" s="369" t="s">
        <v>202</v>
      </c>
      <c r="C256" s="370">
        <v>1</v>
      </c>
      <c r="D256" s="370" t="s">
        <v>195</v>
      </c>
      <c r="E256" s="370">
        <v>4</v>
      </c>
      <c r="F256" s="377">
        <v>1.73</v>
      </c>
      <c r="G256" s="357">
        <f t="shared" si="16"/>
        <v>6.92</v>
      </c>
    </row>
    <row r="257" ht="30" spans="1:7">
      <c r="A257" s="341" t="s">
        <v>205</v>
      </c>
      <c r="B257" s="343" t="s">
        <v>206</v>
      </c>
      <c r="C257" s="355">
        <v>3</v>
      </c>
      <c r="D257" s="355" t="s">
        <v>207</v>
      </c>
      <c r="E257" s="355">
        <v>5</v>
      </c>
      <c r="F257" s="344">
        <v>42.23</v>
      </c>
      <c r="G257" s="357">
        <f t="shared" ref="G257:G269" si="17">F257*E257</f>
        <v>211.15</v>
      </c>
    </row>
    <row r="258" spans="1:7">
      <c r="A258" s="341" t="s">
        <v>208</v>
      </c>
      <c r="B258" s="343" t="s">
        <v>209</v>
      </c>
      <c r="C258" s="355">
        <v>1</v>
      </c>
      <c r="D258" s="355" t="s">
        <v>189</v>
      </c>
      <c r="E258" s="355">
        <v>2</v>
      </c>
      <c r="F258" s="344">
        <v>33.07</v>
      </c>
      <c r="G258" s="357">
        <f t="shared" si="17"/>
        <v>66.14</v>
      </c>
    </row>
    <row r="259" ht="30" spans="1:7">
      <c r="A259" s="341" t="s">
        <v>210</v>
      </c>
      <c r="B259" s="343" t="s">
        <v>211</v>
      </c>
      <c r="C259" s="355">
        <v>3</v>
      </c>
      <c r="D259" s="355" t="s">
        <v>212</v>
      </c>
      <c r="E259" s="355">
        <v>2</v>
      </c>
      <c r="F259" s="344">
        <v>140.67</v>
      </c>
      <c r="G259" s="357">
        <f t="shared" si="17"/>
        <v>281.34</v>
      </c>
    </row>
    <row r="260" ht="30" spans="1:7">
      <c r="A260" s="358">
        <v>44684</v>
      </c>
      <c r="B260" s="343" t="s">
        <v>214</v>
      </c>
      <c r="C260" s="355">
        <v>3</v>
      </c>
      <c r="D260" s="355" t="s">
        <v>189</v>
      </c>
      <c r="E260" s="355">
        <v>6</v>
      </c>
      <c r="F260" s="344">
        <v>15.85</v>
      </c>
      <c r="G260" s="357">
        <f t="shared" si="17"/>
        <v>95.1</v>
      </c>
    </row>
    <row r="261" spans="1:7">
      <c r="A261" s="358">
        <v>44715</v>
      </c>
      <c r="B261" s="343" t="s">
        <v>216</v>
      </c>
      <c r="C261" s="355">
        <v>3</v>
      </c>
      <c r="D261" s="355" t="s">
        <v>189</v>
      </c>
      <c r="E261" s="355">
        <v>6</v>
      </c>
      <c r="F261" s="344">
        <v>7.55</v>
      </c>
      <c r="G261" s="357">
        <f t="shared" si="17"/>
        <v>45.3</v>
      </c>
    </row>
    <row r="262" spans="1:7">
      <c r="A262" s="358">
        <v>44745</v>
      </c>
      <c r="B262" s="343" t="s">
        <v>218</v>
      </c>
      <c r="C262" s="355">
        <v>1</v>
      </c>
      <c r="D262" s="355" t="s">
        <v>189</v>
      </c>
      <c r="E262" s="355">
        <v>2</v>
      </c>
      <c r="F262" s="344">
        <v>15.08</v>
      </c>
      <c r="G262" s="357">
        <f t="shared" si="17"/>
        <v>30.16</v>
      </c>
    </row>
    <row r="263" spans="1:7">
      <c r="A263" s="358">
        <v>44776</v>
      </c>
      <c r="B263" s="343" t="s">
        <v>220</v>
      </c>
      <c r="C263" s="355">
        <v>3</v>
      </c>
      <c r="D263" s="355" t="s">
        <v>195</v>
      </c>
      <c r="E263" s="355">
        <v>12</v>
      </c>
      <c r="F263" s="344">
        <v>15.1</v>
      </c>
      <c r="G263" s="357">
        <f t="shared" si="17"/>
        <v>181.2</v>
      </c>
    </row>
    <row r="264" spans="1:7">
      <c r="A264" s="358">
        <v>44807</v>
      </c>
      <c r="B264" s="343" t="s">
        <v>222</v>
      </c>
      <c r="C264" s="355">
        <v>1</v>
      </c>
      <c r="D264" s="355" t="s">
        <v>189</v>
      </c>
      <c r="E264" s="355">
        <v>2</v>
      </c>
      <c r="F264" s="344">
        <v>16.63</v>
      </c>
      <c r="G264" s="357">
        <f t="shared" si="17"/>
        <v>33.26</v>
      </c>
    </row>
    <row r="265" spans="1:7">
      <c r="A265" s="358">
        <v>44837</v>
      </c>
      <c r="B265" s="343" t="s">
        <v>224</v>
      </c>
      <c r="C265" s="355">
        <v>1</v>
      </c>
      <c r="D265" s="355" t="s">
        <v>192</v>
      </c>
      <c r="E265" s="355">
        <v>1</v>
      </c>
      <c r="F265" s="344">
        <v>120.67</v>
      </c>
      <c r="G265" s="357">
        <f t="shared" si="17"/>
        <v>120.67</v>
      </c>
    </row>
    <row r="266" ht="30" spans="1:7">
      <c r="A266" s="358">
        <v>44868</v>
      </c>
      <c r="B266" s="343" t="s">
        <v>226</v>
      </c>
      <c r="C266" s="355">
        <v>1</v>
      </c>
      <c r="D266" s="355" t="s">
        <v>189</v>
      </c>
      <c r="E266" s="355">
        <v>2</v>
      </c>
      <c r="F266" s="344">
        <v>39.57</v>
      </c>
      <c r="G266" s="357">
        <f t="shared" si="17"/>
        <v>79.14</v>
      </c>
    </row>
    <row r="267" ht="30" spans="1:7">
      <c r="A267" s="358">
        <v>44898</v>
      </c>
      <c r="B267" s="343" t="s">
        <v>230</v>
      </c>
      <c r="C267" s="355">
        <v>3</v>
      </c>
      <c r="D267" s="355" t="s">
        <v>212</v>
      </c>
      <c r="E267" s="355">
        <v>2</v>
      </c>
      <c r="F267" s="344">
        <v>241.33</v>
      </c>
      <c r="G267" s="357">
        <f t="shared" si="17"/>
        <v>482.66</v>
      </c>
    </row>
    <row r="268" spans="1:7">
      <c r="A268" s="358" t="s">
        <v>231</v>
      </c>
      <c r="B268" s="9" t="s">
        <v>228</v>
      </c>
      <c r="C268" s="9">
        <v>1</v>
      </c>
      <c r="D268" s="9" t="s">
        <v>203</v>
      </c>
      <c r="E268" s="9">
        <v>1</v>
      </c>
      <c r="F268" s="360">
        <v>15.07</v>
      </c>
      <c r="G268" s="360">
        <f t="shared" si="17"/>
        <v>15.07</v>
      </c>
    </row>
    <row r="269" spans="1:7">
      <c r="A269" s="341" t="s">
        <v>263</v>
      </c>
      <c r="B269" s="343" t="s">
        <v>232</v>
      </c>
      <c r="C269" s="355">
        <v>3</v>
      </c>
      <c r="D269" s="355" t="s">
        <v>212</v>
      </c>
      <c r="E269" s="355">
        <v>2</v>
      </c>
      <c r="F269" s="344">
        <v>173.33</v>
      </c>
      <c r="G269" s="357">
        <f t="shared" si="17"/>
        <v>346.66</v>
      </c>
    </row>
    <row r="270" spans="1:7">
      <c r="A270" s="361" t="s">
        <v>177</v>
      </c>
      <c r="B270" s="334"/>
      <c r="C270" s="334"/>
      <c r="D270" s="334"/>
      <c r="E270" s="334"/>
      <c r="F270" s="334"/>
      <c r="G270" s="362">
        <f>SUM(G250:G269)</f>
        <v>2137.74</v>
      </c>
    </row>
    <row r="271" spans="1:7">
      <c r="A271" s="361" t="s">
        <v>233</v>
      </c>
      <c r="B271" s="334"/>
      <c r="C271" s="334"/>
      <c r="D271" s="334"/>
      <c r="E271" s="334"/>
      <c r="F271" s="334"/>
      <c r="G271" s="362">
        <f>G270/12</f>
        <v>178.145</v>
      </c>
    </row>
    <row r="272" ht="15.75" customHeight="1" spans="1:7">
      <c r="A272" s="363" t="s">
        <v>264</v>
      </c>
      <c r="B272" s="364"/>
      <c r="C272" s="364"/>
      <c r="D272" s="364"/>
      <c r="E272" s="364"/>
      <c r="F272" s="364"/>
      <c r="G272" s="365">
        <f>G271+F247</f>
        <v>234.095833333333</v>
      </c>
    </row>
    <row r="273" ht="15.75"/>
    <row r="274" spans="1:7">
      <c r="A274" s="326" t="s">
        <v>267</v>
      </c>
      <c r="B274" s="327"/>
      <c r="C274" s="327"/>
      <c r="D274" s="327"/>
      <c r="E274" s="327"/>
      <c r="F274" s="327"/>
      <c r="G274" s="328"/>
    </row>
    <row r="275" spans="1:7">
      <c r="A275" s="329" t="s">
        <v>5</v>
      </c>
      <c r="B275" s="330" t="s">
        <v>156</v>
      </c>
      <c r="C275" s="330" t="s">
        <v>157</v>
      </c>
      <c r="D275" s="330" t="s">
        <v>158</v>
      </c>
      <c r="E275" s="330" t="s">
        <v>159</v>
      </c>
      <c r="F275" s="331"/>
      <c r="G275" s="332" t="s">
        <v>160</v>
      </c>
    </row>
    <row r="276" ht="45" spans="1:7">
      <c r="A276" s="333"/>
      <c r="B276" s="331"/>
      <c r="C276" s="331"/>
      <c r="D276" s="331"/>
      <c r="E276" s="334" t="s">
        <v>161</v>
      </c>
      <c r="F276" s="330" t="s">
        <v>162</v>
      </c>
      <c r="G276" s="335"/>
    </row>
    <row r="277" spans="1:7">
      <c r="A277" s="329" t="s">
        <v>255</v>
      </c>
      <c r="B277" s="330"/>
      <c r="C277" s="331"/>
      <c r="D277" s="331"/>
      <c r="E277" s="331"/>
      <c r="F277" s="331"/>
      <c r="G277" s="335"/>
    </row>
    <row r="278" ht="30" customHeight="1" spans="1:7">
      <c r="A278" s="336" t="s">
        <v>163</v>
      </c>
      <c r="B278" s="337" t="s">
        <v>168</v>
      </c>
      <c r="C278" s="337">
        <v>6</v>
      </c>
      <c r="D278" s="337" t="s">
        <v>169</v>
      </c>
      <c r="E278" s="338">
        <v>37.85</v>
      </c>
      <c r="F278" s="339">
        <f>E278*C278</f>
        <v>227.1</v>
      </c>
      <c r="G278" s="378" t="s">
        <v>268</v>
      </c>
    </row>
    <row r="279" ht="45" spans="1:7">
      <c r="A279" s="341" t="s">
        <v>167</v>
      </c>
      <c r="B279" s="337" t="s">
        <v>164</v>
      </c>
      <c r="C279" s="337">
        <v>6</v>
      </c>
      <c r="D279" s="337" t="s">
        <v>165</v>
      </c>
      <c r="E279" s="338">
        <v>48.96</v>
      </c>
      <c r="F279" s="339">
        <f t="shared" ref="F279:F282" si="18">E279*C279</f>
        <v>293.76</v>
      </c>
      <c r="G279" s="379"/>
    </row>
    <row r="280" ht="30" spans="1:7">
      <c r="A280" s="341" t="s">
        <v>170</v>
      </c>
      <c r="B280" s="337" t="s">
        <v>269</v>
      </c>
      <c r="C280" s="337">
        <v>2</v>
      </c>
      <c r="D280" s="337" t="s">
        <v>172</v>
      </c>
      <c r="E280" s="338">
        <v>177.21</v>
      </c>
      <c r="F280" s="339">
        <f t="shared" si="18"/>
        <v>354.42</v>
      </c>
      <c r="G280" s="379"/>
    </row>
    <row r="281" spans="1:7">
      <c r="A281" s="341" t="s">
        <v>173</v>
      </c>
      <c r="B281" s="337" t="s">
        <v>171</v>
      </c>
      <c r="C281" s="337">
        <v>10</v>
      </c>
      <c r="D281" s="337" t="s">
        <v>172</v>
      </c>
      <c r="E281" s="338">
        <v>10.07</v>
      </c>
      <c r="F281" s="339">
        <f t="shared" si="18"/>
        <v>100.7</v>
      </c>
      <c r="G281" s="379"/>
    </row>
    <row r="282" spans="1:7">
      <c r="A282" s="341" t="s">
        <v>175</v>
      </c>
      <c r="B282" s="337" t="s">
        <v>176</v>
      </c>
      <c r="C282" s="337">
        <v>1</v>
      </c>
      <c r="D282" s="337" t="s">
        <v>169</v>
      </c>
      <c r="E282" s="338">
        <v>3.17</v>
      </c>
      <c r="F282" s="339">
        <f t="shared" si="18"/>
        <v>3.17</v>
      </c>
      <c r="G282" s="379"/>
    </row>
    <row r="283" spans="1:7">
      <c r="A283" s="345" t="s">
        <v>177</v>
      </c>
      <c r="B283" s="346"/>
      <c r="C283" s="346"/>
      <c r="D283" s="346"/>
      <c r="E283" s="346"/>
      <c r="F283" s="347">
        <f>SUM(F278:F282)</f>
        <v>979.15</v>
      </c>
      <c r="G283" s="348"/>
    </row>
    <row r="284" ht="15.75" spans="1:7">
      <c r="A284" s="380" t="s">
        <v>178</v>
      </c>
      <c r="B284" s="381"/>
      <c r="C284" s="381"/>
      <c r="D284" s="381"/>
      <c r="E284" s="381"/>
      <c r="F284" s="382">
        <f>F283/12</f>
        <v>81.5958333333333</v>
      </c>
      <c r="G284" s="383"/>
    </row>
    <row r="285" ht="15.75"/>
    <row r="286" spans="1:7">
      <c r="A286" s="326" t="s">
        <v>270</v>
      </c>
      <c r="B286" s="327"/>
      <c r="C286" s="327"/>
      <c r="D286" s="327"/>
      <c r="E286" s="327"/>
      <c r="F286" s="327"/>
      <c r="G286" s="328"/>
    </row>
    <row r="287" spans="1:7">
      <c r="A287" s="329" t="s">
        <v>5</v>
      </c>
      <c r="B287" s="330" t="s">
        <v>156</v>
      </c>
      <c r="C287" s="330" t="s">
        <v>157</v>
      </c>
      <c r="D287" s="330" t="s">
        <v>158</v>
      </c>
      <c r="E287" s="330" t="s">
        <v>159</v>
      </c>
      <c r="F287" s="331"/>
      <c r="G287" s="332" t="s">
        <v>160</v>
      </c>
    </row>
    <row r="288" ht="45" spans="1:7">
      <c r="A288" s="333"/>
      <c r="B288" s="331"/>
      <c r="C288" s="331"/>
      <c r="D288" s="331"/>
      <c r="E288" s="334" t="s">
        <v>161</v>
      </c>
      <c r="F288" s="330" t="s">
        <v>162</v>
      </c>
      <c r="G288" s="335"/>
    </row>
    <row r="289" spans="1:7">
      <c r="A289" s="329" t="s">
        <v>255</v>
      </c>
      <c r="B289" s="330"/>
      <c r="C289" s="331"/>
      <c r="D289" s="331"/>
      <c r="E289" s="331"/>
      <c r="F289" s="331"/>
      <c r="G289" s="335"/>
    </row>
    <row r="290" ht="30" spans="1:7">
      <c r="A290" s="336" t="s">
        <v>163</v>
      </c>
      <c r="B290" s="337" t="s">
        <v>168</v>
      </c>
      <c r="C290" s="337">
        <v>6</v>
      </c>
      <c r="D290" s="337" t="s">
        <v>169</v>
      </c>
      <c r="E290" s="338">
        <v>37.85</v>
      </c>
      <c r="F290" s="339">
        <f>E290*C290</f>
        <v>227.1</v>
      </c>
      <c r="G290" s="378" t="s">
        <v>268</v>
      </c>
    </row>
    <row r="291" ht="45" spans="1:7">
      <c r="A291" s="341" t="s">
        <v>167</v>
      </c>
      <c r="B291" s="337" t="s">
        <v>164</v>
      </c>
      <c r="C291" s="337">
        <v>6</v>
      </c>
      <c r="D291" s="337" t="s">
        <v>165</v>
      </c>
      <c r="E291" s="338">
        <v>48.96</v>
      </c>
      <c r="F291" s="339">
        <f t="shared" ref="F291:F294" si="19">E291*C291</f>
        <v>293.76</v>
      </c>
      <c r="G291" s="379"/>
    </row>
    <row r="292" ht="30" spans="1:7">
      <c r="A292" s="341" t="s">
        <v>170</v>
      </c>
      <c r="B292" s="337" t="s">
        <v>269</v>
      </c>
      <c r="C292" s="337">
        <v>2</v>
      </c>
      <c r="D292" s="337" t="s">
        <v>172</v>
      </c>
      <c r="E292" s="338">
        <v>177.21</v>
      </c>
      <c r="F292" s="339">
        <f t="shared" si="19"/>
        <v>354.42</v>
      </c>
      <c r="G292" s="379"/>
    </row>
    <row r="293" spans="1:7">
      <c r="A293" s="341" t="s">
        <v>173</v>
      </c>
      <c r="B293" s="337" t="s">
        <v>171</v>
      </c>
      <c r="C293" s="337">
        <v>10</v>
      </c>
      <c r="D293" s="337" t="s">
        <v>172</v>
      </c>
      <c r="E293" s="338">
        <v>10.07</v>
      </c>
      <c r="F293" s="339">
        <f t="shared" si="19"/>
        <v>100.7</v>
      </c>
      <c r="G293" s="379"/>
    </row>
    <row r="294" spans="1:7">
      <c r="A294" s="341" t="s">
        <v>175</v>
      </c>
      <c r="B294" s="337" t="s">
        <v>176</v>
      </c>
      <c r="C294" s="337">
        <v>1</v>
      </c>
      <c r="D294" s="337" t="s">
        <v>169</v>
      </c>
      <c r="E294" s="338">
        <v>3.17</v>
      </c>
      <c r="F294" s="339">
        <f t="shared" si="19"/>
        <v>3.17</v>
      </c>
      <c r="G294" s="379"/>
    </row>
    <row r="295" spans="1:7">
      <c r="A295" s="345" t="s">
        <v>177</v>
      </c>
      <c r="B295" s="346"/>
      <c r="C295" s="346"/>
      <c r="D295" s="346"/>
      <c r="E295" s="346"/>
      <c r="F295" s="347">
        <f>SUM(F290:F294)</f>
        <v>979.15</v>
      </c>
      <c r="G295" s="348"/>
    </row>
    <row r="296" ht="15.75" spans="1:7">
      <c r="A296" s="380" t="s">
        <v>178</v>
      </c>
      <c r="B296" s="381"/>
      <c r="C296" s="381"/>
      <c r="D296" s="381"/>
      <c r="E296" s="381"/>
      <c r="F296" s="382">
        <f>F295/12</f>
        <v>81.5958333333333</v>
      </c>
      <c r="G296" s="383"/>
    </row>
    <row r="297" ht="15.75"/>
    <row r="298" spans="1:7">
      <c r="A298" s="326" t="s">
        <v>271</v>
      </c>
      <c r="B298" s="327"/>
      <c r="C298" s="327"/>
      <c r="D298" s="327"/>
      <c r="E298" s="327"/>
      <c r="F298" s="327"/>
      <c r="G298" s="328"/>
    </row>
    <row r="299" spans="1:7">
      <c r="A299" s="329" t="s">
        <v>5</v>
      </c>
      <c r="B299" s="330" t="s">
        <v>156</v>
      </c>
      <c r="C299" s="330" t="s">
        <v>157</v>
      </c>
      <c r="D299" s="330" t="s">
        <v>158</v>
      </c>
      <c r="E299" s="330" t="s">
        <v>159</v>
      </c>
      <c r="F299" s="331"/>
      <c r="G299" s="332" t="s">
        <v>160</v>
      </c>
    </row>
    <row r="300" ht="45" spans="1:7">
      <c r="A300" s="333"/>
      <c r="B300" s="331"/>
      <c r="C300" s="331"/>
      <c r="D300" s="331"/>
      <c r="E300" s="334" t="s">
        <v>161</v>
      </c>
      <c r="F300" s="330" t="s">
        <v>162</v>
      </c>
      <c r="G300" s="335"/>
    </row>
    <row r="301" ht="45" spans="1:7">
      <c r="A301" s="336" t="s">
        <v>163</v>
      </c>
      <c r="B301" s="343" t="s">
        <v>236</v>
      </c>
      <c r="C301" s="343">
        <v>6</v>
      </c>
      <c r="D301" s="343" t="s">
        <v>169</v>
      </c>
      <c r="E301" s="366">
        <v>42</v>
      </c>
      <c r="F301" s="367">
        <f>E301*C301</f>
        <v>252</v>
      </c>
      <c r="G301" s="340" t="s">
        <v>237</v>
      </c>
    </row>
    <row r="302" ht="45" spans="1:7">
      <c r="A302" s="341" t="s">
        <v>167</v>
      </c>
      <c r="B302" s="343" t="s">
        <v>238</v>
      </c>
      <c r="C302" s="343">
        <v>6</v>
      </c>
      <c r="D302" s="343" t="s">
        <v>169</v>
      </c>
      <c r="E302" s="366">
        <v>17.85</v>
      </c>
      <c r="F302" s="367">
        <f t="shared" ref="F302:F306" si="20">E302*C302</f>
        <v>107.1</v>
      </c>
      <c r="G302" s="342"/>
    </row>
    <row r="303" spans="1:7">
      <c r="A303" s="341" t="s">
        <v>170</v>
      </c>
      <c r="B303" s="343" t="s">
        <v>171</v>
      </c>
      <c r="C303" s="343">
        <v>10</v>
      </c>
      <c r="D303" s="343" t="s">
        <v>172</v>
      </c>
      <c r="E303" s="366">
        <v>10.07</v>
      </c>
      <c r="F303" s="367">
        <f t="shared" si="20"/>
        <v>100.7</v>
      </c>
      <c r="G303" s="342"/>
    </row>
    <row r="304" ht="30" spans="1:7">
      <c r="A304" s="341" t="s">
        <v>173</v>
      </c>
      <c r="B304" s="343" t="s">
        <v>174</v>
      </c>
      <c r="C304" s="343">
        <v>2</v>
      </c>
      <c r="D304" s="343" t="s">
        <v>169</v>
      </c>
      <c r="E304" s="366">
        <v>19.56</v>
      </c>
      <c r="F304" s="367">
        <f t="shared" si="20"/>
        <v>39.12</v>
      </c>
      <c r="G304" s="342"/>
    </row>
    <row r="305" ht="45" spans="1:7">
      <c r="A305" s="341" t="s">
        <v>175</v>
      </c>
      <c r="B305" s="343" t="s">
        <v>239</v>
      </c>
      <c r="C305" s="343">
        <v>4</v>
      </c>
      <c r="D305" s="343" t="s">
        <v>169</v>
      </c>
      <c r="E305" s="366">
        <v>42.33</v>
      </c>
      <c r="F305" s="367">
        <f t="shared" si="20"/>
        <v>169.32</v>
      </c>
      <c r="G305" s="342"/>
    </row>
    <row r="306" spans="1:7">
      <c r="A306" s="341" t="s">
        <v>240</v>
      </c>
      <c r="B306" s="343" t="s">
        <v>176</v>
      </c>
      <c r="C306" s="343">
        <v>1</v>
      </c>
      <c r="D306" s="343" t="s">
        <v>169</v>
      </c>
      <c r="E306" s="366">
        <v>3.17</v>
      </c>
      <c r="F306" s="367">
        <f t="shared" si="20"/>
        <v>3.17</v>
      </c>
      <c r="G306" s="342"/>
    </row>
    <row r="307" spans="1:7">
      <c r="A307" s="345" t="s">
        <v>177</v>
      </c>
      <c r="B307" s="346"/>
      <c r="C307" s="346"/>
      <c r="D307" s="346"/>
      <c r="E307" s="346"/>
      <c r="F307" s="347">
        <f>SUM(F301:F306)</f>
        <v>671.41</v>
      </c>
      <c r="G307" s="348"/>
    </row>
    <row r="308" ht="15.75" spans="1:7">
      <c r="A308" s="345" t="s">
        <v>178</v>
      </c>
      <c r="B308" s="346"/>
      <c r="C308" s="346"/>
      <c r="D308" s="346"/>
      <c r="E308" s="346"/>
      <c r="F308" s="349">
        <f>F307/12</f>
        <v>55.9508333333333</v>
      </c>
      <c r="G308" s="350"/>
    </row>
    <row r="309" spans="1:7">
      <c r="A309" s="326" t="s">
        <v>272</v>
      </c>
      <c r="B309" s="327"/>
      <c r="C309" s="327"/>
      <c r="D309" s="327"/>
      <c r="E309" s="327"/>
      <c r="F309" s="327"/>
      <c r="G309" s="328"/>
    </row>
    <row r="310" spans="1:7">
      <c r="A310" s="329" t="s">
        <v>5</v>
      </c>
      <c r="B310" s="330" t="s">
        <v>156</v>
      </c>
      <c r="C310" s="330" t="s">
        <v>157</v>
      </c>
      <c r="D310" s="330" t="s">
        <v>158</v>
      </c>
      <c r="E310" s="330" t="s">
        <v>159</v>
      </c>
      <c r="F310" s="331"/>
      <c r="G310" s="332" t="s">
        <v>160</v>
      </c>
    </row>
    <row r="311" ht="45" spans="1:7">
      <c r="A311" s="333"/>
      <c r="B311" s="331"/>
      <c r="C311" s="331"/>
      <c r="D311" s="331"/>
      <c r="E311" s="334" t="s">
        <v>161</v>
      </c>
      <c r="F311" s="330" t="s">
        <v>162</v>
      </c>
      <c r="G311" s="335"/>
    </row>
    <row r="312" ht="75" spans="1:7">
      <c r="A312" s="384" t="s">
        <v>163</v>
      </c>
      <c r="B312" s="369" t="s">
        <v>244</v>
      </c>
      <c r="C312" s="370">
        <v>1</v>
      </c>
      <c r="D312" s="370" t="s">
        <v>189</v>
      </c>
      <c r="E312" s="370">
        <v>2</v>
      </c>
      <c r="F312" s="377">
        <v>33.3</v>
      </c>
      <c r="G312" s="357">
        <f t="shared" ref="G312:G323" si="21">F312*E312</f>
        <v>66.6</v>
      </c>
    </row>
    <row r="313" spans="1:7">
      <c r="A313" s="368" t="s">
        <v>167</v>
      </c>
      <c r="B313" s="369" t="s">
        <v>245</v>
      </c>
      <c r="C313" s="370">
        <v>1</v>
      </c>
      <c r="D313" s="370" t="s">
        <v>192</v>
      </c>
      <c r="E313" s="370">
        <v>1</v>
      </c>
      <c r="F313" s="377">
        <v>17.47</v>
      </c>
      <c r="G313" s="357">
        <f t="shared" si="21"/>
        <v>17.47</v>
      </c>
    </row>
    <row r="314" ht="30" spans="1:7">
      <c r="A314" s="341" t="s">
        <v>170</v>
      </c>
      <c r="B314" s="343" t="s">
        <v>211</v>
      </c>
      <c r="C314" s="355">
        <v>3</v>
      </c>
      <c r="D314" s="355" t="s">
        <v>212</v>
      </c>
      <c r="E314" s="355">
        <v>2</v>
      </c>
      <c r="F314" s="344">
        <v>140.67</v>
      </c>
      <c r="G314" s="357">
        <f t="shared" si="21"/>
        <v>281.34</v>
      </c>
    </row>
    <row r="315" spans="1:7">
      <c r="A315" s="368" t="s">
        <v>173</v>
      </c>
      <c r="B315" s="369" t="s">
        <v>194</v>
      </c>
      <c r="C315" s="370">
        <v>1</v>
      </c>
      <c r="D315" s="370" t="s">
        <v>246</v>
      </c>
      <c r="E315" s="370">
        <v>6</v>
      </c>
      <c r="F315" s="377">
        <v>2.95</v>
      </c>
      <c r="G315" s="357">
        <f t="shared" si="21"/>
        <v>17.7</v>
      </c>
    </row>
    <row r="316" spans="1:7">
      <c r="A316" s="358" t="s">
        <v>175</v>
      </c>
      <c r="B316" s="343" t="s">
        <v>216</v>
      </c>
      <c r="C316" s="355">
        <v>3</v>
      </c>
      <c r="D316" s="355" t="s">
        <v>189</v>
      </c>
      <c r="E316" s="355">
        <v>6</v>
      </c>
      <c r="F316" s="344">
        <v>7.55</v>
      </c>
      <c r="G316" s="357">
        <f t="shared" si="21"/>
        <v>45.3</v>
      </c>
    </row>
    <row r="317" spans="1:7">
      <c r="A317" s="358" t="s">
        <v>240</v>
      </c>
      <c r="B317" s="343" t="s">
        <v>220</v>
      </c>
      <c r="C317" s="355">
        <v>3</v>
      </c>
      <c r="D317" s="355" t="s">
        <v>195</v>
      </c>
      <c r="E317" s="355">
        <v>12</v>
      </c>
      <c r="F317" s="344">
        <v>15.1</v>
      </c>
      <c r="G317" s="357">
        <f t="shared" si="21"/>
        <v>181.2</v>
      </c>
    </row>
    <row r="318" spans="1:7">
      <c r="A318" s="368" t="s">
        <v>273</v>
      </c>
      <c r="B318" s="369" t="s">
        <v>247</v>
      </c>
      <c r="C318" s="370">
        <v>1</v>
      </c>
      <c r="D318" s="370" t="s">
        <v>195</v>
      </c>
      <c r="E318" s="370">
        <v>4</v>
      </c>
      <c r="F318" s="377">
        <v>1.38</v>
      </c>
      <c r="G318" s="357">
        <f t="shared" si="21"/>
        <v>5.52</v>
      </c>
    </row>
    <row r="319" spans="1:7">
      <c r="A319" s="368" t="s">
        <v>274</v>
      </c>
      <c r="B319" s="369" t="s">
        <v>248</v>
      </c>
      <c r="C319" s="370">
        <v>1</v>
      </c>
      <c r="D319" s="370" t="s">
        <v>189</v>
      </c>
      <c r="E319" s="370">
        <v>2</v>
      </c>
      <c r="F319" s="377">
        <v>10.49</v>
      </c>
      <c r="G319" s="357">
        <f t="shared" si="21"/>
        <v>20.98</v>
      </c>
    </row>
    <row r="320" ht="30" spans="1:7">
      <c r="A320" s="358" t="s">
        <v>275</v>
      </c>
      <c r="B320" s="343" t="s">
        <v>230</v>
      </c>
      <c r="C320" s="355">
        <v>3</v>
      </c>
      <c r="D320" s="355" t="s">
        <v>212</v>
      </c>
      <c r="E320" s="355">
        <v>2</v>
      </c>
      <c r="F320" s="344">
        <v>241.33</v>
      </c>
      <c r="G320" s="357">
        <f t="shared" si="21"/>
        <v>482.66</v>
      </c>
    </row>
    <row r="321" ht="30" spans="1:7">
      <c r="A321" s="341" t="s">
        <v>276</v>
      </c>
      <c r="B321" s="343" t="s">
        <v>206</v>
      </c>
      <c r="C321" s="355">
        <v>3</v>
      </c>
      <c r="D321" s="355" t="s">
        <v>207</v>
      </c>
      <c r="E321" s="355">
        <v>5</v>
      </c>
      <c r="F321" s="344">
        <v>42.23</v>
      </c>
      <c r="G321" s="357">
        <f t="shared" si="21"/>
        <v>211.15</v>
      </c>
    </row>
    <row r="322" spans="1:7">
      <c r="A322" s="341" t="s">
        <v>277</v>
      </c>
      <c r="B322" s="9" t="s">
        <v>228</v>
      </c>
      <c r="C322" s="9">
        <v>1</v>
      </c>
      <c r="D322" s="9" t="s">
        <v>203</v>
      </c>
      <c r="E322" s="9">
        <v>1</v>
      </c>
      <c r="F322" s="360">
        <v>15.07</v>
      </c>
      <c r="G322" s="360">
        <f t="shared" si="21"/>
        <v>15.07</v>
      </c>
    </row>
    <row r="323" ht="30" spans="1:7">
      <c r="A323" s="341" t="s">
        <v>278</v>
      </c>
      <c r="B323" s="375" t="s">
        <v>251</v>
      </c>
      <c r="C323" s="369">
        <v>1</v>
      </c>
      <c r="D323" s="370" t="s">
        <v>192</v>
      </c>
      <c r="E323" s="370">
        <v>1</v>
      </c>
      <c r="F323" s="377">
        <v>1.38</v>
      </c>
      <c r="G323" s="357">
        <f t="shared" si="21"/>
        <v>1.38</v>
      </c>
    </row>
    <row r="324" spans="1:7">
      <c r="A324" s="361" t="s">
        <v>177</v>
      </c>
      <c r="B324" s="334"/>
      <c r="C324" s="334"/>
      <c r="D324" s="334"/>
      <c r="E324" s="334"/>
      <c r="F324" s="334"/>
      <c r="G324" s="362">
        <f>SUM(G312:G323)</f>
        <v>1346.37</v>
      </c>
    </row>
    <row r="325" spans="1:7">
      <c r="A325" s="361" t="s">
        <v>233</v>
      </c>
      <c r="B325" s="334"/>
      <c r="C325" s="334"/>
      <c r="D325" s="334"/>
      <c r="E325" s="334"/>
      <c r="F325" s="334"/>
      <c r="G325" s="362">
        <f>G324/12</f>
        <v>112.1975</v>
      </c>
    </row>
    <row r="326" ht="15.75" customHeight="1" spans="1:7">
      <c r="A326" s="363" t="s">
        <v>264</v>
      </c>
      <c r="B326" s="364"/>
      <c r="C326" s="364"/>
      <c r="D326" s="364"/>
      <c r="E326" s="364"/>
      <c r="F326" s="364"/>
      <c r="G326" s="365">
        <f>F308+G325</f>
        <v>168.148333333333</v>
      </c>
    </row>
    <row r="327" spans="1:7">
      <c r="A327" s="385"/>
      <c r="B327" s="386"/>
      <c r="C327" s="387"/>
      <c r="D327" s="385"/>
      <c r="E327" s="385"/>
      <c r="F327" s="388"/>
      <c r="G327" s="389"/>
    </row>
  </sheetData>
  <mergeCells count="165">
    <mergeCell ref="A1:G1"/>
    <mergeCell ref="A2:G2"/>
    <mergeCell ref="A4:G4"/>
    <mergeCell ref="A5:G5"/>
    <mergeCell ref="A6:G6"/>
    <mergeCell ref="E7:F7"/>
    <mergeCell ref="A14:E14"/>
    <mergeCell ref="F14:G14"/>
    <mergeCell ref="A15:E15"/>
    <mergeCell ref="F15:G15"/>
    <mergeCell ref="A16:G16"/>
    <mergeCell ref="A40:F40"/>
    <mergeCell ref="A41:F41"/>
    <mergeCell ref="A42:F42"/>
    <mergeCell ref="A44:G44"/>
    <mergeCell ref="E45:F45"/>
    <mergeCell ref="A53:E53"/>
    <mergeCell ref="F53:G53"/>
    <mergeCell ref="A54:E54"/>
    <mergeCell ref="F54:G54"/>
    <mergeCell ref="A55:G55"/>
    <mergeCell ref="A79:F79"/>
    <mergeCell ref="A80:F80"/>
    <mergeCell ref="A81:F81"/>
    <mergeCell ref="A83:G83"/>
    <mergeCell ref="E84:F84"/>
    <mergeCell ref="A92:E92"/>
    <mergeCell ref="F92:G92"/>
    <mergeCell ref="A93:E93"/>
    <mergeCell ref="F93:G93"/>
    <mergeCell ref="A94:G94"/>
    <mergeCell ref="A119:F119"/>
    <mergeCell ref="A120:F120"/>
    <mergeCell ref="A121:F121"/>
    <mergeCell ref="A123:G123"/>
    <mergeCell ref="E124:F124"/>
    <mergeCell ref="A132:E132"/>
    <mergeCell ref="F132:G132"/>
    <mergeCell ref="A133:E133"/>
    <mergeCell ref="F133:G133"/>
    <mergeCell ref="A134:G134"/>
    <mergeCell ref="A157:F157"/>
    <mergeCell ref="A158:F158"/>
    <mergeCell ref="A159:F159"/>
    <mergeCell ref="A161:G161"/>
    <mergeCell ref="E162:F162"/>
    <mergeCell ref="B164:G164"/>
    <mergeCell ref="A171:E171"/>
    <mergeCell ref="F171:G171"/>
    <mergeCell ref="A172:E172"/>
    <mergeCell ref="F172:G172"/>
    <mergeCell ref="A173:G173"/>
    <mergeCell ref="A196:F196"/>
    <mergeCell ref="A197:F197"/>
    <mergeCell ref="A198:F198"/>
    <mergeCell ref="A200:G200"/>
    <mergeCell ref="E201:F201"/>
    <mergeCell ref="A209:E209"/>
    <mergeCell ref="F209:G209"/>
    <mergeCell ref="A210:E210"/>
    <mergeCell ref="F210:G210"/>
    <mergeCell ref="A211:G211"/>
    <mergeCell ref="A233:F233"/>
    <mergeCell ref="A234:F234"/>
    <mergeCell ref="A235:F235"/>
    <mergeCell ref="A237:G237"/>
    <mergeCell ref="E238:F238"/>
    <mergeCell ref="A246:E246"/>
    <mergeCell ref="F246:G246"/>
    <mergeCell ref="A247:E247"/>
    <mergeCell ref="F247:G247"/>
    <mergeCell ref="A248:G248"/>
    <mergeCell ref="A270:F270"/>
    <mergeCell ref="A271:F271"/>
    <mergeCell ref="A272:F272"/>
    <mergeCell ref="A274:G274"/>
    <mergeCell ref="E275:F275"/>
    <mergeCell ref="B277:G277"/>
    <mergeCell ref="A283:E283"/>
    <mergeCell ref="F283:G283"/>
    <mergeCell ref="A284:E284"/>
    <mergeCell ref="F284:G284"/>
    <mergeCell ref="A286:G286"/>
    <mergeCell ref="E287:F287"/>
    <mergeCell ref="B289:G289"/>
    <mergeCell ref="A295:E295"/>
    <mergeCell ref="F295:G295"/>
    <mergeCell ref="A296:E296"/>
    <mergeCell ref="F296:G296"/>
    <mergeCell ref="A298:G298"/>
    <mergeCell ref="E299:F299"/>
    <mergeCell ref="A307:E307"/>
    <mergeCell ref="F307:G307"/>
    <mergeCell ref="A308:E308"/>
    <mergeCell ref="F308:G308"/>
    <mergeCell ref="A309:G309"/>
    <mergeCell ref="E310:F310"/>
    <mergeCell ref="A324:F324"/>
    <mergeCell ref="A325:F325"/>
    <mergeCell ref="A326:F326"/>
    <mergeCell ref="A7:A8"/>
    <mergeCell ref="A45:A46"/>
    <mergeCell ref="A84:A85"/>
    <mergeCell ref="A124:A125"/>
    <mergeCell ref="A162:A163"/>
    <mergeCell ref="A201:A202"/>
    <mergeCell ref="A238:A239"/>
    <mergeCell ref="A275:A276"/>
    <mergeCell ref="A287:A288"/>
    <mergeCell ref="A299:A300"/>
    <mergeCell ref="A310:A311"/>
    <mergeCell ref="B7:B8"/>
    <mergeCell ref="B45:B46"/>
    <mergeCell ref="B84:B85"/>
    <mergeCell ref="B124:B125"/>
    <mergeCell ref="B162:B163"/>
    <mergeCell ref="B201:B202"/>
    <mergeCell ref="B238:B239"/>
    <mergeCell ref="B275:B276"/>
    <mergeCell ref="B287:B288"/>
    <mergeCell ref="B299:B300"/>
    <mergeCell ref="B310:B311"/>
    <mergeCell ref="C7:C8"/>
    <mergeCell ref="C45:C46"/>
    <mergeCell ref="C84:C85"/>
    <mergeCell ref="C124:C125"/>
    <mergeCell ref="C162:C163"/>
    <mergeCell ref="C201:C202"/>
    <mergeCell ref="C238:C239"/>
    <mergeCell ref="C275:C276"/>
    <mergeCell ref="C287:C288"/>
    <mergeCell ref="C299:C300"/>
    <mergeCell ref="C310:C311"/>
    <mergeCell ref="D7:D8"/>
    <mergeCell ref="D45:D46"/>
    <mergeCell ref="D84:D85"/>
    <mergeCell ref="D124:D125"/>
    <mergeCell ref="D162:D163"/>
    <mergeCell ref="D201:D202"/>
    <mergeCell ref="D238:D239"/>
    <mergeCell ref="D275:D276"/>
    <mergeCell ref="D287:D288"/>
    <mergeCell ref="D299:D300"/>
    <mergeCell ref="D310:D311"/>
    <mergeCell ref="G7:G8"/>
    <mergeCell ref="G9:G13"/>
    <mergeCell ref="G45:G46"/>
    <mergeCell ref="G47:G52"/>
    <mergeCell ref="G84:G85"/>
    <mergeCell ref="G86:G91"/>
    <mergeCell ref="G124:G125"/>
    <mergeCell ref="G126:G131"/>
    <mergeCell ref="G162:G163"/>
    <mergeCell ref="G165:G170"/>
    <mergeCell ref="G201:G202"/>
    <mergeCell ref="G203:G208"/>
    <mergeCell ref="G238:G239"/>
    <mergeCell ref="G240:G245"/>
    <mergeCell ref="G275:G276"/>
    <mergeCell ref="G278:G282"/>
    <mergeCell ref="G287:G288"/>
    <mergeCell ref="G290:G294"/>
    <mergeCell ref="G299:G300"/>
    <mergeCell ref="G301:G306"/>
    <mergeCell ref="G310:G311"/>
  </mergeCells>
  <pageMargins left="0.511811024" right="0.511811024" top="0.787401575" bottom="0.787401575" header="0.31496062" footer="0.31496062"/>
  <pageSetup paperSize="9" scale="82" orientation="portrait"/>
  <headerFooter>
    <oddHeader>&amp;L&amp;G&amp;CProcesso 23069.154758/2022-91
PE 57/2022&amp;R&amp;G</oddHeader>
    <oddFooter>&amp;L&amp;"-,Itálico"&amp;9&amp;A&amp;R&amp;"-,Itálico"&amp;9Página &amp;P de &amp;N</oddFooter>
  </headerFooter>
  <drawing r:id="rId1"/>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7"/>
  <sheetViews>
    <sheetView zoomScale="90" zoomScaleNormal="90" topLeftCell="A110" workbookViewId="0">
      <selection activeCell="A1" sqref="A1:E1"/>
    </sheetView>
  </sheetViews>
  <sheetFormatPr defaultColWidth="8.85714285714286" defaultRowHeight="15" outlineLevelCol="7"/>
  <cols>
    <col min="1" max="1" width="8.42857142857143" customWidth="1"/>
    <col min="2" max="2" width="58.5714285714286" style="223" customWidth="1"/>
    <col min="3" max="3" width="9.85714285714286" customWidth="1"/>
    <col min="4" max="4" width="12.7142857142857" customWidth="1"/>
    <col min="5" max="5" width="14.7142857142857" customWidth="1"/>
    <col min="6" max="6" width="16.8571428571429" customWidth="1"/>
    <col min="7" max="7" width="14.4285714285714" customWidth="1"/>
    <col min="8" max="8" width="12.5714285714286" customWidth="1"/>
  </cols>
  <sheetData>
    <row r="1" ht="18.75" customHeight="1" spans="1:8">
      <c r="A1" s="224" t="s">
        <v>0</v>
      </c>
      <c r="B1" s="224"/>
      <c r="C1" s="224"/>
      <c r="D1" s="224"/>
      <c r="E1" s="224"/>
      <c r="F1" s="225"/>
      <c r="G1" s="225"/>
      <c r="H1" s="19"/>
    </row>
    <row r="2" ht="18.75" spans="1:8">
      <c r="A2" s="226" t="s">
        <v>1</v>
      </c>
      <c r="B2" s="226"/>
      <c r="C2" s="226"/>
      <c r="D2" s="226"/>
      <c r="E2" s="226"/>
      <c r="F2" s="227"/>
      <c r="G2" s="227"/>
      <c r="H2" s="20"/>
    </row>
    <row r="4" customHeight="1" spans="1:8">
      <c r="A4" s="228" t="s">
        <v>279</v>
      </c>
      <c r="B4" s="228"/>
      <c r="C4" s="228"/>
      <c r="D4" s="228"/>
      <c r="E4" s="228"/>
      <c r="F4" s="229"/>
      <c r="G4" s="229"/>
      <c r="H4" s="229"/>
    </row>
    <row r="5" ht="47.25" customHeight="1" spans="1:8">
      <c r="A5" s="230" t="s">
        <v>2</v>
      </c>
      <c r="B5" s="230"/>
      <c r="C5" s="230"/>
      <c r="D5" s="230"/>
      <c r="E5" s="230"/>
      <c r="F5" s="231"/>
      <c r="G5" s="231"/>
      <c r="H5" s="232"/>
    </row>
    <row r="6" ht="16.5" spans="1:8">
      <c r="A6" s="233"/>
      <c r="B6" s="233"/>
      <c r="C6" s="233"/>
      <c r="D6" s="233"/>
      <c r="E6" s="233"/>
      <c r="F6" s="231"/>
      <c r="G6" s="231"/>
      <c r="H6" s="232"/>
    </row>
    <row r="7" ht="25.5" spans="1:5">
      <c r="A7" s="234" t="s">
        <v>5</v>
      </c>
      <c r="B7" s="235" t="s">
        <v>280</v>
      </c>
      <c r="C7" s="235" t="s">
        <v>281</v>
      </c>
      <c r="D7" s="235" t="s">
        <v>282</v>
      </c>
      <c r="E7" s="236" t="s">
        <v>283</v>
      </c>
    </row>
    <row r="8" spans="1:5">
      <c r="A8" s="237">
        <v>1</v>
      </c>
      <c r="B8" s="238" t="s">
        <v>284</v>
      </c>
      <c r="C8" s="239">
        <v>6</v>
      </c>
      <c r="D8" s="240">
        <v>29.01</v>
      </c>
      <c r="E8" s="241">
        <f t="shared" ref="E8:E71" si="0">ROUND(D8*C8,2)</f>
        <v>174.06</v>
      </c>
    </row>
    <row r="9" spans="1:5">
      <c r="A9" s="237">
        <v>2</v>
      </c>
      <c r="B9" s="238" t="s">
        <v>285</v>
      </c>
      <c r="C9" s="239">
        <v>6</v>
      </c>
      <c r="D9" s="240">
        <v>45.83</v>
      </c>
      <c r="E9" s="241">
        <f t="shared" si="0"/>
        <v>274.98</v>
      </c>
    </row>
    <row r="10" spans="1:5">
      <c r="A10" s="237">
        <v>3</v>
      </c>
      <c r="B10" s="238" t="s">
        <v>286</v>
      </c>
      <c r="C10" s="239">
        <v>6</v>
      </c>
      <c r="D10" s="240">
        <v>24.19</v>
      </c>
      <c r="E10" s="241">
        <f t="shared" si="0"/>
        <v>145.14</v>
      </c>
    </row>
    <row r="11" spans="1:5">
      <c r="A11" s="237">
        <v>4</v>
      </c>
      <c r="B11" s="238" t="s">
        <v>287</v>
      </c>
      <c r="C11" s="239">
        <v>6</v>
      </c>
      <c r="D11" s="240">
        <v>19.4</v>
      </c>
      <c r="E11" s="241">
        <f t="shared" si="0"/>
        <v>116.4</v>
      </c>
    </row>
    <row r="12" spans="1:5">
      <c r="A12" s="237">
        <v>5</v>
      </c>
      <c r="B12" s="238" t="s">
        <v>288</v>
      </c>
      <c r="C12" s="239">
        <v>6</v>
      </c>
      <c r="D12" s="240">
        <v>19.4</v>
      </c>
      <c r="E12" s="241">
        <f t="shared" si="0"/>
        <v>116.4</v>
      </c>
    </row>
    <row r="13" spans="1:5">
      <c r="A13" s="237">
        <v>6</v>
      </c>
      <c r="B13" s="238" t="s">
        <v>289</v>
      </c>
      <c r="C13" s="239">
        <v>6</v>
      </c>
      <c r="D13" s="240">
        <v>30.13</v>
      </c>
      <c r="E13" s="241">
        <f t="shared" si="0"/>
        <v>180.78</v>
      </c>
    </row>
    <row r="14" spans="1:5">
      <c r="A14" s="237">
        <v>7</v>
      </c>
      <c r="B14" s="238" t="s">
        <v>290</v>
      </c>
      <c r="C14" s="239">
        <v>6</v>
      </c>
      <c r="D14" s="240">
        <v>35.98</v>
      </c>
      <c r="E14" s="241">
        <f t="shared" si="0"/>
        <v>215.88</v>
      </c>
    </row>
    <row r="15" spans="1:5">
      <c r="A15" s="237">
        <v>8</v>
      </c>
      <c r="B15" s="238" t="s">
        <v>291</v>
      </c>
      <c r="C15" s="239">
        <v>6</v>
      </c>
      <c r="D15" s="240">
        <v>32.21</v>
      </c>
      <c r="E15" s="241">
        <f t="shared" si="0"/>
        <v>193.26</v>
      </c>
    </row>
    <row r="16" spans="1:5">
      <c r="A16" s="237">
        <v>9</v>
      </c>
      <c r="B16" s="238" t="s">
        <v>292</v>
      </c>
      <c r="C16" s="239">
        <v>6</v>
      </c>
      <c r="D16" s="240">
        <v>105.13</v>
      </c>
      <c r="E16" s="241">
        <f t="shared" si="0"/>
        <v>630.78</v>
      </c>
    </row>
    <row r="17" spans="1:5">
      <c r="A17" s="242">
        <v>10</v>
      </c>
      <c r="B17" s="238" t="s">
        <v>293</v>
      </c>
      <c r="C17" s="239">
        <v>6</v>
      </c>
      <c r="D17" s="240">
        <v>28.33</v>
      </c>
      <c r="E17" s="241">
        <f t="shared" si="0"/>
        <v>169.98</v>
      </c>
    </row>
    <row r="18" spans="1:5">
      <c r="A18" s="242">
        <v>11</v>
      </c>
      <c r="B18" s="238" t="s">
        <v>294</v>
      </c>
      <c r="C18" s="239">
        <v>24</v>
      </c>
      <c r="D18" s="240">
        <v>3.91</v>
      </c>
      <c r="E18" s="241">
        <f t="shared" si="0"/>
        <v>93.84</v>
      </c>
    </row>
    <row r="19" spans="1:5">
      <c r="A19" s="242">
        <v>12</v>
      </c>
      <c r="B19" s="238" t="s">
        <v>295</v>
      </c>
      <c r="C19" s="239">
        <v>6</v>
      </c>
      <c r="D19" s="240">
        <v>240.99</v>
      </c>
      <c r="E19" s="241">
        <f t="shared" si="0"/>
        <v>1445.94</v>
      </c>
    </row>
    <row r="20" spans="1:5">
      <c r="A20" s="242">
        <v>13</v>
      </c>
      <c r="B20" s="238" t="s">
        <v>296</v>
      </c>
      <c r="C20" s="239">
        <v>6</v>
      </c>
      <c r="D20" s="240">
        <v>39.57</v>
      </c>
      <c r="E20" s="241">
        <f t="shared" si="0"/>
        <v>237.42</v>
      </c>
    </row>
    <row r="21" spans="1:5">
      <c r="A21" s="242">
        <v>14</v>
      </c>
      <c r="B21" s="238" t="s">
        <v>297</v>
      </c>
      <c r="C21" s="239">
        <v>6</v>
      </c>
      <c r="D21" s="240">
        <v>188.64</v>
      </c>
      <c r="E21" s="241">
        <f t="shared" si="0"/>
        <v>1131.84</v>
      </c>
    </row>
    <row r="22" spans="1:5">
      <c r="A22" s="242">
        <v>15</v>
      </c>
      <c r="B22" s="238" t="s">
        <v>298</v>
      </c>
      <c r="C22" s="239">
        <v>6</v>
      </c>
      <c r="D22" s="240">
        <v>137.53</v>
      </c>
      <c r="E22" s="241">
        <f t="shared" si="0"/>
        <v>825.18</v>
      </c>
    </row>
    <row r="23" spans="1:5">
      <c r="A23" s="242">
        <v>17</v>
      </c>
      <c r="B23" s="238" t="s">
        <v>299</v>
      </c>
      <c r="C23" s="239">
        <v>6</v>
      </c>
      <c r="D23" s="240">
        <v>9.52</v>
      </c>
      <c r="E23" s="241">
        <f t="shared" si="0"/>
        <v>57.12</v>
      </c>
    </row>
    <row r="24" spans="1:5">
      <c r="A24" s="242">
        <v>18</v>
      </c>
      <c r="B24" s="238" t="s">
        <v>300</v>
      </c>
      <c r="C24" s="239">
        <v>6</v>
      </c>
      <c r="D24" s="240">
        <v>8.65</v>
      </c>
      <c r="E24" s="241">
        <f t="shared" si="0"/>
        <v>51.9</v>
      </c>
    </row>
    <row r="25" spans="1:5">
      <c r="A25" s="242">
        <v>19</v>
      </c>
      <c r="B25" s="238" t="s">
        <v>301</v>
      </c>
      <c r="C25" s="239">
        <v>6</v>
      </c>
      <c r="D25" s="240">
        <v>6.39</v>
      </c>
      <c r="E25" s="241">
        <f t="shared" si="0"/>
        <v>38.34</v>
      </c>
    </row>
    <row r="26" spans="1:5">
      <c r="A26" s="242">
        <v>20</v>
      </c>
      <c r="B26" s="238" t="s">
        <v>302</v>
      </c>
      <c r="C26" s="239">
        <v>6</v>
      </c>
      <c r="D26" s="240">
        <v>2.61</v>
      </c>
      <c r="E26" s="241">
        <f t="shared" si="0"/>
        <v>15.66</v>
      </c>
    </row>
    <row r="27" spans="1:5">
      <c r="A27" s="242">
        <v>21</v>
      </c>
      <c r="B27" s="238" t="s">
        <v>303</v>
      </c>
      <c r="C27" s="239">
        <v>6</v>
      </c>
      <c r="D27" s="240">
        <v>4.98</v>
      </c>
      <c r="E27" s="241">
        <f t="shared" si="0"/>
        <v>29.88</v>
      </c>
    </row>
    <row r="28" spans="1:5">
      <c r="A28" s="242">
        <v>22</v>
      </c>
      <c r="B28" s="238" t="s">
        <v>304</v>
      </c>
      <c r="C28" s="239">
        <v>6</v>
      </c>
      <c r="D28" s="240">
        <v>128.24</v>
      </c>
      <c r="E28" s="241">
        <f t="shared" si="0"/>
        <v>769.44</v>
      </c>
    </row>
    <row r="29" spans="1:5">
      <c r="A29" s="242">
        <v>23</v>
      </c>
      <c r="B29" s="238" t="s">
        <v>305</v>
      </c>
      <c r="C29" s="239">
        <v>6</v>
      </c>
      <c r="D29" s="240">
        <v>40.79</v>
      </c>
      <c r="E29" s="241">
        <f t="shared" si="0"/>
        <v>244.74</v>
      </c>
    </row>
    <row r="30" spans="1:5">
      <c r="A30" s="242">
        <v>24</v>
      </c>
      <c r="B30" s="238" t="s">
        <v>306</v>
      </c>
      <c r="C30" s="239">
        <v>6</v>
      </c>
      <c r="D30" s="240">
        <v>51.55</v>
      </c>
      <c r="E30" s="241">
        <f t="shared" si="0"/>
        <v>309.3</v>
      </c>
    </row>
    <row r="31" spans="1:5">
      <c r="A31" s="242">
        <v>25</v>
      </c>
      <c r="B31" s="238" t="s">
        <v>307</v>
      </c>
      <c r="C31" s="239">
        <v>6</v>
      </c>
      <c r="D31" s="240">
        <v>6.19</v>
      </c>
      <c r="E31" s="241">
        <f t="shared" si="0"/>
        <v>37.14</v>
      </c>
    </row>
    <row r="32" spans="1:5">
      <c r="A32" s="242">
        <v>26</v>
      </c>
      <c r="B32" s="238" t="s">
        <v>308</v>
      </c>
      <c r="C32" s="239">
        <v>6</v>
      </c>
      <c r="D32" s="240">
        <v>7.05</v>
      </c>
      <c r="E32" s="241">
        <f t="shared" si="0"/>
        <v>42.3</v>
      </c>
    </row>
    <row r="33" spans="1:5">
      <c r="A33" s="242">
        <v>27</v>
      </c>
      <c r="B33" s="238" t="s">
        <v>309</v>
      </c>
      <c r="C33" s="239">
        <v>6</v>
      </c>
      <c r="D33" s="240">
        <v>6.39</v>
      </c>
      <c r="E33" s="241">
        <f t="shared" si="0"/>
        <v>38.34</v>
      </c>
    </row>
    <row r="34" spans="1:5">
      <c r="A34" s="242">
        <v>28</v>
      </c>
      <c r="B34" s="238" t="s">
        <v>310</v>
      </c>
      <c r="C34" s="239">
        <v>6</v>
      </c>
      <c r="D34" s="240">
        <v>7.4</v>
      </c>
      <c r="E34" s="241">
        <f t="shared" si="0"/>
        <v>44.4</v>
      </c>
    </row>
    <row r="35" ht="25.5" spans="1:5">
      <c r="A35" s="242">
        <v>29</v>
      </c>
      <c r="B35" s="238" t="s">
        <v>311</v>
      </c>
      <c r="C35" s="239">
        <v>6</v>
      </c>
      <c r="D35" s="240">
        <v>49.93</v>
      </c>
      <c r="E35" s="241">
        <f t="shared" si="0"/>
        <v>299.58</v>
      </c>
    </row>
    <row r="36" spans="1:5">
      <c r="A36" s="242">
        <f>+A35+1</f>
        <v>30</v>
      </c>
      <c r="B36" s="238" t="s">
        <v>312</v>
      </c>
      <c r="C36" s="239">
        <v>18</v>
      </c>
      <c r="D36" s="240">
        <v>12.9</v>
      </c>
      <c r="E36" s="241">
        <f t="shared" si="0"/>
        <v>232.2</v>
      </c>
    </row>
    <row r="37" spans="1:5">
      <c r="A37" s="242">
        <f t="shared" ref="A37:A53" si="1">+A36+1</f>
        <v>31</v>
      </c>
      <c r="B37" s="238" t="s">
        <v>313</v>
      </c>
      <c r="C37" s="239">
        <v>12</v>
      </c>
      <c r="D37" s="240">
        <v>11.28</v>
      </c>
      <c r="E37" s="241">
        <f t="shared" si="0"/>
        <v>135.36</v>
      </c>
    </row>
    <row r="38" spans="1:5">
      <c r="A38" s="242">
        <f t="shared" si="1"/>
        <v>32</v>
      </c>
      <c r="B38" s="238" t="s">
        <v>314</v>
      </c>
      <c r="C38" s="239">
        <v>12</v>
      </c>
      <c r="D38" s="240">
        <v>140.52</v>
      </c>
      <c r="E38" s="241">
        <f t="shared" si="0"/>
        <v>1686.24</v>
      </c>
    </row>
    <row r="39" spans="1:5">
      <c r="A39" s="242">
        <f t="shared" si="1"/>
        <v>33</v>
      </c>
      <c r="B39" s="238" t="s">
        <v>315</v>
      </c>
      <c r="C39" s="239">
        <v>6</v>
      </c>
      <c r="D39" s="240">
        <v>41.22</v>
      </c>
      <c r="E39" s="241">
        <f t="shared" si="0"/>
        <v>247.32</v>
      </c>
    </row>
    <row r="40" spans="1:5">
      <c r="A40" s="242">
        <f t="shared" si="1"/>
        <v>34</v>
      </c>
      <c r="B40" s="238" t="s">
        <v>316</v>
      </c>
      <c r="C40" s="239">
        <v>6</v>
      </c>
      <c r="D40" s="240">
        <v>410.75</v>
      </c>
      <c r="E40" s="241">
        <f t="shared" si="0"/>
        <v>2464.5</v>
      </c>
    </row>
    <row r="41" spans="1:5">
      <c r="A41" s="242">
        <f t="shared" si="1"/>
        <v>35</v>
      </c>
      <c r="B41" s="238" t="s">
        <v>317</v>
      </c>
      <c r="C41" s="239">
        <v>6</v>
      </c>
      <c r="D41" s="240">
        <v>152.99</v>
      </c>
      <c r="E41" s="241">
        <f t="shared" si="0"/>
        <v>917.94</v>
      </c>
    </row>
    <row r="42" spans="1:5">
      <c r="A42" s="242">
        <f t="shared" si="1"/>
        <v>36</v>
      </c>
      <c r="B42" s="238" t="s">
        <v>318</v>
      </c>
      <c r="C42" s="239">
        <v>6</v>
      </c>
      <c r="D42" s="240">
        <v>53.72</v>
      </c>
      <c r="E42" s="241">
        <f t="shared" si="0"/>
        <v>322.32</v>
      </c>
    </row>
    <row r="43" spans="1:5">
      <c r="A43" s="242">
        <f t="shared" si="1"/>
        <v>37</v>
      </c>
      <c r="B43" s="238" t="s">
        <v>319</v>
      </c>
      <c r="C43" s="239">
        <v>6</v>
      </c>
      <c r="D43" s="240">
        <v>3.18</v>
      </c>
      <c r="E43" s="241">
        <f t="shared" si="0"/>
        <v>19.08</v>
      </c>
    </row>
    <row r="44" ht="25.5" spans="1:5">
      <c r="A44" s="242">
        <f t="shared" si="1"/>
        <v>38</v>
      </c>
      <c r="B44" s="238" t="s">
        <v>320</v>
      </c>
      <c r="C44" s="239">
        <v>6</v>
      </c>
      <c r="D44" s="240">
        <v>7.09</v>
      </c>
      <c r="E44" s="241">
        <f t="shared" si="0"/>
        <v>42.54</v>
      </c>
    </row>
    <row r="45" spans="1:5">
      <c r="A45" s="242">
        <f t="shared" si="1"/>
        <v>39</v>
      </c>
      <c r="B45" s="238" t="s">
        <v>321</v>
      </c>
      <c r="C45" s="239">
        <v>6</v>
      </c>
      <c r="D45" s="240">
        <v>21.36</v>
      </c>
      <c r="E45" s="241">
        <f t="shared" si="0"/>
        <v>128.16</v>
      </c>
    </row>
    <row r="46" spans="1:5">
      <c r="A46" s="242">
        <f t="shared" si="1"/>
        <v>40</v>
      </c>
      <c r="B46" s="238" t="s">
        <v>322</v>
      </c>
      <c r="C46" s="239">
        <v>6</v>
      </c>
      <c r="D46" s="240">
        <v>61</v>
      </c>
      <c r="E46" s="241">
        <f t="shared" si="0"/>
        <v>366</v>
      </c>
    </row>
    <row r="47" spans="1:5">
      <c r="A47" s="242">
        <f t="shared" si="1"/>
        <v>41</v>
      </c>
      <c r="B47" s="238" t="s">
        <v>323</v>
      </c>
      <c r="C47" s="239">
        <v>9</v>
      </c>
      <c r="D47" s="240">
        <v>900</v>
      </c>
      <c r="E47" s="241">
        <f t="shared" si="0"/>
        <v>8100</v>
      </c>
    </row>
    <row r="48" spans="1:5">
      <c r="A48" s="242">
        <f t="shared" si="1"/>
        <v>42</v>
      </c>
      <c r="B48" s="238" t="s">
        <v>324</v>
      </c>
      <c r="C48" s="239">
        <v>6</v>
      </c>
      <c r="D48" s="240">
        <v>71.54</v>
      </c>
      <c r="E48" s="241">
        <f t="shared" si="0"/>
        <v>429.24</v>
      </c>
    </row>
    <row r="49" spans="1:5">
      <c r="A49" s="242">
        <f t="shared" si="1"/>
        <v>43</v>
      </c>
      <c r="B49" s="238" t="s">
        <v>325</v>
      </c>
      <c r="C49" s="239">
        <v>6</v>
      </c>
      <c r="D49" s="240">
        <v>23.2</v>
      </c>
      <c r="E49" s="241">
        <f t="shared" si="0"/>
        <v>139.2</v>
      </c>
    </row>
    <row r="50" spans="1:5">
      <c r="A50" s="242">
        <f t="shared" si="1"/>
        <v>44</v>
      </c>
      <c r="B50" s="238" t="s">
        <v>326</v>
      </c>
      <c r="C50" s="239">
        <v>6</v>
      </c>
      <c r="D50" s="240">
        <v>56.7</v>
      </c>
      <c r="E50" s="241">
        <f t="shared" si="0"/>
        <v>340.2</v>
      </c>
    </row>
    <row r="51" spans="1:5">
      <c r="A51" s="242">
        <f t="shared" si="1"/>
        <v>45</v>
      </c>
      <c r="B51" s="238" t="s">
        <v>327</v>
      </c>
      <c r="C51" s="239">
        <v>6</v>
      </c>
      <c r="D51" s="240">
        <v>68.66</v>
      </c>
      <c r="E51" s="241">
        <f t="shared" si="0"/>
        <v>411.96</v>
      </c>
    </row>
    <row r="52" ht="25.5" spans="1:5">
      <c r="A52" s="242">
        <f t="shared" si="1"/>
        <v>46</v>
      </c>
      <c r="B52" s="238" t="s">
        <v>328</v>
      </c>
      <c r="C52" s="239">
        <v>6</v>
      </c>
      <c r="D52" s="240">
        <v>48.48</v>
      </c>
      <c r="E52" s="241">
        <f t="shared" si="0"/>
        <v>290.88</v>
      </c>
    </row>
    <row r="53" spans="1:5">
      <c r="A53" s="242">
        <f t="shared" si="1"/>
        <v>47</v>
      </c>
      <c r="B53" s="238" t="s">
        <v>329</v>
      </c>
      <c r="C53" s="239">
        <v>6</v>
      </c>
      <c r="D53" s="240">
        <v>29.48</v>
      </c>
      <c r="E53" s="241">
        <f t="shared" si="0"/>
        <v>176.88</v>
      </c>
    </row>
    <row r="54" ht="25.5" spans="1:5">
      <c r="A54" s="242">
        <f t="shared" ref="A54:A79" si="2">+A53+1</f>
        <v>48</v>
      </c>
      <c r="B54" s="238" t="s">
        <v>330</v>
      </c>
      <c r="C54" s="239">
        <v>6</v>
      </c>
      <c r="D54" s="240">
        <v>349.57</v>
      </c>
      <c r="E54" s="241">
        <f t="shared" si="0"/>
        <v>2097.42</v>
      </c>
    </row>
    <row r="55" spans="1:5">
      <c r="A55" s="242">
        <f t="shared" si="2"/>
        <v>49</v>
      </c>
      <c r="B55" s="238" t="s">
        <v>331</v>
      </c>
      <c r="C55" s="239">
        <v>6</v>
      </c>
      <c r="D55" s="240">
        <v>62.49</v>
      </c>
      <c r="E55" s="241">
        <f t="shared" si="0"/>
        <v>374.94</v>
      </c>
    </row>
    <row r="56" spans="1:5">
      <c r="A56" s="242">
        <f t="shared" si="2"/>
        <v>50</v>
      </c>
      <c r="B56" s="238" t="s">
        <v>332</v>
      </c>
      <c r="C56" s="239">
        <v>4</v>
      </c>
      <c r="D56" s="240">
        <v>15.35</v>
      </c>
      <c r="E56" s="241">
        <f t="shared" si="0"/>
        <v>61.4</v>
      </c>
    </row>
    <row r="57" spans="1:5">
      <c r="A57" s="242">
        <f t="shared" si="2"/>
        <v>51</v>
      </c>
      <c r="B57" s="238" t="s">
        <v>333</v>
      </c>
      <c r="C57" s="239">
        <v>4</v>
      </c>
      <c r="D57" s="240">
        <v>10.21</v>
      </c>
      <c r="E57" s="241">
        <f t="shared" si="0"/>
        <v>40.84</v>
      </c>
    </row>
    <row r="58" spans="1:5">
      <c r="A58" s="242">
        <f t="shared" si="2"/>
        <v>52</v>
      </c>
      <c r="B58" s="238" t="s">
        <v>334</v>
      </c>
      <c r="C58" s="239">
        <v>4</v>
      </c>
      <c r="D58" s="240">
        <v>17.31</v>
      </c>
      <c r="E58" s="241">
        <f t="shared" si="0"/>
        <v>69.24</v>
      </c>
    </row>
    <row r="59" spans="1:5">
      <c r="A59" s="242">
        <f t="shared" si="2"/>
        <v>53</v>
      </c>
      <c r="B59" s="238" t="s">
        <v>335</v>
      </c>
      <c r="C59" s="239">
        <v>6</v>
      </c>
      <c r="D59" s="240">
        <v>20.31</v>
      </c>
      <c r="E59" s="241">
        <f t="shared" si="0"/>
        <v>121.86</v>
      </c>
    </row>
    <row r="60" spans="1:5">
      <c r="A60" s="242">
        <f t="shared" si="2"/>
        <v>54</v>
      </c>
      <c r="B60" s="238" t="s">
        <v>336</v>
      </c>
      <c r="C60" s="239">
        <v>4</v>
      </c>
      <c r="D60" s="240">
        <v>316.54</v>
      </c>
      <c r="E60" s="241">
        <f t="shared" si="0"/>
        <v>1266.16</v>
      </c>
    </row>
    <row r="61" spans="1:5">
      <c r="A61" s="242">
        <f t="shared" si="2"/>
        <v>55</v>
      </c>
      <c r="B61" s="238" t="s">
        <v>337</v>
      </c>
      <c r="C61" s="239">
        <v>4</v>
      </c>
      <c r="D61" s="240">
        <v>24.23</v>
      </c>
      <c r="E61" s="241">
        <f t="shared" si="0"/>
        <v>96.92</v>
      </c>
    </row>
    <row r="62" spans="1:5">
      <c r="A62" s="242">
        <f t="shared" si="2"/>
        <v>56</v>
      </c>
      <c r="B62" s="238" t="s">
        <v>338</v>
      </c>
      <c r="C62" s="239">
        <v>6</v>
      </c>
      <c r="D62" s="240">
        <v>161</v>
      </c>
      <c r="E62" s="241">
        <f t="shared" si="0"/>
        <v>966</v>
      </c>
    </row>
    <row r="63" spans="1:5">
      <c r="A63" s="242">
        <f t="shared" si="2"/>
        <v>57</v>
      </c>
      <c r="B63" s="238" t="s">
        <v>339</v>
      </c>
      <c r="C63" s="239">
        <v>2</v>
      </c>
      <c r="D63" s="240">
        <v>825.55</v>
      </c>
      <c r="E63" s="241">
        <f t="shared" si="0"/>
        <v>1651.1</v>
      </c>
    </row>
    <row r="64" spans="1:5">
      <c r="A64" s="242">
        <f t="shared" si="2"/>
        <v>58</v>
      </c>
      <c r="B64" s="238" t="s">
        <v>340</v>
      </c>
      <c r="C64" s="239">
        <v>2</v>
      </c>
      <c r="D64" s="240">
        <v>3864.59</v>
      </c>
      <c r="E64" s="241">
        <f t="shared" si="0"/>
        <v>7729.18</v>
      </c>
    </row>
    <row r="65" spans="1:5">
      <c r="A65" s="242">
        <f t="shared" si="2"/>
        <v>59</v>
      </c>
      <c r="B65" s="238" t="s">
        <v>341</v>
      </c>
      <c r="C65" s="239">
        <v>8</v>
      </c>
      <c r="D65" s="240">
        <v>20.33</v>
      </c>
      <c r="E65" s="241">
        <f t="shared" si="0"/>
        <v>162.64</v>
      </c>
    </row>
    <row r="66" spans="1:5">
      <c r="A66" s="242">
        <f t="shared" si="2"/>
        <v>60</v>
      </c>
      <c r="B66" s="238" t="s">
        <v>342</v>
      </c>
      <c r="C66" s="243">
        <v>32</v>
      </c>
      <c r="D66" s="240">
        <v>31.4</v>
      </c>
      <c r="E66" s="241">
        <f t="shared" si="0"/>
        <v>1004.8</v>
      </c>
    </row>
    <row r="67" spans="1:5">
      <c r="A67" s="242">
        <f t="shared" si="2"/>
        <v>61</v>
      </c>
      <c r="B67" s="238" t="s">
        <v>343</v>
      </c>
      <c r="C67" s="239">
        <v>4</v>
      </c>
      <c r="D67" s="240">
        <v>35.72</v>
      </c>
      <c r="E67" s="241">
        <f t="shared" si="0"/>
        <v>142.88</v>
      </c>
    </row>
    <row r="68" spans="1:5">
      <c r="A68" s="242">
        <f t="shared" si="2"/>
        <v>62</v>
      </c>
      <c r="B68" s="238" t="s">
        <v>344</v>
      </c>
      <c r="C68" s="239">
        <v>4</v>
      </c>
      <c r="D68" s="240">
        <v>17.93</v>
      </c>
      <c r="E68" s="241">
        <f t="shared" si="0"/>
        <v>71.72</v>
      </c>
    </row>
    <row r="69" spans="1:5">
      <c r="A69" s="242">
        <f t="shared" si="2"/>
        <v>63</v>
      </c>
      <c r="B69" s="238" t="s">
        <v>345</v>
      </c>
      <c r="C69" s="239">
        <v>4</v>
      </c>
      <c r="D69" s="240">
        <v>41.19</v>
      </c>
      <c r="E69" s="241">
        <f t="shared" si="0"/>
        <v>164.76</v>
      </c>
    </row>
    <row r="70" spans="1:5">
      <c r="A70" s="242">
        <f t="shared" si="2"/>
        <v>64</v>
      </c>
      <c r="B70" s="238" t="s">
        <v>346</v>
      </c>
      <c r="C70" s="239">
        <v>6</v>
      </c>
      <c r="D70" s="240">
        <v>440.81</v>
      </c>
      <c r="E70" s="241">
        <f t="shared" si="0"/>
        <v>2644.86</v>
      </c>
    </row>
    <row r="71" spans="1:5">
      <c r="A71" s="242">
        <f t="shared" si="2"/>
        <v>65</v>
      </c>
      <c r="B71" s="238" t="s">
        <v>347</v>
      </c>
      <c r="C71" s="239">
        <v>4</v>
      </c>
      <c r="D71" s="240">
        <v>47.66</v>
      </c>
      <c r="E71" s="241">
        <f t="shared" si="0"/>
        <v>190.64</v>
      </c>
    </row>
    <row r="72" spans="1:5">
      <c r="A72" s="242">
        <f t="shared" si="2"/>
        <v>66</v>
      </c>
      <c r="B72" s="238" t="s">
        <v>348</v>
      </c>
      <c r="C72" s="243">
        <v>40</v>
      </c>
      <c r="D72" s="240">
        <v>6.17</v>
      </c>
      <c r="E72" s="241">
        <f t="shared" ref="E72:E121" si="3">ROUND(D72*C72,2)</f>
        <v>246.8</v>
      </c>
    </row>
    <row r="73" spans="1:5">
      <c r="A73" s="242">
        <f t="shared" si="2"/>
        <v>67</v>
      </c>
      <c r="B73" s="238" t="s">
        <v>349</v>
      </c>
      <c r="C73" s="239">
        <v>2</v>
      </c>
      <c r="D73" s="240">
        <v>573.04</v>
      </c>
      <c r="E73" s="241">
        <f t="shared" si="3"/>
        <v>1146.08</v>
      </c>
    </row>
    <row r="74" spans="1:5">
      <c r="A74" s="242">
        <f t="shared" si="2"/>
        <v>68</v>
      </c>
      <c r="B74" s="238" t="s">
        <v>350</v>
      </c>
      <c r="C74" s="239">
        <v>10</v>
      </c>
      <c r="D74" s="240">
        <v>15.72</v>
      </c>
      <c r="E74" s="241">
        <f t="shared" si="3"/>
        <v>157.2</v>
      </c>
    </row>
    <row r="75" spans="1:5">
      <c r="A75" s="242">
        <f t="shared" si="2"/>
        <v>69</v>
      </c>
      <c r="B75" s="238" t="s">
        <v>351</v>
      </c>
      <c r="C75" s="239">
        <v>8</v>
      </c>
      <c r="D75" s="240">
        <v>794.33</v>
      </c>
      <c r="E75" s="241">
        <f t="shared" si="3"/>
        <v>6354.64</v>
      </c>
    </row>
    <row r="76" spans="1:5">
      <c r="A76" s="242">
        <f t="shared" si="2"/>
        <v>70</v>
      </c>
      <c r="B76" s="238" t="s">
        <v>352</v>
      </c>
      <c r="C76" s="243">
        <v>40</v>
      </c>
      <c r="D76" s="240">
        <v>4.43</v>
      </c>
      <c r="E76" s="241">
        <f t="shared" si="3"/>
        <v>177.2</v>
      </c>
    </row>
    <row r="77" spans="1:5">
      <c r="A77" s="242">
        <f t="shared" si="2"/>
        <v>71</v>
      </c>
      <c r="B77" s="238" t="s">
        <v>353</v>
      </c>
      <c r="C77" s="239">
        <v>4</v>
      </c>
      <c r="D77" s="240">
        <v>627.07</v>
      </c>
      <c r="E77" s="241">
        <f t="shared" si="3"/>
        <v>2508.28</v>
      </c>
    </row>
    <row r="78" spans="1:5">
      <c r="A78" s="242">
        <f t="shared" si="2"/>
        <v>72</v>
      </c>
      <c r="B78" s="238" t="s">
        <v>354</v>
      </c>
      <c r="C78" s="239">
        <v>4</v>
      </c>
      <c r="D78" s="240">
        <v>443.2</v>
      </c>
      <c r="E78" s="241">
        <f t="shared" si="3"/>
        <v>1772.8</v>
      </c>
    </row>
    <row r="79" spans="1:5">
      <c r="A79" s="242">
        <f t="shared" si="2"/>
        <v>73</v>
      </c>
      <c r="B79" s="238" t="s">
        <v>355</v>
      </c>
      <c r="C79" s="239">
        <v>6</v>
      </c>
      <c r="D79" s="240">
        <v>29.67</v>
      </c>
      <c r="E79" s="241">
        <f t="shared" si="3"/>
        <v>178.02</v>
      </c>
    </row>
    <row r="80" spans="1:5">
      <c r="A80" s="242">
        <f t="shared" ref="A80:A105" si="4">+A79+1</f>
        <v>74</v>
      </c>
      <c r="B80" s="238" t="s">
        <v>356</v>
      </c>
      <c r="C80" s="239">
        <v>2</v>
      </c>
      <c r="D80" s="240">
        <v>19.36</v>
      </c>
      <c r="E80" s="241">
        <f t="shared" si="3"/>
        <v>38.72</v>
      </c>
    </row>
    <row r="81" spans="1:5">
      <c r="A81" s="242">
        <f t="shared" si="4"/>
        <v>75</v>
      </c>
      <c r="B81" s="238" t="s">
        <v>357</v>
      </c>
      <c r="C81" s="239">
        <v>2</v>
      </c>
      <c r="D81" s="240">
        <v>28.6</v>
      </c>
      <c r="E81" s="241">
        <f t="shared" si="3"/>
        <v>57.2</v>
      </c>
    </row>
    <row r="82" spans="1:5">
      <c r="A82" s="242">
        <f t="shared" si="4"/>
        <v>76</v>
      </c>
      <c r="B82" s="238" t="s">
        <v>358</v>
      </c>
      <c r="C82" s="239">
        <v>8</v>
      </c>
      <c r="D82" s="240">
        <v>14.79</v>
      </c>
      <c r="E82" s="241">
        <f t="shared" si="3"/>
        <v>118.32</v>
      </c>
    </row>
    <row r="83" spans="1:5">
      <c r="A83" s="242">
        <f t="shared" si="4"/>
        <v>77</v>
      </c>
      <c r="B83" s="238" t="s">
        <v>359</v>
      </c>
      <c r="C83" s="239">
        <v>8</v>
      </c>
      <c r="D83" s="240">
        <v>14.29</v>
      </c>
      <c r="E83" s="241">
        <f t="shared" si="3"/>
        <v>114.32</v>
      </c>
    </row>
    <row r="84" spans="1:5">
      <c r="A84" s="242">
        <f t="shared" si="4"/>
        <v>78</v>
      </c>
      <c r="B84" s="238" t="s">
        <v>360</v>
      </c>
      <c r="C84" s="239">
        <v>8</v>
      </c>
      <c r="D84" s="240">
        <v>19.36</v>
      </c>
      <c r="E84" s="241">
        <f t="shared" si="3"/>
        <v>154.88</v>
      </c>
    </row>
    <row r="85" spans="1:5">
      <c r="A85" s="242">
        <f t="shared" si="4"/>
        <v>79</v>
      </c>
      <c r="B85" s="238" t="s">
        <v>361</v>
      </c>
      <c r="C85" s="239">
        <v>2</v>
      </c>
      <c r="D85" s="240">
        <v>91.03</v>
      </c>
      <c r="E85" s="241">
        <f t="shared" si="3"/>
        <v>182.06</v>
      </c>
    </row>
    <row r="86" spans="1:5">
      <c r="A86" s="242">
        <f t="shared" si="4"/>
        <v>80</v>
      </c>
      <c r="B86" s="238" t="s">
        <v>362</v>
      </c>
      <c r="C86" s="239">
        <v>4</v>
      </c>
      <c r="D86" s="240">
        <v>10</v>
      </c>
      <c r="E86" s="241">
        <f t="shared" si="3"/>
        <v>40</v>
      </c>
    </row>
    <row r="87" spans="1:5">
      <c r="A87" s="242">
        <f t="shared" si="4"/>
        <v>81</v>
      </c>
      <c r="B87" s="238" t="s">
        <v>363</v>
      </c>
      <c r="C87" s="239">
        <v>6</v>
      </c>
      <c r="D87" s="240">
        <v>11.67</v>
      </c>
      <c r="E87" s="241">
        <f t="shared" si="3"/>
        <v>70.02</v>
      </c>
    </row>
    <row r="88" spans="1:5">
      <c r="A88" s="242">
        <f t="shared" si="4"/>
        <v>82</v>
      </c>
      <c r="B88" s="238" t="s">
        <v>364</v>
      </c>
      <c r="C88" s="239">
        <v>8</v>
      </c>
      <c r="D88" s="240">
        <v>20.46</v>
      </c>
      <c r="E88" s="241">
        <f t="shared" si="3"/>
        <v>163.68</v>
      </c>
    </row>
    <row r="89" spans="1:5">
      <c r="A89" s="242">
        <f t="shared" si="4"/>
        <v>83</v>
      </c>
      <c r="B89" s="238" t="s">
        <v>365</v>
      </c>
      <c r="C89" s="239">
        <v>8</v>
      </c>
      <c r="D89" s="240">
        <v>22.95</v>
      </c>
      <c r="E89" s="241">
        <f t="shared" si="3"/>
        <v>183.6</v>
      </c>
    </row>
    <row r="90" spans="1:5">
      <c r="A90" s="242">
        <f t="shared" si="4"/>
        <v>84</v>
      </c>
      <c r="B90" s="238" t="s">
        <v>366</v>
      </c>
      <c r="C90" s="239">
        <v>2</v>
      </c>
      <c r="D90" s="240">
        <v>576.94</v>
      </c>
      <c r="E90" s="241">
        <f t="shared" si="3"/>
        <v>1153.88</v>
      </c>
    </row>
    <row r="91" spans="1:5">
      <c r="A91" s="242">
        <f t="shared" si="4"/>
        <v>85</v>
      </c>
      <c r="B91" s="238" t="s">
        <v>367</v>
      </c>
      <c r="C91" s="239">
        <v>4</v>
      </c>
      <c r="D91" s="240">
        <v>233</v>
      </c>
      <c r="E91" s="241">
        <f t="shared" si="3"/>
        <v>932</v>
      </c>
    </row>
    <row r="92" spans="1:5">
      <c r="A92" s="242">
        <f t="shared" si="4"/>
        <v>86</v>
      </c>
      <c r="B92" s="238" t="s">
        <v>368</v>
      </c>
      <c r="C92" s="239">
        <v>4</v>
      </c>
      <c r="D92" s="240">
        <v>102.82</v>
      </c>
      <c r="E92" s="241">
        <f t="shared" si="3"/>
        <v>411.28</v>
      </c>
    </row>
    <row r="93" spans="1:5">
      <c r="A93" s="242">
        <f t="shared" si="4"/>
        <v>87</v>
      </c>
      <c r="B93" s="238" t="s">
        <v>369</v>
      </c>
      <c r="C93" s="239">
        <v>4</v>
      </c>
      <c r="D93" s="240">
        <v>4.95</v>
      </c>
      <c r="E93" s="241">
        <f t="shared" si="3"/>
        <v>19.8</v>
      </c>
    </row>
    <row r="94" spans="1:5">
      <c r="A94" s="242">
        <f t="shared" si="4"/>
        <v>88</v>
      </c>
      <c r="B94" s="238" t="s">
        <v>370</v>
      </c>
      <c r="C94" s="239">
        <v>4</v>
      </c>
      <c r="D94" s="240">
        <v>38.75</v>
      </c>
      <c r="E94" s="241">
        <f t="shared" si="3"/>
        <v>155</v>
      </c>
    </row>
    <row r="95" spans="1:5">
      <c r="A95" s="242">
        <f t="shared" si="4"/>
        <v>89</v>
      </c>
      <c r="B95" s="238" t="s">
        <v>371</v>
      </c>
      <c r="C95" s="239">
        <v>4</v>
      </c>
      <c r="D95" s="240">
        <v>268.75</v>
      </c>
      <c r="E95" s="241">
        <f t="shared" si="3"/>
        <v>1075</v>
      </c>
    </row>
    <row r="96" spans="1:5">
      <c r="A96" s="242">
        <f t="shared" si="4"/>
        <v>90</v>
      </c>
      <c r="B96" s="238" t="s">
        <v>372</v>
      </c>
      <c r="C96" s="239">
        <v>4</v>
      </c>
      <c r="D96" s="240">
        <v>16.31</v>
      </c>
      <c r="E96" s="241">
        <f t="shared" si="3"/>
        <v>65.24</v>
      </c>
    </row>
    <row r="97" spans="1:5">
      <c r="A97" s="242">
        <f t="shared" si="4"/>
        <v>91</v>
      </c>
      <c r="B97" s="238" t="s">
        <v>373</v>
      </c>
      <c r="C97" s="239">
        <v>4</v>
      </c>
      <c r="D97" s="240">
        <v>18.18</v>
      </c>
      <c r="E97" s="241">
        <f t="shared" si="3"/>
        <v>72.72</v>
      </c>
    </row>
    <row r="98" spans="1:5">
      <c r="A98" s="242">
        <f t="shared" si="4"/>
        <v>92</v>
      </c>
      <c r="B98" s="238" t="s">
        <v>374</v>
      </c>
      <c r="C98" s="239">
        <v>4</v>
      </c>
      <c r="D98" s="240">
        <v>30.4</v>
      </c>
      <c r="E98" s="241">
        <f t="shared" si="3"/>
        <v>121.6</v>
      </c>
    </row>
    <row r="99" spans="1:5">
      <c r="A99" s="242">
        <f t="shared" si="4"/>
        <v>93</v>
      </c>
      <c r="B99" s="238" t="s">
        <v>375</v>
      </c>
      <c r="C99" s="239">
        <v>4</v>
      </c>
      <c r="D99" s="240">
        <v>46.32</v>
      </c>
      <c r="E99" s="241">
        <f t="shared" si="3"/>
        <v>185.28</v>
      </c>
    </row>
    <row r="100" spans="1:5">
      <c r="A100" s="242">
        <f t="shared" si="4"/>
        <v>94</v>
      </c>
      <c r="B100" s="238" t="s">
        <v>376</v>
      </c>
      <c r="C100" s="239">
        <v>3</v>
      </c>
      <c r="D100" s="240">
        <v>648.07</v>
      </c>
      <c r="E100" s="241">
        <f t="shared" si="3"/>
        <v>1944.21</v>
      </c>
    </row>
    <row r="101" spans="1:5">
      <c r="A101" s="242">
        <f t="shared" si="4"/>
        <v>95</v>
      </c>
      <c r="B101" s="238" t="s">
        <v>377</v>
      </c>
      <c r="C101" s="239">
        <v>4</v>
      </c>
      <c r="D101" s="240">
        <v>63.73</v>
      </c>
      <c r="E101" s="241">
        <f t="shared" si="3"/>
        <v>254.92</v>
      </c>
    </row>
    <row r="102" spans="1:5">
      <c r="A102" s="242">
        <f t="shared" si="4"/>
        <v>96</v>
      </c>
      <c r="B102" s="238" t="s">
        <v>378</v>
      </c>
      <c r="C102" s="239">
        <v>4</v>
      </c>
      <c r="D102" s="240">
        <v>21.34</v>
      </c>
      <c r="E102" s="241">
        <f t="shared" si="3"/>
        <v>85.36</v>
      </c>
    </row>
    <row r="103" spans="1:5">
      <c r="A103" s="242">
        <f t="shared" si="4"/>
        <v>97</v>
      </c>
      <c r="B103" s="238" t="s">
        <v>379</v>
      </c>
      <c r="C103" s="239">
        <v>4</v>
      </c>
      <c r="D103" s="240">
        <v>32.88</v>
      </c>
      <c r="E103" s="241">
        <f t="shared" si="3"/>
        <v>131.52</v>
      </c>
    </row>
    <row r="104" spans="1:5">
      <c r="A104" s="242">
        <f t="shared" si="4"/>
        <v>98</v>
      </c>
      <c r="B104" s="238" t="s">
        <v>380</v>
      </c>
      <c r="C104" s="239">
        <v>4</v>
      </c>
      <c r="D104" s="240">
        <v>89</v>
      </c>
      <c r="E104" s="241">
        <f t="shared" si="3"/>
        <v>356</v>
      </c>
    </row>
    <row r="105" spans="1:5">
      <c r="A105" s="242">
        <f t="shared" si="4"/>
        <v>99</v>
      </c>
      <c r="B105" s="238" t="s">
        <v>381</v>
      </c>
      <c r="C105" s="239">
        <v>1</v>
      </c>
      <c r="D105" s="240">
        <v>5200</v>
      </c>
      <c r="E105" s="241">
        <f t="shared" si="3"/>
        <v>5200</v>
      </c>
    </row>
    <row r="106" spans="1:5">
      <c r="A106" s="242">
        <f t="shared" ref="A106:A119" si="5">+A105+1</f>
        <v>100</v>
      </c>
      <c r="B106" s="238" t="s">
        <v>382</v>
      </c>
      <c r="C106" s="239">
        <v>2</v>
      </c>
      <c r="D106" s="240">
        <v>544</v>
      </c>
      <c r="E106" s="241">
        <f t="shared" si="3"/>
        <v>1088</v>
      </c>
    </row>
    <row r="107" spans="1:5">
      <c r="A107" s="242">
        <f t="shared" si="5"/>
        <v>101</v>
      </c>
      <c r="B107" s="238" t="s">
        <v>383</v>
      </c>
      <c r="C107" s="239">
        <v>1</v>
      </c>
      <c r="D107" s="240">
        <v>3129.7</v>
      </c>
      <c r="E107" s="241">
        <f t="shared" si="3"/>
        <v>3129.7</v>
      </c>
    </row>
    <row r="108" spans="1:5">
      <c r="A108" s="242">
        <f t="shared" si="5"/>
        <v>102</v>
      </c>
      <c r="B108" s="238" t="s">
        <v>384</v>
      </c>
      <c r="C108" s="239">
        <v>16</v>
      </c>
      <c r="D108" s="240">
        <v>359.81</v>
      </c>
      <c r="E108" s="241">
        <f t="shared" si="3"/>
        <v>5756.96</v>
      </c>
    </row>
    <row r="109" spans="1:5">
      <c r="A109" s="242">
        <f t="shared" si="5"/>
        <v>103</v>
      </c>
      <c r="B109" s="238" t="s">
        <v>385</v>
      </c>
      <c r="C109" s="239">
        <v>1</v>
      </c>
      <c r="D109" s="240">
        <v>980</v>
      </c>
      <c r="E109" s="241">
        <f t="shared" si="3"/>
        <v>980</v>
      </c>
    </row>
    <row r="110" spans="1:5">
      <c r="A110" s="242">
        <f t="shared" si="5"/>
        <v>104</v>
      </c>
      <c r="B110" s="238" t="s">
        <v>386</v>
      </c>
      <c r="C110" s="239">
        <v>2</v>
      </c>
      <c r="D110" s="240">
        <v>139.62</v>
      </c>
      <c r="E110" s="241">
        <f t="shared" si="3"/>
        <v>279.24</v>
      </c>
    </row>
    <row r="111" ht="25.5" spans="1:5">
      <c r="A111" s="242">
        <f t="shared" si="5"/>
        <v>105</v>
      </c>
      <c r="B111" s="238" t="s">
        <v>387</v>
      </c>
      <c r="C111" s="239">
        <v>8</v>
      </c>
      <c r="D111" s="240">
        <v>869.37</v>
      </c>
      <c r="E111" s="241">
        <f t="shared" si="3"/>
        <v>6954.96</v>
      </c>
    </row>
    <row r="112" ht="38.25" spans="1:5">
      <c r="A112" s="242">
        <f t="shared" si="5"/>
        <v>106</v>
      </c>
      <c r="B112" s="238" t="s">
        <v>388</v>
      </c>
      <c r="C112" s="239">
        <v>2</v>
      </c>
      <c r="D112" s="240">
        <v>4131</v>
      </c>
      <c r="E112" s="241">
        <f t="shared" si="3"/>
        <v>8262</v>
      </c>
    </row>
    <row r="113" spans="1:5">
      <c r="A113" s="242">
        <f t="shared" si="5"/>
        <v>107</v>
      </c>
      <c r="B113" s="238" t="s">
        <v>389</v>
      </c>
      <c r="C113" s="239">
        <v>3</v>
      </c>
      <c r="D113" s="240">
        <v>89.48</v>
      </c>
      <c r="E113" s="241">
        <f t="shared" si="3"/>
        <v>268.44</v>
      </c>
    </row>
    <row r="114" spans="1:5">
      <c r="A114" s="242">
        <f t="shared" si="5"/>
        <v>108</v>
      </c>
      <c r="B114" s="238" t="s">
        <v>390</v>
      </c>
      <c r="C114" s="239">
        <v>4</v>
      </c>
      <c r="D114" s="240">
        <v>125.79</v>
      </c>
      <c r="E114" s="241">
        <f t="shared" si="3"/>
        <v>503.16</v>
      </c>
    </row>
    <row r="115" spans="1:5">
      <c r="A115" s="242">
        <f t="shared" si="5"/>
        <v>109</v>
      </c>
      <c r="B115" s="238" t="s">
        <v>391</v>
      </c>
      <c r="C115" s="239">
        <v>10</v>
      </c>
      <c r="D115" s="240">
        <v>27.39</v>
      </c>
      <c r="E115" s="241">
        <f t="shared" si="3"/>
        <v>273.9</v>
      </c>
    </row>
    <row r="116" spans="1:5">
      <c r="A116" s="242">
        <f t="shared" si="5"/>
        <v>110</v>
      </c>
      <c r="B116" s="238" t="s">
        <v>392</v>
      </c>
      <c r="C116" s="239">
        <v>8</v>
      </c>
      <c r="D116" s="240">
        <v>84.97</v>
      </c>
      <c r="E116" s="241">
        <f t="shared" si="3"/>
        <v>679.76</v>
      </c>
    </row>
    <row r="117" spans="1:5">
      <c r="A117" s="244">
        <v>111</v>
      </c>
      <c r="B117" s="245" t="s">
        <v>393</v>
      </c>
      <c r="C117" s="246">
        <v>1</v>
      </c>
      <c r="D117" s="240">
        <v>1282.72</v>
      </c>
      <c r="E117" s="247">
        <f>D117</f>
        <v>1282.72</v>
      </c>
    </row>
    <row r="118" s="222" customFormat="1" ht="12.75" spans="1:7">
      <c r="A118" s="242">
        <f t="shared" si="5"/>
        <v>112</v>
      </c>
      <c r="B118" s="238" t="s">
        <v>394</v>
      </c>
      <c r="C118" s="248">
        <v>1</v>
      </c>
      <c r="D118" s="249">
        <v>1289.76</v>
      </c>
      <c r="E118" s="241">
        <f t="shared" si="3"/>
        <v>1289.76</v>
      </c>
      <c r="F118" s="250"/>
      <c r="G118" s="251"/>
    </row>
    <row r="119" s="222" customFormat="1" ht="12.75" spans="1:7">
      <c r="A119" s="242">
        <f t="shared" si="5"/>
        <v>113</v>
      </c>
      <c r="B119" s="238" t="s">
        <v>395</v>
      </c>
      <c r="C119" s="248">
        <v>1</v>
      </c>
      <c r="D119" s="249">
        <v>948.75</v>
      </c>
      <c r="E119" s="241">
        <f t="shared" si="3"/>
        <v>948.75</v>
      </c>
      <c r="F119" s="250"/>
      <c r="G119" s="251"/>
    </row>
    <row r="120" s="222" customFormat="1" ht="12.75" spans="1:7">
      <c r="A120" s="244">
        <v>114</v>
      </c>
      <c r="B120" s="238" t="s">
        <v>396</v>
      </c>
      <c r="C120" s="248">
        <v>1</v>
      </c>
      <c r="D120" s="249">
        <v>3956.27</v>
      </c>
      <c r="E120" s="241">
        <f t="shared" si="3"/>
        <v>3956.27</v>
      </c>
      <c r="F120" s="250"/>
      <c r="G120" s="251"/>
    </row>
    <row r="121" s="222" customFormat="1" ht="26.25" spans="1:7">
      <c r="A121" s="252">
        <v>115</v>
      </c>
      <c r="B121" s="253" t="s">
        <v>397</v>
      </c>
      <c r="C121" s="254">
        <v>5</v>
      </c>
      <c r="D121" s="255">
        <v>155.65</v>
      </c>
      <c r="E121" s="256">
        <f t="shared" si="3"/>
        <v>778.25</v>
      </c>
      <c r="F121" s="257"/>
      <c r="G121" s="251"/>
    </row>
    <row r="122" spans="1:5">
      <c r="A122" s="258" t="s">
        <v>398</v>
      </c>
      <c r="B122" s="259"/>
      <c r="C122" s="259"/>
      <c r="D122" s="259"/>
      <c r="E122" s="260">
        <f>SUM(E8:E121)</f>
        <v>105496.9</v>
      </c>
    </row>
    <row r="123" spans="1:5">
      <c r="A123" s="261" t="s">
        <v>399</v>
      </c>
      <c r="B123" s="262"/>
      <c r="C123" s="262"/>
      <c r="D123" s="262"/>
      <c r="E123" s="263">
        <v>0.2</v>
      </c>
    </row>
    <row r="124" spans="1:5">
      <c r="A124" s="261" t="s">
        <v>400</v>
      </c>
      <c r="B124" s="262"/>
      <c r="C124" s="262"/>
      <c r="D124" s="262"/>
      <c r="E124" s="264">
        <f>ROUND(E122*E123,2)</f>
        <v>21099.38</v>
      </c>
    </row>
    <row r="125" ht="15.75" spans="1:5">
      <c r="A125" s="265" t="s">
        <v>401</v>
      </c>
      <c r="B125" s="266"/>
      <c r="C125" s="266"/>
      <c r="D125" s="266"/>
      <c r="E125" s="267">
        <f>ROUND(E124/12,2)</f>
        <v>1758.28</v>
      </c>
    </row>
    <row r="126" spans="1:5">
      <c r="A126" s="257"/>
      <c r="B126" s="268"/>
      <c r="C126" s="257"/>
      <c r="D126" s="257"/>
      <c r="E126" s="257"/>
    </row>
    <row r="127" ht="65.25" customHeight="1" spans="1:5">
      <c r="A127" s="269" t="s">
        <v>402</v>
      </c>
      <c r="B127" s="269"/>
      <c r="C127" s="269"/>
      <c r="D127" s="269"/>
      <c r="E127" s="269"/>
    </row>
    <row r="128" spans="1:5">
      <c r="A128" s="270"/>
      <c r="B128" s="270"/>
      <c r="C128" s="270"/>
      <c r="D128" s="270"/>
      <c r="E128" s="270"/>
    </row>
    <row r="129" ht="16.5" spans="1:5">
      <c r="A129" s="233"/>
      <c r="B129" s="233"/>
      <c r="C129" s="233"/>
      <c r="D129" s="233"/>
      <c r="E129" s="233"/>
    </row>
    <row r="130" spans="1:6">
      <c r="A130" s="271" t="s">
        <v>403</v>
      </c>
      <c r="B130" s="272"/>
      <c r="C130" s="272"/>
      <c r="D130" s="272"/>
      <c r="E130" s="272"/>
      <c r="F130" s="273"/>
    </row>
    <row r="131" ht="38.25" spans="1:6">
      <c r="A131" s="274" t="s">
        <v>404</v>
      </c>
      <c r="B131" s="275" t="s">
        <v>181</v>
      </c>
      <c r="C131" s="276"/>
      <c r="D131" s="277" t="s">
        <v>405</v>
      </c>
      <c r="E131" s="277" t="s">
        <v>406</v>
      </c>
      <c r="F131" s="278" t="s">
        <v>407</v>
      </c>
    </row>
    <row r="132" ht="55.5" customHeight="1" spans="1:6">
      <c r="A132" s="279">
        <v>1</v>
      </c>
      <c r="B132" s="280" t="s">
        <v>408</v>
      </c>
      <c r="C132" s="280"/>
      <c r="D132" s="281">
        <v>1</v>
      </c>
      <c r="E132" s="282">
        <v>217205</v>
      </c>
      <c r="F132" s="283" t="s">
        <v>409</v>
      </c>
    </row>
    <row r="133" ht="46.5" customHeight="1" spans="1:6">
      <c r="A133" s="279">
        <v>2</v>
      </c>
      <c r="B133" s="280" t="s">
        <v>410</v>
      </c>
      <c r="C133" s="280"/>
      <c r="D133" s="281">
        <v>1</v>
      </c>
      <c r="E133" s="284">
        <v>80289</v>
      </c>
      <c r="F133" s="283" t="s">
        <v>409</v>
      </c>
    </row>
    <row r="134" ht="48.75" customHeight="1" spans="1:6">
      <c r="A134" s="279">
        <v>3</v>
      </c>
      <c r="B134" s="280" t="s">
        <v>411</v>
      </c>
      <c r="C134" s="280"/>
      <c r="D134" s="281">
        <v>1</v>
      </c>
      <c r="E134" s="284">
        <v>81007</v>
      </c>
      <c r="F134" s="283" t="s">
        <v>409</v>
      </c>
    </row>
    <row r="135" spans="1:6">
      <c r="A135" s="285" t="s">
        <v>412</v>
      </c>
      <c r="B135" s="286"/>
      <c r="C135" s="286"/>
      <c r="D135" s="286"/>
      <c r="E135" s="287">
        <f>(E132+E133+E134)/60</f>
        <v>6308.35</v>
      </c>
      <c r="F135" s="288"/>
    </row>
    <row r="136" spans="1:6">
      <c r="A136" s="289"/>
      <c r="B136" s="290"/>
      <c r="C136" s="290"/>
      <c r="D136" s="290"/>
      <c r="E136" s="291"/>
      <c r="F136" s="292"/>
    </row>
    <row r="137" spans="1:6">
      <c r="A137" s="293" t="s">
        <v>413</v>
      </c>
      <c r="B137" s="294"/>
      <c r="C137" s="294"/>
      <c r="D137" s="294"/>
      <c r="E137" s="294"/>
      <c r="F137" s="295"/>
    </row>
    <row r="138" spans="1:6">
      <c r="A138" s="296" t="s">
        <v>404</v>
      </c>
      <c r="B138" s="297" t="s">
        <v>414</v>
      </c>
      <c r="C138" s="297" t="s">
        <v>415</v>
      </c>
      <c r="D138" s="297" t="s">
        <v>416</v>
      </c>
      <c r="E138" s="298" t="s">
        <v>417</v>
      </c>
      <c r="F138" s="299" t="s">
        <v>418</v>
      </c>
    </row>
    <row r="139" ht="38.25" customHeight="1" spans="1:6">
      <c r="A139" s="296"/>
      <c r="B139" s="297"/>
      <c r="C139" s="297"/>
      <c r="D139" s="297"/>
      <c r="E139" s="298"/>
      <c r="F139" s="299"/>
    </row>
    <row r="140" spans="1:6">
      <c r="A140" s="300">
        <v>1</v>
      </c>
      <c r="B140" s="301">
        <v>8.7</v>
      </c>
      <c r="C140" s="302" t="s">
        <v>419</v>
      </c>
      <c r="D140" s="303">
        <v>6.67</v>
      </c>
      <c r="E140" s="304">
        <f>2000/B140</f>
        <v>229.885057471264</v>
      </c>
      <c r="F140" s="305">
        <f>(E140*D140)+(D141*E141)</f>
        <v>5576.65211062591</v>
      </c>
    </row>
    <row r="141" spans="1:6">
      <c r="A141" s="300">
        <v>2</v>
      </c>
      <c r="B141" s="301">
        <v>11.1</v>
      </c>
      <c r="C141" s="302" t="s">
        <v>420</v>
      </c>
      <c r="D141" s="303">
        <v>7.716</v>
      </c>
      <c r="E141" s="304">
        <f>6000/((B141+B142)/2)</f>
        <v>524.017467248908</v>
      </c>
      <c r="F141" s="305"/>
    </row>
    <row r="142" spans="1:6">
      <c r="A142" s="300">
        <v>3</v>
      </c>
      <c r="B142" s="281">
        <v>11.8</v>
      </c>
      <c r="C142" s="302"/>
      <c r="D142" s="303"/>
      <c r="E142" s="304"/>
      <c r="F142" s="305"/>
    </row>
    <row r="143" spans="1:6">
      <c r="A143" s="306"/>
      <c r="B143" s="307"/>
      <c r="C143" s="308"/>
      <c r="D143" s="308"/>
      <c r="E143" s="308"/>
      <c r="F143" s="309"/>
    </row>
    <row r="144" spans="1:6">
      <c r="A144" s="310" t="s">
        <v>421</v>
      </c>
      <c r="B144" s="6"/>
      <c r="C144" s="6"/>
      <c r="D144" s="6"/>
      <c r="E144" s="311" t="s">
        <v>422</v>
      </c>
      <c r="F144" s="312" t="s">
        <v>423</v>
      </c>
    </row>
    <row r="145" spans="1:6">
      <c r="A145" s="310"/>
      <c r="B145" s="6"/>
      <c r="C145" s="6"/>
      <c r="D145" s="6"/>
      <c r="E145" s="313">
        <f>E135+F140</f>
        <v>11885.0021106259</v>
      </c>
      <c r="F145" s="314">
        <f>E145*12</f>
        <v>142620.025327511</v>
      </c>
    </row>
    <row r="146" spans="1:6">
      <c r="A146" s="315" t="s">
        <v>424</v>
      </c>
      <c r="B146" s="315"/>
      <c r="C146" s="315"/>
      <c r="D146" s="315"/>
      <c r="E146" s="316">
        <f>E125</f>
        <v>1758.28</v>
      </c>
      <c r="F146" s="317">
        <f>12*E146</f>
        <v>21099.36</v>
      </c>
    </row>
    <row r="147" ht="15.75" spans="1:6">
      <c r="A147" s="318" t="s">
        <v>425</v>
      </c>
      <c r="B147" s="319"/>
      <c r="C147" s="319"/>
      <c r="D147" s="319"/>
      <c r="E147" s="319"/>
      <c r="F147" s="320"/>
    </row>
  </sheetData>
  <mergeCells count="32">
    <mergeCell ref="A1:E1"/>
    <mergeCell ref="A2:E2"/>
    <mergeCell ref="A4:E4"/>
    <mergeCell ref="A5:E5"/>
    <mergeCell ref="A6:E6"/>
    <mergeCell ref="A122:D122"/>
    <mergeCell ref="A123:D123"/>
    <mergeCell ref="A124:D124"/>
    <mergeCell ref="A125:D125"/>
    <mergeCell ref="A127:E127"/>
    <mergeCell ref="A129:E129"/>
    <mergeCell ref="A130:F130"/>
    <mergeCell ref="B131:C131"/>
    <mergeCell ref="B132:C132"/>
    <mergeCell ref="B133:C133"/>
    <mergeCell ref="B134:C134"/>
    <mergeCell ref="A135:D135"/>
    <mergeCell ref="E135:F135"/>
    <mergeCell ref="A137:F137"/>
    <mergeCell ref="A146:D146"/>
    <mergeCell ref="A147:F147"/>
    <mergeCell ref="A138:A139"/>
    <mergeCell ref="B138:B139"/>
    <mergeCell ref="C138:C139"/>
    <mergeCell ref="C141:C142"/>
    <mergeCell ref="D138:D139"/>
    <mergeCell ref="D141:D142"/>
    <mergeCell ref="E138:E139"/>
    <mergeCell ref="E141:E142"/>
    <mergeCell ref="F138:F139"/>
    <mergeCell ref="F140:F142"/>
    <mergeCell ref="A144:D145"/>
  </mergeCells>
  <pageMargins left="0.511811024" right="0.511811024" top="0.787401575" bottom="0.787401575" header="0.31496062" footer="0.31496062"/>
  <pageSetup paperSize="9" scale="76" orientation="portrait"/>
  <headerFooter>
    <oddHeader>&amp;L&amp;G&amp;CProcesso 23069.154758/2022-91
PE 57/2022&amp;R&amp;G</oddHeader>
    <oddFooter>&amp;L&amp;"-,Itálico"&amp;9&amp;A&amp;R&amp;"-,Itálico"&amp;9Página &amp;P de &amp;N</oddFooter>
  </headerFooter>
  <drawing r:id="rId1"/>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0"/>
  <sheetViews>
    <sheetView topLeftCell="A101" workbookViewId="0">
      <selection activeCell="D105" sqref="D105"/>
    </sheetView>
  </sheetViews>
  <sheetFormatPr defaultColWidth="8.85714285714286" defaultRowHeight="15"/>
  <cols>
    <col min="1" max="1" width="6.42857142857143" customWidth="1"/>
    <col min="2" max="2" width="62.1428571428571" customWidth="1"/>
    <col min="3" max="3" width="11.1428571428571" customWidth="1"/>
    <col min="4" max="6" width="18.4285714285714" customWidth="1"/>
    <col min="7" max="8" width="15.4285714285714" customWidth="1"/>
    <col min="9" max="9" width="12.7142857142857" customWidth="1"/>
    <col min="10" max="10" width="10.5714285714286" customWidth="1"/>
  </cols>
  <sheetData>
    <row r="1" ht="18" customHeight="1" spans="1:6">
      <c r="A1" s="1" t="s">
        <v>0</v>
      </c>
      <c r="B1" s="1"/>
      <c r="C1" s="1"/>
      <c r="D1" s="1"/>
      <c r="E1" s="1"/>
      <c r="F1" s="1"/>
    </row>
    <row r="2" ht="18.75" spans="1:6">
      <c r="A2" s="2" t="s">
        <v>1</v>
      </c>
      <c r="B2" s="2"/>
      <c r="C2" s="2"/>
      <c r="D2" s="2"/>
      <c r="E2" s="2"/>
      <c r="F2" s="2"/>
    </row>
    <row r="4" ht="14.45" customHeight="1" spans="1:6">
      <c r="A4" s="41" t="s">
        <v>426</v>
      </c>
      <c r="B4" s="41"/>
      <c r="C4" s="41"/>
      <c r="D4" s="41"/>
      <c r="E4" s="41"/>
      <c r="F4" s="41"/>
    </row>
    <row r="5" ht="38.45" customHeight="1" spans="1:6">
      <c r="A5" s="42" t="s">
        <v>2</v>
      </c>
      <c r="B5" s="42"/>
      <c r="C5" s="42"/>
      <c r="D5" s="42"/>
      <c r="E5" s="42"/>
      <c r="F5" s="42"/>
    </row>
    <row r="6" spans="1:6">
      <c r="A6" s="43" t="s">
        <v>427</v>
      </c>
      <c r="B6" s="43"/>
      <c r="C6" s="43"/>
      <c r="D6" s="43"/>
      <c r="E6" s="43"/>
      <c r="F6" s="43"/>
    </row>
    <row r="7" ht="15.75" spans="1:6">
      <c r="A7" s="43" t="s">
        <v>428</v>
      </c>
      <c r="B7" s="43"/>
      <c r="C7" s="43"/>
      <c r="D7" s="43"/>
      <c r="E7" s="43"/>
      <c r="F7" s="43"/>
    </row>
    <row r="8" spans="1:6">
      <c r="A8" s="44" t="s">
        <v>429</v>
      </c>
      <c r="B8" s="45"/>
      <c r="C8" s="46" t="s">
        <v>430</v>
      </c>
      <c r="D8" s="46"/>
      <c r="E8" s="46"/>
      <c r="F8" s="47"/>
    </row>
    <row r="9" ht="15.75" spans="1:6">
      <c r="A9" s="48"/>
      <c r="B9" s="49"/>
      <c r="C9" s="50"/>
      <c r="D9" s="50"/>
      <c r="E9" s="50"/>
      <c r="F9" s="51"/>
    </row>
    <row r="10" ht="15.75" spans="1:4">
      <c r="A10" s="52"/>
      <c r="B10" s="53"/>
      <c r="C10" s="54"/>
      <c r="D10" s="54"/>
    </row>
    <row r="11" spans="1:6">
      <c r="A11" s="55" t="s">
        <v>431</v>
      </c>
      <c r="B11" s="56"/>
      <c r="C11" s="56"/>
      <c r="D11" s="56"/>
      <c r="E11" s="56"/>
      <c r="F11" s="57"/>
    </row>
    <row r="12" spans="1:6">
      <c r="A12" s="58" t="s">
        <v>432</v>
      </c>
      <c r="B12" s="59"/>
      <c r="C12" s="60"/>
      <c r="D12" s="60"/>
      <c r="E12" s="60"/>
      <c r="F12" s="61"/>
    </row>
    <row r="13" spans="1:6">
      <c r="A13" s="58" t="s">
        <v>433</v>
      </c>
      <c r="B13" s="59"/>
      <c r="C13" s="60"/>
      <c r="D13" s="60"/>
      <c r="E13" s="60"/>
      <c r="F13" s="61"/>
    </row>
    <row r="14" spans="1:6">
      <c r="A14" s="62" t="s">
        <v>434</v>
      </c>
      <c r="B14" s="63"/>
      <c r="C14" s="60"/>
      <c r="D14" s="60"/>
      <c r="E14" s="60"/>
      <c r="F14" s="61"/>
    </row>
    <row r="15" spans="1:6">
      <c r="A15" s="58" t="s">
        <v>435</v>
      </c>
      <c r="B15" s="59"/>
      <c r="C15" s="60"/>
      <c r="D15" s="60"/>
      <c r="E15" s="60"/>
      <c r="F15" s="61"/>
    </row>
    <row r="16" ht="15.75" spans="1:6">
      <c r="A16" s="64" t="s">
        <v>436</v>
      </c>
      <c r="B16" s="65"/>
      <c r="C16" s="66"/>
      <c r="D16" s="66"/>
      <c r="E16" s="66"/>
      <c r="F16" s="67"/>
    </row>
    <row r="17" ht="15.75" spans="1:4">
      <c r="A17" s="52"/>
      <c r="B17" s="53"/>
      <c r="C17" s="54"/>
      <c r="D17" s="54"/>
    </row>
    <row r="18" spans="1:6">
      <c r="A18" s="68" t="s">
        <v>437</v>
      </c>
      <c r="B18" s="69"/>
      <c r="C18" s="69"/>
      <c r="D18" s="70"/>
      <c r="E18" s="71"/>
      <c r="F18" s="71"/>
    </row>
    <row r="19" ht="30" spans="1:4">
      <c r="A19" s="72" t="s">
        <v>438</v>
      </c>
      <c r="B19" s="73" t="s">
        <v>439</v>
      </c>
      <c r="C19" s="74" t="s">
        <v>440</v>
      </c>
      <c r="D19" s="75" t="s">
        <v>441</v>
      </c>
    </row>
    <row r="20" spans="1:4">
      <c r="A20" s="76">
        <v>20.88</v>
      </c>
      <c r="B20" s="77" t="s">
        <v>442</v>
      </c>
      <c r="C20" s="78" t="s">
        <v>443</v>
      </c>
      <c r="D20" s="79">
        <v>3583.24</v>
      </c>
    </row>
    <row r="21" spans="1:4">
      <c r="A21" s="76">
        <v>20.88</v>
      </c>
      <c r="B21" s="77" t="s">
        <v>19</v>
      </c>
      <c r="C21" s="78" t="s">
        <v>444</v>
      </c>
      <c r="D21" s="79">
        <v>2915.86</v>
      </c>
    </row>
    <row r="22" spans="1:4">
      <c r="A22" s="76">
        <v>20.88</v>
      </c>
      <c r="B22" s="77" t="s">
        <v>20</v>
      </c>
      <c r="C22" s="78" t="s">
        <v>445</v>
      </c>
      <c r="D22" s="79">
        <v>2144.75</v>
      </c>
    </row>
    <row r="23" spans="1:4">
      <c r="A23" s="76">
        <v>15.21</v>
      </c>
      <c r="B23" s="77" t="s">
        <v>21</v>
      </c>
      <c r="C23" s="78" t="s">
        <v>445</v>
      </c>
      <c r="D23" s="79">
        <v>2144.75</v>
      </c>
    </row>
    <row r="24" ht="15.75" spans="1:4">
      <c r="A24" s="80">
        <v>20.88</v>
      </c>
      <c r="B24" s="81" t="s">
        <v>446</v>
      </c>
      <c r="C24" s="82" t="s">
        <v>445</v>
      </c>
      <c r="D24" s="83">
        <v>1567.57</v>
      </c>
    </row>
    <row r="25" spans="1:4">
      <c r="A25" s="52"/>
      <c r="B25" s="52"/>
      <c r="C25" s="84"/>
      <c r="D25" s="85"/>
    </row>
    <row r="26" ht="15.75" spans="1:4">
      <c r="A26" s="52"/>
      <c r="B26" s="52"/>
      <c r="C26" s="85"/>
      <c r="D26" s="85"/>
    </row>
    <row r="27" ht="38.25" spans="1:8">
      <c r="A27" s="86" t="s">
        <v>447</v>
      </c>
      <c r="B27" s="87"/>
      <c r="C27" s="87"/>
      <c r="D27" s="88" t="s">
        <v>442</v>
      </c>
      <c r="E27" s="88" t="s">
        <v>19</v>
      </c>
      <c r="F27" s="88" t="s">
        <v>20</v>
      </c>
      <c r="G27" s="88" t="s">
        <v>21</v>
      </c>
      <c r="H27" s="136" t="s">
        <v>22</v>
      </c>
    </row>
    <row r="28" spans="1:8">
      <c r="A28" s="89">
        <v>1</v>
      </c>
      <c r="B28" s="90" t="s">
        <v>448</v>
      </c>
      <c r="C28" s="90"/>
      <c r="D28" s="91" t="s">
        <v>449</v>
      </c>
      <c r="E28" s="91" t="s">
        <v>449</v>
      </c>
      <c r="F28" s="91" t="s">
        <v>449</v>
      </c>
      <c r="G28" s="91" t="s">
        <v>449</v>
      </c>
      <c r="H28" s="137" t="s">
        <v>449</v>
      </c>
    </row>
    <row r="29" spans="1:8">
      <c r="A29" s="92" t="s">
        <v>450</v>
      </c>
      <c r="B29" s="93" t="s">
        <v>451</v>
      </c>
      <c r="C29" s="93"/>
      <c r="D29" s="113">
        <f>D20</f>
        <v>3583.24</v>
      </c>
      <c r="E29" s="113">
        <f>D21</f>
        <v>2915.86</v>
      </c>
      <c r="F29" s="113">
        <f>D22</f>
        <v>2144.75</v>
      </c>
      <c r="G29" s="113">
        <f>D23</f>
        <v>2144.75</v>
      </c>
      <c r="H29" s="216">
        <f>D24</f>
        <v>1567.57</v>
      </c>
    </row>
    <row r="30" spans="1:8">
      <c r="A30" s="92" t="s">
        <v>452</v>
      </c>
      <c r="B30" s="93" t="s">
        <v>453</v>
      </c>
      <c r="C30" s="93"/>
      <c r="D30" s="95"/>
      <c r="E30" s="97"/>
      <c r="F30" s="97"/>
      <c r="G30" s="97"/>
      <c r="H30" s="139"/>
    </row>
    <row r="31" spans="1:8">
      <c r="A31" s="92" t="s">
        <v>454</v>
      </c>
      <c r="B31" s="93" t="s">
        <v>455</v>
      </c>
      <c r="C31" s="93"/>
      <c r="D31" s="95"/>
      <c r="E31" s="98"/>
      <c r="F31" s="97"/>
      <c r="G31" s="97"/>
      <c r="H31" s="139"/>
    </row>
    <row r="32" spans="1:8">
      <c r="A32" s="92" t="s">
        <v>456</v>
      </c>
      <c r="B32" s="99" t="s">
        <v>457</v>
      </c>
      <c r="C32" s="99"/>
      <c r="D32" s="95"/>
      <c r="E32" s="97"/>
      <c r="F32" s="97"/>
      <c r="G32" s="97"/>
      <c r="H32" s="139"/>
    </row>
    <row r="33" spans="1:8">
      <c r="A33" s="92" t="s">
        <v>458</v>
      </c>
      <c r="B33" s="99" t="s">
        <v>459</v>
      </c>
      <c r="C33" s="99"/>
      <c r="D33" s="95"/>
      <c r="E33" s="97"/>
      <c r="F33" s="97"/>
      <c r="G33" s="97"/>
      <c r="H33" s="139"/>
    </row>
    <row r="34" spans="1:8">
      <c r="A34" s="92" t="s">
        <v>460</v>
      </c>
      <c r="B34" s="100" t="s">
        <v>461</v>
      </c>
      <c r="C34" s="100"/>
      <c r="D34" s="101"/>
      <c r="E34" s="102"/>
      <c r="F34" s="102"/>
      <c r="G34" s="97"/>
      <c r="H34" s="139"/>
    </row>
    <row r="35" ht="15.75" spans="1:8">
      <c r="A35" s="103"/>
      <c r="B35" s="104" t="s">
        <v>462</v>
      </c>
      <c r="C35" s="104"/>
      <c r="D35" s="105">
        <f>SUM(D29:D34)</f>
        <v>3583.24</v>
      </c>
      <c r="E35" s="105">
        <f t="shared" ref="E35:H35" si="0">SUM(E29:E34)</f>
        <v>2915.86</v>
      </c>
      <c r="F35" s="105">
        <f t="shared" si="0"/>
        <v>2144.75</v>
      </c>
      <c r="G35" s="105">
        <f t="shared" si="0"/>
        <v>2144.75</v>
      </c>
      <c r="H35" s="140">
        <f t="shared" si="0"/>
        <v>1567.57</v>
      </c>
    </row>
    <row r="36" ht="15.75" spans="1:4">
      <c r="A36" s="52"/>
      <c r="B36" s="106"/>
      <c r="C36" s="106"/>
      <c r="D36" s="106"/>
    </row>
    <row r="37" ht="38.25" spans="1:8">
      <c r="A37" s="107" t="s">
        <v>463</v>
      </c>
      <c r="B37" s="108"/>
      <c r="C37" s="108"/>
      <c r="D37" s="88" t="s">
        <v>442</v>
      </c>
      <c r="E37" s="88" t="s">
        <v>19</v>
      </c>
      <c r="F37" s="88" t="s">
        <v>20</v>
      </c>
      <c r="G37" s="88" t="s">
        <v>21</v>
      </c>
      <c r="H37" s="136" t="s">
        <v>22</v>
      </c>
    </row>
    <row r="38" spans="1:8">
      <c r="A38" s="109" t="s">
        <v>464</v>
      </c>
      <c r="B38" s="110"/>
      <c r="C38" s="111"/>
      <c r="D38" s="91" t="s">
        <v>449</v>
      </c>
      <c r="E38" s="91" t="s">
        <v>449</v>
      </c>
      <c r="F38" s="91" t="s">
        <v>449</v>
      </c>
      <c r="G38" s="91" t="s">
        <v>449</v>
      </c>
      <c r="H38" s="137" t="s">
        <v>449</v>
      </c>
    </row>
    <row r="39" spans="1:8">
      <c r="A39" s="92" t="s">
        <v>450</v>
      </c>
      <c r="B39" s="112" t="s">
        <v>465</v>
      </c>
      <c r="C39" s="112"/>
      <c r="D39" s="113">
        <f>D35*8.33%</f>
        <v>298.483892</v>
      </c>
      <c r="E39" s="113">
        <f t="shared" ref="E39:F39" si="1">E35*8.33%</f>
        <v>242.891138</v>
      </c>
      <c r="F39" s="113">
        <f t="shared" si="1"/>
        <v>178.657675</v>
      </c>
      <c r="G39" s="113">
        <f t="shared" ref="G39:H39" si="2">G35*8.33%</f>
        <v>178.657675</v>
      </c>
      <c r="H39" s="141">
        <f t="shared" si="2"/>
        <v>130.578581</v>
      </c>
    </row>
    <row r="40" spans="1:8">
      <c r="A40" s="92" t="s">
        <v>452</v>
      </c>
      <c r="B40" s="112" t="s">
        <v>466</v>
      </c>
      <c r="C40" s="112"/>
      <c r="D40" s="113">
        <f>D35*12.1%</f>
        <v>433.57204</v>
      </c>
      <c r="E40" s="113">
        <f t="shared" ref="E40:F40" si="3">E35*12.1%</f>
        <v>352.81906</v>
      </c>
      <c r="F40" s="113">
        <f t="shared" si="3"/>
        <v>259.51475</v>
      </c>
      <c r="G40" s="113">
        <f t="shared" ref="G40:H40" si="4">G35*12.1%</f>
        <v>259.51475</v>
      </c>
      <c r="H40" s="141">
        <f t="shared" si="4"/>
        <v>189.67597</v>
      </c>
    </row>
    <row r="41" spans="1:8">
      <c r="A41" s="92"/>
      <c r="B41" s="111" t="s">
        <v>398</v>
      </c>
      <c r="C41" s="111"/>
      <c r="D41" s="114">
        <f>SUM(D39:D40)</f>
        <v>732.055932</v>
      </c>
      <c r="E41" s="114">
        <f t="shared" ref="E41:F41" si="5">SUM(E39:E40)</f>
        <v>595.710198</v>
      </c>
      <c r="F41" s="114">
        <f t="shared" si="5"/>
        <v>438.172425</v>
      </c>
      <c r="G41" s="114">
        <f t="shared" ref="G41:H41" si="6">SUM(G39:G40)</f>
        <v>438.172425</v>
      </c>
      <c r="H41" s="142">
        <f t="shared" si="6"/>
        <v>320.254551</v>
      </c>
    </row>
    <row r="42" ht="45.75" spans="1:8">
      <c r="A42" s="115" t="s">
        <v>454</v>
      </c>
      <c r="B42" s="116" t="s">
        <v>467</v>
      </c>
      <c r="C42" s="116"/>
      <c r="D42" s="117">
        <f>D35*7.82%</f>
        <v>280.209368</v>
      </c>
      <c r="E42" s="117">
        <f t="shared" ref="E42:F42" si="7">E35*7.82%</f>
        <v>228.020252</v>
      </c>
      <c r="F42" s="117">
        <f t="shared" si="7"/>
        <v>167.71945</v>
      </c>
      <c r="G42" s="117">
        <f t="shared" ref="G42:H42" si="8">G35*7.82%</f>
        <v>167.71945</v>
      </c>
      <c r="H42" s="143">
        <f t="shared" si="8"/>
        <v>122.583974</v>
      </c>
    </row>
    <row r="43" ht="15.75" spans="1:4">
      <c r="A43" s="52"/>
      <c r="B43" s="52"/>
      <c r="C43" s="52"/>
      <c r="D43" s="52"/>
    </row>
    <row r="44" ht="38.25" spans="1:8">
      <c r="A44" s="118" t="s">
        <v>468</v>
      </c>
      <c r="B44" s="119"/>
      <c r="C44" s="119"/>
      <c r="D44" s="88" t="s">
        <v>442</v>
      </c>
      <c r="E44" s="88" t="s">
        <v>19</v>
      </c>
      <c r="F44" s="88" t="s">
        <v>20</v>
      </c>
      <c r="G44" s="88" t="s">
        <v>21</v>
      </c>
      <c r="H44" s="136" t="s">
        <v>22</v>
      </c>
    </row>
    <row r="45" spans="1:8">
      <c r="A45" s="89" t="s">
        <v>190</v>
      </c>
      <c r="B45" s="120" t="s">
        <v>469</v>
      </c>
      <c r="C45" s="121" t="s">
        <v>470</v>
      </c>
      <c r="D45" s="121" t="s">
        <v>449</v>
      </c>
      <c r="E45" s="121" t="s">
        <v>449</v>
      </c>
      <c r="F45" s="121" t="s">
        <v>449</v>
      </c>
      <c r="G45" s="121" t="s">
        <v>449</v>
      </c>
      <c r="H45" s="137" t="s">
        <v>449</v>
      </c>
    </row>
    <row r="46" spans="1:8">
      <c r="A46" s="92" t="s">
        <v>450</v>
      </c>
      <c r="B46" s="122" t="s">
        <v>471</v>
      </c>
      <c r="C46" s="123">
        <v>20</v>
      </c>
      <c r="D46" s="113">
        <f>(D35*($C$46/100))</f>
        <v>716.648</v>
      </c>
      <c r="E46" s="113">
        <f>(E35*($C$46/100))</f>
        <v>583.172</v>
      </c>
      <c r="F46" s="113">
        <f>(F35*($C$46/100))</f>
        <v>428.95</v>
      </c>
      <c r="G46" s="113">
        <f t="shared" ref="G46:H46" si="9">(G35*($C$46/100))</f>
        <v>428.95</v>
      </c>
      <c r="H46" s="141">
        <f t="shared" si="9"/>
        <v>313.514</v>
      </c>
    </row>
    <row r="47" spans="1:8">
      <c r="A47" s="92" t="s">
        <v>452</v>
      </c>
      <c r="B47" s="124" t="s">
        <v>472</v>
      </c>
      <c r="C47" s="125">
        <v>2.5</v>
      </c>
      <c r="D47" s="209">
        <f>(D35*($C$47/100))</f>
        <v>89.581</v>
      </c>
      <c r="E47" s="126">
        <f>(E35*($C$47/100))</f>
        <v>72.8965</v>
      </c>
      <c r="F47" s="126">
        <f>(F35*($C$47/100))</f>
        <v>53.61875</v>
      </c>
      <c r="G47" s="126">
        <f t="shared" ref="G47:H47" si="10">(G35*($C$47/100))</f>
        <v>53.61875</v>
      </c>
      <c r="H47" s="144">
        <f t="shared" si="10"/>
        <v>39.18925</v>
      </c>
    </row>
    <row r="48" spans="1:8">
      <c r="A48" s="92" t="s">
        <v>454</v>
      </c>
      <c r="B48" s="122" t="s">
        <v>473</v>
      </c>
      <c r="C48" s="123">
        <v>6</v>
      </c>
      <c r="D48" s="113">
        <f>(D$35*($C$48/100))</f>
        <v>214.9944</v>
      </c>
      <c r="E48" s="113">
        <f>(E$35*($C$48/100))</f>
        <v>174.9516</v>
      </c>
      <c r="F48" s="113">
        <f>(F$35*($C$48/100))</f>
        <v>128.685</v>
      </c>
      <c r="G48" s="113">
        <f>(G$35*($C$48/100))</f>
        <v>128.685</v>
      </c>
      <c r="H48" s="141">
        <f>(H$35*($C$48/100))</f>
        <v>94.0542</v>
      </c>
    </row>
    <row r="49" spans="1:8">
      <c r="A49" s="92" t="s">
        <v>456</v>
      </c>
      <c r="B49" s="124" t="s">
        <v>474</v>
      </c>
      <c r="C49" s="125">
        <v>1.5</v>
      </c>
      <c r="D49" s="209">
        <f>(D$35*($C$49/100))</f>
        <v>53.7486</v>
      </c>
      <c r="E49" s="209">
        <f>(E$35*($C$49/100))</f>
        <v>43.7379</v>
      </c>
      <c r="F49" s="209">
        <f>(F$35*($C$49/100))</f>
        <v>32.17125</v>
      </c>
      <c r="G49" s="209">
        <f>(G$35*($C$49/100))</f>
        <v>32.17125</v>
      </c>
      <c r="H49" s="211">
        <f>(H$35*($C$49/100))</f>
        <v>23.51355</v>
      </c>
    </row>
    <row r="50" spans="1:8">
      <c r="A50" s="92" t="s">
        <v>458</v>
      </c>
      <c r="B50" s="124" t="s">
        <v>475</v>
      </c>
      <c r="C50" s="125">
        <v>1</v>
      </c>
      <c r="D50" s="209">
        <f>(D$35*($C$50/100))</f>
        <v>35.8324</v>
      </c>
      <c r="E50" s="209">
        <f>(E$35*($C$50/100))</f>
        <v>29.1586</v>
      </c>
      <c r="F50" s="209">
        <f>(F$35*($C$50/100))</f>
        <v>21.4475</v>
      </c>
      <c r="G50" s="209">
        <f>(G$35*($C$50/100))</f>
        <v>21.4475</v>
      </c>
      <c r="H50" s="211">
        <f>(H$35*($C$50/100))</f>
        <v>15.6757</v>
      </c>
    </row>
    <row r="51" spans="1:8">
      <c r="A51" s="92" t="s">
        <v>460</v>
      </c>
      <c r="B51" s="124" t="s">
        <v>476</v>
      </c>
      <c r="C51" s="125">
        <v>0.6</v>
      </c>
      <c r="D51" s="209">
        <f>(D$35*($C$51/100))</f>
        <v>21.49944</v>
      </c>
      <c r="E51" s="209">
        <f>(E$35*($C$51/100))</f>
        <v>17.49516</v>
      </c>
      <c r="F51" s="209">
        <f>(F$35*($C$51/100))</f>
        <v>12.8685</v>
      </c>
      <c r="G51" s="209">
        <f>(G$35*($C$51/100))</f>
        <v>12.8685</v>
      </c>
      <c r="H51" s="211">
        <f>(H$35*($C$51/100))</f>
        <v>9.40542</v>
      </c>
    </row>
    <row r="52" spans="1:8">
      <c r="A52" s="92" t="s">
        <v>477</v>
      </c>
      <c r="B52" s="124" t="s">
        <v>478</v>
      </c>
      <c r="C52" s="125">
        <v>0.2</v>
      </c>
      <c r="D52" s="209">
        <f>(D$35*($C$52/100))</f>
        <v>7.16648</v>
      </c>
      <c r="E52" s="209">
        <f>(E$35*($C$52/100))</f>
        <v>5.83172</v>
      </c>
      <c r="F52" s="209">
        <f>(F$35*($C$52/100))</f>
        <v>4.2895</v>
      </c>
      <c r="G52" s="209">
        <f>(G$35*($C$52/100))</f>
        <v>4.2895</v>
      </c>
      <c r="H52" s="211">
        <f>(H$35*($C$52/100))</f>
        <v>3.13514</v>
      </c>
    </row>
    <row r="53" spans="1:8">
      <c r="A53" s="92" t="s">
        <v>479</v>
      </c>
      <c r="B53" s="122" t="s">
        <v>480</v>
      </c>
      <c r="C53" s="123">
        <v>8</v>
      </c>
      <c r="D53" s="113">
        <f>(D$35*($C$53/100))</f>
        <v>286.6592</v>
      </c>
      <c r="E53" s="113">
        <f>(E$35*($C$53/100))</f>
        <v>233.2688</v>
      </c>
      <c r="F53" s="113">
        <f>(F$35*($C$53/100))</f>
        <v>171.58</v>
      </c>
      <c r="G53" s="113">
        <f>(G$35*($C$53/100))</f>
        <v>171.58</v>
      </c>
      <c r="H53" s="141">
        <f>(H$35*($C$53/100))</f>
        <v>125.4056</v>
      </c>
    </row>
    <row r="54" ht="15.75" spans="1:8">
      <c r="A54" s="103"/>
      <c r="B54" s="127" t="s">
        <v>35</v>
      </c>
      <c r="C54" s="128">
        <f>SUM(C46:C53)</f>
        <v>39.8</v>
      </c>
      <c r="D54" s="129">
        <f>SUM(D46:D53)</f>
        <v>1426.12952</v>
      </c>
      <c r="E54" s="129">
        <f t="shared" ref="E54:G54" si="11">SUM(E46:E53)</f>
        <v>1160.51228</v>
      </c>
      <c r="F54" s="129">
        <f t="shared" si="11"/>
        <v>853.6105</v>
      </c>
      <c r="G54" s="129">
        <f t="shared" si="11"/>
        <v>853.6105</v>
      </c>
      <c r="H54" s="145">
        <f t="shared" ref="H54" si="12">SUM(H46:H53)</f>
        <v>623.89286</v>
      </c>
    </row>
    <row r="55" spans="1:4">
      <c r="A55" s="130"/>
      <c r="B55" s="131" t="s">
        <v>481</v>
      </c>
      <c r="C55" s="130"/>
      <c r="D55" s="130"/>
    </row>
    <row r="56" ht="15.75" spans="1:4">
      <c r="A56" s="130"/>
      <c r="B56" s="131"/>
      <c r="C56" s="130"/>
      <c r="D56" s="130"/>
    </row>
    <row r="57" ht="38.25" spans="1:8">
      <c r="A57" s="132" t="s">
        <v>482</v>
      </c>
      <c r="B57" s="133"/>
      <c r="C57" s="133"/>
      <c r="D57" s="88" t="s">
        <v>442</v>
      </c>
      <c r="E57" s="88" t="s">
        <v>19</v>
      </c>
      <c r="F57" s="88" t="s">
        <v>20</v>
      </c>
      <c r="G57" s="88" t="s">
        <v>21</v>
      </c>
      <c r="H57" s="136" t="s">
        <v>22</v>
      </c>
    </row>
    <row r="58" spans="1:8">
      <c r="A58" s="89" t="s">
        <v>193</v>
      </c>
      <c r="B58" s="90" t="s">
        <v>483</v>
      </c>
      <c r="C58" s="90"/>
      <c r="D58" s="91" t="s">
        <v>449</v>
      </c>
      <c r="E58" s="91" t="s">
        <v>449</v>
      </c>
      <c r="F58" s="91" t="s">
        <v>449</v>
      </c>
      <c r="G58" s="91" t="s">
        <v>449</v>
      </c>
      <c r="H58" s="137" t="s">
        <v>449</v>
      </c>
    </row>
    <row r="59" spans="1:8">
      <c r="A59" s="92" t="s">
        <v>450</v>
      </c>
      <c r="B59" s="134" t="s">
        <v>484</v>
      </c>
      <c r="C59" s="134"/>
      <c r="D59" s="135">
        <f>(4.45*4*A20)-(6%*D20)</f>
        <v>156.6696</v>
      </c>
      <c r="E59" s="135">
        <f>(4.45*4*A21)-(6%*D21)</f>
        <v>196.7124</v>
      </c>
      <c r="F59" s="135">
        <f>(4.45*4*A22)-(6%*D22)</f>
        <v>242.979</v>
      </c>
      <c r="G59" s="135">
        <f>(4.45*4*A23)-(6%*D23)</f>
        <v>142.053</v>
      </c>
      <c r="H59" s="146">
        <f>(4.45*4*A24)-(6%*D24)</f>
        <v>277.6098</v>
      </c>
    </row>
    <row r="60" spans="1:8">
      <c r="A60" s="92" t="s">
        <v>452</v>
      </c>
      <c r="B60" s="93" t="s">
        <v>485</v>
      </c>
      <c r="C60" s="93"/>
      <c r="D60" s="135">
        <v>330</v>
      </c>
      <c r="E60" s="135">
        <v>330</v>
      </c>
      <c r="F60" s="135">
        <v>330</v>
      </c>
      <c r="G60" s="135">
        <v>330</v>
      </c>
      <c r="H60" s="135">
        <v>330</v>
      </c>
    </row>
    <row r="61" spans="1:8">
      <c r="A61" s="92" t="s">
        <v>454</v>
      </c>
      <c r="B61" s="93" t="s">
        <v>486</v>
      </c>
      <c r="C61" s="93"/>
      <c r="D61" s="135">
        <v>0</v>
      </c>
      <c r="E61" s="94">
        <f>E55</f>
        <v>0</v>
      </c>
      <c r="F61" s="94">
        <f>F55</f>
        <v>0</v>
      </c>
      <c r="G61" s="94">
        <f>G55</f>
        <v>0</v>
      </c>
      <c r="H61" s="138">
        <f>H55</f>
        <v>0</v>
      </c>
    </row>
    <row r="62" spans="1:8">
      <c r="A62" s="92" t="s">
        <v>456</v>
      </c>
      <c r="B62" s="93" t="s">
        <v>487</v>
      </c>
      <c r="C62" s="93"/>
      <c r="D62" s="135">
        <v>20</v>
      </c>
      <c r="E62" s="135">
        <v>20</v>
      </c>
      <c r="F62" s="135">
        <v>20</v>
      </c>
      <c r="G62" s="135">
        <v>20</v>
      </c>
      <c r="H62" s="146">
        <v>20</v>
      </c>
    </row>
    <row r="63" ht="15.75" spans="1:8">
      <c r="A63" s="103"/>
      <c r="B63" s="104" t="s">
        <v>488</v>
      </c>
      <c r="C63" s="104"/>
      <c r="D63" s="105">
        <f t="shared" ref="D63:F63" si="13">SUM(D59:D62)</f>
        <v>506.6696</v>
      </c>
      <c r="E63" s="105">
        <f t="shared" si="13"/>
        <v>546.7124</v>
      </c>
      <c r="F63" s="105">
        <f t="shared" si="13"/>
        <v>592.979</v>
      </c>
      <c r="G63" s="105">
        <f t="shared" ref="G63:H63" si="14">SUM(G59:G62)</f>
        <v>492.053</v>
      </c>
      <c r="H63" s="140">
        <f t="shared" si="14"/>
        <v>627.6098</v>
      </c>
    </row>
    <row r="64" ht="15.75" spans="1:4">
      <c r="A64" s="130"/>
      <c r="B64" s="147"/>
      <c r="C64" s="148"/>
      <c r="D64" s="148"/>
    </row>
    <row r="65" ht="38.25" spans="1:8">
      <c r="A65" s="107" t="s">
        <v>489</v>
      </c>
      <c r="B65" s="108"/>
      <c r="C65" s="108"/>
      <c r="D65" s="88" t="s">
        <v>442</v>
      </c>
      <c r="E65" s="88" t="s">
        <v>19</v>
      </c>
      <c r="F65" s="88" t="s">
        <v>20</v>
      </c>
      <c r="G65" s="88" t="s">
        <v>21</v>
      </c>
      <c r="H65" s="136" t="s">
        <v>22</v>
      </c>
    </row>
    <row r="66" spans="1:8">
      <c r="A66" s="149">
        <v>2</v>
      </c>
      <c r="B66" s="90" t="s">
        <v>490</v>
      </c>
      <c r="C66" s="90"/>
      <c r="D66" s="150" t="s">
        <v>491</v>
      </c>
      <c r="E66" s="150" t="s">
        <v>491</v>
      </c>
      <c r="F66" s="150" t="s">
        <v>491</v>
      </c>
      <c r="G66" s="150" t="s">
        <v>491</v>
      </c>
      <c r="H66" s="137" t="s">
        <v>449</v>
      </c>
    </row>
    <row r="67" spans="1:8">
      <c r="A67" s="149" t="s">
        <v>187</v>
      </c>
      <c r="B67" s="93" t="s">
        <v>492</v>
      </c>
      <c r="C67" s="93"/>
      <c r="D67" s="94">
        <f t="shared" ref="D67:F67" si="15">D41</f>
        <v>732.055932</v>
      </c>
      <c r="E67" s="94">
        <f t="shared" si="15"/>
        <v>595.710198</v>
      </c>
      <c r="F67" s="94">
        <f t="shared" si="15"/>
        <v>438.172425</v>
      </c>
      <c r="G67" s="94">
        <f t="shared" ref="G67:H67" si="16">G41</f>
        <v>438.172425</v>
      </c>
      <c r="H67" s="138">
        <f t="shared" si="16"/>
        <v>320.254551</v>
      </c>
    </row>
    <row r="68" spans="1:8">
      <c r="A68" s="149" t="s">
        <v>190</v>
      </c>
      <c r="B68" s="93" t="s">
        <v>469</v>
      </c>
      <c r="C68" s="93"/>
      <c r="D68" s="94">
        <f t="shared" ref="D68:F68" si="17">D54+D42</f>
        <v>1706.338888</v>
      </c>
      <c r="E68" s="94">
        <f t="shared" si="17"/>
        <v>1388.532532</v>
      </c>
      <c r="F68" s="94">
        <f t="shared" si="17"/>
        <v>1021.32995</v>
      </c>
      <c r="G68" s="94">
        <f t="shared" ref="G68:H68" si="18">G54+G42</f>
        <v>1021.32995</v>
      </c>
      <c r="H68" s="138">
        <f t="shared" si="18"/>
        <v>746.476834</v>
      </c>
    </row>
    <row r="69" spans="1:8">
      <c r="A69" s="149" t="s">
        <v>193</v>
      </c>
      <c r="B69" s="93" t="s">
        <v>483</v>
      </c>
      <c r="C69" s="93"/>
      <c r="D69" s="94">
        <f t="shared" ref="D69:F69" si="19">D63</f>
        <v>506.6696</v>
      </c>
      <c r="E69" s="94">
        <f t="shared" si="19"/>
        <v>546.7124</v>
      </c>
      <c r="F69" s="94">
        <f t="shared" si="19"/>
        <v>592.979</v>
      </c>
      <c r="G69" s="94">
        <f t="shared" ref="G69:H69" si="20">G63</f>
        <v>492.053</v>
      </c>
      <c r="H69" s="138">
        <f t="shared" si="20"/>
        <v>627.6098</v>
      </c>
    </row>
    <row r="70" ht="15.75" spans="1:8">
      <c r="A70" s="151"/>
      <c r="B70" s="104" t="s">
        <v>398</v>
      </c>
      <c r="C70" s="104"/>
      <c r="D70" s="105">
        <f t="shared" ref="D70:F70" si="21">SUM(D67:D69)</f>
        <v>2945.06442</v>
      </c>
      <c r="E70" s="105">
        <f t="shared" si="21"/>
        <v>2530.95513</v>
      </c>
      <c r="F70" s="105">
        <f t="shared" si="21"/>
        <v>2052.481375</v>
      </c>
      <c r="G70" s="105">
        <f t="shared" ref="G70:H70" si="22">SUM(G67:G69)</f>
        <v>1951.555375</v>
      </c>
      <c r="H70" s="140">
        <f t="shared" si="22"/>
        <v>1694.341185</v>
      </c>
    </row>
    <row r="71" ht="15.75" spans="1:4">
      <c r="A71" s="52"/>
      <c r="B71" s="152"/>
      <c r="C71" s="148"/>
      <c r="D71" s="148"/>
    </row>
    <row r="72" ht="38.25" spans="1:8">
      <c r="A72" s="107" t="s">
        <v>493</v>
      </c>
      <c r="B72" s="108"/>
      <c r="C72" s="108"/>
      <c r="D72" s="88" t="s">
        <v>442</v>
      </c>
      <c r="E72" s="88" t="s">
        <v>19</v>
      </c>
      <c r="F72" s="88" t="s">
        <v>20</v>
      </c>
      <c r="G72" s="88" t="s">
        <v>21</v>
      </c>
      <c r="H72" s="136" t="s">
        <v>22</v>
      </c>
    </row>
    <row r="73" spans="1:8">
      <c r="A73" s="89">
        <v>3</v>
      </c>
      <c r="B73" s="153" t="s">
        <v>494</v>
      </c>
      <c r="C73" s="153"/>
      <c r="D73" s="121" t="s">
        <v>449</v>
      </c>
      <c r="E73" s="121" t="s">
        <v>449</v>
      </c>
      <c r="F73" s="121" t="s">
        <v>449</v>
      </c>
      <c r="G73" s="121" t="s">
        <v>449</v>
      </c>
      <c r="H73" s="137" t="s">
        <v>449</v>
      </c>
    </row>
    <row r="74" spans="1:8">
      <c r="A74" s="92" t="s">
        <v>450</v>
      </c>
      <c r="B74" s="99" t="s">
        <v>495</v>
      </c>
      <c r="C74" s="99"/>
      <c r="D74" s="113">
        <f t="shared" ref="D74:F74" si="23">((D35+D39+D40)/12)*5%</f>
        <v>17.9803997166667</v>
      </c>
      <c r="E74" s="113">
        <f t="shared" si="23"/>
        <v>14.6315424916667</v>
      </c>
      <c r="F74" s="113">
        <f t="shared" si="23"/>
        <v>10.7621767708333</v>
      </c>
      <c r="G74" s="113">
        <f t="shared" ref="G74:H74" si="24">((G35+G39+G40)/12)*5%</f>
        <v>10.7621767708333</v>
      </c>
      <c r="H74" s="141">
        <f t="shared" si="24"/>
        <v>7.86593562916667</v>
      </c>
    </row>
    <row r="75" spans="1:8">
      <c r="A75" s="92" t="s">
        <v>452</v>
      </c>
      <c r="B75" s="99" t="s">
        <v>496</v>
      </c>
      <c r="C75" s="99"/>
      <c r="D75" s="113">
        <f t="shared" ref="D75:F75" si="25">((D35+D39)/12)*5%*8%</f>
        <v>1.293907964</v>
      </c>
      <c r="E75" s="113">
        <f t="shared" si="25"/>
        <v>1.052917046</v>
      </c>
      <c r="F75" s="113">
        <f t="shared" si="25"/>
        <v>0.774469225</v>
      </c>
      <c r="G75" s="113">
        <f t="shared" ref="G75:H75" si="26">((G35+G39)/12)*5%*8%</f>
        <v>0.774469225</v>
      </c>
      <c r="H75" s="141">
        <f t="shared" si="26"/>
        <v>0.566049527</v>
      </c>
    </row>
    <row r="76" spans="1:8">
      <c r="A76" s="92" t="s">
        <v>454</v>
      </c>
      <c r="B76" s="99" t="s">
        <v>497</v>
      </c>
      <c r="C76" s="99"/>
      <c r="D76" s="113">
        <v>0</v>
      </c>
      <c r="E76" s="113">
        <v>0</v>
      </c>
      <c r="F76" s="113">
        <v>0</v>
      </c>
      <c r="G76" s="113">
        <v>0</v>
      </c>
      <c r="H76" s="141">
        <v>0</v>
      </c>
    </row>
    <row r="77" spans="1:8">
      <c r="A77" s="92" t="s">
        <v>456</v>
      </c>
      <c r="B77" s="99" t="s">
        <v>498</v>
      </c>
      <c r="C77" s="99"/>
      <c r="D77" s="113">
        <f t="shared" ref="D77:F77" si="27">(((D35+D61)/30/12)*7)</f>
        <v>69.6741111111111</v>
      </c>
      <c r="E77" s="113">
        <f t="shared" si="27"/>
        <v>56.6972777777778</v>
      </c>
      <c r="F77" s="113">
        <f t="shared" si="27"/>
        <v>41.7034722222222</v>
      </c>
      <c r="G77" s="113">
        <f t="shared" ref="G77:H77" si="28">(((G35+G61)/30/12)*7)</f>
        <v>41.7034722222222</v>
      </c>
      <c r="H77" s="141">
        <f t="shared" si="28"/>
        <v>30.4805277777778</v>
      </c>
    </row>
    <row r="78" ht="24" customHeight="1" spans="1:8">
      <c r="A78" s="92" t="s">
        <v>458</v>
      </c>
      <c r="B78" s="99" t="s">
        <v>499</v>
      </c>
      <c r="C78" s="99"/>
      <c r="D78" s="113">
        <f t="shared" ref="D78:F78" si="29">(D35/30/12*7)*8%</f>
        <v>5.57392888888889</v>
      </c>
      <c r="E78" s="113">
        <f t="shared" si="29"/>
        <v>4.53578222222222</v>
      </c>
      <c r="F78" s="113">
        <f t="shared" si="29"/>
        <v>3.33627777777778</v>
      </c>
      <c r="G78" s="113">
        <f t="shared" ref="G78:H78" si="30">(G35/30/12*7)*8%</f>
        <v>3.33627777777778</v>
      </c>
      <c r="H78" s="141">
        <f t="shared" si="30"/>
        <v>2.43844222222222</v>
      </c>
    </row>
    <row r="79" spans="1:8">
      <c r="A79" s="92" t="s">
        <v>460</v>
      </c>
      <c r="B79" s="99" t="s">
        <v>500</v>
      </c>
      <c r="C79" s="99"/>
      <c r="D79" s="113">
        <f t="shared" ref="D79:F79" si="31">D35*4%</f>
        <v>143.3296</v>
      </c>
      <c r="E79" s="113">
        <f t="shared" si="31"/>
        <v>116.6344</v>
      </c>
      <c r="F79" s="113">
        <f t="shared" si="31"/>
        <v>85.79</v>
      </c>
      <c r="G79" s="113">
        <f t="shared" ref="G79:H79" si="32">G35*4%</f>
        <v>85.79</v>
      </c>
      <c r="H79" s="141">
        <f t="shared" si="32"/>
        <v>62.7028</v>
      </c>
    </row>
    <row r="80" ht="15.75" spans="1:8">
      <c r="A80" s="103"/>
      <c r="B80" s="154" t="s">
        <v>35</v>
      </c>
      <c r="C80" s="154"/>
      <c r="D80" s="129">
        <f t="shared" ref="D80:F80" si="33">SUM(D74:D79)</f>
        <v>237.851947680667</v>
      </c>
      <c r="E80" s="129">
        <f t="shared" si="33"/>
        <v>193.551919537667</v>
      </c>
      <c r="F80" s="129">
        <f t="shared" si="33"/>
        <v>142.366395995833</v>
      </c>
      <c r="G80" s="129">
        <f t="shared" ref="G80:H80" si="34">SUM(G74:G79)</f>
        <v>142.366395995833</v>
      </c>
      <c r="H80" s="145">
        <f t="shared" si="34"/>
        <v>104.053755156167</v>
      </c>
    </row>
    <row r="81" ht="15.75" spans="1:4">
      <c r="A81" s="52"/>
      <c r="B81" s="52"/>
      <c r="C81" s="52"/>
      <c r="D81" s="52"/>
    </row>
    <row r="82" ht="38.25" spans="1:8">
      <c r="A82" s="107" t="s">
        <v>501</v>
      </c>
      <c r="B82" s="108"/>
      <c r="C82" s="108"/>
      <c r="D82" s="88" t="s">
        <v>442</v>
      </c>
      <c r="E82" s="88" t="s">
        <v>19</v>
      </c>
      <c r="F82" s="88" t="s">
        <v>20</v>
      </c>
      <c r="G82" s="88" t="s">
        <v>21</v>
      </c>
      <c r="H82" s="136" t="s">
        <v>22</v>
      </c>
    </row>
    <row r="83" spans="1:8">
      <c r="A83" s="89" t="s">
        <v>502</v>
      </c>
      <c r="B83" s="153" t="s">
        <v>503</v>
      </c>
      <c r="C83" s="153"/>
      <c r="D83" s="121" t="s">
        <v>449</v>
      </c>
      <c r="E83" s="121" t="s">
        <v>449</v>
      </c>
      <c r="F83" s="121" t="s">
        <v>449</v>
      </c>
      <c r="G83" s="121" t="s">
        <v>449</v>
      </c>
      <c r="H83" s="137" t="s">
        <v>449</v>
      </c>
    </row>
    <row r="84" spans="1:8">
      <c r="A84" s="92" t="s">
        <v>450</v>
      </c>
      <c r="B84" s="155" t="s">
        <v>504</v>
      </c>
      <c r="C84" s="155"/>
      <c r="D84" s="113">
        <v>0</v>
      </c>
      <c r="E84" s="113">
        <v>0</v>
      </c>
      <c r="F84" s="113">
        <v>0</v>
      </c>
      <c r="G84" s="113">
        <v>0</v>
      </c>
      <c r="H84" s="141">
        <v>0</v>
      </c>
    </row>
    <row r="85" spans="1:8">
      <c r="A85" s="92" t="s">
        <v>452</v>
      </c>
      <c r="B85" s="155" t="s">
        <v>505</v>
      </c>
      <c r="C85" s="155"/>
      <c r="D85" s="113">
        <f>(((D35+D70+D80+D88+D109)-(D59-D60-D106-D107))/30*2.96)/12</f>
        <v>59.5067668275162</v>
      </c>
      <c r="E85" s="113">
        <f t="shared" ref="E85:F85" si="35">(((E35+E70+E80+E88+E109)-(E59-E60-E106-E107))/30*2.96)/12</f>
        <v>50.2173756828343</v>
      </c>
      <c r="F85" s="113">
        <f t="shared" si="35"/>
        <v>38.7942092588362</v>
      </c>
      <c r="G85" s="113">
        <f t="shared" ref="G85:H85" si="36">(((G35+G70+G80+G88+G109)-(G59-G60-G106-G107))/30*2.96)/12</f>
        <v>38.7942092588362</v>
      </c>
      <c r="H85" s="141">
        <f t="shared" si="36"/>
        <v>30.4814203135597</v>
      </c>
    </row>
    <row r="86" spans="1:8">
      <c r="A86" s="92" t="s">
        <v>454</v>
      </c>
      <c r="B86" s="155" t="s">
        <v>506</v>
      </c>
      <c r="C86" s="155"/>
      <c r="D86" s="113">
        <f t="shared" ref="D86:F86" si="37">(((D35+D70+D80+D88+D109)-(D59-D60-D106-D107))/30*5*1.5%)/12</f>
        <v>1.50777280812963</v>
      </c>
      <c r="E86" s="113">
        <f t="shared" si="37"/>
        <v>1.27239972169344</v>
      </c>
      <c r="F86" s="113">
        <f t="shared" si="37"/>
        <v>0.982961383247538</v>
      </c>
      <c r="G86" s="113">
        <f t="shared" ref="G86:H86" si="38">(((G35+G70+G80+G88+G109)-(G59-G60-G106-G107))/30*5*1.5%)/12</f>
        <v>0.982961383247538</v>
      </c>
      <c r="H86" s="141">
        <f t="shared" si="38"/>
        <v>0.772333284971951</v>
      </c>
    </row>
    <row r="87" spans="1:8">
      <c r="A87" s="92" t="s">
        <v>456</v>
      </c>
      <c r="B87" s="155" t="s">
        <v>507</v>
      </c>
      <c r="C87" s="155"/>
      <c r="D87" s="113">
        <f t="shared" ref="D87:F87" si="39">(((D35+D70+D80+D88+D109)-(D59-D60-D106-D107))/30*15*0.78%)/12</f>
        <v>2.35212558068223</v>
      </c>
      <c r="E87" s="113">
        <f t="shared" si="39"/>
        <v>1.98494356584176</v>
      </c>
      <c r="F87" s="113">
        <f t="shared" si="39"/>
        <v>1.53341975786616</v>
      </c>
      <c r="G87" s="113">
        <f t="shared" ref="G87:H87" si="40">(((G35+G70+G80+G88+G109)-(G59-G60-G106-G107))/30*15*0.78%)/12</f>
        <v>1.53341975786616</v>
      </c>
      <c r="H87" s="141">
        <f t="shared" si="40"/>
        <v>1.20483992455624</v>
      </c>
    </row>
    <row r="88" spans="1:8">
      <c r="A88" s="92" t="s">
        <v>458</v>
      </c>
      <c r="B88" s="155" t="s">
        <v>508</v>
      </c>
      <c r="C88" s="155"/>
      <c r="D88" s="113">
        <f t="shared" ref="D88:F88" si="41">(((D40*3.95/12)+(D61*3.95*1.02%))/12+((D35+D39)*39.8%*3.95)*1.02%/12)</f>
        <v>17.0802113415768</v>
      </c>
      <c r="E88" s="113">
        <f t="shared" si="41"/>
        <v>13.8990145908312</v>
      </c>
      <c r="F88" s="113">
        <f t="shared" si="41"/>
        <v>10.2233685923485</v>
      </c>
      <c r="G88" s="113">
        <f t="shared" ref="G88:H88" si="42">(((G40*3.95/12)+(G61*3.95*1.02%))/12+((G35+G39)*39.8%*3.95)*1.02%/12)</f>
        <v>10.2233685923485</v>
      </c>
      <c r="H88" s="141">
        <f t="shared" si="42"/>
        <v>7.47212770920047</v>
      </c>
    </row>
    <row r="89" spans="1:8">
      <c r="A89" s="92" t="s">
        <v>460</v>
      </c>
      <c r="B89" s="155" t="s">
        <v>509</v>
      </c>
      <c r="C89" s="155"/>
      <c r="D89" s="113">
        <v>0</v>
      </c>
      <c r="E89" s="113">
        <v>0</v>
      </c>
      <c r="F89" s="113">
        <v>0</v>
      </c>
      <c r="G89" s="113">
        <v>0</v>
      </c>
      <c r="H89" s="141">
        <v>0</v>
      </c>
    </row>
    <row r="90" ht="15.75" spans="1:8">
      <c r="A90" s="103"/>
      <c r="B90" s="154" t="s">
        <v>35</v>
      </c>
      <c r="C90" s="154"/>
      <c r="D90" s="129">
        <f t="shared" ref="D90:F90" si="43">SUM(D84:D89)</f>
        <v>80.4468765579049</v>
      </c>
      <c r="E90" s="129">
        <f t="shared" si="43"/>
        <v>67.3737335612007</v>
      </c>
      <c r="F90" s="129">
        <f t="shared" si="43"/>
        <v>51.5339589922983</v>
      </c>
      <c r="G90" s="129">
        <f t="shared" ref="G90:H90" si="44">SUM(G84:G89)</f>
        <v>51.5339589922983</v>
      </c>
      <c r="H90" s="145">
        <f t="shared" si="44"/>
        <v>39.9307212322883</v>
      </c>
    </row>
    <row r="91" ht="15.75" spans="1:4">
      <c r="A91" s="130"/>
      <c r="B91" s="130"/>
      <c r="C91" s="130"/>
      <c r="D91" s="52"/>
    </row>
    <row r="92" ht="38.25" spans="1:8">
      <c r="A92" s="156" t="s">
        <v>510</v>
      </c>
      <c r="B92" s="157"/>
      <c r="C92" s="157"/>
      <c r="D92" s="158" t="s">
        <v>442</v>
      </c>
      <c r="E92" s="158" t="s">
        <v>19</v>
      </c>
      <c r="F92" s="158" t="s">
        <v>20</v>
      </c>
      <c r="G92" s="158" t="s">
        <v>21</v>
      </c>
      <c r="H92" s="213" t="s">
        <v>22</v>
      </c>
    </row>
    <row r="93" spans="1:8">
      <c r="A93" s="159" t="s">
        <v>511</v>
      </c>
      <c r="B93" s="160" t="s">
        <v>512</v>
      </c>
      <c r="C93" s="160"/>
      <c r="D93" s="161" t="s">
        <v>449</v>
      </c>
      <c r="E93" s="161" t="s">
        <v>449</v>
      </c>
      <c r="F93" s="161" t="s">
        <v>449</v>
      </c>
      <c r="G93" s="161" t="s">
        <v>449</v>
      </c>
      <c r="H93" s="217" t="s">
        <v>449</v>
      </c>
    </row>
    <row r="94" spans="1:8">
      <c r="A94" s="162" t="s">
        <v>450</v>
      </c>
      <c r="B94" s="163" t="s">
        <v>513</v>
      </c>
      <c r="C94" s="163"/>
      <c r="D94" s="218">
        <v>0</v>
      </c>
      <c r="E94" s="218">
        <v>0</v>
      </c>
      <c r="F94" s="218">
        <v>0</v>
      </c>
      <c r="G94" s="218">
        <v>0</v>
      </c>
      <c r="H94" s="219">
        <v>0</v>
      </c>
    </row>
    <row r="95" ht="15.75" spans="1:8">
      <c r="A95" s="164"/>
      <c r="B95" s="165" t="s">
        <v>35</v>
      </c>
      <c r="C95" s="165"/>
      <c r="D95" s="220">
        <v>0</v>
      </c>
      <c r="E95" s="220">
        <v>0</v>
      </c>
      <c r="F95" s="220">
        <v>0</v>
      </c>
      <c r="G95" s="220">
        <v>0</v>
      </c>
      <c r="H95" s="221">
        <v>0</v>
      </c>
    </row>
    <row r="96" ht="15.75" spans="1:4">
      <c r="A96" s="130"/>
      <c r="B96" s="130"/>
      <c r="C96" s="130"/>
      <c r="D96" s="52"/>
    </row>
    <row r="97" ht="38.25" spans="1:8">
      <c r="A97" s="107" t="s">
        <v>514</v>
      </c>
      <c r="B97" s="108"/>
      <c r="C97" s="108"/>
      <c r="D97" s="88" t="s">
        <v>442</v>
      </c>
      <c r="E97" s="88" t="s">
        <v>19</v>
      </c>
      <c r="F97" s="88" t="s">
        <v>20</v>
      </c>
      <c r="G97" s="88" t="s">
        <v>21</v>
      </c>
      <c r="H97" s="136" t="s">
        <v>22</v>
      </c>
    </row>
    <row r="98" spans="1:8">
      <c r="A98" s="166">
        <v>4</v>
      </c>
      <c r="B98" s="90" t="s">
        <v>515</v>
      </c>
      <c r="C98" s="90"/>
      <c r="D98" s="150" t="s">
        <v>491</v>
      </c>
      <c r="E98" s="150" t="s">
        <v>491</v>
      </c>
      <c r="F98" s="150" t="s">
        <v>491</v>
      </c>
      <c r="G98" s="150" t="s">
        <v>491</v>
      </c>
      <c r="H98" s="137" t="s">
        <v>449</v>
      </c>
    </row>
    <row r="99" spans="1:8">
      <c r="A99" s="149" t="s">
        <v>502</v>
      </c>
      <c r="B99" s="93" t="s">
        <v>516</v>
      </c>
      <c r="C99" s="93"/>
      <c r="D99" s="94">
        <f>D90</f>
        <v>80.4468765579049</v>
      </c>
      <c r="E99" s="94">
        <f t="shared" ref="E99:F99" si="45">E90</f>
        <v>67.3737335612007</v>
      </c>
      <c r="F99" s="94">
        <f t="shared" si="45"/>
        <v>51.5339589922983</v>
      </c>
      <c r="G99" s="94">
        <f t="shared" ref="G99:H99" si="46">G90</f>
        <v>51.5339589922983</v>
      </c>
      <c r="H99" s="138">
        <f t="shared" si="46"/>
        <v>39.9307212322883</v>
      </c>
    </row>
    <row r="100" spans="1:8">
      <c r="A100" s="149" t="s">
        <v>511</v>
      </c>
      <c r="B100" s="93" t="s">
        <v>512</v>
      </c>
      <c r="C100" s="93"/>
      <c r="D100" s="94">
        <v>0</v>
      </c>
      <c r="E100" s="94">
        <v>0</v>
      </c>
      <c r="F100" s="94">
        <v>0</v>
      </c>
      <c r="G100" s="94">
        <v>0</v>
      </c>
      <c r="H100" s="138">
        <v>0</v>
      </c>
    </row>
    <row r="101" ht="15.75" spans="1:9">
      <c r="A101" s="103"/>
      <c r="B101" s="104" t="s">
        <v>398</v>
      </c>
      <c r="C101" s="104"/>
      <c r="D101" s="105">
        <f>SUM(D99:D100)</f>
        <v>80.4468765579049</v>
      </c>
      <c r="E101" s="105">
        <f t="shared" ref="E101:F101" si="47">SUM(E99:E100)</f>
        <v>67.3737335612007</v>
      </c>
      <c r="F101" s="105">
        <f t="shared" si="47"/>
        <v>51.5339589922983</v>
      </c>
      <c r="G101" s="105">
        <f t="shared" ref="G101:H101" si="48">SUM(G99:G100)</f>
        <v>51.5339589922983</v>
      </c>
      <c r="H101" s="140">
        <f t="shared" si="48"/>
        <v>39.9307212322883</v>
      </c>
      <c r="I101" s="215"/>
    </row>
    <row r="102" ht="15.75" spans="1:9">
      <c r="A102" s="52"/>
      <c r="B102" s="52"/>
      <c r="C102" s="52"/>
      <c r="D102" s="52"/>
      <c r="I102" s="215"/>
    </row>
    <row r="103" ht="38.25" spans="1:9">
      <c r="A103" s="107" t="s">
        <v>517</v>
      </c>
      <c r="B103" s="108"/>
      <c r="C103" s="108"/>
      <c r="D103" s="88" t="s">
        <v>442</v>
      </c>
      <c r="E103" s="88" t="s">
        <v>19</v>
      </c>
      <c r="F103" s="88" t="s">
        <v>20</v>
      </c>
      <c r="G103" s="88" t="s">
        <v>21</v>
      </c>
      <c r="H103" s="136" t="s">
        <v>22</v>
      </c>
      <c r="I103" s="215"/>
    </row>
    <row r="104" spans="1:8">
      <c r="A104" s="167">
        <v>5</v>
      </c>
      <c r="B104" s="90" t="s">
        <v>518</v>
      </c>
      <c r="C104" s="90"/>
      <c r="D104" s="91" t="s">
        <v>449</v>
      </c>
      <c r="E104" s="91" t="s">
        <v>449</v>
      </c>
      <c r="F104" s="91" t="s">
        <v>449</v>
      </c>
      <c r="G104" s="91" t="s">
        <v>449</v>
      </c>
      <c r="H104" s="137" t="s">
        <v>449</v>
      </c>
    </row>
    <row r="105" spans="1:8">
      <c r="A105" s="168" t="s">
        <v>450</v>
      </c>
      <c r="B105" s="93" t="s">
        <v>519</v>
      </c>
      <c r="C105" s="93"/>
      <c r="D105" s="113">
        <f>'An IIC Uniformes e Mat.'!G42</f>
        <v>280.7425</v>
      </c>
      <c r="E105" s="113">
        <f>'An IIC Uniformes e Mat.'!G235</f>
        <v>319.965</v>
      </c>
      <c r="F105" s="113">
        <f>'An IIC Uniformes e Mat.'!G81</f>
        <v>281.3725</v>
      </c>
      <c r="G105" s="113">
        <f>'An IIC Uniformes e Mat.'!G81</f>
        <v>281.3725</v>
      </c>
      <c r="H105" s="141">
        <f>'An IIC Uniformes e Mat.'!G81</f>
        <v>281.3725</v>
      </c>
    </row>
    <row r="106" spans="1:10">
      <c r="A106" s="168" t="s">
        <v>452</v>
      </c>
      <c r="B106" s="134" t="s">
        <v>520</v>
      </c>
      <c r="C106" s="134"/>
      <c r="D106" s="169"/>
      <c r="E106" s="169"/>
      <c r="F106" s="169"/>
      <c r="G106" s="169"/>
      <c r="H106" s="183"/>
      <c r="I106" s="186"/>
      <c r="J106" s="184"/>
    </row>
    <row r="107" spans="1:10">
      <c r="A107" s="168" t="s">
        <v>454</v>
      </c>
      <c r="B107" s="93" t="s">
        <v>521</v>
      </c>
      <c r="C107" s="93"/>
      <c r="D107" s="113"/>
      <c r="E107" s="170"/>
      <c r="F107" s="170"/>
      <c r="G107" s="170"/>
      <c r="H107" s="185"/>
      <c r="I107" s="186"/>
      <c r="J107" s="186"/>
    </row>
    <row r="108" spans="1:10">
      <c r="A108" s="168" t="s">
        <v>456</v>
      </c>
      <c r="B108" s="93" t="s">
        <v>522</v>
      </c>
      <c r="C108" s="93"/>
      <c r="D108" s="170"/>
      <c r="E108" s="170"/>
      <c r="F108" s="170"/>
      <c r="G108" s="170"/>
      <c r="H108" s="185"/>
      <c r="I108" s="186"/>
      <c r="J108" s="186"/>
    </row>
    <row r="109" ht="15.75" spans="1:8">
      <c r="A109" s="171"/>
      <c r="B109" s="104" t="s">
        <v>523</v>
      </c>
      <c r="C109" s="104"/>
      <c r="D109" s="129">
        <f>SUM(D105:D108)</f>
        <v>280.7425</v>
      </c>
      <c r="E109" s="129">
        <f t="shared" ref="E109:F109" si="49">SUM(E105:E108)</f>
        <v>319.965</v>
      </c>
      <c r="F109" s="129">
        <f t="shared" si="49"/>
        <v>281.3725</v>
      </c>
      <c r="G109" s="129">
        <f t="shared" ref="G109:H109" si="50">SUM(G105:G108)</f>
        <v>281.3725</v>
      </c>
      <c r="H109" s="145">
        <f t="shared" si="50"/>
        <v>281.3725</v>
      </c>
    </row>
    <row r="110" ht="15.75" spans="1:4">
      <c r="A110" s="172"/>
      <c r="B110" s="173"/>
      <c r="C110" s="174"/>
      <c r="D110" s="174"/>
    </row>
    <row r="111" ht="38.25" spans="1:8">
      <c r="A111" s="107" t="s">
        <v>524</v>
      </c>
      <c r="B111" s="108"/>
      <c r="C111" s="175"/>
      <c r="D111" s="88" t="s">
        <v>442</v>
      </c>
      <c r="E111" s="88" t="s">
        <v>19</v>
      </c>
      <c r="F111" s="88" t="s">
        <v>20</v>
      </c>
      <c r="G111" s="88" t="s">
        <v>21</v>
      </c>
      <c r="H111" s="136" t="s">
        <v>22</v>
      </c>
    </row>
    <row r="112" spans="1:8">
      <c r="A112" s="167">
        <v>6</v>
      </c>
      <c r="B112" s="120" t="s">
        <v>525</v>
      </c>
      <c r="C112" s="121" t="s">
        <v>470</v>
      </c>
      <c r="D112" s="121" t="s">
        <v>449</v>
      </c>
      <c r="E112" s="121" t="s">
        <v>449</v>
      </c>
      <c r="F112" s="121" t="s">
        <v>449</v>
      </c>
      <c r="G112" s="121" t="s">
        <v>449</v>
      </c>
      <c r="H112" s="137" t="s">
        <v>449</v>
      </c>
    </row>
    <row r="113" spans="1:8">
      <c r="A113" s="168" t="s">
        <v>450</v>
      </c>
      <c r="B113" s="122" t="s">
        <v>526</v>
      </c>
      <c r="C113" s="176">
        <v>4.8</v>
      </c>
      <c r="D113" s="113">
        <f>(D130)*$C$113/100</f>
        <v>342.112595723451</v>
      </c>
      <c r="E113" s="113">
        <f>(E130)*$C$113/100</f>
        <v>289.329877588746</v>
      </c>
      <c r="F113" s="113">
        <f>(F130)*$C$113/100</f>
        <v>224.28020303943</v>
      </c>
      <c r="G113" s="113">
        <f t="shared" ref="G113:H113" si="51">(G130)*$C$113/100</f>
        <v>219.43575503943</v>
      </c>
      <c r="H113" s="141">
        <f t="shared" si="51"/>
        <v>176.988871746646</v>
      </c>
    </row>
    <row r="114" spans="1:8">
      <c r="A114" s="168" t="s">
        <v>452</v>
      </c>
      <c r="B114" s="122" t="s">
        <v>527</v>
      </c>
      <c r="C114" s="176">
        <v>3.92</v>
      </c>
      <c r="D114" s="113">
        <f>(D130+D113)*$C$114/100</f>
        <v>292.802766926511</v>
      </c>
      <c r="E114" s="113">
        <f>(E130+E113)*$C$114/100</f>
        <v>247.627797898954</v>
      </c>
      <c r="F114" s="113">
        <f>(F130+F113)*$C$114/100</f>
        <v>191.95394977468</v>
      </c>
      <c r="G114" s="113">
        <f t="shared" ref="G114:H114" si="52">(G130+G113)*$C$114/100</f>
        <v>187.80774821308</v>
      </c>
      <c r="H114" s="141">
        <f t="shared" si="52"/>
        <v>151.478875698896</v>
      </c>
    </row>
    <row r="115" spans="1:8">
      <c r="A115" s="168" t="s">
        <v>454</v>
      </c>
      <c r="B115" s="122" t="s">
        <v>528</v>
      </c>
      <c r="C115" s="176"/>
      <c r="D115" s="113"/>
      <c r="E115" s="113"/>
      <c r="F115" s="113"/>
      <c r="G115" s="113"/>
      <c r="H115" s="141"/>
    </row>
    <row r="116" spans="1:8">
      <c r="A116" s="168"/>
      <c r="B116" s="122" t="s">
        <v>529</v>
      </c>
      <c r="C116" s="176">
        <f>3+0.65</f>
        <v>3.65</v>
      </c>
      <c r="D116" s="113">
        <f>((D130+D113+D114)/(1-($C$116+$C$118)/100))*$C$116/100</f>
        <v>310.150553258272</v>
      </c>
      <c r="E116" s="113">
        <f>((E130+E113+E114)/(1-($C$116+$C$118)/100))*$C$116/100</f>
        <v>262.2990872889</v>
      </c>
      <c r="F116" s="113">
        <f>((F130+F113+F114)/(1-($C$116+$C$118)/100))*$C$116/100</f>
        <v>203.326711518645</v>
      </c>
      <c r="G116" s="113">
        <f t="shared" ref="G116:H116" si="53">((G130+G113+G114)/(1-($C$116+$C$118)/100))*$C$116/100</f>
        <v>198.934858525762</v>
      </c>
      <c r="H116" s="141">
        <f t="shared" si="53"/>
        <v>160.453596795228</v>
      </c>
    </row>
    <row r="117" spans="1:8">
      <c r="A117" s="168"/>
      <c r="B117" s="122" t="s">
        <v>530</v>
      </c>
      <c r="C117" s="176"/>
      <c r="D117" s="113"/>
      <c r="E117" s="113"/>
      <c r="F117" s="113"/>
      <c r="G117" s="113"/>
      <c r="H117" s="141"/>
    </row>
    <row r="118" spans="1:8">
      <c r="A118" s="168"/>
      <c r="B118" s="122" t="s">
        <v>531</v>
      </c>
      <c r="C118" s="177">
        <v>5</v>
      </c>
      <c r="D118" s="113">
        <f>((D130+D113+D114)/(1-($C$116+$C$118)/100))*$C$118/100</f>
        <v>424.863771586674</v>
      </c>
      <c r="E118" s="113">
        <f>((E130+E113+E114)/(1-($C$116+$C$118)/100))*$C$118/100</f>
        <v>359.313818203972</v>
      </c>
      <c r="F118" s="113">
        <f>((F130+F113+F114)/(1-($C$116+$C$118)/100))*$C$118/100</f>
        <v>278.529741806362</v>
      </c>
      <c r="G118" s="113">
        <f t="shared" ref="G118:H118" si="54">((G130+G113+G114)/(1-($C$116+$C$118)/100))*$C$118/100</f>
        <v>272.513504829811</v>
      </c>
      <c r="H118" s="141">
        <f t="shared" si="54"/>
        <v>219.799447664696</v>
      </c>
    </row>
    <row r="119" spans="1:8">
      <c r="A119" s="168"/>
      <c r="B119" s="122" t="s">
        <v>532</v>
      </c>
      <c r="C119" s="176"/>
      <c r="D119" s="113"/>
      <c r="E119" s="97"/>
      <c r="F119" s="97"/>
      <c r="G119" s="97"/>
      <c r="H119" s="139"/>
    </row>
    <row r="120" ht="15.75" spans="1:8">
      <c r="A120" s="178"/>
      <c r="B120" s="127" t="s">
        <v>35</v>
      </c>
      <c r="C120" s="50">
        <f>SUM(C113:C119)</f>
        <v>17.37</v>
      </c>
      <c r="D120" s="129">
        <f>SUM(D113:D119)</f>
        <v>1369.92968749491</v>
      </c>
      <c r="E120" s="129">
        <f t="shared" ref="E120:F120" si="55">SUM(E113:E119)</f>
        <v>1158.57058098057</v>
      </c>
      <c r="F120" s="129">
        <f t="shared" si="55"/>
        <v>898.090606139118</v>
      </c>
      <c r="G120" s="129">
        <f t="shared" ref="G120:H120" si="56">SUM(G113:G119)</f>
        <v>878.691866608084</v>
      </c>
      <c r="H120" s="145">
        <f t="shared" si="56"/>
        <v>708.720791905466</v>
      </c>
    </row>
    <row r="121" spans="1:4">
      <c r="A121" s="172"/>
      <c r="B121" s="173"/>
      <c r="C121" s="174"/>
      <c r="D121" s="174"/>
    </row>
    <row r="122" ht="15.75" spans="1:8">
      <c r="A122" s="179" t="s">
        <v>533</v>
      </c>
      <c r="B122" s="179"/>
      <c r="C122" s="179"/>
      <c r="D122" s="179"/>
      <c r="E122" s="179"/>
      <c r="F122" s="179"/>
      <c r="G122" s="179"/>
      <c r="H122" s="179"/>
    </row>
    <row r="123" ht="38.25" spans="1:8">
      <c r="A123" s="68" t="s">
        <v>534</v>
      </c>
      <c r="B123" s="69"/>
      <c r="C123" s="69"/>
      <c r="D123" s="88" t="s">
        <v>442</v>
      </c>
      <c r="E123" s="88" t="s">
        <v>19</v>
      </c>
      <c r="F123" s="88" t="s">
        <v>20</v>
      </c>
      <c r="G123" s="88" t="s">
        <v>21</v>
      </c>
      <c r="H123" s="136" t="s">
        <v>22</v>
      </c>
    </row>
    <row r="124" spans="1:8">
      <c r="A124" s="180"/>
      <c r="B124" s="153" t="s">
        <v>535</v>
      </c>
      <c r="C124" s="153"/>
      <c r="D124" s="121" t="s">
        <v>449</v>
      </c>
      <c r="E124" s="121" t="s">
        <v>449</v>
      </c>
      <c r="F124" s="121" t="s">
        <v>449</v>
      </c>
      <c r="G124" s="121" t="s">
        <v>449</v>
      </c>
      <c r="H124" s="137" t="s">
        <v>449</v>
      </c>
    </row>
    <row r="125" spans="1:8">
      <c r="A125" s="180" t="s">
        <v>450</v>
      </c>
      <c r="B125" s="99" t="s">
        <v>536</v>
      </c>
      <c r="C125" s="99"/>
      <c r="D125" s="113">
        <f>D35</f>
        <v>3583.24</v>
      </c>
      <c r="E125" s="113">
        <f t="shared" ref="E125:F125" si="57">E35</f>
        <v>2915.86</v>
      </c>
      <c r="F125" s="113">
        <f t="shared" si="57"/>
        <v>2144.75</v>
      </c>
      <c r="G125" s="113">
        <f t="shared" ref="G125:H125" si="58">G35</f>
        <v>2144.75</v>
      </c>
      <c r="H125" s="141">
        <f t="shared" si="58"/>
        <v>1567.57</v>
      </c>
    </row>
    <row r="126" spans="1:8">
      <c r="A126" s="180" t="s">
        <v>452</v>
      </c>
      <c r="B126" s="99" t="s">
        <v>537</v>
      </c>
      <c r="C126" s="99"/>
      <c r="D126" s="113">
        <f>D70</f>
        <v>2945.06442</v>
      </c>
      <c r="E126" s="113">
        <f t="shared" ref="E126:F126" si="59">E70</f>
        <v>2530.95513</v>
      </c>
      <c r="F126" s="113">
        <f t="shared" si="59"/>
        <v>2052.481375</v>
      </c>
      <c r="G126" s="113">
        <f t="shared" ref="G126:H126" si="60">G70</f>
        <v>1951.555375</v>
      </c>
      <c r="H126" s="141">
        <f t="shared" si="60"/>
        <v>1694.341185</v>
      </c>
    </row>
    <row r="127" spans="1:8">
      <c r="A127" s="180" t="s">
        <v>454</v>
      </c>
      <c r="B127" s="99" t="s">
        <v>538</v>
      </c>
      <c r="C127" s="99"/>
      <c r="D127" s="113">
        <f>D80</f>
        <v>237.851947680667</v>
      </c>
      <c r="E127" s="113">
        <f t="shared" ref="E127:F127" si="61">E80</f>
        <v>193.551919537667</v>
      </c>
      <c r="F127" s="113">
        <f t="shared" si="61"/>
        <v>142.366395995833</v>
      </c>
      <c r="G127" s="113">
        <f t="shared" ref="G127:H127" si="62">G80</f>
        <v>142.366395995833</v>
      </c>
      <c r="H127" s="141">
        <f t="shared" si="62"/>
        <v>104.053755156167</v>
      </c>
    </row>
    <row r="128" spans="1:8">
      <c r="A128" s="180" t="s">
        <v>456</v>
      </c>
      <c r="B128" s="99" t="s">
        <v>539</v>
      </c>
      <c r="C128" s="99"/>
      <c r="D128" s="113">
        <f>D101</f>
        <v>80.4468765579049</v>
      </c>
      <c r="E128" s="113">
        <f t="shared" ref="E128:F128" si="63">E101</f>
        <v>67.3737335612007</v>
      </c>
      <c r="F128" s="113">
        <f t="shared" si="63"/>
        <v>51.5339589922983</v>
      </c>
      <c r="G128" s="113">
        <f t="shared" ref="G128:H128" si="64">G101</f>
        <v>51.5339589922983</v>
      </c>
      <c r="H128" s="141">
        <f t="shared" si="64"/>
        <v>39.9307212322883</v>
      </c>
    </row>
    <row r="129" spans="1:8">
      <c r="A129" s="180" t="s">
        <v>458</v>
      </c>
      <c r="B129" s="99" t="s">
        <v>540</v>
      </c>
      <c r="C129" s="99"/>
      <c r="D129" s="113">
        <f>D109</f>
        <v>280.7425</v>
      </c>
      <c r="E129" s="113">
        <f t="shared" ref="E129:F129" si="65">E109</f>
        <v>319.965</v>
      </c>
      <c r="F129" s="113">
        <f t="shared" si="65"/>
        <v>281.3725</v>
      </c>
      <c r="G129" s="113">
        <f t="shared" ref="G129:H129" si="66">G109</f>
        <v>281.3725</v>
      </c>
      <c r="H129" s="141">
        <f t="shared" si="66"/>
        <v>281.3725</v>
      </c>
    </row>
    <row r="130" spans="1:8">
      <c r="A130" s="180"/>
      <c r="B130" s="153" t="s">
        <v>541</v>
      </c>
      <c r="C130" s="153"/>
      <c r="D130" s="114">
        <f>SUM(D125:D129)</f>
        <v>7127.34574423857</v>
      </c>
      <c r="E130" s="114">
        <f t="shared" ref="E130:F130" si="67">SUM(E125:E129)</f>
        <v>6027.70578309887</v>
      </c>
      <c r="F130" s="114">
        <f t="shared" si="67"/>
        <v>4672.50422998813</v>
      </c>
      <c r="G130" s="114">
        <f t="shared" ref="G130:H130" si="68">SUM(G125:G129)</f>
        <v>4571.57822998813</v>
      </c>
      <c r="H130" s="142">
        <f t="shared" si="68"/>
        <v>3687.26816138845</v>
      </c>
    </row>
    <row r="131" spans="1:8">
      <c r="A131" s="180" t="s">
        <v>460</v>
      </c>
      <c r="B131" s="99" t="s">
        <v>542</v>
      </c>
      <c r="C131" s="99"/>
      <c r="D131" s="113">
        <f>D120</f>
        <v>1369.92968749491</v>
      </c>
      <c r="E131" s="113">
        <f t="shared" ref="E131:F131" si="69">E120</f>
        <v>1158.57058098057</v>
      </c>
      <c r="F131" s="113">
        <f t="shared" si="69"/>
        <v>898.090606139118</v>
      </c>
      <c r="G131" s="113">
        <f t="shared" ref="G131:H131" si="70">G120</f>
        <v>878.691866608084</v>
      </c>
      <c r="H131" s="141">
        <f t="shared" si="70"/>
        <v>708.720791905466</v>
      </c>
    </row>
    <row r="132" spans="1:8">
      <c r="A132" s="180"/>
      <c r="B132" s="153" t="s">
        <v>543</v>
      </c>
      <c r="C132" s="153"/>
      <c r="D132" s="114">
        <f>SUM(D130:D131)</f>
        <v>8497.27543173348</v>
      </c>
      <c r="E132" s="114">
        <f t="shared" ref="E132:F132" si="71">SUM(E130:E131)</f>
        <v>7186.27636407944</v>
      </c>
      <c r="F132" s="114">
        <f t="shared" si="71"/>
        <v>5570.59483612725</v>
      </c>
      <c r="G132" s="114">
        <f t="shared" ref="G132:H132" si="72">SUM(G130:G131)</f>
        <v>5450.27009659622</v>
      </c>
      <c r="H132" s="142">
        <f t="shared" si="72"/>
        <v>4395.98895329392</v>
      </c>
    </row>
    <row r="133" spans="1:8">
      <c r="A133" s="180"/>
      <c r="B133" s="153" t="s">
        <v>544</v>
      </c>
      <c r="C133" s="153"/>
      <c r="D133" s="114"/>
      <c r="E133" s="114"/>
      <c r="F133" s="114"/>
      <c r="G133" s="114">
        <f>2*G132</f>
        <v>10900.5401931924</v>
      </c>
      <c r="H133" s="142"/>
    </row>
    <row r="134" ht="15.75" spans="1:8">
      <c r="A134" s="103"/>
      <c r="B134" s="154" t="s">
        <v>545</v>
      </c>
      <c r="C134" s="154"/>
      <c r="D134" s="128">
        <f>D132/D35</f>
        <v>2.37139444517629</v>
      </c>
      <c r="E134" s="128">
        <f t="shared" ref="E134:F134" si="73">E132/E35</f>
        <v>2.46454780547744</v>
      </c>
      <c r="F134" s="128">
        <f t="shared" si="73"/>
        <v>2.59731662717205</v>
      </c>
      <c r="G134" s="128">
        <f>G133/G35</f>
        <v>5.0824292776279</v>
      </c>
      <c r="H134" s="192">
        <f t="shared" ref="H134" si="74">H132/H35</f>
        <v>2.8043334289977</v>
      </c>
    </row>
    <row r="135" spans="1:4">
      <c r="A135" s="52"/>
      <c r="B135" s="187"/>
      <c r="C135" s="52"/>
      <c r="D135" s="52"/>
    </row>
    <row r="136" ht="15.75" spans="1:4">
      <c r="A136" s="52"/>
      <c r="B136" s="52"/>
      <c r="C136" s="52"/>
      <c r="D136" s="52"/>
    </row>
    <row r="137" ht="38.25" spans="1:8">
      <c r="A137" s="107" t="s">
        <v>546</v>
      </c>
      <c r="B137" s="108"/>
      <c r="C137" s="175"/>
      <c r="D137" s="88" t="s">
        <v>442</v>
      </c>
      <c r="E137" s="88" t="s">
        <v>19</v>
      </c>
      <c r="F137" s="88" t="s">
        <v>20</v>
      </c>
      <c r="G137" s="88" t="s">
        <v>21</v>
      </c>
      <c r="H137" s="136" t="s">
        <v>22</v>
      </c>
    </row>
    <row r="138" spans="1:8">
      <c r="A138" s="167">
        <v>6</v>
      </c>
      <c r="B138" s="120" t="s">
        <v>525</v>
      </c>
      <c r="C138" s="121" t="s">
        <v>470</v>
      </c>
      <c r="D138" s="121" t="s">
        <v>449</v>
      </c>
      <c r="E138" s="121" t="s">
        <v>449</v>
      </c>
      <c r="F138" s="121" t="s">
        <v>449</v>
      </c>
      <c r="G138" s="121" t="s">
        <v>449</v>
      </c>
      <c r="H138" s="137" t="s">
        <v>449</v>
      </c>
    </row>
    <row r="139" spans="1:8">
      <c r="A139" s="168" t="s">
        <v>450</v>
      </c>
      <c r="B139" s="122" t="s">
        <v>526</v>
      </c>
      <c r="C139" s="176">
        <v>4.8</v>
      </c>
      <c r="D139" s="113">
        <f>(D156)*$C$139/100</f>
        <v>342.112595723451</v>
      </c>
      <c r="E139" s="113">
        <f>(E156)*$C$139/100</f>
        <v>289.329877588746</v>
      </c>
      <c r="F139" s="113">
        <f>(F156)*$C$139/100</f>
        <v>224.28020303943</v>
      </c>
      <c r="G139" s="113">
        <f t="shared" ref="G139:H139" si="75">(G156)*$C$139/100</f>
        <v>219.43575503943</v>
      </c>
      <c r="H139" s="141">
        <f t="shared" si="75"/>
        <v>176.988871746646</v>
      </c>
    </row>
    <row r="140" spans="1:8">
      <c r="A140" s="168" t="s">
        <v>452</v>
      </c>
      <c r="B140" s="122" t="s">
        <v>527</v>
      </c>
      <c r="C140" s="176">
        <v>3.92</v>
      </c>
      <c r="D140" s="113">
        <f>(D156+D139)*$C$140/100</f>
        <v>292.802766926511</v>
      </c>
      <c r="E140" s="113">
        <f>(E156+E139)*$C$140/100</f>
        <v>247.627797898954</v>
      </c>
      <c r="F140" s="113">
        <f>(F156+F139)*$C$140/100</f>
        <v>191.95394977468</v>
      </c>
      <c r="G140" s="113">
        <f t="shared" ref="G140:H140" si="76">(G156+G139)*$C$140/100</f>
        <v>187.80774821308</v>
      </c>
      <c r="H140" s="141">
        <f t="shared" si="76"/>
        <v>151.478875698896</v>
      </c>
    </row>
    <row r="141" spans="1:8">
      <c r="A141" s="168" t="s">
        <v>454</v>
      </c>
      <c r="B141" s="122" t="s">
        <v>528</v>
      </c>
      <c r="C141" s="176"/>
      <c r="D141" s="113"/>
      <c r="E141" s="113"/>
      <c r="F141" s="113"/>
      <c r="G141" s="113"/>
      <c r="H141" s="141"/>
    </row>
    <row r="142" spans="1:8">
      <c r="A142" s="168"/>
      <c r="B142" s="122" t="s">
        <v>547</v>
      </c>
      <c r="C142" s="123">
        <v>9.25</v>
      </c>
      <c r="D142" s="113">
        <f>((D156+D139+D140)/(1-($C$142+$C$144)/100))*$C$142/100</f>
        <v>837.32845759439</v>
      </c>
      <c r="E142" s="113">
        <f>((E156+E139+E140)/(1-($C$142+$C$144)/100))*$C$142/100</f>
        <v>708.14153926444</v>
      </c>
      <c r="F142" s="113">
        <f>((F156+F139+F140)/(1-($C$142+$C$144)/100))*$C$142/100</f>
        <v>548.930962576335</v>
      </c>
      <c r="G142" s="113">
        <f t="shared" ref="G142:H142" si="77">((G156+G139+G140)/(1-($C$142+$C$144)/100))*$C$142/100</f>
        <v>537.07406451867</v>
      </c>
      <c r="H142" s="141">
        <f t="shared" si="77"/>
        <v>433.184340019994</v>
      </c>
    </row>
    <row r="143" spans="1:8">
      <c r="A143" s="168"/>
      <c r="B143" s="122" t="s">
        <v>530</v>
      </c>
      <c r="C143" s="176"/>
      <c r="D143" s="113"/>
      <c r="E143" s="113"/>
      <c r="F143" s="113"/>
      <c r="G143" s="113"/>
      <c r="H143" s="141"/>
    </row>
    <row r="144" spans="1:8">
      <c r="A144" s="168"/>
      <c r="B144" s="122" t="s">
        <v>531</v>
      </c>
      <c r="C144" s="177">
        <v>5</v>
      </c>
      <c r="D144" s="113">
        <f>((D156+D139+D140)/(1-($C$142+$C$144)/100))*$C$144/100</f>
        <v>452.609977078049</v>
      </c>
      <c r="E144" s="113">
        <f>((E156+E139+E140)/(1-($C$142+$C$144)/100))*$C$144/100</f>
        <v>382.779210413211</v>
      </c>
      <c r="F144" s="113">
        <f>((F156+F139+F140)/(1-($C$142+$C$144)/100))*$C$144/100</f>
        <v>296.719439230451</v>
      </c>
      <c r="G144" s="113">
        <f t="shared" ref="G144:H144" si="78">((G156+G139+G140)/(1-($C$142+$C$144)/100))*$C$144/100</f>
        <v>290.310305145227</v>
      </c>
      <c r="H144" s="141">
        <f t="shared" si="78"/>
        <v>234.153697308105</v>
      </c>
    </row>
    <row r="145" spans="1:8">
      <c r="A145" s="168"/>
      <c r="B145" s="122" t="s">
        <v>532</v>
      </c>
      <c r="C145" s="176"/>
      <c r="D145" s="113"/>
      <c r="E145" s="113"/>
      <c r="F145" s="113"/>
      <c r="G145" s="113"/>
      <c r="H145" s="141"/>
    </row>
    <row r="146" ht="15.75" spans="1:8">
      <c r="A146" s="178"/>
      <c r="B146" s="127" t="s">
        <v>35</v>
      </c>
      <c r="C146" s="50">
        <f>SUM(C139:C145)</f>
        <v>22.97</v>
      </c>
      <c r="D146" s="129">
        <f>SUM(D139:D145)</f>
        <v>1924.8537973224</v>
      </c>
      <c r="E146" s="129">
        <f t="shared" ref="E146:F146" si="79">SUM(E139:E145)</f>
        <v>1627.87842516535</v>
      </c>
      <c r="F146" s="129">
        <f t="shared" si="79"/>
        <v>1261.8845546209</v>
      </c>
      <c r="G146" s="129">
        <f t="shared" ref="G146:H146" si="80">SUM(G139:G145)</f>
        <v>1234.62787291641</v>
      </c>
      <c r="H146" s="145">
        <f t="shared" si="80"/>
        <v>995.80578477364</v>
      </c>
    </row>
    <row r="147" spans="1:4">
      <c r="A147" s="130"/>
      <c r="B147" s="130"/>
      <c r="C147" s="130"/>
      <c r="D147" s="130"/>
    </row>
    <row r="148" ht="15.75" spans="1:7">
      <c r="A148" s="212" t="s">
        <v>548</v>
      </c>
      <c r="B148" s="212"/>
      <c r="C148" s="212"/>
      <c r="D148" s="212"/>
      <c r="E148" s="212"/>
      <c r="F148" s="212"/>
      <c r="G148" s="212"/>
    </row>
    <row r="149" ht="38.25" spans="1:8">
      <c r="A149" s="188" t="s">
        <v>549</v>
      </c>
      <c r="B149" s="189"/>
      <c r="C149" s="189"/>
      <c r="D149" s="88" t="s">
        <v>442</v>
      </c>
      <c r="E149" s="88" t="s">
        <v>19</v>
      </c>
      <c r="F149" s="88" t="s">
        <v>20</v>
      </c>
      <c r="G149" s="88" t="s">
        <v>21</v>
      </c>
      <c r="H149" s="136" t="s">
        <v>22</v>
      </c>
    </row>
    <row r="150" spans="1:8">
      <c r="A150" s="180"/>
      <c r="B150" s="153" t="s">
        <v>535</v>
      </c>
      <c r="C150" s="153"/>
      <c r="D150" s="121" t="s">
        <v>449</v>
      </c>
      <c r="E150" s="121" t="s">
        <v>449</v>
      </c>
      <c r="F150" s="121" t="s">
        <v>449</v>
      </c>
      <c r="G150" s="121" t="s">
        <v>449</v>
      </c>
      <c r="H150" s="137" t="s">
        <v>449</v>
      </c>
    </row>
    <row r="151" spans="1:8">
      <c r="A151" s="180" t="s">
        <v>450</v>
      </c>
      <c r="B151" s="99" t="s">
        <v>536</v>
      </c>
      <c r="C151" s="99"/>
      <c r="D151" s="113">
        <f>D125</f>
        <v>3583.24</v>
      </c>
      <c r="E151" s="113">
        <f t="shared" ref="E151:F155" si="81">E125</f>
        <v>2915.86</v>
      </c>
      <c r="F151" s="113">
        <f t="shared" si="81"/>
        <v>2144.75</v>
      </c>
      <c r="G151" s="113">
        <f t="shared" ref="G151:H151" si="82">G125</f>
        <v>2144.75</v>
      </c>
      <c r="H151" s="141">
        <f t="shared" si="82"/>
        <v>1567.57</v>
      </c>
    </row>
    <row r="152" spans="1:8">
      <c r="A152" s="180" t="s">
        <v>452</v>
      </c>
      <c r="B152" s="99" t="s">
        <v>537</v>
      </c>
      <c r="C152" s="99"/>
      <c r="D152" s="113">
        <f>D126</f>
        <v>2945.06442</v>
      </c>
      <c r="E152" s="113">
        <f t="shared" si="81"/>
        <v>2530.95513</v>
      </c>
      <c r="F152" s="113">
        <f t="shared" si="81"/>
        <v>2052.481375</v>
      </c>
      <c r="G152" s="113">
        <f t="shared" ref="G152:H152" si="83">G126</f>
        <v>1951.555375</v>
      </c>
      <c r="H152" s="141">
        <f t="shared" si="83"/>
        <v>1694.341185</v>
      </c>
    </row>
    <row r="153" spans="1:8">
      <c r="A153" s="180" t="s">
        <v>454</v>
      </c>
      <c r="B153" s="99" t="s">
        <v>538</v>
      </c>
      <c r="C153" s="99"/>
      <c r="D153" s="113">
        <f>D127</f>
        <v>237.851947680667</v>
      </c>
      <c r="E153" s="113">
        <f t="shared" si="81"/>
        <v>193.551919537667</v>
      </c>
      <c r="F153" s="113">
        <f t="shared" si="81"/>
        <v>142.366395995833</v>
      </c>
      <c r="G153" s="113">
        <f t="shared" ref="G153:H153" si="84">G127</f>
        <v>142.366395995833</v>
      </c>
      <c r="H153" s="141">
        <f t="shared" si="84"/>
        <v>104.053755156167</v>
      </c>
    </row>
    <row r="154" spans="1:8">
      <c r="A154" s="180" t="s">
        <v>456</v>
      </c>
      <c r="B154" s="99" t="s">
        <v>539</v>
      </c>
      <c r="C154" s="99"/>
      <c r="D154" s="113">
        <f>D128</f>
        <v>80.4468765579049</v>
      </c>
      <c r="E154" s="113">
        <f t="shared" si="81"/>
        <v>67.3737335612007</v>
      </c>
      <c r="F154" s="113">
        <f t="shared" si="81"/>
        <v>51.5339589922983</v>
      </c>
      <c r="G154" s="113">
        <f t="shared" ref="G154:H154" si="85">G128</f>
        <v>51.5339589922983</v>
      </c>
      <c r="H154" s="141">
        <f t="shared" si="85"/>
        <v>39.9307212322883</v>
      </c>
    </row>
    <row r="155" spans="1:8">
      <c r="A155" s="180" t="s">
        <v>458</v>
      </c>
      <c r="B155" s="99" t="s">
        <v>540</v>
      </c>
      <c r="C155" s="99"/>
      <c r="D155" s="113">
        <f>D129</f>
        <v>280.7425</v>
      </c>
      <c r="E155" s="113">
        <f t="shared" si="81"/>
        <v>319.965</v>
      </c>
      <c r="F155" s="113">
        <f t="shared" si="81"/>
        <v>281.3725</v>
      </c>
      <c r="G155" s="113">
        <f t="shared" ref="G155:H155" si="86">G129</f>
        <v>281.3725</v>
      </c>
      <c r="H155" s="141">
        <f t="shared" si="86"/>
        <v>281.3725</v>
      </c>
    </row>
    <row r="156" spans="1:8">
      <c r="A156" s="180"/>
      <c r="B156" s="153" t="s">
        <v>541</v>
      </c>
      <c r="C156" s="153"/>
      <c r="D156" s="114">
        <f>SUM(D151:D155)</f>
        <v>7127.34574423857</v>
      </c>
      <c r="E156" s="114">
        <f t="shared" ref="E156:F156" si="87">SUM(E151:E155)</f>
        <v>6027.70578309887</v>
      </c>
      <c r="F156" s="114">
        <f t="shared" si="87"/>
        <v>4672.50422998813</v>
      </c>
      <c r="G156" s="114">
        <f t="shared" ref="G156:H156" si="88">SUM(G151:G155)</f>
        <v>4571.57822998813</v>
      </c>
      <c r="H156" s="142">
        <f t="shared" si="88"/>
        <v>3687.26816138845</v>
      </c>
    </row>
    <row r="157" spans="1:8">
      <c r="A157" s="180" t="s">
        <v>460</v>
      </c>
      <c r="B157" s="99" t="s">
        <v>542</v>
      </c>
      <c r="C157" s="99"/>
      <c r="D157" s="113">
        <f>D146</f>
        <v>1924.8537973224</v>
      </c>
      <c r="E157" s="113">
        <f t="shared" ref="E157:F157" si="89">E146</f>
        <v>1627.87842516535</v>
      </c>
      <c r="F157" s="113">
        <f t="shared" si="89"/>
        <v>1261.8845546209</v>
      </c>
      <c r="G157" s="113">
        <f t="shared" ref="G157:H157" si="90">G146</f>
        <v>1234.62787291641</v>
      </c>
      <c r="H157" s="141">
        <f t="shared" si="90"/>
        <v>995.80578477364</v>
      </c>
    </row>
    <row r="158" spans="1:8">
      <c r="A158" s="180"/>
      <c r="B158" s="153" t="s">
        <v>543</v>
      </c>
      <c r="C158" s="153"/>
      <c r="D158" s="114">
        <f>SUM(D156:D157)</f>
        <v>9052.19954156097</v>
      </c>
      <c r="E158" s="114">
        <f t="shared" ref="E158:F158" si="91">SUM(E156:E157)</f>
        <v>7655.58420826422</v>
      </c>
      <c r="F158" s="114">
        <f t="shared" si="91"/>
        <v>5934.38878460903</v>
      </c>
      <c r="G158" s="114">
        <f t="shared" ref="G158:H158" si="92">SUM(G156:G157)</f>
        <v>5806.20610290454</v>
      </c>
      <c r="H158" s="142">
        <f t="shared" si="92"/>
        <v>4683.0739461621</v>
      </c>
    </row>
    <row r="159" spans="1:8">
      <c r="A159" s="180"/>
      <c r="B159" s="153" t="s">
        <v>544</v>
      </c>
      <c r="C159" s="153"/>
      <c r="D159" s="114"/>
      <c r="E159" s="114"/>
      <c r="F159" s="114"/>
      <c r="G159" s="114">
        <f>2*G158</f>
        <v>11612.4122058091</v>
      </c>
      <c r="H159" s="142"/>
    </row>
    <row r="160" ht="15.75" spans="1:8">
      <c r="A160" s="103"/>
      <c r="B160" s="154" t="s">
        <v>545</v>
      </c>
      <c r="C160" s="154"/>
      <c r="D160" s="128">
        <f>D158/D35</f>
        <v>2.5262610211878</v>
      </c>
      <c r="E160" s="128">
        <f t="shared" ref="E160:F160" si="93">E158/E35</f>
        <v>2.62549786624331</v>
      </c>
      <c r="F160" s="128">
        <f t="shared" si="93"/>
        <v>2.76693730486492</v>
      </c>
      <c r="G160" s="128">
        <f>G159/G35</f>
        <v>5.41434302637094</v>
      </c>
      <c r="H160" s="192">
        <f>H158/H35</f>
        <v>2.98747357129959</v>
      </c>
    </row>
  </sheetData>
  <mergeCells count="110">
    <mergeCell ref="A1:F1"/>
    <mergeCell ref="A2:F2"/>
    <mergeCell ref="A4:F4"/>
    <mergeCell ref="A5:F5"/>
    <mergeCell ref="A6:F6"/>
    <mergeCell ref="A7:F7"/>
    <mergeCell ref="A8:B8"/>
    <mergeCell ref="C8:F8"/>
    <mergeCell ref="A9:B9"/>
    <mergeCell ref="C9:F9"/>
    <mergeCell ref="A11:F11"/>
    <mergeCell ref="A12:B12"/>
    <mergeCell ref="C12:F12"/>
    <mergeCell ref="A13:B13"/>
    <mergeCell ref="C13:F13"/>
    <mergeCell ref="A14:B14"/>
    <mergeCell ref="C14:F14"/>
    <mergeCell ref="A15:B15"/>
    <mergeCell ref="C15:F15"/>
    <mergeCell ref="A16:B16"/>
    <mergeCell ref="C16:F16"/>
    <mergeCell ref="A18:D18"/>
    <mergeCell ref="A27:C27"/>
    <mergeCell ref="B28:C28"/>
    <mergeCell ref="B29:C29"/>
    <mergeCell ref="B30:C30"/>
    <mergeCell ref="B31:C31"/>
    <mergeCell ref="B32:C32"/>
    <mergeCell ref="B33:C33"/>
    <mergeCell ref="B34:C34"/>
    <mergeCell ref="B35:C35"/>
    <mergeCell ref="B36:D36"/>
    <mergeCell ref="A37:C37"/>
    <mergeCell ref="A38:B38"/>
    <mergeCell ref="A44:C44"/>
    <mergeCell ref="A57:C57"/>
    <mergeCell ref="B58:C58"/>
    <mergeCell ref="B59:C59"/>
    <mergeCell ref="B60:C60"/>
    <mergeCell ref="B61:C61"/>
    <mergeCell ref="B62:C62"/>
    <mergeCell ref="B63:C63"/>
    <mergeCell ref="A65:C65"/>
    <mergeCell ref="B66:C66"/>
    <mergeCell ref="B67:C67"/>
    <mergeCell ref="B68:C68"/>
    <mergeCell ref="B69:C69"/>
    <mergeCell ref="B70:C70"/>
    <mergeCell ref="A72:C72"/>
    <mergeCell ref="B73:C73"/>
    <mergeCell ref="B74:C74"/>
    <mergeCell ref="B75:C75"/>
    <mergeCell ref="B76:C76"/>
    <mergeCell ref="B77:C77"/>
    <mergeCell ref="B78:C78"/>
    <mergeCell ref="B79:C79"/>
    <mergeCell ref="B80:C80"/>
    <mergeCell ref="A82:C82"/>
    <mergeCell ref="B83:C83"/>
    <mergeCell ref="B84:C84"/>
    <mergeCell ref="B85:C85"/>
    <mergeCell ref="B86:C86"/>
    <mergeCell ref="B87:C87"/>
    <mergeCell ref="B88:C88"/>
    <mergeCell ref="B89:C89"/>
    <mergeCell ref="B90:C90"/>
    <mergeCell ref="A92:C92"/>
    <mergeCell ref="B93:C93"/>
    <mergeCell ref="B94:C94"/>
    <mergeCell ref="B95:C95"/>
    <mergeCell ref="A97:C97"/>
    <mergeCell ref="B98:C98"/>
    <mergeCell ref="B99:C99"/>
    <mergeCell ref="B100:C100"/>
    <mergeCell ref="B101:C101"/>
    <mergeCell ref="A103:C103"/>
    <mergeCell ref="B104:C104"/>
    <mergeCell ref="B105:C105"/>
    <mergeCell ref="B106:C106"/>
    <mergeCell ref="B107:C107"/>
    <mergeCell ref="B108:C108"/>
    <mergeCell ref="B109:C109"/>
    <mergeCell ref="A111:B111"/>
    <mergeCell ref="A122:H122"/>
    <mergeCell ref="A123:C123"/>
    <mergeCell ref="B124:C124"/>
    <mergeCell ref="B125:C125"/>
    <mergeCell ref="B126:C126"/>
    <mergeCell ref="B127:C127"/>
    <mergeCell ref="B128:C128"/>
    <mergeCell ref="B129:C129"/>
    <mergeCell ref="B130:C130"/>
    <mergeCell ref="B131:C131"/>
    <mergeCell ref="B132:C132"/>
    <mergeCell ref="B133:C133"/>
    <mergeCell ref="B134:C134"/>
    <mergeCell ref="A137:B137"/>
    <mergeCell ref="A148:G148"/>
    <mergeCell ref="A149:C149"/>
    <mergeCell ref="B150:C150"/>
    <mergeCell ref="B151:C151"/>
    <mergeCell ref="B152:C152"/>
    <mergeCell ref="B153:C153"/>
    <mergeCell ref="B154:C154"/>
    <mergeCell ref="B155:C155"/>
    <mergeCell ref="B156:C156"/>
    <mergeCell ref="B157:C157"/>
    <mergeCell ref="B158:C158"/>
    <mergeCell ref="B159:C159"/>
    <mergeCell ref="B160:C160"/>
  </mergeCells>
  <pageMargins left="0.511811024" right="0.511811024" top="0.787401575" bottom="0.787401575" header="0.31496062" footer="0.31496062"/>
  <pageSetup paperSize="9" scale="82" orientation="landscape"/>
  <headerFooter>
    <oddHeader>&amp;L&amp;G&amp;CProcesso 23069.154758/2022-91
PE 57/2022&amp;R&amp;G</oddHeader>
    <oddFooter>&amp;L&amp;"-,Itálico"&amp;9&amp;A&amp;R&amp;"-,Itálico"&amp;9Página &amp;P de &amp;N</oddFooter>
  </headerFooter>
  <drawing r:id="rId1"/>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2"/>
  <sheetViews>
    <sheetView topLeftCell="A92" workbookViewId="0">
      <selection activeCell="I61" sqref="I61"/>
    </sheetView>
  </sheetViews>
  <sheetFormatPr defaultColWidth="8.85714285714286" defaultRowHeight="15"/>
  <cols>
    <col min="1" max="1" width="6.42857142857143" customWidth="1"/>
    <col min="2" max="2" width="62.1428571428571" customWidth="1"/>
    <col min="3" max="3" width="11.1428571428571" customWidth="1"/>
    <col min="4" max="8" width="18.4285714285714" customWidth="1"/>
    <col min="9" max="9" width="15.4285714285714" customWidth="1"/>
    <col min="10" max="10" width="11.1428571428571" customWidth="1"/>
    <col min="11" max="11" width="12.7142857142857" customWidth="1"/>
    <col min="12" max="12" width="10.5714285714286" customWidth="1"/>
  </cols>
  <sheetData>
    <row r="1" ht="18" customHeight="1" spans="1:8">
      <c r="A1" s="1" t="s">
        <v>0</v>
      </c>
      <c r="B1" s="1"/>
      <c r="C1" s="1"/>
      <c r="D1" s="1"/>
      <c r="E1" s="1"/>
      <c r="F1" s="1"/>
      <c r="G1" s="1"/>
      <c r="H1" s="1"/>
    </row>
    <row r="2" ht="18.75" spans="1:8">
      <c r="A2" s="2" t="s">
        <v>1</v>
      </c>
      <c r="B2" s="2"/>
      <c r="C2" s="2"/>
      <c r="D2" s="2"/>
      <c r="E2" s="2"/>
      <c r="F2" s="2"/>
      <c r="G2" s="2"/>
      <c r="H2" s="2"/>
    </row>
    <row r="4" ht="14.45" customHeight="1" spans="1:8">
      <c r="A4" s="41" t="s">
        <v>550</v>
      </c>
      <c r="B4" s="41"/>
      <c r="C4" s="41"/>
      <c r="D4" s="41"/>
      <c r="E4" s="41"/>
      <c r="F4" s="41"/>
      <c r="G4" s="41"/>
      <c r="H4" s="41"/>
    </row>
    <row r="5" ht="38.45" customHeight="1" spans="1:8">
      <c r="A5" s="42" t="s">
        <v>2</v>
      </c>
      <c r="B5" s="42"/>
      <c r="C5" s="42"/>
      <c r="D5" s="42"/>
      <c r="E5" s="42"/>
      <c r="F5" s="42"/>
      <c r="G5" s="42"/>
      <c r="H5" s="42"/>
    </row>
    <row r="6" customHeight="1" spans="1:8">
      <c r="A6" s="43" t="s">
        <v>427</v>
      </c>
      <c r="B6" s="43"/>
      <c r="C6" s="43"/>
      <c r="D6" s="43"/>
      <c r="E6" s="43"/>
      <c r="F6" s="43"/>
      <c r="G6" s="43"/>
      <c r="H6" s="43"/>
    </row>
    <row r="7" ht="15.75" customHeight="1" spans="1:8">
      <c r="A7" s="43" t="s">
        <v>428</v>
      </c>
      <c r="B7" s="43"/>
      <c r="C7" s="43"/>
      <c r="D7" s="43"/>
      <c r="E7" s="43"/>
      <c r="F7" s="43"/>
      <c r="G7" s="43"/>
      <c r="H7" s="43"/>
    </row>
    <row r="8" customHeight="1" spans="1:8">
      <c r="A8" s="44" t="s">
        <v>429</v>
      </c>
      <c r="B8" s="45"/>
      <c r="C8" s="46" t="s">
        <v>430</v>
      </c>
      <c r="D8" s="46"/>
      <c r="E8" s="46"/>
      <c r="F8" s="46"/>
      <c r="G8" s="47"/>
      <c r="H8" s="195"/>
    </row>
    <row r="9" ht="15.75" spans="1:8">
      <c r="A9" s="48"/>
      <c r="B9" s="49"/>
      <c r="C9" s="50"/>
      <c r="D9" s="50"/>
      <c r="E9" s="50"/>
      <c r="F9" s="50"/>
      <c r="G9" s="51"/>
      <c r="H9" s="196"/>
    </row>
    <row r="10" ht="15.75" spans="1:8">
      <c r="A10" s="52"/>
      <c r="B10" s="53"/>
      <c r="C10" s="54"/>
      <c r="D10" s="54"/>
      <c r="E10" s="54"/>
      <c r="H10" s="197"/>
    </row>
    <row r="11" spans="1:8">
      <c r="A11" s="55" t="s">
        <v>431</v>
      </c>
      <c r="B11" s="56"/>
      <c r="C11" s="56"/>
      <c r="D11" s="56"/>
      <c r="E11" s="56"/>
      <c r="F11" s="56"/>
      <c r="G11" s="57"/>
      <c r="H11" s="198"/>
    </row>
    <row r="12" customHeight="1" spans="1:8">
      <c r="A12" s="58" t="s">
        <v>432</v>
      </c>
      <c r="B12" s="59"/>
      <c r="C12" s="60"/>
      <c r="D12" s="60"/>
      <c r="E12" s="60"/>
      <c r="F12" s="60"/>
      <c r="G12" s="61"/>
      <c r="H12" s="199"/>
    </row>
    <row r="13" customHeight="1" spans="1:8">
      <c r="A13" s="58" t="s">
        <v>433</v>
      </c>
      <c r="B13" s="59"/>
      <c r="C13" s="60"/>
      <c r="D13" s="60"/>
      <c r="E13" s="60"/>
      <c r="F13" s="60"/>
      <c r="G13" s="61"/>
      <c r="H13" s="200"/>
    </row>
    <row r="14" customHeight="1" spans="1:8">
      <c r="A14" s="62" t="s">
        <v>434</v>
      </c>
      <c r="B14" s="63"/>
      <c r="C14" s="60"/>
      <c r="D14" s="60"/>
      <c r="E14" s="60"/>
      <c r="F14" s="60"/>
      <c r="G14" s="61"/>
      <c r="H14" s="200"/>
    </row>
    <row r="15" customHeight="1" spans="1:8">
      <c r="A15" s="58" t="s">
        <v>435</v>
      </c>
      <c r="B15" s="59"/>
      <c r="C15" s="60"/>
      <c r="D15" s="60"/>
      <c r="E15" s="60"/>
      <c r="F15" s="60"/>
      <c r="G15" s="61"/>
      <c r="H15" s="200"/>
    </row>
    <row r="16" ht="15.75" customHeight="1" spans="1:8">
      <c r="A16" s="64" t="s">
        <v>436</v>
      </c>
      <c r="B16" s="65"/>
      <c r="C16" s="66"/>
      <c r="D16" s="66"/>
      <c r="E16" s="66"/>
      <c r="F16" s="66"/>
      <c r="G16" s="67"/>
      <c r="H16" s="200"/>
    </row>
    <row r="17" ht="15.75" spans="1:5">
      <c r="A17" s="52"/>
      <c r="B17" s="53"/>
      <c r="C17" s="54"/>
      <c r="D17" s="54"/>
      <c r="E17" s="54"/>
    </row>
    <row r="18" spans="1:8">
      <c r="A18" s="68" t="s">
        <v>437</v>
      </c>
      <c r="B18" s="69"/>
      <c r="C18" s="69"/>
      <c r="D18" s="70"/>
      <c r="E18" s="71"/>
      <c r="F18" s="71"/>
      <c r="G18" s="71"/>
      <c r="H18" s="71"/>
    </row>
    <row r="19" ht="30" spans="1:5">
      <c r="A19" s="72" t="s">
        <v>438</v>
      </c>
      <c r="B19" s="73" t="s">
        <v>439</v>
      </c>
      <c r="C19" s="74" t="s">
        <v>440</v>
      </c>
      <c r="D19" s="75" t="s">
        <v>441</v>
      </c>
      <c r="E19" s="54"/>
    </row>
    <row r="20" spans="1:5">
      <c r="A20" s="76">
        <v>20.88</v>
      </c>
      <c r="B20" s="77" t="s">
        <v>23</v>
      </c>
      <c r="C20" s="78" t="s">
        <v>551</v>
      </c>
      <c r="D20" s="79">
        <v>2115.01</v>
      </c>
      <c r="E20" s="54"/>
    </row>
    <row r="21" spans="1:5">
      <c r="A21" s="76">
        <v>15.21</v>
      </c>
      <c r="B21" s="77" t="s">
        <v>24</v>
      </c>
      <c r="C21" s="78" t="s">
        <v>551</v>
      </c>
      <c r="D21" s="79">
        <v>2115.01</v>
      </c>
      <c r="E21" s="54"/>
    </row>
    <row r="22" spans="1:5">
      <c r="A22" s="76">
        <v>20.88</v>
      </c>
      <c r="B22" s="77" t="s">
        <v>25</v>
      </c>
      <c r="C22" s="78" t="s">
        <v>552</v>
      </c>
      <c r="D22" s="79">
        <v>2115.01</v>
      </c>
      <c r="E22" s="54"/>
    </row>
    <row r="23" spans="1:5">
      <c r="A23" s="76">
        <v>20.88</v>
      </c>
      <c r="B23" s="77" t="s">
        <v>26</v>
      </c>
      <c r="C23" s="78" t="s">
        <v>553</v>
      </c>
      <c r="D23" s="79">
        <v>2115.01</v>
      </c>
      <c r="E23" s="54"/>
    </row>
    <row r="24" spans="1:5">
      <c r="A24" s="201">
        <v>20.88</v>
      </c>
      <c r="B24" s="202" t="s">
        <v>27</v>
      </c>
      <c r="C24" s="203" t="s">
        <v>554</v>
      </c>
      <c r="D24" s="204">
        <v>2115.01</v>
      </c>
      <c r="E24" s="54"/>
    </row>
    <row r="25" ht="15.75" spans="1:5">
      <c r="A25" s="80">
        <v>20.88</v>
      </c>
      <c r="B25" s="81" t="s">
        <v>28</v>
      </c>
      <c r="C25" s="82" t="s">
        <v>555</v>
      </c>
      <c r="D25" s="83">
        <v>2115.01</v>
      </c>
      <c r="E25" s="54"/>
    </row>
    <row r="26" spans="1:4">
      <c r="A26" s="52"/>
      <c r="B26" s="84"/>
      <c r="C26" s="84"/>
      <c r="D26" s="84"/>
    </row>
    <row r="27" spans="1:5">
      <c r="A27" s="52"/>
      <c r="B27" s="52"/>
      <c r="C27" s="84"/>
      <c r="D27" s="85"/>
      <c r="E27" s="85"/>
    </row>
    <row r="28" ht="15.75" spans="1:5">
      <c r="A28" s="52"/>
      <c r="B28" s="52"/>
      <c r="C28" s="85"/>
      <c r="D28" s="85"/>
      <c r="E28" s="85"/>
    </row>
    <row r="29" ht="25.5" spans="1:9">
      <c r="A29" s="86" t="s">
        <v>447</v>
      </c>
      <c r="B29" s="87"/>
      <c r="C29" s="87"/>
      <c r="D29" s="88" t="s">
        <v>23</v>
      </c>
      <c r="E29" s="88" t="s">
        <v>24</v>
      </c>
      <c r="F29" s="88" t="s">
        <v>25</v>
      </c>
      <c r="G29" s="88" t="s">
        <v>26</v>
      </c>
      <c r="H29" s="205" t="s">
        <v>27</v>
      </c>
      <c r="I29" s="136" t="s">
        <v>28</v>
      </c>
    </row>
    <row r="30" spans="1:9">
      <c r="A30" s="89">
        <v>1</v>
      </c>
      <c r="B30" s="90" t="s">
        <v>448</v>
      </c>
      <c r="C30" s="90"/>
      <c r="D30" s="91" t="s">
        <v>449</v>
      </c>
      <c r="E30" s="91" t="s">
        <v>449</v>
      </c>
      <c r="F30" s="91" t="s">
        <v>449</v>
      </c>
      <c r="G30" s="91" t="s">
        <v>449</v>
      </c>
      <c r="H30" s="91" t="s">
        <v>449</v>
      </c>
      <c r="I30" s="137" t="s">
        <v>449</v>
      </c>
    </row>
    <row r="31" spans="1:9">
      <c r="A31" s="92" t="s">
        <v>450</v>
      </c>
      <c r="B31" s="93" t="s">
        <v>451</v>
      </c>
      <c r="C31" s="93"/>
      <c r="D31" s="113">
        <f>D20</f>
        <v>2115.01</v>
      </c>
      <c r="E31" s="113">
        <f>D21</f>
        <v>2115.01</v>
      </c>
      <c r="F31" s="113">
        <f>D22</f>
        <v>2115.01</v>
      </c>
      <c r="G31" s="113">
        <f>D23</f>
        <v>2115.01</v>
      </c>
      <c r="H31" s="206">
        <f>D24</f>
        <v>2115.01</v>
      </c>
      <c r="I31" s="141">
        <f>D25</f>
        <v>2115.01</v>
      </c>
    </row>
    <row r="32" spans="1:9">
      <c r="A32" s="92" t="s">
        <v>452</v>
      </c>
      <c r="B32" s="93" t="s">
        <v>453</v>
      </c>
      <c r="C32" s="93"/>
      <c r="D32" s="95"/>
      <c r="E32" s="96"/>
      <c r="F32" s="97"/>
      <c r="G32" s="97"/>
      <c r="H32" s="207"/>
      <c r="I32" s="139"/>
    </row>
    <row r="33" spans="1:9">
      <c r="A33" s="92" t="s">
        <v>454</v>
      </c>
      <c r="B33" s="93" t="s">
        <v>455</v>
      </c>
      <c r="C33" s="93"/>
      <c r="D33" s="95"/>
      <c r="E33" s="96"/>
      <c r="F33" s="98"/>
      <c r="G33" s="97"/>
      <c r="H33" s="207"/>
      <c r="I33" s="139"/>
    </row>
    <row r="34" spans="1:9">
      <c r="A34" s="92" t="s">
        <v>456</v>
      </c>
      <c r="B34" s="99" t="s">
        <v>457</v>
      </c>
      <c r="C34" s="99"/>
      <c r="D34" s="95"/>
      <c r="E34" s="96"/>
      <c r="F34" s="97"/>
      <c r="G34" s="97"/>
      <c r="H34" s="207"/>
      <c r="I34" s="139"/>
    </row>
    <row r="35" spans="1:9">
      <c r="A35" s="92" t="s">
        <v>458</v>
      </c>
      <c r="B35" s="99" t="s">
        <v>459</v>
      </c>
      <c r="C35" s="99"/>
      <c r="D35" s="95"/>
      <c r="E35" s="96"/>
      <c r="F35" s="97"/>
      <c r="G35" s="97"/>
      <c r="H35" s="207"/>
      <c r="I35" s="139"/>
    </row>
    <row r="36" spans="1:9">
      <c r="A36" s="92" t="s">
        <v>460</v>
      </c>
      <c r="B36" s="100" t="s">
        <v>461</v>
      </c>
      <c r="C36" s="100"/>
      <c r="D36" s="101"/>
      <c r="E36" s="96"/>
      <c r="F36" s="102"/>
      <c r="G36" s="102"/>
      <c r="H36" s="208"/>
      <c r="I36" s="139"/>
    </row>
    <row r="37" ht="15.75" spans="1:9">
      <c r="A37" s="103"/>
      <c r="B37" s="104" t="s">
        <v>462</v>
      </c>
      <c r="C37" s="104"/>
      <c r="D37" s="105">
        <f>SUM(D31:D36)</f>
        <v>2115.01</v>
      </c>
      <c r="E37" s="105">
        <f t="shared" ref="E37:I37" si="0">SUM(E31:E36)</f>
        <v>2115.01</v>
      </c>
      <c r="F37" s="105">
        <f t="shared" si="0"/>
        <v>2115.01</v>
      </c>
      <c r="G37" s="105">
        <f t="shared" si="0"/>
        <v>2115.01</v>
      </c>
      <c r="H37" s="105">
        <f t="shared" si="0"/>
        <v>2115.01</v>
      </c>
      <c r="I37" s="140">
        <f t="shared" si="0"/>
        <v>2115.01</v>
      </c>
    </row>
    <row r="38" ht="15.75" spans="1:5">
      <c r="A38" s="52"/>
      <c r="B38" s="106"/>
      <c r="C38" s="106"/>
      <c r="D38" s="106"/>
      <c r="E38" s="85"/>
    </row>
    <row r="39" ht="25.5" spans="1:9">
      <c r="A39" s="107" t="s">
        <v>463</v>
      </c>
      <c r="B39" s="108"/>
      <c r="C39" s="108"/>
      <c r="D39" s="88" t="s">
        <v>23</v>
      </c>
      <c r="E39" s="88" t="s">
        <v>24</v>
      </c>
      <c r="F39" s="88" t="s">
        <v>25</v>
      </c>
      <c r="G39" s="88" t="s">
        <v>26</v>
      </c>
      <c r="H39" s="205" t="s">
        <v>27</v>
      </c>
      <c r="I39" s="136" t="s">
        <v>28</v>
      </c>
    </row>
    <row r="40" spans="1:9">
      <c r="A40" s="109" t="s">
        <v>464</v>
      </c>
      <c r="B40" s="110"/>
      <c r="C40" s="111"/>
      <c r="D40" s="91" t="s">
        <v>449</v>
      </c>
      <c r="E40" s="91" t="s">
        <v>449</v>
      </c>
      <c r="F40" s="91" t="s">
        <v>449</v>
      </c>
      <c r="G40" s="91" t="s">
        <v>449</v>
      </c>
      <c r="H40" s="91" t="s">
        <v>449</v>
      </c>
      <c r="I40" s="137" t="s">
        <v>449</v>
      </c>
    </row>
    <row r="41" spans="1:9">
      <c r="A41" s="92" t="s">
        <v>450</v>
      </c>
      <c r="B41" s="112" t="s">
        <v>465</v>
      </c>
      <c r="C41" s="112"/>
      <c r="D41" s="113">
        <f>D37*8.33%</f>
        <v>176.180333</v>
      </c>
      <c r="E41" s="113">
        <f>E37*8.33%</f>
        <v>176.180333</v>
      </c>
      <c r="F41" s="113">
        <f t="shared" ref="F41:G41" si="1">F37*8.33%</f>
        <v>176.180333</v>
      </c>
      <c r="G41" s="113">
        <f t="shared" si="1"/>
        <v>176.180333</v>
      </c>
      <c r="H41" s="113">
        <f t="shared" ref="H41:I41" si="2">H37*8.33%</f>
        <v>176.180333</v>
      </c>
      <c r="I41" s="141">
        <f t="shared" si="2"/>
        <v>176.180333</v>
      </c>
    </row>
    <row r="42" spans="1:9">
      <c r="A42" s="92" t="s">
        <v>452</v>
      </c>
      <c r="B42" s="112" t="s">
        <v>466</v>
      </c>
      <c r="C42" s="112"/>
      <c r="D42" s="113">
        <f>D37*12.1%</f>
        <v>255.91621</v>
      </c>
      <c r="E42" s="113">
        <f>E37*12.1%</f>
        <v>255.91621</v>
      </c>
      <c r="F42" s="113">
        <f t="shared" ref="F42:G42" si="3">F37*12.1%</f>
        <v>255.91621</v>
      </c>
      <c r="G42" s="113">
        <f t="shared" si="3"/>
        <v>255.91621</v>
      </c>
      <c r="H42" s="113">
        <f t="shared" ref="H42" si="4">H37*12.1%</f>
        <v>255.91621</v>
      </c>
      <c r="I42" s="141">
        <f t="shared" ref="I42" si="5">I37*12.1%</f>
        <v>255.91621</v>
      </c>
    </row>
    <row r="43" spans="1:9">
      <c r="A43" s="92"/>
      <c r="B43" s="111" t="s">
        <v>398</v>
      </c>
      <c r="C43" s="111"/>
      <c r="D43" s="114">
        <f>SUM(D41:D42)</f>
        <v>432.096543</v>
      </c>
      <c r="E43" s="114">
        <f>SUM(E41:E42)</f>
        <v>432.096543</v>
      </c>
      <c r="F43" s="114">
        <f t="shared" ref="F43:G43" si="6">SUM(F41:F42)</f>
        <v>432.096543</v>
      </c>
      <c r="G43" s="114">
        <f t="shared" si="6"/>
        <v>432.096543</v>
      </c>
      <c r="H43" s="114">
        <f t="shared" ref="H43" si="7">SUM(H41:H42)</f>
        <v>432.096543</v>
      </c>
      <c r="I43" s="142">
        <f t="shared" ref="I43" si="8">SUM(I41:I42)</f>
        <v>432.096543</v>
      </c>
    </row>
    <row r="44" ht="45.75" spans="1:9">
      <c r="A44" s="115" t="s">
        <v>454</v>
      </c>
      <c r="B44" s="116" t="s">
        <v>467</v>
      </c>
      <c r="C44" s="116"/>
      <c r="D44" s="117">
        <f>D37*7.82%</f>
        <v>165.393782</v>
      </c>
      <c r="E44" s="117">
        <f>E37*7.82%</f>
        <v>165.393782</v>
      </c>
      <c r="F44" s="117">
        <f t="shared" ref="F44:G44" si="9">F37*7.82%</f>
        <v>165.393782</v>
      </c>
      <c r="G44" s="117">
        <f t="shared" si="9"/>
        <v>165.393782</v>
      </c>
      <c r="H44" s="117">
        <f t="shared" ref="H44" si="10">H37*7.82%</f>
        <v>165.393782</v>
      </c>
      <c r="I44" s="143">
        <f t="shared" ref="I44" si="11">I37*7.82%</f>
        <v>165.393782</v>
      </c>
    </row>
    <row r="45" ht="15.75" spans="1:5">
      <c r="A45" s="52"/>
      <c r="B45" s="52"/>
      <c r="C45" s="52"/>
      <c r="D45" s="52"/>
      <c r="E45" s="85"/>
    </row>
    <row r="46" ht="32.45" customHeight="1" spans="1:9">
      <c r="A46" s="118" t="s">
        <v>468</v>
      </c>
      <c r="B46" s="119"/>
      <c r="C46" s="119"/>
      <c r="D46" s="88" t="s">
        <v>23</v>
      </c>
      <c r="E46" s="88" t="s">
        <v>24</v>
      </c>
      <c r="F46" s="88" t="s">
        <v>25</v>
      </c>
      <c r="G46" s="88" t="s">
        <v>26</v>
      </c>
      <c r="H46" s="205" t="s">
        <v>27</v>
      </c>
      <c r="I46" s="136" t="s">
        <v>28</v>
      </c>
    </row>
    <row r="47" spans="1:9">
      <c r="A47" s="89" t="s">
        <v>190</v>
      </c>
      <c r="B47" s="120" t="s">
        <v>469</v>
      </c>
      <c r="C47" s="121" t="s">
        <v>470</v>
      </c>
      <c r="D47" s="121" t="s">
        <v>449</v>
      </c>
      <c r="E47" s="121" t="s">
        <v>449</v>
      </c>
      <c r="F47" s="121" t="s">
        <v>449</v>
      </c>
      <c r="G47" s="121" t="s">
        <v>449</v>
      </c>
      <c r="H47" s="91" t="s">
        <v>449</v>
      </c>
      <c r="I47" s="210" t="s">
        <v>449</v>
      </c>
    </row>
    <row r="48" spans="1:9">
      <c r="A48" s="92" t="s">
        <v>450</v>
      </c>
      <c r="B48" s="122" t="s">
        <v>471</v>
      </c>
      <c r="C48" s="123">
        <v>20</v>
      </c>
      <c r="D48" s="113">
        <f>(D37*($C$48/100))</f>
        <v>423.002</v>
      </c>
      <c r="E48" s="113">
        <f t="shared" ref="E48:G48" si="12">(E37*($C$48/100))</f>
        <v>423.002</v>
      </c>
      <c r="F48" s="113">
        <f t="shared" si="12"/>
        <v>423.002</v>
      </c>
      <c r="G48" s="113">
        <f t="shared" si="12"/>
        <v>423.002</v>
      </c>
      <c r="H48" s="113">
        <f t="shared" ref="H48" si="13">(H37*($C$48/100))</f>
        <v>423.002</v>
      </c>
      <c r="I48" s="141">
        <f t="shared" ref="I48" si="14">(I37*($C$48/100))</f>
        <v>423.002</v>
      </c>
    </row>
    <row r="49" spans="1:9">
      <c r="A49" s="92" t="s">
        <v>452</v>
      </c>
      <c r="B49" s="124" t="s">
        <v>472</v>
      </c>
      <c r="C49" s="125">
        <v>2.5</v>
      </c>
      <c r="D49" s="126">
        <f>(D37*($C$49/100))</f>
        <v>52.87525</v>
      </c>
      <c r="E49" s="126">
        <f t="shared" ref="E49:G49" si="15">(E37*($C$49/100))</f>
        <v>52.87525</v>
      </c>
      <c r="F49" s="126">
        <f t="shared" si="15"/>
        <v>52.87525</v>
      </c>
      <c r="G49" s="126">
        <f t="shared" si="15"/>
        <v>52.87525</v>
      </c>
      <c r="H49" s="126">
        <f t="shared" ref="H49" si="16">(H37*($C$49/100))</f>
        <v>52.87525</v>
      </c>
      <c r="I49" s="144">
        <f t="shared" ref="I49" si="17">(I37*($C$49/100))</f>
        <v>52.87525</v>
      </c>
    </row>
    <row r="50" spans="1:9">
      <c r="A50" s="92" t="s">
        <v>454</v>
      </c>
      <c r="B50" s="122" t="s">
        <v>473</v>
      </c>
      <c r="C50" s="123">
        <v>6</v>
      </c>
      <c r="D50" s="113">
        <f>(D$37*($C$50/100))</f>
        <v>126.9006</v>
      </c>
      <c r="E50" s="113">
        <f t="shared" ref="E50:I50" si="18">(E$37*($C$50/100))</f>
        <v>126.9006</v>
      </c>
      <c r="F50" s="113">
        <f t="shared" si="18"/>
        <v>126.9006</v>
      </c>
      <c r="G50" s="113">
        <f t="shared" si="18"/>
        <v>126.9006</v>
      </c>
      <c r="H50" s="113">
        <f t="shared" si="18"/>
        <v>126.9006</v>
      </c>
      <c r="I50" s="141">
        <f t="shared" si="18"/>
        <v>126.9006</v>
      </c>
    </row>
    <row r="51" spans="1:9">
      <c r="A51" s="92" t="s">
        <v>456</v>
      </c>
      <c r="B51" s="124" t="s">
        <v>474</v>
      </c>
      <c r="C51" s="125">
        <v>1.5</v>
      </c>
      <c r="D51" s="209">
        <f>(D$37*($C$51/100))</f>
        <v>31.72515</v>
      </c>
      <c r="E51" s="209">
        <f t="shared" ref="E51:I51" si="19">(E$37*($C$51/100))</f>
        <v>31.72515</v>
      </c>
      <c r="F51" s="209">
        <f t="shared" si="19"/>
        <v>31.72515</v>
      </c>
      <c r="G51" s="209">
        <f t="shared" si="19"/>
        <v>31.72515</v>
      </c>
      <c r="H51" s="209">
        <f t="shared" si="19"/>
        <v>31.72515</v>
      </c>
      <c r="I51" s="211">
        <f t="shared" si="19"/>
        <v>31.72515</v>
      </c>
    </row>
    <row r="52" spans="1:9">
      <c r="A52" s="92" t="s">
        <v>458</v>
      </c>
      <c r="B52" s="124" t="s">
        <v>475</v>
      </c>
      <c r="C52" s="125">
        <v>1</v>
      </c>
      <c r="D52" s="209">
        <f>(D$37*($C$52/100))</f>
        <v>21.1501</v>
      </c>
      <c r="E52" s="209">
        <f t="shared" ref="E52:I52" si="20">(E$37*($C$52/100))</f>
        <v>21.1501</v>
      </c>
      <c r="F52" s="209">
        <f t="shared" si="20"/>
        <v>21.1501</v>
      </c>
      <c r="G52" s="209">
        <f t="shared" si="20"/>
        <v>21.1501</v>
      </c>
      <c r="H52" s="209">
        <f t="shared" si="20"/>
        <v>21.1501</v>
      </c>
      <c r="I52" s="211">
        <f t="shared" si="20"/>
        <v>21.1501</v>
      </c>
    </row>
    <row r="53" spans="1:9">
      <c r="A53" s="92" t="s">
        <v>460</v>
      </c>
      <c r="B53" s="124" t="s">
        <v>476</v>
      </c>
      <c r="C53" s="125">
        <v>0.6</v>
      </c>
      <c r="D53" s="209">
        <f>(D$37*($C$53/100))</f>
        <v>12.69006</v>
      </c>
      <c r="E53" s="209">
        <f t="shared" ref="E53:I53" si="21">(E$37*($C$53/100))</f>
        <v>12.69006</v>
      </c>
      <c r="F53" s="209">
        <f t="shared" si="21"/>
        <v>12.69006</v>
      </c>
      <c r="G53" s="209">
        <f t="shared" si="21"/>
        <v>12.69006</v>
      </c>
      <c r="H53" s="209">
        <f t="shared" si="21"/>
        <v>12.69006</v>
      </c>
      <c r="I53" s="211">
        <f t="shared" si="21"/>
        <v>12.69006</v>
      </c>
    </row>
    <row r="54" spans="1:9">
      <c r="A54" s="92" t="s">
        <v>477</v>
      </c>
      <c r="B54" s="124" t="s">
        <v>478</v>
      </c>
      <c r="C54" s="125">
        <v>0.2</v>
      </c>
      <c r="D54" s="209">
        <f>(D$37*($C$54/100))</f>
        <v>4.23002</v>
      </c>
      <c r="E54" s="209">
        <f t="shared" ref="E54:I54" si="22">(E$37*($C$54/100))</f>
        <v>4.23002</v>
      </c>
      <c r="F54" s="209">
        <f t="shared" si="22"/>
        <v>4.23002</v>
      </c>
      <c r="G54" s="209">
        <f t="shared" si="22"/>
        <v>4.23002</v>
      </c>
      <c r="H54" s="209">
        <f t="shared" si="22"/>
        <v>4.23002</v>
      </c>
      <c r="I54" s="211">
        <f t="shared" si="22"/>
        <v>4.23002</v>
      </c>
    </row>
    <row r="55" spans="1:9">
      <c r="A55" s="92" t="s">
        <v>479</v>
      </c>
      <c r="B55" s="122" t="s">
        <v>480</v>
      </c>
      <c r="C55" s="123">
        <v>8</v>
      </c>
      <c r="D55" s="113">
        <f>(D$37*($C$55/100))</f>
        <v>169.2008</v>
      </c>
      <c r="E55" s="113">
        <f t="shared" ref="E55:I55" si="23">(E$37*($C$55/100))</f>
        <v>169.2008</v>
      </c>
      <c r="F55" s="113">
        <f t="shared" si="23"/>
        <v>169.2008</v>
      </c>
      <c r="G55" s="113">
        <f t="shared" si="23"/>
        <v>169.2008</v>
      </c>
      <c r="H55" s="113">
        <f t="shared" si="23"/>
        <v>169.2008</v>
      </c>
      <c r="I55" s="141">
        <f t="shared" si="23"/>
        <v>169.2008</v>
      </c>
    </row>
    <row r="56" ht="15.75" spans="1:9">
      <c r="A56" s="103"/>
      <c r="B56" s="127" t="s">
        <v>35</v>
      </c>
      <c r="C56" s="128">
        <f>SUM(C48:C55)</f>
        <v>39.8</v>
      </c>
      <c r="D56" s="129">
        <f>SUM(D48:D55)</f>
        <v>841.77398</v>
      </c>
      <c r="E56" s="129">
        <f t="shared" ref="E56:G56" si="24">SUM(E48:E55)</f>
        <v>841.77398</v>
      </c>
      <c r="F56" s="129">
        <f t="shared" si="24"/>
        <v>841.77398</v>
      </c>
      <c r="G56" s="129">
        <f t="shared" si="24"/>
        <v>841.77398</v>
      </c>
      <c r="H56" s="129">
        <f t="shared" ref="H56" si="25">SUM(H48:H55)</f>
        <v>841.77398</v>
      </c>
      <c r="I56" s="145">
        <f t="shared" ref="I56" si="26">SUM(I48:I55)</f>
        <v>841.77398</v>
      </c>
    </row>
    <row r="57" spans="1:5">
      <c r="A57" s="130"/>
      <c r="B57" s="131" t="s">
        <v>481</v>
      </c>
      <c r="C57" s="130"/>
      <c r="D57" s="130"/>
      <c r="E57" s="85"/>
    </row>
    <row r="58" ht="15.75" spans="1:5">
      <c r="A58" s="130"/>
      <c r="B58" s="131"/>
      <c r="C58" s="130"/>
      <c r="D58" s="130"/>
      <c r="E58" s="85"/>
    </row>
    <row r="59" ht="25.5" spans="1:9">
      <c r="A59" s="132" t="s">
        <v>482</v>
      </c>
      <c r="B59" s="133"/>
      <c r="C59" s="133"/>
      <c r="D59" s="88" t="s">
        <v>23</v>
      </c>
      <c r="E59" s="88" t="s">
        <v>24</v>
      </c>
      <c r="F59" s="88" t="s">
        <v>25</v>
      </c>
      <c r="G59" s="88" t="s">
        <v>26</v>
      </c>
      <c r="H59" s="205" t="s">
        <v>27</v>
      </c>
      <c r="I59" s="136" t="s">
        <v>28</v>
      </c>
    </row>
    <row r="60" spans="1:9">
      <c r="A60" s="89" t="s">
        <v>193</v>
      </c>
      <c r="B60" s="90" t="s">
        <v>483</v>
      </c>
      <c r="C60" s="90"/>
      <c r="D60" s="91" t="s">
        <v>449</v>
      </c>
      <c r="E60" s="91" t="s">
        <v>449</v>
      </c>
      <c r="F60" s="91" t="s">
        <v>449</v>
      </c>
      <c r="G60" s="91" t="s">
        <v>449</v>
      </c>
      <c r="H60" s="91" t="s">
        <v>449</v>
      </c>
      <c r="I60" s="137" t="s">
        <v>449</v>
      </c>
    </row>
    <row r="61" spans="1:9">
      <c r="A61" s="92" t="s">
        <v>450</v>
      </c>
      <c r="B61" s="134" t="s">
        <v>484</v>
      </c>
      <c r="C61" s="134"/>
      <c r="D61" s="135">
        <f>(4.45*4*A20)-(6%*D20)</f>
        <v>244.7634</v>
      </c>
      <c r="E61" s="135">
        <f>(4.45*4*A21)-(6%*D21)</f>
        <v>143.8374</v>
      </c>
      <c r="F61" s="135">
        <f>(4.45*4*A22)-(6%*D22)</f>
        <v>244.7634</v>
      </c>
      <c r="G61" s="135">
        <f>(4.45*4*A23)-(6%*D23)</f>
        <v>244.7634</v>
      </c>
      <c r="H61" s="135">
        <f>(4.45*4*A24)-(6%*D24)</f>
        <v>244.7634</v>
      </c>
      <c r="I61" s="146">
        <f>(4.45*4*A25)-(6%*D25)</f>
        <v>244.7634</v>
      </c>
    </row>
    <row r="62" spans="1:9">
      <c r="A62" s="92" t="s">
        <v>452</v>
      </c>
      <c r="B62" s="93" t="s">
        <v>485</v>
      </c>
      <c r="C62" s="93"/>
      <c r="D62" s="135">
        <v>330</v>
      </c>
      <c r="E62" s="135">
        <v>330</v>
      </c>
      <c r="F62" s="135">
        <v>330</v>
      </c>
      <c r="G62" s="135">
        <v>330</v>
      </c>
      <c r="H62" s="135">
        <v>330</v>
      </c>
      <c r="I62" s="135">
        <v>330</v>
      </c>
    </row>
    <row r="63" spans="1:9">
      <c r="A63" s="92" t="s">
        <v>454</v>
      </c>
      <c r="B63" s="93" t="s">
        <v>486</v>
      </c>
      <c r="C63" s="93"/>
      <c r="D63" s="135">
        <v>0</v>
      </c>
      <c r="E63" s="94">
        <f>E57</f>
        <v>0</v>
      </c>
      <c r="F63" s="94">
        <f>F57</f>
        <v>0</v>
      </c>
      <c r="G63" s="94">
        <f>G57</f>
        <v>0</v>
      </c>
      <c r="H63" s="94">
        <f>H57</f>
        <v>0</v>
      </c>
      <c r="I63" s="138">
        <f>I57</f>
        <v>0</v>
      </c>
    </row>
    <row r="64" spans="1:9">
      <c r="A64" s="92" t="s">
        <v>456</v>
      </c>
      <c r="B64" s="93" t="s">
        <v>487</v>
      </c>
      <c r="C64" s="93"/>
      <c r="D64" s="135">
        <v>20</v>
      </c>
      <c r="E64" s="135">
        <v>20</v>
      </c>
      <c r="F64" s="135">
        <v>20</v>
      </c>
      <c r="G64" s="135">
        <v>20</v>
      </c>
      <c r="H64" s="135">
        <v>20</v>
      </c>
      <c r="I64" s="146">
        <v>20</v>
      </c>
    </row>
    <row r="65" ht="15.75" spans="1:9">
      <c r="A65" s="103"/>
      <c r="B65" s="104" t="s">
        <v>488</v>
      </c>
      <c r="C65" s="104"/>
      <c r="D65" s="105">
        <f t="shared" ref="D65:G65" si="27">SUM(D61:D64)</f>
        <v>594.7634</v>
      </c>
      <c r="E65" s="105">
        <f t="shared" si="27"/>
        <v>493.8374</v>
      </c>
      <c r="F65" s="105">
        <f t="shared" si="27"/>
        <v>594.7634</v>
      </c>
      <c r="G65" s="105">
        <f t="shared" si="27"/>
        <v>594.7634</v>
      </c>
      <c r="H65" s="105">
        <f t="shared" ref="H65" si="28">SUM(H61:H64)</f>
        <v>594.7634</v>
      </c>
      <c r="I65" s="140">
        <f t="shared" ref="I65" si="29">SUM(I61:I64)</f>
        <v>594.7634</v>
      </c>
    </row>
    <row r="66" ht="15.75" spans="1:5">
      <c r="A66" s="130"/>
      <c r="B66" s="147"/>
      <c r="C66" s="148"/>
      <c r="D66" s="148"/>
      <c r="E66" s="85"/>
    </row>
    <row r="67" ht="25.5" spans="1:9">
      <c r="A67" s="107" t="s">
        <v>489</v>
      </c>
      <c r="B67" s="108"/>
      <c r="C67" s="108"/>
      <c r="D67" s="88" t="s">
        <v>23</v>
      </c>
      <c r="E67" s="88" t="s">
        <v>24</v>
      </c>
      <c r="F67" s="88" t="s">
        <v>25</v>
      </c>
      <c r="G67" s="88" t="s">
        <v>26</v>
      </c>
      <c r="H67" s="205" t="s">
        <v>27</v>
      </c>
      <c r="I67" s="136" t="s">
        <v>28</v>
      </c>
    </row>
    <row r="68" spans="1:9">
      <c r="A68" s="149">
        <v>2</v>
      </c>
      <c r="B68" s="90" t="s">
        <v>490</v>
      </c>
      <c r="C68" s="90"/>
      <c r="D68" s="150" t="s">
        <v>491</v>
      </c>
      <c r="E68" s="150" t="s">
        <v>491</v>
      </c>
      <c r="F68" s="150" t="s">
        <v>491</v>
      </c>
      <c r="G68" s="150" t="s">
        <v>491</v>
      </c>
      <c r="H68" s="91" t="s">
        <v>449</v>
      </c>
      <c r="I68" s="181" t="s">
        <v>491</v>
      </c>
    </row>
    <row r="69" spans="1:9">
      <c r="A69" s="149" t="s">
        <v>187</v>
      </c>
      <c r="B69" s="93" t="s">
        <v>492</v>
      </c>
      <c r="C69" s="93"/>
      <c r="D69" s="94">
        <f t="shared" ref="D69:G69" si="30">D43</f>
        <v>432.096543</v>
      </c>
      <c r="E69" s="94">
        <f t="shared" si="30"/>
        <v>432.096543</v>
      </c>
      <c r="F69" s="94">
        <f t="shared" si="30"/>
        <v>432.096543</v>
      </c>
      <c r="G69" s="94">
        <f t="shared" si="30"/>
        <v>432.096543</v>
      </c>
      <c r="H69" s="94">
        <f t="shared" ref="H69" si="31">H43</f>
        <v>432.096543</v>
      </c>
      <c r="I69" s="138">
        <f t="shared" ref="I69" si="32">I43</f>
        <v>432.096543</v>
      </c>
    </row>
    <row r="70" spans="1:9">
      <c r="A70" s="149" t="s">
        <v>190</v>
      </c>
      <c r="B70" s="93" t="s">
        <v>469</v>
      </c>
      <c r="C70" s="93"/>
      <c r="D70" s="94">
        <f t="shared" ref="D70:G70" si="33">D56+D44</f>
        <v>1007.167762</v>
      </c>
      <c r="E70" s="94">
        <f t="shared" si="33"/>
        <v>1007.167762</v>
      </c>
      <c r="F70" s="94">
        <f t="shared" si="33"/>
        <v>1007.167762</v>
      </c>
      <c r="G70" s="94">
        <f t="shared" si="33"/>
        <v>1007.167762</v>
      </c>
      <c r="H70" s="94">
        <f t="shared" ref="H70" si="34">H56+H44</f>
        <v>1007.167762</v>
      </c>
      <c r="I70" s="138">
        <f t="shared" ref="I70" si="35">I56+I44</f>
        <v>1007.167762</v>
      </c>
    </row>
    <row r="71" spans="1:9">
      <c r="A71" s="149" t="s">
        <v>193</v>
      </c>
      <c r="B71" s="93" t="s">
        <v>483</v>
      </c>
      <c r="C71" s="93"/>
      <c r="D71" s="94">
        <f t="shared" ref="D71:G71" si="36">D65</f>
        <v>594.7634</v>
      </c>
      <c r="E71" s="94">
        <f t="shared" si="36"/>
        <v>493.8374</v>
      </c>
      <c r="F71" s="94">
        <f t="shared" si="36"/>
        <v>594.7634</v>
      </c>
      <c r="G71" s="94">
        <f t="shared" si="36"/>
        <v>594.7634</v>
      </c>
      <c r="H71" s="94">
        <f t="shared" ref="H71" si="37">H65</f>
        <v>594.7634</v>
      </c>
      <c r="I71" s="138">
        <f t="shared" ref="I71" si="38">I65</f>
        <v>594.7634</v>
      </c>
    </row>
    <row r="72" ht="15.75" spans="1:9">
      <c r="A72" s="151"/>
      <c r="B72" s="104" t="s">
        <v>398</v>
      </c>
      <c r="C72" s="104"/>
      <c r="D72" s="105">
        <f t="shared" ref="D72:G72" si="39">SUM(D69:D71)</f>
        <v>2034.027705</v>
      </c>
      <c r="E72" s="105">
        <f t="shared" si="39"/>
        <v>1933.101705</v>
      </c>
      <c r="F72" s="105">
        <f t="shared" si="39"/>
        <v>2034.027705</v>
      </c>
      <c r="G72" s="105">
        <f t="shared" si="39"/>
        <v>2034.027705</v>
      </c>
      <c r="H72" s="105">
        <f t="shared" ref="H72" si="40">SUM(H69:H71)</f>
        <v>2034.027705</v>
      </c>
      <c r="I72" s="140">
        <f t="shared" ref="I72" si="41">SUM(I69:I71)</f>
        <v>2034.027705</v>
      </c>
    </row>
    <row r="73" ht="15.75" spans="1:5">
      <c r="A73" s="52"/>
      <c r="B73" s="152"/>
      <c r="C73" s="148"/>
      <c r="D73" s="148"/>
      <c r="E73" s="85"/>
    </row>
    <row r="74" ht="25.5" spans="1:9">
      <c r="A74" s="107" t="s">
        <v>493</v>
      </c>
      <c r="B74" s="108"/>
      <c r="C74" s="108"/>
      <c r="D74" s="88" t="s">
        <v>23</v>
      </c>
      <c r="E74" s="88" t="s">
        <v>24</v>
      </c>
      <c r="F74" s="88" t="s">
        <v>25</v>
      </c>
      <c r="G74" s="88" t="s">
        <v>26</v>
      </c>
      <c r="H74" s="205" t="s">
        <v>27</v>
      </c>
      <c r="I74" s="136" t="s">
        <v>28</v>
      </c>
    </row>
    <row r="75" spans="1:9">
      <c r="A75" s="89">
        <v>3</v>
      </c>
      <c r="B75" s="153" t="s">
        <v>494</v>
      </c>
      <c r="C75" s="153"/>
      <c r="D75" s="121" t="s">
        <v>449</v>
      </c>
      <c r="E75" s="121" t="s">
        <v>449</v>
      </c>
      <c r="F75" s="121" t="s">
        <v>449</v>
      </c>
      <c r="G75" s="121" t="s">
        <v>449</v>
      </c>
      <c r="H75" s="91" t="s">
        <v>449</v>
      </c>
      <c r="I75" s="210" t="s">
        <v>449</v>
      </c>
    </row>
    <row r="76" spans="1:9">
      <c r="A76" s="92" t="s">
        <v>450</v>
      </c>
      <c r="B76" s="99" t="s">
        <v>495</v>
      </c>
      <c r="C76" s="99"/>
      <c r="D76" s="113">
        <f t="shared" ref="D76:G76" si="42">((D37+D41+D42)/12)*5%</f>
        <v>10.6129439291667</v>
      </c>
      <c r="E76" s="113">
        <f t="shared" si="42"/>
        <v>10.6129439291667</v>
      </c>
      <c r="F76" s="113">
        <f t="shared" si="42"/>
        <v>10.6129439291667</v>
      </c>
      <c r="G76" s="113">
        <f t="shared" si="42"/>
        <v>10.6129439291667</v>
      </c>
      <c r="H76" s="113">
        <f t="shared" ref="H76" si="43">((H37+H41+H42)/12)*5%</f>
        <v>10.6129439291667</v>
      </c>
      <c r="I76" s="141">
        <f t="shared" ref="I76" si="44">((I37+I41+I42)/12)*5%</f>
        <v>10.6129439291667</v>
      </c>
    </row>
    <row r="77" spans="1:9">
      <c r="A77" s="92" t="s">
        <v>452</v>
      </c>
      <c r="B77" s="99" t="s">
        <v>496</v>
      </c>
      <c r="C77" s="99"/>
      <c r="D77" s="113">
        <f t="shared" ref="D77:G77" si="45">((D37+D41)/12)*5%*8%</f>
        <v>0.763730111</v>
      </c>
      <c r="E77" s="113">
        <f t="shared" si="45"/>
        <v>0.763730111</v>
      </c>
      <c r="F77" s="113">
        <f t="shared" si="45"/>
        <v>0.763730111</v>
      </c>
      <c r="G77" s="113">
        <f t="shared" si="45"/>
        <v>0.763730111</v>
      </c>
      <c r="H77" s="113">
        <f t="shared" ref="H77" si="46">((H37+H41)/12)*5%*8%</f>
        <v>0.763730111</v>
      </c>
      <c r="I77" s="141">
        <f t="shared" ref="I77" si="47">((I37+I41)/12)*5%*8%</f>
        <v>0.763730111</v>
      </c>
    </row>
    <row r="78" spans="1:9">
      <c r="A78" s="92" t="s">
        <v>454</v>
      </c>
      <c r="B78" s="99" t="s">
        <v>497</v>
      </c>
      <c r="C78" s="99"/>
      <c r="D78" s="113">
        <v>0</v>
      </c>
      <c r="E78" s="113">
        <v>0</v>
      </c>
      <c r="F78" s="113">
        <v>0</v>
      </c>
      <c r="G78" s="113">
        <v>0</v>
      </c>
      <c r="H78" s="113">
        <v>0</v>
      </c>
      <c r="I78" s="141">
        <v>0</v>
      </c>
    </row>
    <row r="79" spans="1:9">
      <c r="A79" s="92" t="s">
        <v>456</v>
      </c>
      <c r="B79" s="99" t="s">
        <v>498</v>
      </c>
      <c r="C79" s="99"/>
      <c r="D79" s="113">
        <f t="shared" ref="D79:G79" si="48">(((D37+D63)/30/12)*7)</f>
        <v>41.1251944444444</v>
      </c>
      <c r="E79" s="113">
        <f t="shared" si="48"/>
        <v>41.1251944444444</v>
      </c>
      <c r="F79" s="113">
        <f t="shared" si="48"/>
        <v>41.1251944444444</v>
      </c>
      <c r="G79" s="113">
        <f t="shared" si="48"/>
        <v>41.1251944444444</v>
      </c>
      <c r="H79" s="113">
        <f t="shared" ref="H79" si="49">(((H37+H63)/30/12)*7)</f>
        <v>41.1251944444444</v>
      </c>
      <c r="I79" s="141">
        <f t="shared" ref="I79" si="50">(((I37+I63)/30/12)*7)</f>
        <v>41.1251944444444</v>
      </c>
    </row>
    <row r="80" ht="24" customHeight="1" spans="1:9">
      <c r="A80" s="92" t="s">
        <v>458</v>
      </c>
      <c r="B80" s="99" t="s">
        <v>499</v>
      </c>
      <c r="C80" s="99"/>
      <c r="D80" s="113">
        <f t="shared" ref="D80:G80" si="51">(D37/30/12*7)*8%</f>
        <v>3.29001555555556</v>
      </c>
      <c r="E80" s="113">
        <f t="shared" si="51"/>
        <v>3.29001555555556</v>
      </c>
      <c r="F80" s="113">
        <f t="shared" si="51"/>
        <v>3.29001555555556</v>
      </c>
      <c r="G80" s="113">
        <f t="shared" si="51"/>
        <v>3.29001555555556</v>
      </c>
      <c r="H80" s="113">
        <f t="shared" ref="H80" si="52">(H37/30/12*7)*8%</f>
        <v>3.29001555555556</v>
      </c>
      <c r="I80" s="141">
        <f t="shared" ref="I80" si="53">(I37/30/12*7)*8%</f>
        <v>3.29001555555556</v>
      </c>
    </row>
    <row r="81" spans="1:9">
      <c r="A81" s="92" t="s">
        <v>460</v>
      </c>
      <c r="B81" s="99" t="s">
        <v>500</v>
      </c>
      <c r="C81" s="99"/>
      <c r="D81" s="113">
        <f t="shared" ref="D81:G81" si="54">D37*4%</f>
        <v>84.6004</v>
      </c>
      <c r="E81" s="113">
        <f t="shared" si="54"/>
        <v>84.6004</v>
      </c>
      <c r="F81" s="113">
        <f t="shared" si="54"/>
        <v>84.6004</v>
      </c>
      <c r="G81" s="113">
        <f t="shared" si="54"/>
        <v>84.6004</v>
      </c>
      <c r="H81" s="113">
        <f t="shared" ref="H81" si="55">H37*4%</f>
        <v>84.6004</v>
      </c>
      <c r="I81" s="141">
        <f t="shared" ref="I81" si="56">I37*4%</f>
        <v>84.6004</v>
      </c>
    </row>
    <row r="82" ht="15.75" spans="1:9">
      <c r="A82" s="103"/>
      <c r="B82" s="154" t="s">
        <v>35</v>
      </c>
      <c r="C82" s="154"/>
      <c r="D82" s="129">
        <f t="shared" ref="D82:G82" si="57">SUM(D76:D81)</f>
        <v>140.392284040167</v>
      </c>
      <c r="E82" s="129">
        <f t="shared" si="57"/>
        <v>140.392284040167</v>
      </c>
      <c r="F82" s="129">
        <f t="shared" si="57"/>
        <v>140.392284040167</v>
      </c>
      <c r="G82" s="129">
        <f t="shared" si="57"/>
        <v>140.392284040167</v>
      </c>
      <c r="H82" s="129">
        <f t="shared" ref="H82" si="58">SUM(H76:H81)</f>
        <v>140.392284040167</v>
      </c>
      <c r="I82" s="145">
        <f t="shared" ref="I82" si="59">SUM(I76:I81)</f>
        <v>140.392284040167</v>
      </c>
    </row>
    <row r="83" ht="15.75" spans="1:5">
      <c r="A83" s="52"/>
      <c r="B83" s="52"/>
      <c r="C83" s="52"/>
      <c r="D83" s="52"/>
      <c r="E83" s="85"/>
    </row>
    <row r="84" ht="25.5" spans="1:9">
      <c r="A84" s="107" t="s">
        <v>501</v>
      </c>
      <c r="B84" s="108"/>
      <c r="C84" s="108"/>
      <c r="D84" s="88" t="s">
        <v>23</v>
      </c>
      <c r="E84" s="88" t="s">
        <v>24</v>
      </c>
      <c r="F84" s="88" t="s">
        <v>25</v>
      </c>
      <c r="G84" s="88" t="s">
        <v>26</v>
      </c>
      <c r="H84" s="205" t="s">
        <v>27</v>
      </c>
      <c r="I84" s="136" t="s">
        <v>28</v>
      </c>
    </row>
    <row r="85" spans="1:9">
      <c r="A85" s="89" t="s">
        <v>502</v>
      </c>
      <c r="B85" s="153" t="s">
        <v>503</v>
      </c>
      <c r="C85" s="153"/>
      <c r="D85" s="121" t="s">
        <v>449</v>
      </c>
      <c r="E85" s="121" t="s">
        <v>449</v>
      </c>
      <c r="F85" s="121" t="s">
        <v>449</v>
      </c>
      <c r="G85" s="121" t="s">
        <v>449</v>
      </c>
      <c r="H85" s="91" t="s">
        <v>449</v>
      </c>
      <c r="I85" s="210" t="s">
        <v>449</v>
      </c>
    </row>
    <row r="86" spans="1:9">
      <c r="A86" s="92" t="s">
        <v>450</v>
      </c>
      <c r="B86" s="155" t="s">
        <v>504</v>
      </c>
      <c r="C86" s="155"/>
      <c r="D86" s="113">
        <v>0</v>
      </c>
      <c r="E86" s="113">
        <v>0</v>
      </c>
      <c r="F86" s="113">
        <v>0</v>
      </c>
      <c r="G86" s="113">
        <v>0</v>
      </c>
      <c r="H86" s="113">
        <v>0</v>
      </c>
      <c r="I86" s="141">
        <v>0</v>
      </c>
    </row>
    <row r="87" spans="1:9">
      <c r="A87" s="92" t="s">
        <v>452</v>
      </c>
      <c r="B87" s="155" t="s">
        <v>505</v>
      </c>
      <c r="C87" s="155"/>
      <c r="D87" s="113">
        <f>(((D37+D72+D82+D90+D111)-(D61-D62-D108-D109))/30*2.96)/12</f>
        <v>38.040020908923</v>
      </c>
      <c r="E87" s="113">
        <f t="shared" ref="E87:H87" si="60">(((E37+E72+E82+E90+E111)-(E61-E62-E108-E109))/30*2.96)/12</f>
        <v>38.040020908923</v>
      </c>
      <c r="F87" s="113">
        <f t="shared" si="60"/>
        <v>37.9828353533674</v>
      </c>
      <c r="G87" s="113">
        <f t="shared" si="60"/>
        <v>37.9828353533674</v>
      </c>
      <c r="H87" s="113">
        <f t="shared" si="60"/>
        <v>37.4349270200341</v>
      </c>
      <c r="I87" s="141">
        <f t="shared" ref="I87" si="61">(((I37+I72+I82+I90+I111)-(I61-I62-I108-I109))/30*2.96)/12</f>
        <v>37.9771620200341</v>
      </c>
    </row>
    <row r="88" spans="1:9">
      <c r="A88" s="92" t="s">
        <v>454</v>
      </c>
      <c r="B88" s="155" t="s">
        <v>506</v>
      </c>
      <c r="C88" s="155"/>
      <c r="D88" s="113">
        <f t="shared" ref="D88:G88" si="62">(((D37+D72+D82+D90+D111)-(D61-D62-D108-D109))/30*5*1.5%)/12</f>
        <v>0.963851881138251</v>
      </c>
      <c r="E88" s="113">
        <f t="shared" si="62"/>
        <v>0.963851881138251</v>
      </c>
      <c r="F88" s="113">
        <f t="shared" si="62"/>
        <v>0.962402922804918</v>
      </c>
      <c r="G88" s="113">
        <f t="shared" si="62"/>
        <v>0.962402922804918</v>
      </c>
      <c r="H88" s="113">
        <f t="shared" ref="H88" si="63">(((H37+H72+H82+H90+H111)-(H61-H62-H108-H109))/30*5*1.5%)/12</f>
        <v>0.948520110304918</v>
      </c>
      <c r="I88" s="141">
        <f t="shared" ref="I88" si="64">(((I37+I72+I82+I90+I111)-(I61-I62-I108-I109))/30*5*1.5%)/12</f>
        <v>0.962259172804918</v>
      </c>
    </row>
    <row r="89" spans="1:9">
      <c r="A89" s="92" t="s">
        <v>456</v>
      </c>
      <c r="B89" s="155" t="s">
        <v>507</v>
      </c>
      <c r="C89" s="155"/>
      <c r="D89" s="113">
        <f t="shared" ref="D89:G89" si="65">(((D37+D72+D82+D90+D111)-(D61-D62-D108-D109))/30*15*0.78%)/12</f>
        <v>1.50360893457567</v>
      </c>
      <c r="E89" s="113">
        <f t="shared" si="65"/>
        <v>1.50360893457567</v>
      </c>
      <c r="F89" s="113">
        <f t="shared" si="65"/>
        <v>1.50134855957567</v>
      </c>
      <c r="G89" s="113">
        <f t="shared" si="65"/>
        <v>1.50134855957567</v>
      </c>
      <c r="H89" s="113">
        <f t="shared" ref="H89" si="66">(((H37+H72+H82+H90+H111)-(H61-H62-H108-H109))/30*15*0.78%)/12</f>
        <v>1.47969137207567</v>
      </c>
      <c r="I89" s="141">
        <f t="shared" ref="I89" si="67">(((I37+I72+I82+I90+I111)-(I61-I62-I108-I109))/30*15*0.78%)/12</f>
        <v>1.50112430957567</v>
      </c>
    </row>
    <row r="90" spans="1:9">
      <c r="A90" s="92" t="s">
        <v>458</v>
      </c>
      <c r="B90" s="155" t="s">
        <v>508</v>
      </c>
      <c r="C90" s="155"/>
      <c r="D90" s="113">
        <f t="shared" ref="D90:G90" si="68">(((D42*3.95/12)+(D63*3.95*1.02%))/12+((D37+D41)*39.8%*3.95)*1.02%/12)</f>
        <v>10.0816070901051</v>
      </c>
      <c r="E90" s="113">
        <f t="shared" si="68"/>
        <v>10.0816070901051</v>
      </c>
      <c r="F90" s="113">
        <f t="shared" si="68"/>
        <v>10.0816070901051</v>
      </c>
      <c r="G90" s="113">
        <f t="shared" si="68"/>
        <v>10.0816070901051</v>
      </c>
      <c r="H90" s="113">
        <f t="shared" ref="H90" si="69">(((H42*3.95/12)+(H63*3.95*1.02%))/12+((H37+H41)*39.8%*3.95)*1.02%/12)</f>
        <v>10.0816070901051</v>
      </c>
      <c r="I90" s="141">
        <f t="shared" ref="I90" si="70">(((I42*3.95/12)+(I63*3.95*1.02%))/12+((I37+I41)*39.8%*3.95)*1.02%/12)</f>
        <v>10.0816070901051</v>
      </c>
    </row>
    <row r="91" spans="1:9">
      <c r="A91" s="92" t="s">
        <v>460</v>
      </c>
      <c r="B91" s="155" t="s">
        <v>509</v>
      </c>
      <c r="C91" s="155"/>
      <c r="D91" s="113">
        <v>0</v>
      </c>
      <c r="E91" s="113">
        <v>0</v>
      </c>
      <c r="F91" s="113">
        <v>0</v>
      </c>
      <c r="G91" s="113">
        <v>0</v>
      </c>
      <c r="H91" s="113">
        <v>0</v>
      </c>
      <c r="I91" s="141">
        <v>0</v>
      </c>
    </row>
    <row r="92" ht="15.75" spans="1:9">
      <c r="A92" s="103"/>
      <c r="B92" s="154" t="s">
        <v>35</v>
      </c>
      <c r="C92" s="154"/>
      <c r="D92" s="129">
        <f t="shared" ref="D92:G92" si="71">SUM(D86:D91)</f>
        <v>50.589088814742</v>
      </c>
      <c r="E92" s="129">
        <f t="shared" si="71"/>
        <v>50.589088814742</v>
      </c>
      <c r="F92" s="129">
        <f t="shared" si="71"/>
        <v>50.5281939258532</v>
      </c>
      <c r="G92" s="129">
        <f t="shared" si="71"/>
        <v>50.5281939258532</v>
      </c>
      <c r="H92" s="129">
        <f t="shared" ref="H92" si="72">SUM(H86:H91)</f>
        <v>49.9447455925198</v>
      </c>
      <c r="I92" s="145">
        <f t="shared" ref="I92" si="73">SUM(I86:I91)</f>
        <v>50.5221525925198</v>
      </c>
    </row>
    <row r="93" ht="15.75" spans="1:5">
      <c r="A93" s="130"/>
      <c r="B93" s="130"/>
      <c r="C93" s="130"/>
      <c r="D93" s="52"/>
      <c r="E93" s="85"/>
    </row>
    <row r="94" ht="25.5" spans="1:9">
      <c r="A94" s="156" t="s">
        <v>510</v>
      </c>
      <c r="B94" s="157"/>
      <c r="C94" s="157"/>
      <c r="D94" s="158" t="s">
        <v>23</v>
      </c>
      <c r="E94" s="158" t="s">
        <v>24</v>
      </c>
      <c r="F94" s="158" t="s">
        <v>25</v>
      </c>
      <c r="G94" s="158" t="s">
        <v>26</v>
      </c>
      <c r="H94" s="205" t="s">
        <v>27</v>
      </c>
      <c r="I94" s="213" t="s">
        <v>28</v>
      </c>
    </row>
    <row r="95" spans="1:9">
      <c r="A95" s="159" t="s">
        <v>511</v>
      </c>
      <c r="B95" s="160" t="s">
        <v>512</v>
      </c>
      <c r="C95" s="160"/>
      <c r="D95" s="161" t="s">
        <v>449</v>
      </c>
      <c r="E95" s="161" t="s">
        <v>449</v>
      </c>
      <c r="F95" s="161" t="s">
        <v>449</v>
      </c>
      <c r="G95" s="161" t="s">
        <v>449</v>
      </c>
      <c r="H95" s="91" t="s">
        <v>449</v>
      </c>
      <c r="I95" s="214" t="s">
        <v>449</v>
      </c>
    </row>
    <row r="96" spans="1:9">
      <c r="A96" s="162" t="s">
        <v>450</v>
      </c>
      <c r="B96" s="163" t="s">
        <v>513</v>
      </c>
      <c r="C96" s="163"/>
      <c r="D96" s="113">
        <v>0</v>
      </c>
      <c r="E96" s="113">
        <v>0</v>
      </c>
      <c r="F96" s="113">
        <v>0</v>
      </c>
      <c r="G96" s="113">
        <v>0</v>
      </c>
      <c r="H96" s="113">
        <v>0</v>
      </c>
      <c r="I96" s="141">
        <v>0</v>
      </c>
    </row>
    <row r="97" ht="15.75" spans="1:9">
      <c r="A97" s="164"/>
      <c r="B97" s="165" t="s">
        <v>35</v>
      </c>
      <c r="C97" s="165"/>
      <c r="D97" s="105">
        <v>0</v>
      </c>
      <c r="E97" s="105">
        <v>0</v>
      </c>
      <c r="F97" s="105">
        <v>0</v>
      </c>
      <c r="G97" s="105">
        <v>0</v>
      </c>
      <c r="H97" s="105">
        <v>0</v>
      </c>
      <c r="I97" s="140">
        <v>0</v>
      </c>
    </row>
    <row r="98" ht="15.75" spans="1:5">
      <c r="A98" s="130"/>
      <c r="B98" s="130"/>
      <c r="C98" s="130"/>
      <c r="D98" s="52"/>
      <c r="E98" s="85"/>
    </row>
    <row r="99" ht="25.5" spans="1:9">
      <c r="A99" s="107" t="s">
        <v>514</v>
      </c>
      <c r="B99" s="108"/>
      <c r="C99" s="108"/>
      <c r="D99" s="88" t="s">
        <v>23</v>
      </c>
      <c r="E99" s="88" t="s">
        <v>24</v>
      </c>
      <c r="F99" s="88" t="s">
        <v>25</v>
      </c>
      <c r="G99" s="88" t="s">
        <v>26</v>
      </c>
      <c r="H99" s="205" t="s">
        <v>27</v>
      </c>
      <c r="I99" s="136" t="s">
        <v>28</v>
      </c>
    </row>
    <row r="100" spans="1:9">
      <c r="A100" s="166">
        <v>4</v>
      </c>
      <c r="B100" s="90" t="s">
        <v>515</v>
      </c>
      <c r="C100" s="90"/>
      <c r="D100" s="150" t="s">
        <v>491</v>
      </c>
      <c r="E100" s="150" t="s">
        <v>491</v>
      </c>
      <c r="F100" s="150" t="s">
        <v>491</v>
      </c>
      <c r="G100" s="150" t="s">
        <v>491</v>
      </c>
      <c r="H100" s="91" t="s">
        <v>449</v>
      </c>
      <c r="I100" s="181" t="s">
        <v>491</v>
      </c>
    </row>
    <row r="101" spans="1:9">
      <c r="A101" s="149" t="s">
        <v>502</v>
      </c>
      <c r="B101" s="93" t="s">
        <v>516</v>
      </c>
      <c r="C101" s="93"/>
      <c r="D101" s="94">
        <f>D92</f>
        <v>50.589088814742</v>
      </c>
      <c r="E101" s="94">
        <f t="shared" ref="E101:G101" si="74">E92</f>
        <v>50.589088814742</v>
      </c>
      <c r="F101" s="94">
        <f t="shared" si="74"/>
        <v>50.5281939258532</v>
      </c>
      <c r="G101" s="94">
        <f t="shared" si="74"/>
        <v>50.5281939258532</v>
      </c>
      <c r="H101" s="94">
        <f t="shared" ref="H101" si="75">H92</f>
        <v>49.9447455925198</v>
      </c>
      <c r="I101" s="138">
        <f t="shared" ref="I101" si="76">I92</f>
        <v>50.5221525925198</v>
      </c>
    </row>
    <row r="102" spans="1:9">
      <c r="A102" s="149" t="s">
        <v>511</v>
      </c>
      <c r="B102" s="93" t="s">
        <v>512</v>
      </c>
      <c r="C102" s="93"/>
      <c r="D102" s="94">
        <v>0</v>
      </c>
      <c r="E102" s="94">
        <v>0</v>
      </c>
      <c r="F102" s="94">
        <v>0</v>
      </c>
      <c r="G102" s="94">
        <v>0</v>
      </c>
      <c r="H102" s="94">
        <v>0</v>
      </c>
      <c r="I102" s="138">
        <v>0</v>
      </c>
    </row>
    <row r="103" ht="15.75" spans="1:11">
      <c r="A103" s="103"/>
      <c r="B103" s="104" t="s">
        <v>398</v>
      </c>
      <c r="C103" s="104"/>
      <c r="D103" s="105">
        <f>SUM(D101:D102)</f>
        <v>50.589088814742</v>
      </c>
      <c r="E103" s="105">
        <f t="shared" ref="E103:G103" si="77">SUM(E101:E102)</f>
        <v>50.589088814742</v>
      </c>
      <c r="F103" s="105">
        <f t="shared" si="77"/>
        <v>50.5281939258532</v>
      </c>
      <c r="G103" s="105">
        <f t="shared" si="77"/>
        <v>50.5281939258532</v>
      </c>
      <c r="H103" s="105">
        <f t="shared" ref="H103" si="78">SUM(H101:H102)</f>
        <v>49.9447455925198</v>
      </c>
      <c r="I103" s="140">
        <f t="shared" ref="I103" si="79">SUM(I101:I102)</f>
        <v>50.5221525925198</v>
      </c>
      <c r="K103" s="215"/>
    </row>
    <row r="104" ht="15.75" spans="1:11">
      <c r="A104" s="52"/>
      <c r="B104" s="52"/>
      <c r="C104" s="52"/>
      <c r="D104" s="52"/>
      <c r="E104" s="52"/>
      <c r="K104" s="215"/>
    </row>
    <row r="105" ht="25.5" spans="1:11">
      <c r="A105" s="107" t="s">
        <v>517</v>
      </c>
      <c r="B105" s="108"/>
      <c r="C105" s="108"/>
      <c r="D105" s="88" t="s">
        <v>23</v>
      </c>
      <c r="E105" s="88" t="s">
        <v>24</v>
      </c>
      <c r="F105" s="88" t="s">
        <v>25</v>
      </c>
      <c r="G105" s="88" t="s">
        <v>26</v>
      </c>
      <c r="H105" s="205" t="s">
        <v>27</v>
      </c>
      <c r="I105" s="136" t="s">
        <v>28</v>
      </c>
      <c r="K105" s="215"/>
    </row>
    <row r="106" spans="1:9">
      <c r="A106" s="167">
        <v>5</v>
      </c>
      <c r="B106" s="90" t="s">
        <v>518</v>
      </c>
      <c r="C106" s="90"/>
      <c r="D106" s="91" t="s">
        <v>449</v>
      </c>
      <c r="E106" s="91" t="s">
        <v>449</v>
      </c>
      <c r="F106" s="91" t="s">
        <v>449</v>
      </c>
      <c r="G106" s="91" t="s">
        <v>449</v>
      </c>
      <c r="H106" s="91" t="s">
        <v>449</v>
      </c>
      <c r="I106" s="137" t="s">
        <v>449</v>
      </c>
    </row>
    <row r="107" spans="1:9">
      <c r="A107" s="168" t="s">
        <v>450</v>
      </c>
      <c r="B107" s="93" t="s">
        <v>519</v>
      </c>
      <c r="C107" s="93"/>
      <c r="D107" s="113">
        <f>'An IIC Uniformes e Mat.'!G121</f>
        <v>241.740833333333</v>
      </c>
      <c r="E107" s="113">
        <f>'An IIC Uniformes e Mat.'!G121</f>
        <v>241.740833333333</v>
      </c>
      <c r="F107" s="113">
        <f>'An IIC Uniformes e Mat.'!G198</f>
        <v>234.785833333333</v>
      </c>
      <c r="G107" s="113">
        <f>'An IIC Uniformes e Mat.'!G198</f>
        <v>234.785833333333</v>
      </c>
      <c r="H107" s="94">
        <f>'An IIC Uniformes e Mat.'!G326</f>
        <v>168.148333333333</v>
      </c>
      <c r="I107" s="141">
        <f>'An IIC Uniformes e Mat.'!G272</f>
        <v>234.095833333333</v>
      </c>
    </row>
    <row r="108" ht="26.25" customHeight="1" spans="1:12">
      <c r="A108" s="168" t="s">
        <v>452</v>
      </c>
      <c r="B108" s="134" t="s">
        <v>520</v>
      </c>
      <c r="C108" s="134"/>
      <c r="D108" s="169"/>
      <c r="E108" s="169"/>
      <c r="F108" s="169"/>
      <c r="G108" s="169"/>
      <c r="H108" s="169"/>
      <c r="I108" s="183"/>
      <c r="J108" s="186"/>
      <c r="K108" s="186"/>
      <c r="L108" s="184"/>
    </row>
    <row r="109" spans="1:12">
      <c r="A109" s="168" t="s">
        <v>454</v>
      </c>
      <c r="B109" s="93" t="s">
        <v>521</v>
      </c>
      <c r="C109" s="93"/>
      <c r="D109" s="170"/>
      <c r="E109" s="170"/>
      <c r="F109" s="170"/>
      <c r="G109" s="170"/>
      <c r="H109" s="170"/>
      <c r="I109" s="185"/>
      <c r="J109" s="186"/>
      <c r="K109" s="186"/>
      <c r="L109" s="186"/>
    </row>
    <row r="110" spans="1:12">
      <c r="A110" s="168" t="s">
        <v>456</v>
      </c>
      <c r="B110" s="93" t="s">
        <v>522</v>
      </c>
      <c r="C110" s="93"/>
      <c r="D110" s="170">
        <v>0</v>
      </c>
      <c r="E110" s="170">
        <v>0</v>
      </c>
      <c r="F110" s="170">
        <v>0</v>
      </c>
      <c r="G110" s="170">
        <v>0</v>
      </c>
      <c r="H110" s="170">
        <v>0</v>
      </c>
      <c r="I110" s="185">
        <v>0</v>
      </c>
      <c r="J110" s="186"/>
      <c r="K110" s="186"/>
      <c r="L110" s="186"/>
    </row>
    <row r="111" ht="15.75" spans="1:9">
      <c r="A111" s="171"/>
      <c r="B111" s="104" t="s">
        <v>523</v>
      </c>
      <c r="C111" s="104"/>
      <c r="D111" s="105">
        <f>SUM(D107:D110)</f>
        <v>241.740833333333</v>
      </c>
      <c r="E111" s="105">
        <f t="shared" ref="E111:G111" si="80">SUM(E107:E110)</f>
        <v>241.740833333333</v>
      </c>
      <c r="F111" s="105">
        <f t="shared" si="80"/>
        <v>234.785833333333</v>
      </c>
      <c r="G111" s="105">
        <f t="shared" si="80"/>
        <v>234.785833333333</v>
      </c>
      <c r="H111" s="105">
        <f t="shared" ref="H111" si="81">SUM(H107:H110)</f>
        <v>168.148333333333</v>
      </c>
      <c r="I111" s="140">
        <f t="shared" ref="I111" si="82">SUM(I107:I110)</f>
        <v>234.095833333333</v>
      </c>
    </row>
    <row r="112" ht="15.75" spans="1:5">
      <c r="A112" s="172"/>
      <c r="B112" s="173"/>
      <c r="C112" s="174"/>
      <c r="D112" s="174"/>
      <c r="E112" s="52"/>
    </row>
    <row r="113" ht="25.5" spans="1:9">
      <c r="A113" s="107" t="s">
        <v>524</v>
      </c>
      <c r="B113" s="108"/>
      <c r="C113" s="175"/>
      <c r="D113" s="88" t="s">
        <v>23</v>
      </c>
      <c r="E113" s="88" t="s">
        <v>24</v>
      </c>
      <c r="F113" s="88" t="s">
        <v>25</v>
      </c>
      <c r="G113" s="88" t="s">
        <v>26</v>
      </c>
      <c r="H113" s="205" t="s">
        <v>27</v>
      </c>
      <c r="I113" s="136" t="s">
        <v>28</v>
      </c>
    </row>
    <row r="114" spans="1:9">
      <c r="A114" s="167">
        <v>6</v>
      </c>
      <c r="B114" s="120" t="s">
        <v>525</v>
      </c>
      <c r="C114" s="121" t="s">
        <v>470</v>
      </c>
      <c r="D114" s="121" t="s">
        <v>449</v>
      </c>
      <c r="E114" s="121" t="s">
        <v>449</v>
      </c>
      <c r="F114" s="121" t="s">
        <v>449</v>
      </c>
      <c r="G114" s="121" t="s">
        <v>449</v>
      </c>
      <c r="H114" s="91" t="s">
        <v>449</v>
      </c>
      <c r="I114" s="210" t="s">
        <v>449</v>
      </c>
    </row>
    <row r="115" spans="1:9">
      <c r="A115" s="168" t="s">
        <v>450</v>
      </c>
      <c r="B115" s="122" t="s">
        <v>526</v>
      </c>
      <c r="C115" s="176">
        <v>4.8</v>
      </c>
      <c r="D115" s="113">
        <f>(D132)*$C$115/100</f>
        <v>219.924475737036</v>
      </c>
      <c r="E115" s="113">
        <f t="shared" ref="E115:G115" si="83">(E132)*$C$115/100</f>
        <v>215.080027737036</v>
      </c>
      <c r="F115" s="113">
        <f t="shared" si="83"/>
        <v>219.587712782369</v>
      </c>
      <c r="G115" s="113">
        <f t="shared" si="83"/>
        <v>219.587712782369</v>
      </c>
      <c r="H115" s="113">
        <f t="shared" ref="H115" si="84">(H132)*$C$115/100</f>
        <v>216.361107262369</v>
      </c>
      <c r="I115" s="141">
        <f t="shared" ref="I115" si="85">(I132)*$C$115/100</f>
        <v>219.554302798369</v>
      </c>
    </row>
    <row r="116" spans="1:9">
      <c r="A116" s="168" t="s">
        <v>452</v>
      </c>
      <c r="B116" s="122" t="s">
        <v>527</v>
      </c>
      <c r="C116" s="176">
        <v>3.92</v>
      </c>
      <c r="D116" s="113">
        <f>(D132+D115)*$C$116/100</f>
        <v>188.226027967471</v>
      </c>
      <c r="E116" s="113">
        <f t="shared" ref="E116:G116" si="86">(E132+E115)*$C$116/100</f>
        <v>184.079826405871</v>
      </c>
      <c r="F116" s="113">
        <f t="shared" si="86"/>
        <v>187.937803780004</v>
      </c>
      <c r="G116" s="113">
        <f t="shared" si="86"/>
        <v>187.937803780004</v>
      </c>
      <c r="H116" s="113">
        <f t="shared" ref="H116" si="87">(H132+H115)*$C$116/100</f>
        <v>185.176259668953</v>
      </c>
      <c r="I116" s="141">
        <f t="shared" ref="I116" si="88">(I132+I115)*$C$116/100</f>
        <v>187.909209288364</v>
      </c>
    </row>
    <row r="117" spans="1:9">
      <c r="A117" s="168" t="s">
        <v>454</v>
      </c>
      <c r="B117" s="122" t="s">
        <v>528</v>
      </c>
      <c r="C117" s="176"/>
      <c r="D117" s="113"/>
      <c r="E117" s="113"/>
      <c r="F117" s="113"/>
      <c r="G117" s="113"/>
      <c r="H117" s="113"/>
      <c r="I117" s="141"/>
    </row>
    <row r="118" spans="1:9">
      <c r="A118" s="168"/>
      <c r="B118" s="122" t="s">
        <v>529</v>
      </c>
      <c r="C118" s="176">
        <f>3+0.65</f>
        <v>3.65</v>
      </c>
      <c r="D118" s="113">
        <f>((D132+D115+D116)/(1-($C$118+$C$120)/100))*$C$118/100</f>
        <v>199.377920244757</v>
      </c>
      <c r="E118" s="113">
        <f t="shared" ref="E118:G118" si="89">((E132+E115+E116)/(1-($C$118+$C$120)/100))*$C$118/100</f>
        <v>194.986067251874</v>
      </c>
      <c r="F118" s="113">
        <f t="shared" si="89"/>
        <v>199.072619539631</v>
      </c>
      <c r="G118" s="113">
        <f t="shared" si="89"/>
        <v>199.072619539631</v>
      </c>
      <c r="H118" s="113">
        <f t="shared" ref="H118" si="90">((H132+H115+H116)/(1-($C$118+$C$120)/100))*$C$118/100</f>
        <v>196.14746127395</v>
      </c>
      <c r="I118" s="141">
        <f t="shared" ref="I118" si="91">((I132+I115+I116)/(1-($C$118+$C$120)/100))*$C$118/100</f>
        <v>199.042330900302</v>
      </c>
    </row>
    <row r="119" spans="1:9">
      <c r="A119" s="168"/>
      <c r="B119" s="122" t="s">
        <v>530</v>
      </c>
      <c r="C119" s="176"/>
      <c r="D119" s="113"/>
      <c r="E119" s="113"/>
      <c r="F119" s="113"/>
      <c r="G119" s="113"/>
      <c r="H119" s="113"/>
      <c r="I119" s="141"/>
    </row>
    <row r="120" spans="1:9">
      <c r="A120" s="168"/>
      <c r="B120" s="122" t="s">
        <v>531</v>
      </c>
      <c r="C120" s="177">
        <v>5</v>
      </c>
      <c r="D120" s="113">
        <f>((D132+D115+D116)/(1-($C$118+$C$120)/100))*$C$120/100</f>
        <v>273.120438691448</v>
      </c>
      <c r="E120" s="113">
        <f t="shared" ref="E120:G120" si="92">((E132+E115+E116)/(1-($C$118+$C$120)/100))*$C$120/100</f>
        <v>267.104201714896</v>
      </c>
      <c r="F120" s="113">
        <f t="shared" si="92"/>
        <v>272.70221854744</v>
      </c>
      <c r="G120" s="113">
        <f t="shared" si="92"/>
        <v>272.70221854744</v>
      </c>
      <c r="H120" s="113">
        <f t="shared" ref="H120" si="93">((H132+H115+H116)/(1-($C$118+$C$120)/100))*$C$120/100</f>
        <v>268.695152430068</v>
      </c>
      <c r="I120" s="141">
        <f t="shared" ref="I120" si="94">((I132+I115+I116)/(1-($C$118+$C$120)/100))*$C$120/100</f>
        <v>272.660727260687</v>
      </c>
    </row>
    <row r="121" spans="1:9">
      <c r="A121" s="168"/>
      <c r="B121" s="122" t="s">
        <v>532</v>
      </c>
      <c r="C121" s="176"/>
      <c r="D121" s="113"/>
      <c r="E121" s="113"/>
      <c r="F121" s="97"/>
      <c r="G121" s="97"/>
      <c r="H121" s="97"/>
      <c r="I121" s="139"/>
    </row>
    <row r="122" ht="15.75" spans="1:9">
      <c r="A122" s="178"/>
      <c r="B122" s="127" t="s">
        <v>35</v>
      </c>
      <c r="C122" s="50">
        <f>SUM(C115:C121)</f>
        <v>17.37</v>
      </c>
      <c r="D122" s="129">
        <f>SUM(D115:D121)</f>
        <v>880.648862640711</v>
      </c>
      <c r="E122" s="129">
        <f>SUM(E115:E121)</f>
        <v>861.250123109676</v>
      </c>
      <c r="F122" s="129">
        <f t="shared" ref="F122:G122" si="95">SUM(F115:F121)</f>
        <v>879.300354649443</v>
      </c>
      <c r="G122" s="129">
        <f t="shared" si="95"/>
        <v>879.300354649443</v>
      </c>
      <c r="H122" s="129">
        <f t="shared" ref="H122" si="96">SUM(H115:H121)</f>
        <v>866.37998063534</v>
      </c>
      <c r="I122" s="145">
        <f t="shared" ref="I122" si="97">SUM(I115:I121)</f>
        <v>879.166570247722</v>
      </c>
    </row>
    <row r="123" spans="1:5">
      <c r="A123" s="172"/>
      <c r="B123" s="173"/>
      <c r="C123" s="174"/>
      <c r="D123" s="174"/>
      <c r="E123" s="52"/>
    </row>
    <row r="124" ht="15.75" spans="1:9">
      <c r="A124" s="212" t="s">
        <v>533</v>
      </c>
      <c r="B124" s="212"/>
      <c r="C124" s="212"/>
      <c r="D124" s="212"/>
      <c r="E124" s="212"/>
      <c r="F124" s="212"/>
      <c r="G124" s="212"/>
      <c r="H124" s="212"/>
      <c r="I124" s="212"/>
    </row>
    <row r="125" ht="25.5" spans="1:9">
      <c r="A125" s="68" t="s">
        <v>534</v>
      </c>
      <c r="B125" s="69"/>
      <c r="C125" s="69"/>
      <c r="D125" s="88" t="s">
        <v>23</v>
      </c>
      <c r="E125" s="88" t="s">
        <v>24</v>
      </c>
      <c r="F125" s="88" t="s">
        <v>25</v>
      </c>
      <c r="G125" s="88" t="s">
        <v>26</v>
      </c>
      <c r="H125" s="205" t="s">
        <v>27</v>
      </c>
      <c r="I125" s="136" t="s">
        <v>28</v>
      </c>
    </row>
    <row r="126" customHeight="1" spans="1:9">
      <c r="A126" s="180"/>
      <c r="B126" s="153" t="s">
        <v>535</v>
      </c>
      <c r="C126" s="153"/>
      <c r="D126" s="121" t="s">
        <v>449</v>
      </c>
      <c r="E126" s="121" t="s">
        <v>449</v>
      </c>
      <c r="F126" s="121" t="s">
        <v>449</v>
      </c>
      <c r="G126" s="121" t="s">
        <v>449</v>
      </c>
      <c r="H126" s="91" t="s">
        <v>449</v>
      </c>
      <c r="I126" s="210" t="s">
        <v>449</v>
      </c>
    </row>
    <row r="127" spans="1:9">
      <c r="A127" s="180" t="s">
        <v>450</v>
      </c>
      <c r="B127" s="99" t="s">
        <v>536</v>
      </c>
      <c r="C127" s="99"/>
      <c r="D127" s="113">
        <f>D37</f>
        <v>2115.01</v>
      </c>
      <c r="E127" s="113">
        <f t="shared" ref="E127:G127" si="98">E37</f>
        <v>2115.01</v>
      </c>
      <c r="F127" s="113">
        <f t="shared" si="98"/>
        <v>2115.01</v>
      </c>
      <c r="G127" s="113">
        <f t="shared" si="98"/>
        <v>2115.01</v>
      </c>
      <c r="H127" s="113">
        <f t="shared" ref="H127" si="99">H37</f>
        <v>2115.01</v>
      </c>
      <c r="I127" s="141">
        <f t="shared" ref="I127" si="100">I37</f>
        <v>2115.01</v>
      </c>
    </row>
    <row r="128" spans="1:9">
      <c r="A128" s="180" t="s">
        <v>452</v>
      </c>
      <c r="B128" s="99" t="s">
        <v>537</v>
      </c>
      <c r="C128" s="99"/>
      <c r="D128" s="113">
        <f>D72</f>
        <v>2034.027705</v>
      </c>
      <c r="E128" s="113">
        <f t="shared" ref="E128:G128" si="101">E72</f>
        <v>1933.101705</v>
      </c>
      <c r="F128" s="113">
        <f t="shared" si="101"/>
        <v>2034.027705</v>
      </c>
      <c r="G128" s="113">
        <f t="shared" si="101"/>
        <v>2034.027705</v>
      </c>
      <c r="H128" s="113">
        <f t="shared" ref="H128" si="102">H72</f>
        <v>2034.027705</v>
      </c>
      <c r="I128" s="141">
        <f t="shared" ref="I128" si="103">I72</f>
        <v>2034.027705</v>
      </c>
    </row>
    <row r="129" spans="1:9">
      <c r="A129" s="180" t="s">
        <v>454</v>
      </c>
      <c r="B129" s="99" t="s">
        <v>538</v>
      </c>
      <c r="C129" s="99"/>
      <c r="D129" s="113">
        <f>D82</f>
        <v>140.392284040167</v>
      </c>
      <c r="E129" s="113">
        <f t="shared" ref="E129:G129" si="104">E82</f>
        <v>140.392284040167</v>
      </c>
      <c r="F129" s="113">
        <f t="shared" si="104"/>
        <v>140.392284040167</v>
      </c>
      <c r="G129" s="113">
        <f t="shared" si="104"/>
        <v>140.392284040167</v>
      </c>
      <c r="H129" s="113">
        <f t="shared" ref="H129" si="105">H82</f>
        <v>140.392284040167</v>
      </c>
      <c r="I129" s="141">
        <f t="shared" ref="I129" si="106">I82</f>
        <v>140.392284040167</v>
      </c>
    </row>
    <row r="130" spans="1:9">
      <c r="A130" s="180" t="s">
        <v>456</v>
      </c>
      <c r="B130" s="99" t="s">
        <v>539</v>
      </c>
      <c r="C130" s="99"/>
      <c r="D130" s="113">
        <f>D103</f>
        <v>50.589088814742</v>
      </c>
      <c r="E130" s="113">
        <f t="shared" ref="E130:G130" si="107">E103</f>
        <v>50.589088814742</v>
      </c>
      <c r="F130" s="113">
        <f t="shared" si="107"/>
        <v>50.5281939258532</v>
      </c>
      <c r="G130" s="113">
        <f t="shared" si="107"/>
        <v>50.5281939258532</v>
      </c>
      <c r="H130" s="113">
        <f t="shared" ref="H130" si="108">H103</f>
        <v>49.9447455925198</v>
      </c>
      <c r="I130" s="141">
        <f t="shared" ref="I130" si="109">I103</f>
        <v>50.5221525925198</v>
      </c>
    </row>
    <row r="131" spans="1:9">
      <c r="A131" s="180" t="s">
        <v>458</v>
      </c>
      <c r="B131" s="99" t="s">
        <v>540</v>
      </c>
      <c r="C131" s="99"/>
      <c r="D131" s="113">
        <f>D111</f>
        <v>241.740833333333</v>
      </c>
      <c r="E131" s="113">
        <f t="shared" ref="E131:G131" si="110">E111</f>
        <v>241.740833333333</v>
      </c>
      <c r="F131" s="113">
        <f t="shared" si="110"/>
        <v>234.785833333333</v>
      </c>
      <c r="G131" s="113">
        <f t="shared" si="110"/>
        <v>234.785833333333</v>
      </c>
      <c r="H131" s="113">
        <f t="shared" ref="H131" si="111">H111</f>
        <v>168.148333333333</v>
      </c>
      <c r="I131" s="141">
        <f t="shared" ref="I131" si="112">I111</f>
        <v>234.095833333333</v>
      </c>
    </row>
    <row r="132" spans="1:9">
      <c r="A132" s="180"/>
      <c r="B132" s="153" t="s">
        <v>541</v>
      </c>
      <c r="C132" s="153"/>
      <c r="D132" s="114">
        <f>SUM(D127:D131)</f>
        <v>4581.75991118824</v>
      </c>
      <c r="E132" s="114">
        <f t="shared" ref="E132:G132" si="113">SUM(E127:E131)</f>
        <v>4480.83391118824</v>
      </c>
      <c r="F132" s="114">
        <f t="shared" si="113"/>
        <v>4574.74401629935</v>
      </c>
      <c r="G132" s="114">
        <f t="shared" si="113"/>
        <v>4574.74401629935</v>
      </c>
      <c r="H132" s="114">
        <f t="shared" ref="H132" si="114">SUM(H127:H131)</f>
        <v>4507.52306796602</v>
      </c>
      <c r="I132" s="142">
        <f t="shared" ref="I132" si="115">SUM(I127:I131)</f>
        <v>4574.04797496602</v>
      </c>
    </row>
    <row r="133" spans="1:9">
      <c r="A133" s="180" t="s">
        <v>460</v>
      </c>
      <c r="B133" s="99" t="s">
        <v>542</v>
      </c>
      <c r="C133" s="99"/>
      <c r="D133" s="113">
        <f>D122</f>
        <v>880.648862640711</v>
      </c>
      <c r="E133" s="113">
        <f t="shared" ref="E133:G133" si="116">E122</f>
        <v>861.250123109676</v>
      </c>
      <c r="F133" s="113">
        <f t="shared" si="116"/>
        <v>879.300354649443</v>
      </c>
      <c r="G133" s="113">
        <f t="shared" si="116"/>
        <v>879.300354649443</v>
      </c>
      <c r="H133" s="113">
        <f t="shared" ref="H133" si="117">H122</f>
        <v>866.37998063534</v>
      </c>
      <c r="I133" s="141">
        <f t="shared" ref="I133" si="118">I122</f>
        <v>879.166570247722</v>
      </c>
    </row>
    <row r="134" spans="1:9">
      <c r="A134" s="180"/>
      <c r="B134" s="153" t="s">
        <v>543</v>
      </c>
      <c r="C134" s="153"/>
      <c r="D134" s="114">
        <f>SUM(D132:D133)</f>
        <v>5462.40877382895</v>
      </c>
      <c r="E134" s="114">
        <f t="shared" ref="E134:G134" si="119">SUM(E132:E133)</f>
        <v>5342.08403429792</v>
      </c>
      <c r="F134" s="114">
        <f t="shared" si="119"/>
        <v>5454.0443709488</v>
      </c>
      <c r="G134" s="114">
        <f t="shared" si="119"/>
        <v>5454.0443709488</v>
      </c>
      <c r="H134" s="114">
        <f t="shared" ref="H134" si="120">SUM(H132:H133)</f>
        <v>5373.90304860136</v>
      </c>
      <c r="I134" s="142">
        <f t="shared" ref="I134" si="121">SUM(I132:I133)</f>
        <v>5453.21454521374</v>
      </c>
    </row>
    <row r="135" spans="1:9">
      <c r="A135" s="180"/>
      <c r="B135" s="153" t="s">
        <v>544</v>
      </c>
      <c r="C135" s="153"/>
      <c r="D135" s="114"/>
      <c r="E135" s="114">
        <f>2*E134</f>
        <v>10684.1680685958</v>
      </c>
      <c r="F135" s="114"/>
      <c r="G135" s="114"/>
      <c r="H135" s="114"/>
      <c r="I135" s="142"/>
    </row>
    <row r="136" ht="15.75" spans="1:9">
      <c r="A136" s="103"/>
      <c r="B136" s="154" t="s">
        <v>545</v>
      </c>
      <c r="C136" s="154"/>
      <c r="D136" s="128">
        <f>D134/D37</f>
        <v>2.58268697255755</v>
      </c>
      <c r="E136" s="128">
        <f t="shared" ref="E136:G136" si="122">E134/E37</f>
        <v>2.52579611174317</v>
      </c>
      <c r="F136" s="128">
        <f t="shared" si="122"/>
        <v>2.57873219084014</v>
      </c>
      <c r="G136" s="128">
        <f t="shared" si="122"/>
        <v>2.57873219084014</v>
      </c>
      <c r="H136" s="128">
        <f t="shared" ref="H136" si="123">H134/H37</f>
        <v>2.54084049181865</v>
      </c>
      <c r="I136" s="192">
        <f t="shared" ref="I136" si="124">I134/I37</f>
        <v>2.57833984010182</v>
      </c>
    </row>
    <row r="137" spans="1:5">
      <c r="A137" s="52"/>
      <c r="B137" s="187"/>
      <c r="C137" s="52"/>
      <c r="D137" s="52"/>
      <c r="E137" s="52"/>
    </row>
    <row r="138" ht="15.75" spans="1:5">
      <c r="A138" s="52"/>
      <c r="B138" s="52"/>
      <c r="C138" s="52"/>
      <c r="D138" s="52"/>
      <c r="E138" s="52"/>
    </row>
    <row r="139" ht="25.5" spans="1:9">
      <c r="A139" s="107" t="s">
        <v>546</v>
      </c>
      <c r="B139" s="108"/>
      <c r="C139" s="175"/>
      <c r="D139" s="88" t="s">
        <v>23</v>
      </c>
      <c r="E139" s="88" t="s">
        <v>24</v>
      </c>
      <c r="F139" s="88" t="s">
        <v>25</v>
      </c>
      <c r="G139" s="88" t="s">
        <v>26</v>
      </c>
      <c r="H139" s="205" t="s">
        <v>27</v>
      </c>
      <c r="I139" s="136" t="s">
        <v>28</v>
      </c>
    </row>
    <row r="140" spans="1:9">
      <c r="A140" s="167">
        <v>6</v>
      </c>
      <c r="B140" s="120" t="s">
        <v>525</v>
      </c>
      <c r="C140" s="121" t="s">
        <v>470</v>
      </c>
      <c r="D140" s="121" t="s">
        <v>449</v>
      </c>
      <c r="E140" s="121" t="s">
        <v>449</v>
      </c>
      <c r="F140" s="121" t="s">
        <v>449</v>
      </c>
      <c r="G140" s="121" t="s">
        <v>449</v>
      </c>
      <c r="H140" s="91" t="s">
        <v>449</v>
      </c>
      <c r="I140" s="210" t="s">
        <v>449</v>
      </c>
    </row>
    <row r="141" spans="1:9">
      <c r="A141" s="168" t="s">
        <v>450</v>
      </c>
      <c r="B141" s="122" t="s">
        <v>526</v>
      </c>
      <c r="C141" s="176">
        <v>4.8</v>
      </c>
      <c r="D141" s="113">
        <f>(D158)*$C$141/100</f>
        <v>219.924475737036</v>
      </c>
      <c r="E141" s="113">
        <f t="shared" ref="E141:G141" si="125">(E158)*$C$141/100</f>
        <v>215.080027737036</v>
      </c>
      <c r="F141" s="113">
        <f t="shared" si="125"/>
        <v>219.587712782369</v>
      </c>
      <c r="G141" s="113">
        <f t="shared" si="125"/>
        <v>219.587712782369</v>
      </c>
      <c r="H141" s="113">
        <f t="shared" ref="H141" si="126">(H158)*$C$141/100</f>
        <v>216.361107262369</v>
      </c>
      <c r="I141" s="141">
        <f t="shared" ref="I141" si="127">(I158)*$C$141/100</f>
        <v>219.554302798369</v>
      </c>
    </row>
    <row r="142" spans="1:9">
      <c r="A142" s="168" t="s">
        <v>452</v>
      </c>
      <c r="B142" s="122" t="s">
        <v>527</v>
      </c>
      <c r="C142" s="176">
        <v>3.92</v>
      </c>
      <c r="D142" s="113">
        <f>(D158+D141)*$C$142/100</f>
        <v>188.226027967471</v>
      </c>
      <c r="E142" s="113">
        <f t="shared" ref="E142:G142" si="128">(E158+E141)*$C$142/100</f>
        <v>184.079826405871</v>
      </c>
      <c r="F142" s="113">
        <f t="shared" si="128"/>
        <v>187.937803780004</v>
      </c>
      <c r="G142" s="113">
        <f t="shared" si="128"/>
        <v>187.937803780004</v>
      </c>
      <c r="H142" s="113">
        <f t="shared" ref="H142" si="129">(H158+H141)*$C$142/100</f>
        <v>185.176259668953</v>
      </c>
      <c r="I142" s="141">
        <f t="shared" ref="I142" si="130">(I158+I141)*$C$142/100</f>
        <v>187.909209288364</v>
      </c>
    </row>
    <row r="143" spans="1:9">
      <c r="A143" s="168" t="s">
        <v>454</v>
      </c>
      <c r="B143" s="122" t="s">
        <v>528</v>
      </c>
      <c r="C143" s="176"/>
      <c r="D143" s="113"/>
      <c r="E143" s="113"/>
      <c r="F143" s="113"/>
      <c r="G143" s="113"/>
      <c r="H143" s="113"/>
      <c r="I143" s="141"/>
    </row>
    <row r="144" spans="1:9">
      <c r="A144" s="168"/>
      <c r="B144" s="122" t="s">
        <v>547</v>
      </c>
      <c r="C144" s="123">
        <v>9.25</v>
      </c>
      <c r="D144" s="113">
        <f>((D158+D141+D142)/(1-($C$144+$C$146)/100))*$C$144/100</f>
        <v>538.270219682308</v>
      </c>
      <c r="E144" s="113">
        <f t="shared" ref="E144:G144" si="131">((E158+E141+E142)/(1-($C$144+$C$146)/100))*$C$144/100</f>
        <v>526.413321624643</v>
      </c>
      <c r="F144" s="113">
        <f t="shared" si="131"/>
        <v>537.445984594414</v>
      </c>
      <c r="G144" s="113">
        <f t="shared" si="131"/>
        <v>537.445984594414</v>
      </c>
      <c r="H144" s="113">
        <f t="shared" ref="H144" si="132">((H158+H141+H142)/(1-($C$144+$C$146)/100))*$C$144/100</f>
        <v>529.54879326881</v>
      </c>
      <c r="I144" s="141">
        <f t="shared" ref="I144" si="133">((I158+I141+I142)/(1-($C$144+$C$146)/100))*$C$144/100</f>
        <v>537.364212889073</v>
      </c>
    </row>
    <row r="145" spans="1:9">
      <c r="A145" s="168"/>
      <c r="B145" s="122" t="s">
        <v>530</v>
      </c>
      <c r="C145" s="176"/>
      <c r="D145" s="113"/>
      <c r="E145" s="113"/>
      <c r="F145" s="113"/>
      <c r="G145" s="113"/>
      <c r="H145" s="113"/>
      <c r="I145" s="141"/>
    </row>
    <row r="146" spans="1:9">
      <c r="A146" s="168"/>
      <c r="B146" s="122" t="s">
        <v>531</v>
      </c>
      <c r="C146" s="177">
        <v>5</v>
      </c>
      <c r="D146" s="113">
        <f>((D158+D141+D142)/(1-($C$144+$C$146)/100))*$C$146/100</f>
        <v>290.95687550395</v>
      </c>
      <c r="E146" s="113">
        <f t="shared" ref="E146:G146" si="134">((E158+E141+E142)/(1-($C$144+$C$146)/100))*$C$146/100</f>
        <v>284.547741418726</v>
      </c>
      <c r="F146" s="113">
        <f t="shared" si="134"/>
        <v>290.511343024007</v>
      </c>
      <c r="G146" s="113">
        <f t="shared" si="134"/>
        <v>290.511343024007</v>
      </c>
      <c r="H146" s="113">
        <f t="shared" ref="H146" si="135">((H158+H141+H142)/(1-($C$144+$C$146)/100))*$C$146/100</f>
        <v>286.242590956113</v>
      </c>
      <c r="I146" s="141">
        <f t="shared" ref="I146" si="136">((I158+I141+I142)/(1-($C$144+$C$146)/100))*$C$146/100</f>
        <v>290.467142102201</v>
      </c>
    </row>
    <row r="147" spans="1:9">
      <c r="A147" s="168"/>
      <c r="B147" s="122" t="s">
        <v>532</v>
      </c>
      <c r="C147" s="176"/>
      <c r="D147" s="113"/>
      <c r="E147" s="113"/>
      <c r="F147" s="113"/>
      <c r="G147" s="113"/>
      <c r="H147" s="113"/>
      <c r="I147" s="141"/>
    </row>
    <row r="148" ht="15.75" spans="1:9">
      <c r="A148" s="178"/>
      <c r="B148" s="127" t="s">
        <v>35</v>
      </c>
      <c r="C148" s="50">
        <f>SUM(C141:C147)</f>
        <v>22.97</v>
      </c>
      <c r="D148" s="129">
        <f>SUM(D141:D147)</f>
        <v>1237.37759889077</v>
      </c>
      <c r="E148" s="129">
        <f t="shared" ref="E148:G148" si="137">SUM(E141:E147)</f>
        <v>1210.12091718628</v>
      </c>
      <c r="F148" s="129">
        <f t="shared" si="137"/>
        <v>1235.48284418079</v>
      </c>
      <c r="G148" s="129">
        <f t="shared" si="137"/>
        <v>1235.48284418079</v>
      </c>
      <c r="H148" s="129">
        <f t="shared" ref="H148" si="138">SUM(H141:H147)</f>
        <v>1217.32875115624</v>
      </c>
      <c r="I148" s="145">
        <f t="shared" ref="I148" si="139">SUM(I141:I147)</f>
        <v>1235.29486707801</v>
      </c>
    </row>
    <row r="149" spans="1:5">
      <c r="A149" s="130"/>
      <c r="B149" s="130"/>
      <c r="C149" s="130"/>
      <c r="D149" s="130"/>
      <c r="E149" s="52"/>
    </row>
    <row r="150" ht="15.75" spans="1:9">
      <c r="A150" s="212" t="s">
        <v>548</v>
      </c>
      <c r="B150" s="212"/>
      <c r="C150" s="212"/>
      <c r="D150" s="212"/>
      <c r="E150" s="212"/>
      <c r="F150" s="212"/>
      <c r="G150" s="212"/>
      <c r="H150" s="212"/>
      <c r="I150" s="212"/>
    </row>
    <row r="151" ht="25.5" spans="1:9">
      <c r="A151" s="188" t="s">
        <v>549</v>
      </c>
      <c r="B151" s="189"/>
      <c r="C151" s="189"/>
      <c r="D151" s="88" t="s">
        <v>23</v>
      </c>
      <c r="E151" s="88" t="s">
        <v>24</v>
      </c>
      <c r="F151" s="88" t="s">
        <v>25</v>
      </c>
      <c r="G151" s="88" t="s">
        <v>26</v>
      </c>
      <c r="H151" s="205" t="s">
        <v>27</v>
      </c>
      <c r="I151" s="136" t="s">
        <v>28</v>
      </c>
    </row>
    <row r="152" customHeight="1" spans="1:9">
      <c r="A152" s="180"/>
      <c r="B152" s="153" t="s">
        <v>535</v>
      </c>
      <c r="C152" s="153"/>
      <c r="D152" s="121" t="s">
        <v>449</v>
      </c>
      <c r="E152" s="121" t="s">
        <v>449</v>
      </c>
      <c r="F152" s="121" t="s">
        <v>449</v>
      </c>
      <c r="G152" s="121" t="s">
        <v>449</v>
      </c>
      <c r="H152" s="91" t="s">
        <v>449</v>
      </c>
      <c r="I152" s="210" t="s">
        <v>449</v>
      </c>
    </row>
    <row r="153" spans="1:9">
      <c r="A153" s="180" t="s">
        <v>450</v>
      </c>
      <c r="B153" s="99" t="s">
        <v>536</v>
      </c>
      <c r="C153" s="99"/>
      <c r="D153" s="113">
        <f>D127</f>
        <v>2115.01</v>
      </c>
      <c r="E153" s="113">
        <f t="shared" ref="E153:G157" si="140">E127</f>
        <v>2115.01</v>
      </c>
      <c r="F153" s="113">
        <f t="shared" si="140"/>
        <v>2115.01</v>
      </c>
      <c r="G153" s="113">
        <f t="shared" si="140"/>
        <v>2115.01</v>
      </c>
      <c r="H153" s="113">
        <f t="shared" ref="H153" si="141">H127</f>
        <v>2115.01</v>
      </c>
      <c r="I153" s="141">
        <f t="shared" ref="I153" si="142">I127</f>
        <v>2115.01</v>
      </c>
    </row>
    <row r="154" spans="1:9">
      <c r="A154" s="180" t="s">
        <v>452</v>
      </c>
      <c r="B154" s="99" t="s">
        <v>537</v>
      </c>
      <c r="C154" s="99"/>
      <c r="D154" s="113">
        <f>D128</f>
        <v>2034.027705</v>
      </c>
      <c r="E154" s="113">
        <f t="shared" si="140"/>
        <v>1933.101705</v>
      </c>
      <c r="F154" s="113">
        <f t="shared" si="140"/>
        <v>2034.027705</v>
      </c>
      <c r="G154" s="113">
        <f t="shared" si="140"/>
        <v>2034.027705</v>
      </c>
      <c r="H154" s="113">
        <f t="shared" ref="H154" si="143">H128</f>
        <v>2034.027705</v>
      </c>
      <c r="I154" s="141">
        <f t="shared" ref="I154" si="144">I128</f>
        <v>2034.027705</v>
      </c>
    </row>
    <row r="155" spans="1:9">
      <c r="A155" s="180" t="s">
        <v>454</v>
      </c>
      <c r="B155" s="99" t="s">
        <v>538</v>
      </c>
      <c r="C155" s="99"/>
      <c r="D155" s="113">
        <f>D129</f>
        <v>140.392284040167</v>
      </c>
      <c r="E155" s="113">
        <f t="shared" si="140"/>
        <v>140.392284040167</v>
      </c>
      <c r="F155" s="113">
        <f t="shared" si="140"/>
        <v>140.392284040167</v>
      </c>
      <c r="G155" s="113">
        <f t="shared" si="140"/>
        <v>140.392284040167</v>
      </c>
      <c r="H155" s="113">
        <f t="shared" ref="H155" si="145">H129</f>
        <v>140.392284040167</v>
      </c>
      <c r="I155" s="141">
        <f t="shared" ref="I155" si="146">I129</f>
        <v>140.392284040167</v>
      </c>
    </row>
    <row r="156" spans="1:9">
      <c r="A156" s="180" t="s">
        <v>456</v>
      </c>
      <c r="B156" s="99" t="s">
        <v>539</v>
      </c>
      <c r="C156" s="99"/>
      <c r="D156" s="113">
        <f>D130</f>
        <v>50.589088814742</v>
      </c>
      <c r="E156" s="113">
        <f t="shared" si="140"/>
        <v>50.589088814742</v>
      </c>
      <c r="F156" s="113">
        <f t="shared" si="140"/>
        <v>50.5281939258532</v>
      </c>
      <c r="G156" s="113">
        <f t="shared" si="140"/>
        <v>50.5281939258532</v>
      </c>
      <c r="H156" s="113">
        <f t="shared" ref="H156" si="147">H130</f>
        <v>49.9447455925198</v>
      </c>
      <c r="I156" s="141">
        <f t="shared" ref="I156" si="148">I130</f>
        <v>50.5221525925198</v>
      </c>
    </row>
    <row r="157" spans="1:9">
      <c r="A157" s="180" t="s">
        <v>458</v>
      </c>
      <c r="B157" s="99" t="s">
        <v>540</v>
      </c>
      <c r="C157" s="99"/>
      <c r="D157" s="113">
        <f>D131</f>
        <v>241.740833333333</v>
      </c>
      <c r="E157" s="113">
        <f t="shared" si="140"/>
        <v>241.740833333333</v>
      </c>
      <c r="F157" s="113">
        <f t="shared" si="140"/>
        <v>234.785833333333</v>
      </c>
      <c r="G157" s="113">
        <f t="shared" si="140"/>
        <v>234.785833333333</v>
      </c>
      <c r="H157" s="113">
        <f t="shared" ref="H157" si="149">H131</f>
        <v>168.148333333333</v>
      </c>
      <c r="I157" s="141">
        <f t="shared" ref="I157" si="150">I131</f>
        <v>234.095833333333</v>
      </c>
    </row>
    <row r="158" spans="1:9">
      <c r="A158" s="180"/>
      <c r="B158" s="153" t="s">
        <v>541</v>
      </c>
      <c r="C158" s="153"/>
      <c r="D158" s="114">
        <f>SUM(D153:D157)</f>
        <v>4581.75991118824</v>
      </c>
      <c r="E158" s="114">
        <f t="shared" ref="E158:G158" si="151">SUM(E153:E157)</f>
        <v>4480.83391118824</v>
      </c>
      <c r="F158" s="114">
        <f t="shared" si="151"/>
        <v>4574.74401629935</v>
      </c>
      <c r="G158" s="114">
        <f t="shared" si="151"/>
        <v>4574.74401629935</v>
      </c>
      <c r="H158" s="114">
        <f t="shared" ref="H158" si="152">SUM(H153:H157)</f>
        <v>4507.52306796602</v>
      </c>
      <c r="I158" s="142">
        <f t="shared" ref="I158" si="153">SUM(I153:I157)</f>
        <v>4574.04797496602</v>
      </c>
    </row>
    <row r="159" spans="1:9">
      <c r="A159" s="180" t="s">
        <v>460</v>
      </c>
      <c r="B159" s="99" t="s">
        <v>542</v>
      </c>
      <c r="C159" s="99"/>
      <c r="D159" s="113">
        <f>D148</f>
        <v>1237.37759889077</v>
      </c>
      <c r="E159" s="113">
        <f t="shared" ref="E159:G159" si="154">E148</f>
        <v>1210.12091718628</v>
      </c>
      <c r="F159" s="113">
        <f t="shared" si="154"/>
        <v>1235.48284418079</v>
      </c>
      <c r="G159" s="113">
        <f t="shared" si="154"/>
        <v>1235.48284418079</v>
      </c>
      <c r="H159" s="113">
        <f t="shared" ref="H159" si="155">H148</f>
        <v>1217.32875115624</v>
      </c>
      <c r="I159" s="141">
        <f t="shared" ref="I159" si="156">I148</f>
        <v>1235.29486707801</v>
      </c>
    </row>
    <row r="160" spans="1:9">
      <c r="A160" s="180"/>
      <c r="B160" s="153" t="s">
        <v>543</v>
      </c>
      <c r="C160" s="153"/>
      <c r="D160" s="114">
        <f>SUM(D158:D159)</f>
        <v>5819.13751007901</v>
      </c>
      <c r="E160" s="114">
        <f t="shared" ref="E160:G160" si="157">SUM(E158:E159)</f>
        <v>5690.95482837452</v>
      </c>
      <c r="F160" s="114">
        <f t="shared" si="157"/>
        <v>5810.22686048015</v>
      </c>
      <c r="G160" s="114">
        <f t="shared" si="157"/>
        <v>5810.22686048015</v>
      </c>
      <c r="H160" s="114">
        <f t="shared" ref="H160" si="158">SUM(H158:H159)</f>
        <v>5724.85181912227</v>
      </c>
      <c r="I160" s="142">
        <f t="shared" ref="I160" si="159">SUM(I158:I159)</f>
        <v>5809.34284204403</v>
      </c>
    </row>
    <row r="161" spans="1:9">
      <c r="A161" s="180"/>
      <c r="B161" s="153" t="s">
        <v>544</v>
      </c>
      <c r="C161" s="153"/>
      <c r="D161" s="114"/>
      <c r="E161" s="114">
        <f>2*E160</f>
        <v>11381.909656749</v>
      </c>
      <c r="F161" s="114"/>
      <c r="G161" s="114"/>
      <c r="H161" s="114"/>
      <c r="I161" s="142"/>
    </row>
    <row r="162" ht="15.75" spans="1:9">
      <c r="A162" s="103"/>
      <c r="B162" s="154" t="s">
        <v>545</v>
      </c>
      <c r="C162" s="154"/>
      <c r="D162" s="128">
        <f>D160/D37</f>
        <v>2.75135224423478</v>
      </c>
      <c r="E162" s="128">
        <f t="shared" ref="E162:G162" si="160">E160/E37</f>
        <v>2.69074606189782</v>
      </c>
      <c r="F162" s="128">
        <f t="shared" si="160"/>
        <v>2.74713919105827</v>
      </c>
      <c r="G162" s="128">
        <f t="shared" si="160"/>
        <v>2.74713919105827</v>
      </c>
      <c r="H162" s="128">
        <f t="shared" ref="H162" si="161">H160/H37</f>
        <v>2.70677293210068</v>
      </c>
      <c r="I162" s="192">
        <f t="shared" ref="I162" si="162">I160/I37</f>
        <v>2.74672121741459</v>
      </c>
    </row>
  </sheetData>
  <mergeCells count="110">
    <mergeCell ref="A1:G1"/>
    <mergeCell ref="A2:G2"/>
    <mergeCell ref="A4:G4"/>
    <mergeCell ref="A5:G5"/>
    <mergeCell ref="A6:G6"/>
    <mergeCell ref="A7:G7"/>
    <mergeCell ref="A8:B8"/>
    <mergeCell ref="C8:G8"/>
    <mergeCell ref="A9:B9"/>
    <mergeCell ref="C9:G9"/>
    <mergeCell ref="A11:G11"/>
    <mergeCell ref="A12:B12"/>
    <mergeCell ref="C12:G12"/>
    <mergeCell ref="A13:B13"/>
    <mergeCell ref="C13:G13"/>
    <mergeCell ref="A14:B14"/>
    <mergeCell ref="C14:G14"/>
    <mergeCell ref="A15:B15"/>
    <mergeCell ref="C15:G15"/>
    <mergeCell ref="A16:B16"/>
    <mergeCell ref="C16:G16"/>
    <mergeCell ref="A18:D18"/>
    <mergeCell ref="A29:C29"/>
    <mergeCell ref="B30:C30"/>
    <mergeCell ref="B31:C31"/>
    <mergeCell ref="B32:C32"/>
    <mergeCell ref="B33:C33"/>
    <mergeCell ref="B34:C34"/>
    <mergeCell ref="B35:C35"/>
    <mergeCell ref="B36:C36"/>
    <mergeCell ref="B37:C37"/>
    <mergeCell ref="B38:D38"/>
    <mergeCell ref="A39:C39"/>
    <mergeCell ref="A40:B40"/>
    <mergeCell ref="A46:C46"/>
    <mergeCell ref="A59:C59"/>
    <mergeCell ref="B60:C60"/>
    <mergeCell ref="B61:C61"/>
    <mergeCell ref="B62:C62"/>
    <mergeCell ref="B63:C63"/>
    <mergeCell ref="B64:C64"/>
    <mergeCell ref="B65:C65"/>
    <mergeCell ref="A67:C67"/>
    <mergeCell ref="B68:C68"/>
    <mergeCell ref="B69:C69"/>
    <mergeCell ref="B70:C70"/>
    <mergeCell ref="B71:C71"/>
    <mergeCell ref="B72:C72"/>
    <mergeCell ref="A74:C74"/>
    <mergeCell ref="B75:C75"/>
    <mergeCell ref="B76:C76"/>
    <mergeCell ref="B77:C77"/>
    <mergeCell ref="B78:C78"/>
    <mergeCell ref="B79:C79"/>
    <mergeCell ref="B80:C80"/>
    <mergeCell ref="B81:C81"/>
    <mergeCell ref="B82:C82"/>
    <mergeCell ref="A84:C84"/>
    <mergeCell ref="B85:C85"/>
    <mergeCell ref="B86:C86"/>
    <mergeCell ref="B87:C87"/>
    <mergeCell ref="B88:C88"/>
    <mergeCell ref="B89:C89"/>
    <mergeCell ref="B90:C90"/>
    <mergeCell ref="B91:C91"/>
    <mergeCell ref="B92:C92"/>
    <mergeCell ref="A94:C94"/>
    <mergeCell ref="B95:C95"/>
    <mergeCell ref="B96:C96"/>
    <mergeCell ref="B97:C97"/>
    <mergeCell ref="A99:C99"/>
    <mergeCell ref="B100:C100"/>
    <mergeCell ref="B101:C101"/>
    <mergeCell ref="B102:C102"/>
    <mergeCell ref="B103:C103"/>
    <mergeCell ref="A105:C105"/>
    <mergeCell ref="B106:C106"/>
    <mergeCell ref="B107:C107"/>
    <mergeCell ref="B108:C108"/>
    <mergeCell ref="B109:C109"/>
    <mergeCell ref="B110:C110"/>
    <mergeCell ref="B111:C111"/>
    <mergeCell ref="A113:B113"/>
    <mergeCell ref="A124:I124"/>
    <mergeCell ref="A125:C125"/>
    <mergeCell ref="B126:C126"/>
    <mergeCell ref="B127:C127"/>
    <mergeCell ref="B128:C128"/>
    <mergeCell ref="B129:C129"/>
    <mergeCell ref="B130:C130"/>
    <mergeCell ref="B131:C131"/>
    <mergeCell ref="B132:C132"/>
    <mergeCell ref="B133:C133"/>
    <mergeCell ref="B134:C134"/>
    <mergeCell ref="B135:C135"/>
    <mergeCell ref="B136:C136"/>
    <mergeCell ref="A139:B139"/>
    <mergeCell ref="A150:I150"/>
    <mergeCell ref="A151:C151"/>
    <mergeCell ref="B152:C152"/>
    <mergeCell ref="B153:C153"/>
    <mergeCell ref="B154:C154"/>
    <mergeCell ref="B155:C155"/>
    <mergeCell ref="B156:C156"/>
    <mergeCell ref="B157:C157"/>
    <mergeCell ref="B158:C158"/>
    <mergeCell ref="B159:C159"/>
    <mergeCell ref="B160:C160"/>
    <mergeCell ref="B161:C161"/>
    <mergeCell ref="B162:C162"/>
  </mergeCells>
  <pageMargins left="0.511811024" right="0.511811024" top="0.787401575" bottom="0.787401575" header="0.31496062" footer="0.31496062"/>
  <pageSetup paperSize="9" scale="72" orientation="landscape"/>
  <headerFooter>
    <oddHeader>&amp;L&amp;G&amp;CProcesso 23069.154758/2022-91
PE 57/2022&amp;R&amp;G</oddHeader>
    <oddFooter>&amp;L&amp;"-,Itálico"&amp;9&amp;A&amp;R&amp;"-,Itálico"&amp;9Página &amp;P de &amp;N</oddFooter>
  </headerFooter>
  <drawing r:id="rId1"/>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1"/>
  <sheetViews>
    <sheetView topLeftCell="A91" workbookViewId="0">
      <selection activeCell="A4" sqref="A4:I4"/>
    </sheetView>
  </sheetViews>
  <sheetFormatPr defaultColWidth="8.85714285714286" defaultRowHeight="15"/>
  <cols>
    <col min="1" max="1" width="6.42857142857143" customWidth="1"/>
    <col min="2" max="2" width="62.1428571428571" customWidth="1"/>
    <col min="3" max="3" width="11.1428571428571" customWidth="1"/>
    <col min="4" max="7" width="18.4285714285714" customWidth="1"/>
    <col min="8" max="9" width="15.4285714285714" customWidth="1"/>
    <col min="10" max="10" width="10.5714285714286" customWidth="1"/>
  </cols>
  <sheetData>
    <row r="1" ht="18" customHeight="1" spans="1:7">
      <c r="A1" s="1" t="s">
        <v>0</v>
      </c>
      <c r="B1" s="1"/>
      <c r="C1" s="1"/>
      <c r="D1" s="1"/>
      <c r="E1" s="1"/>
      <c r="F1" s="1"/>
      <c r="G1" s="1"/>
    </row>
    <row r="2" ht="18.75" spans="1:7">
      <c r="A2" s="2" t="s">
        <v>1</v>
      </c>
      <c r="B2" s="2"/>
      <c r="C2" s="2"/>
      <c r="D2" s="2"/>
      <c r="E2" s="2"/>
      <c r="F2" s="2"/>
      <c r="G2" s="2"/>
    </row>
    <row r="4" ht="14.45" customHeight="1" spans="1:7">
      <c r="A4" s="41" t="s">
        <v>556</v>
      </c>
      <c r="B4" s="41"/>
      <c r="C4" s="41"/>
      <c r="D4" s="41"/>
      <c r="E4" s="41"/>
      <c r="F4" s="41"/>
      <c r="G4" s="41"/>
    </row>
    <row r="5" ht="38.45" customHeight="1" spans="1:7">
      <c r="A5" s="42" t="s">
        <v>2</v>
      </c>
      <c r="B5" s="42"/>
      <c r="C5" s="42"/>
      <c r="D5" s="42"/>
      <c r="E5" s="42"/>
      <c r="F5" s="42"/>
      <c r="G5" s="42"/>
    </row>
    <row r="6" customHeight="1" spans="1:7">
      <c r="A6" s="43" t="s">
        <v>427</v>
      </c>
      <c r="B6" s="43"/>
      <c r="C6" s="43"/>
      <c r="D6" s="43"/>
      <c r="E6" s="43"/>
      <c r="F6" s="43"/>
      <c r="G6" s="43"/>
    </row>
    <row r="7" ht="15.75" customHeight="1" spans="1:7">
      <c r="A7" s="43" t="s">
        <v>428</v>
      </c>
      <c r="B7" s="43"/>
      <c r="C7" s="43"/>
      <c r="D7" s="43"/>
      <c r="E7" s="43"/>
      <c r="F7" s="43"/>
      <c r="G7" s="43"/>
    </row>
    <row r="8" customHeight="1" spans="1:7">
      <c r="A8" s="44" t="s">
        <v>429</v>
      </c>
      <c r="B8" s="45"/>
      <c r="C8" s="46" t="s">
        <v>430</v>
      </c>
      <c r="D8" s="46"/>
      <c r="E8" s="46"/>
      <c r="F8" s="46"/>
      <c r="G8" s="47"/>
    </row>
    <row r="9" ht="15.75" spans="1:7">
      <c r="A9" s="48"/>
      <c r="B9" s="49"/>
      <c r="C9" s="50"/>
      <c r="D9" s="50"/>
      <c r="E9" s="50"/>
      <c r="F9" s="50"/>
      <c r="G9" s="51"/>
    </row>
    <row r="10" ht="15.75" spans="1:5">
      <c r="A10" s="52"/>
      <c r="B10" s="53"/>
      <c r="C10" s="54"/>
      <c r="D10" s="54"/>
      <c r="E10" s="54"/>
    </row>
    <row r="11" spans="1:7">
      <c r="A11" s="55" t="s">
        <v>431</v>
      </c>
      <c r="B11" s="56"/>
      <c r="C11" s="56"/>
      <c r="D11" s="56"/>
      <c r="E11" s="56"/>
      <c r="F11" s="56"/>
      <c r="G11" s="57"/>
    </row>
    <row r="12" customHeight="1" spans="1:7">
      <c r="A12" s="58" t="s">
        <v>432</v>
      </c>
      <c r="B12" s="59"/>
      <c r="C12" s="60"/>
      <c r="D12" s="60"/>
      <c r="E12" s="60"/>
      <c r="F12" s="60"/>
      <c r="G12" s="61"/>
    </row>
    <row r="13" customHeight="1" spans="1:7">
      <c r="A13" s="58" t="s">
        <v>433</v>
      </c>
      <c r="B13" s="59"/>
      <c r="C13" s="60"/>
      <c r="D13" s="60"/>
      <c r="E13" s="60"/>
      <c r="F13" s="60"/>
      <c r="G13" s="61"/>
    </row>
    <row r="14" customHeight="1" spans="1:7">
      <c r="A14" s="62" t="s">
        <v>434</v>
      </c>
      <c r="B14" s="63"/>
      <c r="C14" s="60"/>
      <c r="D14" s="60"/>
      <c r="E14" s="60"/>
      <c r="F14" s="60"/>
      <c r="G14" s="61"/>
    </row>
    <row r="15" customHeight="1" spans="1:7">
      <c r="A15" s="58" t="s">
        <v>435</v>
      </c>
      <c r="B15" s="59"/>
      <c r="C15" s="60"/>
      <c r="D15" s="60"/>
      <c r="E15" s="60"/>
      <c r="F15" s="60"/>
      <c r="G15" s="61"/>
    </row>
    <row r="16" ht="15.75" customHeight="1" spans="1:7">
      <c r="A16" s="64" t="s">
        <v>436</v>
      </c>
      <c r="B16" s="65"/>
      <c r="C16" s="66"/>
      <c r="D16" s="66"/>
      <c r="E16" s="66"/>
      <c r="F16" s="66"/>
      <c r="G16" s="67"/>
    </row>
    <row r="17" ht="15.75" spans="1:5">
      <c r="A17" s="52"/>
      <c r="B17" s="53"/>
      <c r="C17" s="54"/>
      <c r="D17" s="54"/>
      <c r="E17" s="54"/>
    </row>
    <row r="18" spans="1:7">
      <c r="A18" s="68" t="s">
        <v>437</v>
      </c>
      <c r="B18" s="69"/>
      <c r="C18" s="69"/>
      <c r="D18" s="70"/>
      <c r="E18" s="71"/>
      <c r="F18" s="71"/>
      <c r="G18" s="71"/>
    </row>
    <row r="19" ht="30" spans="1:5">
      <c r="A19" s="72" t="s">
        <v>438</v>
      </c>
      <c r="B19" s="73" t="s">
        <v>439</v>
      </c>
      <c r="C19" s="74" t="s">
        <v>440</v>
      </c>
      <c r="D19" s="75" t="s">
        <v>441</v>
      </c>
      <c r="E19" s="54"/>
    </row>
    <row r="20" spans="1:5">
      <c r="A20" s="76">
        <v>20.88</v>
      </c>
      <c r="B20" s="77" t="s">
        <v>29</v>
      </c>
      <c r="C20" s="78" t="s">
        <v>557</v>
      </c>
      <c r="D20" s="79">
        <v>2263.42</v>
      </c>
      <c r="E20" s="54"/>
    </row>
    <row r="21" spans="1:5">
      <c r="A21" s="76">
        <v>20.88</v>
      </c>
      <c r="B21" s="77" t="s">
        <v>30</v>
      </c>
      <c r="C21" s="78" t="s">
        <v>558</v>
      </c>
      <c r="D21" s="79">
        <v>2144.75</v>
      </c>
      <c r="E21" s="54"/>
    </row>
    <row r="22" spans="1:5">
      <c r="A22" s="76">
        <v>20.88</v>
      </c>
      <c r="B22" s="77" t="s">
        <v>31</v>
      </c>
      <c r="C22" s="78" t="s">
        <v>559</v>
      </c>
      <c r="D22" s="79">
        <v>2115.01</v>
      </c>
      <c r="E22" s="54"/>
    </row>
    <row r="23" spans="1:5">
      <c r="A23" s="76">
        <v>20.88</v>
      </c>
      <c r="B23" s="77" t="s">
        <v>32</v>
      </c>
      <c r="C23" s="78" t="s">
        <v>560</v>
      </c>
      <c r="D23" s="79">
        <v>1436.83</v>
      </c>
      <c r="E23" s="54"/>
    </row>
    <row r="24" spans="1:5">
      <c r="A24" s="76">
        <v>20.88</v>
      </c>
      <c r="B24" s="77" t="s">
        <v>33</v>
      </c>
      <c r="C24" s="78" t="s">
        <v>561</v>
      </c>
      <c r="D24" s="79">
        <v>2115.01</v>
      </c>
      <c r="E24" s="54"/>
    </row>
    <row r="25" ht="15.75" spans="1:5">
      <c r="A25" s="80">
        <v>20.88</v>
      </c>
      <c r="B25" s="81" t="s">
        <v>34</v>
      </c>
      <c r="C25" s="82" t="s">
        <v>562</v>
      </c>
      <c r="D25" s="83">
        <v>2300.89</v>
      </c>
      <c r="E25" s="54"/>
    </row>
    <row r="26" spans="1:5">
      <c r="A26" s="52"/>
      <c r="B26" s="52"/>
      <c r="C26" s="84"/>
      <c r="D26" s="85"/>
      <c r="E26" s="85"/>
    </row>
    <row r="27" ht="15.75" spans="1:5">
      <c r="A27" s="52"/>
      <c r="B27" s="52"/>
      <c r="C27" s="85"/>
      <c r="D27" s="85"/>
      <c r="E27" s="85"/>
    </row>
    <row r="28" ht="25.5" spans="1:9">
      <c r="A28" s="86" t="s">
        <v>447</v>
      </c>
      <c r="B28" s="87"/>
      <c r="C28" s="87"/>
      <c r="D28" s="88" t="s">
        <v>29</v>
      </c>
      <c r="E28" s="88" t="s">
        <v>30</v>
      </c>
      <c r="F28" s="88" t="s">
        <v>31</v>
      </c>
      <c r="G28" s="88" t="s">
        <v>32</v>
      </c>
      <c r="H28" s="88" t="s">
        <v>33</v>
      </c>
      <c r="I28" s="136" t="s">
        <v>34</v>
      </c>
    </row>
    <row r="29" spans="1:9">
      <c r="A29" s="89">
        <v>1</v>
      </c>
      <c r="B29" s="90" t="s">
        <v>448</v>
      </c>
      <c r="C29" s="90"/>
      <c r="D29" s="91" t="s">
        <v>449</v>
      </c>
      <c r="E29" s="91" t="s">
        <v>449</v>
      </c>
      <c r="F29" s="91" t="s">
        <v>449</v>
      </c>
      <c r="G29" s="91" t="s">
        <v>449</v>
      </c>
      <c r="H29" s="91" t="s">
        <v>449</v>
      </c>
      <c r="I29" s="137" t="s">
        <v>449</v>
      </c>
    </row>
    <row r="30" spans="1:9">
      <c r="A30" s="92" t="s">
        <v>450</v>
      </c>
      <c r="B30" s="93" t="s">
        <v>451</v>
      </c>
      <c r="C30" s="93"/>
      <c r="D30" s="94">
        <f>D20</f>
        <v>2263.42</v>
      </c>
      <c r="E30" s="94">
        <f>D21</f>
        <v>2144.75</v>
      </c>
      <c r="F30" s="94">
        <f>D22</f>
        <v>2115.01</v>
      </c>
      <c r="G30" s="94">
        <f>D23</f>
        <v>1436.83</v>
      </c>
      <c r="H30" s="94">
        <f>D24</f>
        <v>2115.01</v>
      </c>
      <c r="I30" s="138">
        <f>D25</f>
        <v>2300.89</v>
      </c>
    </row>
    <row r="31" spans="1:9">
      <c r="A31" s="92" t="s">
        <v>452</v>
      </c>
      <c r="B31" s="93" t="s">
        <v>453</v>
      </c>
      <c r="C31" s="93"/>
      <c r="D31" s="95"/>
      <c r="E31" s="96"/>
      <c r="F31" s="97"/>
      <c r="G31" s="97"/>
      <c r="H31" s="97"/>
      <c r="I31" s="139"/>
    </row>
    <row r="32" spans="1:9">
      <c r="A32" s="92" t="s">
        <v>454</v>
      </c>
      <c r="B32" s="93" t="s">
        <v>455</v>
      </c>
      <c r="C32" s="93"/>
      <c r="D32" s="95"/>
      <c r="E32" s="96"/>
      <c r="F32" s="98"/>
      <c r="G32" s="97"/>
      <c r="H32" s="97"/>
      <c r="I32" s="139"/>
    </row>
    <row r="33" spans="1:9">
      <c r="A33" s="92" t="s">
        <v>456</v>
      </c>
      <c r="B33" s="99" t="s">
        <v>457</v>
      </c>
      <c r="C33" s="99"/>
      <c r="D33" s="95"/>
      <c r="E33" s="96"/>
      <c r="F33" s="97"/>
      <c r="G33" s="97"/>
      <c r="H33" s="97"/>
      <c r="I33" s="139"/>
    </row>
    <row r="34" spans="1:9">
      <c r="A34" s="92" t="s">
        <v>458</v>
      </c>
      <c r="B34" s="99" t="s">
        <v>459</v>
      </c>
      <c r="C34" s="99"/>
      <c r="D34" s="95"/>
      <c r="E34" s="96"/>
      <c r="F34" s="97"/>
      <c r="G34" s="97"/>
      <c r="H34" s="97"/>
      <c r="I34" s="139"/>
    </row>
    <row r="35" spans="1:9">
      <c r="A35" s="92" t="s">
        <v>460</v>
      </c>
      <c r="B35" s="100" t="s">
        <v>461</v>
      </c>
      <c r="C35" s="100"/>
      <c r="D35" s="101"/>
      <c r="E35" s="96"/>
      <c r="F35" s="102"/>
      <c r="G35" s="102"/>
      <c r="H35" s="97"/>
      <c r="I35" s="139"/>
    </row>
    <row r="36" ht="15.75" spans="1:9">
      <c r="A36" s="103"/>
      <c r="B36" s="104" t="s">
        <v>462</v>
      </c>
      <c r="C36" s="104"/>
      <c r="D36" s="105">
        <f>SUM(D30:D35)</f>
        <v>2263.42</v>
      </c>
      <c r="E36" s="105">
        <f t="shared" ref="E36:G36" si="0">SUM(E30:E35)</f>
        <v>2144.75</v>
      </c>
      <c r="F36" s="105">
        <f t="shared" si="0"/>
        <v>2115.01</v>
      </c>
      <c r="G36" s="105">
        <f t="shared" si="0"/>
        <v>1436.83</v>
      </c>
      <c r="H36" s="105">
        <f t="shared" ref="H36:I36" si="1">SUM(H30:H35)</f>
        <v>2115.01</v>
      </c>
      <c r="I36" s="140">
        <f t="shared" si="1"/>
        <v>2300.89</v>
      </c>
    </row>
    <row r="37" ht="15.75" spans="1:5">
      <c r="A37" s="52"/>
      <c r="B37" s="106"/>
      <c r="C37" s="106"/>
      <c r="D37" s="106"/>
      <c r="E37" s="85"/>
    </row>
    <row r="38" ht="25.5" spans="1:9">
      <c r="A38" s="107" t="s">
        <v>463</v>
      </c>
      <c r="B38" s="108"/>
      <c r="C38" s="108"/>
      <c r="D38" s="88" t="s">
        <v>29</v>
      </c>
      <c r="E38" s="88" t="s">
        <v>30</v>
      </c>
      <c r="F38" s="88" t="s">
        <v>31</v>
      </c>
      <c r="G38" s="88" t="s">
        <v>32</v>
      </c>
      <c r="H38" s="88" t="s">
        <v>33</v>
      </c>
      <c r="I38" s="136" t="s">
        <v>34</v>
      </c>
    </row>
    <row r="39" spans="1:9">
      <c r="A39" s="109" t="s">
        <v>464</v>
      </c>
      <c r="B39" s="110"/>
      <c r="C39" s="111"/>
      <c r="D39" s="91" t="s">
        <v>449</v>
      </c>
      <c r="E39" s="91" t="s">
        <v>449</v>
      </c>
      <c r="F39" s="91" t="s">
        <v>449</v>
      </c>
      <c r="G39" s="91" t="s">
        <v>449</v>
      </c>
      <c r="H39" s="91" t="s">
        <v>449</v>
      </c>
      <c r="I39" s="137" t="s">
        <v>449</v>
      </c>
    </row>
    <row r="40" spans="1:9">
      <c r="A40" s="92" t="s">
        <v>450</v>
      </c>
      <c r="B40" s="112" t="s">
        <v>465</v>
      </c>
      <c r="C40" s="112"/>
      <c r="D40" s="113">
        <f>D36*8.33%</f>
        <v>188.542886</v>
      </c>
      <c r="E40" s="113">
        <f>E36*8.33%</f>
        <v>178.657675</v>
      </c>
      <c r="F40" s="113">
        <f t="shared" ref="F40:G40" si="2">F36*8.33%</f>
        <v>176.180333</v>
      </c>
      <c r="G40" s="113">
        <f t="shared" si="2"/>
        <v>119.687939</v>
      </c>
      <c r="H40" s="113">
        <f t="shared" ref="H40:I40" si="3">H36*8.33%</f>
        <v>176.180333</v>
      </c>
      <c r="I40" s="141">
        <f t="shared" si="3"/>
        <v>191.664137</v>
      </c>
    </row>
    <row r="41" spans="1:9">
      <c r="A41" s="92" t="s">
        <v>452</v>
      </c>
      <c r="B41" s="112" t="s">
        <v>466</v>
      </c>
      <c r="C41" s="112"/>
      <c r="D41" s="113">
        <f>D36*12.1%</f>
        <v>273.87382</v>
      </c>
      <c r="E41" s="113">
        <f>E36*12.1%</f>
        <v>259.51475</v>
      </c>
      <c r="F41" s="113">
        <f t="shared" ref="F41:G41" si="4">F36*12.1%</f>
        <v>255.91621</v>
      </c>
      <c r="G41" s="113">
        <f t="shared" si="4"/>
        <v>173.85643</v>
      </c>
      <c r="H41" s="113">
        <f t="shared" ref="H41:I41" si="5">H36*12.1%</f>
        <v>255.91621</v>
      </c>
      <c r="I41" s="141">
        <f t="shared" si="5"/>
        <v>278.40769</v>
      </c>
    </row>
    <row r="42" spans="1:9">
      <c r="A42" s="92"/>
      <c r="B42" s="111" t="s">
        <v>398</v>
      </c>
      <c r="C42" s="111"/>
      <c r="D42" s="114">
        <f>SUM(D40:D41)</f>
        <v>462.416706</v>
      </c>
      <c r="E42" s="114">
        <f>SUM(E40:E41)</f>
        <v>438.172425</v>
      </c>
      <c r="F42" s="114">
        <f t="shared" ref="F42:G42" si="6">SUM(F40:F41)</f>
        <v>432.096543</v>
      </c>
      <c r="G42" s="114">
        <f t="shared" si="6"/>
        <v>293.544369</v>
      </c>
      <c r="H42" s="114">
        <f t="shared" ref="H42:I42" si="7">SUM(H40:H41)</f>
        <v>432.096543</v>
      </c>
      <c r="I42" s="142">
        <f t="shared" si="7"/>
        <v>470.071827</v>
      </c>
    </row>
    <row r="43" ht="45.75" spans="1:9">
      <c r="A43" s="115" t="s">
        <v>454</v>
      </c>
      <c r="B43" s="116" t="s">
        <v>467</v>
      </c>
      <c r="C43" s="116"/>
      <c r="D43" s="117">
        <f>D36*7.82%</f>
        <v>176.999444</v>
      </c>
      <c r="E43" s="117">
        <f>E36*7.82%</f>
        <v>167.71945</v>
      </c>
      <c r="F43" s="117">
        <f t="shared" ref="F43:G43" si="8">F36*7.82%</f>
        <v>165.393782</v>
      </c>
      <c r="G43" s="117">
        <f t="shared" si="8"/>
        <v>112.360106</v>
      </c>
      <c r="H43" s="117">
        <f t="shared" ref="H43:I43" si="9">H36*7.82%</f>
        <v>165.393782</v>
      </c>
      <c r="I43" s="143">
        <f t="shared" si="9"/>
        <v>179.929598</v>
      </c>
    </row>
    <row r="44" ht="15.75" spans="1:5">
      <c r="A44" s="52"/>
      <c r="B44" s="52"/>
      <c r="C44" s="52"/>
      <c r="D44" s="52"/>
      <c r="E44" s="85"/>
    </row>
    <row r="45" ht="32.45" customHeight="1" spans="1:9">
      <c r="A45" s="118" t="s">
        <v>468</v>
      </c>
      <c r="B45" s="119"/>
      <c r="C45" s="119"/>
      <c r="D45" s="88" t="s">
        <v>29</v>
      </c>
      <c r="E45" s="88" t="s">
        <v>30</v>
      </c>
      <c r="F45" s="88" t="s">
        <v>31</v>
      </c>
      <c r="G45" s="88" t="s">
        <v>32</v>
      </c>
      <c r="H45" s="88" t="s">
        <v>33</v>
      </c>
      <c r="I45" s="136" t="s">
        <v>34</v>
      </c>
    </row>
    <row r="46" spans="1:9">
      <c r="A46" s="89" t="s">
        <v>190</v>
      </c>
      <c r="B46" s="120" t="s">
        <v>469</v>
      </c>
      <c r="C46" s="121" t="s">
        <v>470</v>
      </c>
      <c r="D46" s="121" t="s">
        <v>449</v>
      </c>
      <c r="E46" s="121" t="s">
        <v>449</v>
      </c>
      <c r="F46" s="121" t="s">
        <v>449</v>
      </c>
      <c r="G46" s="121" t="s">
        <v>449</v>
      </c>
      <c r="H46" s="121" t="s">
        <v>449</v>
      </c>
      <c r="I46" s="137" t="s">
        <v>449</v>
      </c>
    </row>
    <row r="47" spans="1:9">
      <c r="A47" s="92" t="s">
        <v>450</v>
      </c>
      <c r="B47" s="122" t="s">
        <v>471</v>
      </c>
      <c r="C47" s="123">
        <v>20</v>
      </c>
      <c r="D47" s="113">
        <f>(D36*($C$47/100))</f>
        <v>452.684</v>
      </c>
      <c r="E47" s="113">
        <f t="shared" ref="E47:G47" si="10">(E36*($C$47/100))</f>
        <v>428.95</v>
      </c>
      <c r="F47" s="113">
        <f t="shared" si="10"/>
        <v>423.002</v>
      </c>
      <c r="G47" s="113">
        <f t="shared" si="10"/>
        <v>287.366</v>
      </c>
      <c r="H47" s="113">
        <f t="shared" ref="H47:I47" si="11">(H36*($C$47/100))</f>
        <v>423.002</v>
      </c>
      <c r="I47" s="141">
        <f t="shared" si="11"/>
        <v>460.178</v>
      </c>
    </row>
    <row r="48" spans="1:9">
      <c r="A48" s="92" t="s">
        <v>452</v>
      </c>
      <c r="B48" s="124" t="s">
        <v>472</v>
      </c>
      <c r="C48" s="125">
        <v>2.5</v>
      </c>
      <c r="D48" s="126">
        <f>(D36*($C$48/100))</f>
        <v>56.5855</v>
      </c>
      <c r="E48" s="126">
        <f t="shared" ref="E48:G48" si="12">(E36*($C$48/100))</f>
        <v>53.61875</v>
      </c>
      <c r="F48" s="126">
        <f t="shared" si="12"/>
        <v>52.87525</v>
      </c>
      <c r="G48" s="126">
        <f t="shared" si="12"/>
        <v>35.92075</v>
      </c>
      <c r="H48" s="126">
        <f t="shared" ref="H48:I48" si="13">(H36*($C$48/100))</f>
        <v>52.87525</v>
      </c>
      <c r="I48" s="144">
        <f t="shared" si="13"/>
        <v>57.52225</v>
      </c>
    </row>
    <row r="49" spans="1:9">
      <c r="A49" s="92" t="s">
        <v>454</v>
      </c>
      <c r="B49" s="122" t="s">
        <v>473</v>
      </c>
      <c r="C49" s="123">
        <v>6</v>
      </c>
      <c r="D49" s="113">
        <f>(D$36*($C$49/100))</f>
        <v>135.8052</v>
      </c>
      <c r="E49" s="113">
        <f t="shared" ref="E49:I49" si="14">(E$36*($C$49/100))</f>
        <v>128.685</v>
      </c>
      <c r="F49" s="113">
        <f t="shared" si="14"/>
        <v>126.9006</v>
      </c>
      <c r="G49" s="113">
        <f t="shared" si="14"/>
        <v>86.2098</v>
      </c>
      <c r="H49" s="113">
        <f t="shared" si="14"/>
        <v>126.9006</v>
      </c>
      <c r="I49" s="141">
        <f t="shared" si="14"/>
        <v>138.0534</v>
      </c>
    </row>
    <row r="50" spans="1:9">
      <c r="A50" s="92" t="s">
        <v>456</v>
      </c>
      <c r="B50" s="124" t="s">
        <v>474</v>
      </c>
      <c r="C50" s="125">
        <v>1.5</v>
      </c>
      <c r="D50" s="113">
        <f>(D$36*($C$50/100))</f>
        <v>33.9513</v>
      </c>
      <c r="E50" s="113">
        <f t="shared" ref="E50:I50" si="15">(E$36*($C$50/100))</f>
        <v>32.17125</v>
      </c>
      <c r="F50" s="113">
        <f t="shared" si="15"/>
        <v>31.72515</v>
      </c>
      <c r="G50" s="113">
        <f t="shared" si="15"/>
        <v>21.55245</v>
      </c>
      <c r="H50" s="113">
        <f t="shared" si="15"/>
        <v>31.72515</v>
      </c>
      <c r="I50" s="141">
        <f t="shared" si="15"/>
        <v>34.51335</v>
      </c>
    </row>
    <row r="51" spans="1:9">
      <c r="A51" s="92" t="s">
        <v>458</v>
      </c>
      <c r="B51" s="124" t="s">
        <v>475</v>
      </c>
      <c r="C51" s="125">
        <v>1</v>
      </c>
      <c r="D51" s="113">
        <f>(D$36*($C$51/100))</f>
        <v>22.6342</v>
      </c>
      <c r="E51" s="113">
        <f t="shared" ref="E51:I51" si="16">(E$36*($C$51/100))</f>
        <v>21.4475</v>
      </c>
      <c r="F51" s="113">
        <f t="shared" si="16"/>
        <v>21.1501</v>
      </c>
      <c r="G51" s="113">
        <f t="shared" si="16"/>
        <v>14.3683</v>
      </c>
      <c r="H51" s="113">
        <f t="shared" si="16"/>
        <v>21.1501</v>
      </c>
      <c r="I51" s="141">
        <f t="shared" si="16"/>
        <v>23.0089</v>
      </c>
    </row>
    <row r="52" spans="1:9">
      <c r="A52" s="92" t="s">
        <v>460</v>
      </c>
      <c r="B52" s="124" t="s">
        <v>476</v>
      </c>
      <c r="C52" s="125">
        <v>0.6</v>
      </c>
      <c r="D52" s="113">
        <f>(D$36*($C$52/100))</f>
        <v>13.58052</v>
      </c>
      <c r="E52" s="113">
        <f t="shared" ref="E52:I52" si="17">(E$36*($C$52/100))</f>
        <v>12.8685</v>
      </c>
      <c r="F52" s="113">
        <f t="shared" si="17"/>
        <v>12.69006</v>
      </c>
      <c r="G52" s="113">
        <f t="shared" si="17"/>
        <v>8.62098</v>
      </c>
      <c r="H52" s="113">
        <f t="shared" si="17"/>
        <v>12.69006</v>
      </c>
      <c r="I52" s="141">
        <f t="shared" si="17"/>
        <v>13.80534</v>
      </c>
    </row>
    <row r="53" spans="1:9">
      <c r="A53" s="92" t="s">
        <v>477</v>
      </c>
      <c r="B53" s="124" t="s">
        <v>478</v>
      </c>
      <c r="C53" s="125">
        <v>0.2</v>
      </c>
      <c r="D53" s="113">
        <f>(D$36*($C$53/100))</f>
        <v>4.52684</v>
      </c>
      <c r="E53" s="113">
        <f t="shared" ref="E53:I53" si="18">(E$36*($C$53/100))</f>
        <v>4.2895</v>
      </c>
      <c r="F53" s="113">
        <f t="shared" si="18"/>
        <v>4.23002</v>
      </c>
      <c r="G53" s="113">
        <f t="shared" si="18"/>
        <v>2.87366</v>
      </c>
      <c r="H53" s="113">
        <f t="shared" si="18"/>
        <v>4.23002</v>
      </c>
      <c r="I53" s="141">
        <f t="shared" si="18"/>
        <v>4.60178</v>
      </c>
    </row>
    <row r="54" spans="1:9">
      <c r="A54" s="92" t="s">
        <v>479</v>
      </c>
      <c r="B54" s="122" t="s">
        <v>480</v>
      </c>
      <c r="C54" s="123">
        <v>8</v>
      </c>
      <c r="D54" s="113">
        <f>(D$36*($C$54/100))</f>
        <v>181.0736</v>
      </c>
      <c r="E54" s="113">
        <f t="shared" ref="E54:I54" si="19">(E$36*($C$54/100))</f>
        <v>171.58</v>
      </c>
      <c r="F54" s="113">
        <f t="shared" si="19"/>
        <v>169.2008</v>
      </c>
      <c r="G54" s="113">
        <f t="shared" si="19"/>
        <v>114.9464</v>
      </c>
      <c r="H54" s="113">
        <f t="shared" si="19"/>
        <v>169.2008</v>
      </c>
      <c r="I54" s="141">
        <f t="shared" si="19"/>
        <v>184.0712</v>
      </c>
    </row>
    <row r="55" ht="15.75" spans="1:9">
      <c r="A55" s="103"/>
      <c r="B55" s="127" t="s">
        <v>35</v>
      </c>
      <c r="C55" s="128">
        <f>SUM(C47:C54)</f>
        <v>39.8</v>
      </c>
      <c r="D55" s="129">
        <f>SUM(D47:D54)</f>
        <v>900.84116</v>
      </c>
      <c r="E55" s="129">
        <f t="shared" ref="E55:G55" si="20">SUM(E47:E54)</f>
        <v>853.6105</v>
      </c>
      <c r="F55" s="129">
        <f t="shared" si="20"/>
        <v>841.77398</v>
      </c>
      <c r="G55" s="129">
        <f t="shared" si="20"/>
        <v>571.85834</v>
      </c>
      <c r="H55" s="129">
        <f t="shared" ref="H55:I55" si="21">SUM(H47:H54)</f>
        <v>841.77398</v>
      </c>
      <c r="I55" s="145">
        <f t="shared" si="21"/>
        <v>915.75422</v>
      </c>
    </row>
    <row r="56" spans="1:5">
      <c r="A56" s="130"/>
      <c r="B56" s="131" t="s">
        <v>481</v>
      </c>
      <c r="C56" s="130"/>
      <c r="D56" s="130"/>
      <c r="E56" s="85"/>
    </row>
    <row r="57" ht="15.75" spans="1:5">
      <c r="A57" s="130"/>
      <c r="B57" s="131"/>
      <c r="C57" s="130"/>
      <c r="D57" s="130"/>
      <c r="E57" s="85"/>
    </row>
    <row r="58" ht="25.5" spans="1:9">
      <c r="A58" s="132" t="s">
        <v>482</v>
      </c>
      <c r="B58" s="133"/>
      <c r="C58" s="133"/>
      <c r="D58" s="88" t="s">
        <v>29</v>
      </c>
      <c r="E58" s="88" t="s">
        <v>30</v>
      </c>
      <c r="F58" s="88" t="s">
        <v>31</v>
      </c>
      <c r="G58" s="88" t="s">
        <v>32</v>
      </c>
      <c r="H58" s="88" t="s">
        <v>33</v>
      </c>
      <c r="I58" s="136" t="s">
        <v>34</v>
      </c>
    </row>
    <row r="59" spans="1:9">
      <c r="A59" s="89" t="s">
        <v>193</v>
      </c>
      <c r="B59" s="90" t="s">
        <v>483</v>
      </c>
      <c r="C59" s="90"/>
      <c r="D59" s="91" t="s">
        <v>449</v>
      </c>
      <c r="E59" s="91" t="s">
        <v>449</v>
      </c>
      <c r="F59" s="91" t="s">
        <v>449</v>
      </c>
      <c r="G59" s="91" t="s">
        <v>449</v>
      </c>
      <c r="H59" s="91" t="s">
        <v>449</v>
      </c>
      <c r="I59" s="137" t="s">
        <v>449</v>
      </c>
    </row>
    <row r="60" spans="1:9">
      <c r="A60" s="92" t="s">
        <v>450</v>
      </c>
      <c r="B60" s="134" t="s">
        <v>484</v>
      </c>
      <c r="C60" s="134"/>
      <c r="D60" s="135">
        <f>(4.45*4*A20)-(6%*D20)</f>
        <v>235.8588</v>
      </c>
      <c r="E60" s="135">
        <f>(4.45*4*A21)-(6%*D21)</f>
        <v>242.979</v>
      </c>
      <c r="F60" s="135">
        <f>(4.45*4*A22)-(6%*D22)</f>
        <v>244.7634</v>
      </c>
      <c r="G60" s="135">
        <f>(4.45*4*A23)-(6%*D23)</f>
        <v>285.4542</v>
      </c>
      <c r="H60" s="135">
        <f>(4.45*4*A24)-(6%*D24)</f>
        <v>244.7634</v>
      </c>
      <c r="I60" s="146">
        <f>(4.45*4*A25)-(6%*D25)</f>
        <v>233.6106</v>
      </c>
    </row>
    <row r="61" spans="1:9">
      <c r="A61" s="92" t="s">
        <v>452</v>
      </c>
      <c r="B61" s="93" t="s">
        <v>485</v>
      </c>
      <c r="C61" s="93"/>
      <c r="D61" s="135">
        <v>330</v>
      </c>
      <c r="E61" s="135">
        <v>330</v>
      </c>
      <c r="F61" s="135">
        <v>330</v>
      </c>
      <c r="G61" s="135">
        <v>330</v>
      </c>
      <c r="H61" s="135">
        <v>330</v>
      </c>
      <c r="I61" s="135">
        <v>330</v>
      </c>
    </row>
    <row r="62" spans="1:9">
      <c r="A62" s="92" t="s">
        <v>454</v>
      </c>
      <c r="B62" s="93" t="s">
        <v>486</v>
      </c>
      <c r="C62" s="93"/>
      <c r="D62" s="135">
        <v>0</v>
      </c>
      <c r="E62" s="94">
        <f>E56</f>
        <v>0</v>
      </c>
      <c r="F62" s="94">
        <f>F56</f>
        <v>0</v>
      </c>
      <c r="G62" s="94">
        <f>G56</f>
        <v>0</v>
      </c>
      <c r="H62" s="94">
        <f t="shared" ref="H62:I62" si="22">H56</f>
        <v>0</v>
      </c>
      <c r="I62" s="138">
        <f t="shared" si="22"/>
        <v>0</v>
      </c>
    </row>
    <row r="63" spans="1:9">
      <c r="A63" s="92" t="s">
        <v>456</v>
      </c>
      <c r="B63" s="93" t="s">
        <v>487</v>
      </c>
      <c r="C63" s="93"/>
      <c r="D63" s="135">
        <v>20</v>
      </c>
      <c r="E63" s="135">
        <v>20</v>
      </c>
      <c r="F63" s="135">
        <v>20</v>
      </c>
      <c r="G63" s="135">
        <v>20</v>
      </c>
      <c r="H63" s="135">
        <v>20</v>
      </c>
      <c r="I63" s="146">
        <v>20</v>
      </c>
    </row>
    <row r="64" ht="15.75" spans="1:9">
      <c r="A64" s="103"/>
      <c r="B64" s="104" t="s">
        <v>488</v>
      </c>
      <c r="C64" s="104"/>
      <c r="D64" s="105">
        <f t="shared" ref="D64:G64" si="23">SUM(D60:D63)</f>
        <v>585.8588</v>
      </c>
      <c r="E64" s="105">
        <f t="shared" si="23"/>
        <v>592.979</v>
      </c>
      <c r="F64" s="105">
        <f t="shared" si="23"/>
        <v>594.7634</v>
      </c>
      <c r="G64" s="105">
        <f t="shared" si="23"/>
        <v>635.4542</v>
      </c>
      <c r="H64" s="105">
        <f t="shared" ref="H64:I64" si="24">SUM(H60:H63)</f>
        <v>594.7634</v>
      </c>
      <c r="I64" s="140">
        <f t="shared" si="24"/>
        <v>583.6106</v>
      </c>
    </row>
    <row r="65" ht="15.75" spans="1:5">
      <c r="A65" s="130"/>
      <c r="B65" s="147"/>
      <c r="C65" s="148"/>
      <c r="D65" s="148"/>
      <c r="E65" s="85"/>
    </row>
    <row r="66" ht="25.5" spans="1:9">
      <c r="A66" s="107" t="s">
        <v>489</v>
      </c>
      <c r="B66" s="108"/>
      <c r="C66" s="108"/>
      <c r="D66" s="88" t="s">
        <v>29</v>
      </c>
      <c r="E66" s="88" t="s">
        <v>30</v>
      </c>
      <c r="F66" s="88" t="s">
        <v>31</v>
      </c>
      <c r="G66" s="88" t="s">
        <v>32</v>
      </c>
      <c r="H66" s="88" t="s">
        <v>33</v>
      </c>
      <c r="I66" s="136" t="s">
        <v>34</v>
      </c>
    </row>
    <row r="67" spans="1:9">
      <c r="A67" s="149">
        <v>2</v>
      </c>
      <c r="B67" s="90" t="s">
        <v>490</v>
      </c>
      <c r="C67" s="90"/>
      <c r="D67" s="150" t="s">
        <v>491</v>
      </c>
      <c r="E67" s="150" t="s">
        <v>491</v>
      </c>
      <c r="F67" s="150" t="s">
        <v>491</v>
      </c>
      <c r="G67" s="150" t="s">
        <v>491</v>
      </c>
      <c r="H67" s="150" t="s">
        <v>491</v>
      </c>
      <c r="I67" s="181" t="s">
        <v>491</v>
      </c>
    </row>
    <row r="68" spans="1:9">
      <c r="A68" s="149" t="s">
        <v>187</v>
      </c>
      <c r="B68" s="93" t="s">
        <v>492</v>
      </c>
      <c r="C68" s="93"/>
      <c r="D68" s="94">
        <f t="shared" ref="D68:G68" si="25">D42</f>
        <v>462.416706</v>
      </c>
      <c r="E68" s="94">
        <f t="shared" si="25"/>
        <v>438.172425</v>
      </c>
      <c r="F68" s="94">
        <f t="shared" si="25"/>
        <v>432.096543</v>
      </c>
      <c r="G68" s="94">
        <f t="shared" si="25"/>
        <v>293.544369</v>
      </c>
      <c r="H68" s="94">
        <f t="shared" ref="H68:I68" si="26">H42</f>
        <v>432.096543</v>
      </c>
      <c r="I68" s="138">
        <f t="shared" si="26"/>
        <v>470.071827</v>
      </c>
    </row>
    <row r="69" spans="1:9">
      <c r="A69" s="149" t="s">
        <v>190</v>
      </c>
      <c r="B69" s="93" t="s">
        <v>469</v>
      </c>
      <c r="C69" s="93"/>
      <c r="D69" s="94">
        <f t="shared" ref="D69:G69" si="27">D55+D43</f>
        <v>1077.840604</v>
      </c>
      <c r="E69" s="94">
        <f t="shared" si="27"/>
        <v>1021.32995</v>
      </c>
      <c r="F69" s="94">
        <f t="shared" si="27"/>
        <v>1007.167762</v>
      </c>
      <c r="G69" s="94">
        <f t="shared" si="27"/>
        <v>684.218446</v>
      </c>
      <c r="H69" s="94">
        <f t="shared" ref="H69:I69" si="28">H55+H43</f>
        <v>1007.167762</v>
      </c>
      <c r="I69" s="138">
        <f t="shared" si="28"/>
        <v>1095.683818</v>
      </c>
    </row>
    <row r="70" spans="1:9">
      <c r="A70" s="149" t="s">
        <v>193</v>
      </c>
      <c r="B70" s="93" t="s">
        <v>483</v>
      </c>
      <c r="C70" s="93"/>
      <c r="D70" s="94">
        <f t="shared" ref="D70:G70" si="29">D64</f>
        <v>585.8588</v>
      </c>
      <c r="E70" s="94">
        <f t="shared" si="29"/>
        <v>592.979</v>
      </c>
      <c r="F70" s="94">
        <f t="shared" si="29"/>
        <v>594.7634</v>
      </c>
      <c r="G70" s="94">
        <f t="shared" si="29"/>
        <v>635.4542</v>
      </c>
      <c r="H70" s="94">
        <f t="shared" ref="H70:I70" si="30">H64</f>
        <v>594.7634</v>
      </c>
      <c r="I70" s="138">
        <f t="shared" si="30"/>
        <v>583.6106</v>
      </c>
    </row>
    <row r="71" ht="15.75" spans="1:9">
      <c r="A71" s="151"/>
      <c r="B71" s="104" t="s">
        <v>398</v>
      </c>
      <c r="C71" s="104"/>
      <c r="D71" s="105">
        <f t="shared" ref="D71:G71" si="31">SUM(D68:D70)</f>
        <v>2126.11611</v>
      </c>
      <c r="E71" s="105">
        <f t="shared" si="31"/>
        <v>2052.481375</v>
      </c>
      <c r="F71" s="105">
        <f t="shared" si="31"/>
        <v>2034.027705</v>
      </c>
      <c r="G71" s="105">
        <f t="shared" si="31"/>
        <v>1613.217015</v>
      </c>
      <c r="H71" s="105">
        <f t="shared" ref="H71:I71" si="32">SUM(H68:H70)</f>
        <v>2034.027705</v>
      </c>
      <c r="I71" s="140">
        <f t="shared" si="32"/>
        <v>2149.366245</v>
      </c>
    </row>
    <row r="72" ht="15.75" spans="1:5">
      <c r="A72" s="52"/>
      <c r="B72" s="152"/>
      <c r="C72" s="148"/>
      <c r="D72" s="148"/>
      <c r="E72" s="85"/>
    </row>
    <row r="73" ht="25.5" spans="1:9">
      <c r="A73" s="107" t="s">
        <v>493</v>
      </c>
      <c r="B73" s="108"/>
      <c r="C73" s="108"/>
      <c r="D73" s="88" t="s">
        <v>29</v>
      </c>
      <c r="E73" s="88" t="s">
        <v>30</v>
      </c>
      <c r="F73" s="88" t="s">
        <v>31</v>
      </c>
      <c r="G73" s="88" t="s">
        <v>32</v>
      </c>
      <c r="H73" s="88" t="s">
        <v>33</v>
      </c>
      <c r="I73" s="136" t="s">
        <v>34</v>
      </c>
    </row>
    <row r="74" spans="1:9">
      <c r="A74" s="89">
        <v>3</v>
      </c>
      <c r="B74" s="153" t="s">
        <v>494</v>
      </c>
      <c r="C74" s="153"/>
      <c r="D74" s="121" t="s">
        <v>449</v>
      </c>
      <c r="E74" s="121" t="s">
        <v>449</v>
      </c>
      <c r="F74" s="121" t="s">
        <v>449</v>
      </c>
      <c r="G74" s="121" t="s">
        <v>449</v>
      </c>
      <c r="H74" s="121" t="s">
        <v>449</v>
      </c>
      <c r="I74" s="181" t="s">
        <v>491</v>
      </c>
    </row>
    <row r="75" spans="1:9">
      <c r="A75" s="92" t="s">
        <v>450</v>
      </c>
      <c r="B75" s="99" t="s">
        <v>495</v>
      </c>
      <c r="C75" s="99"/>
      <c r="D75" s="94">
        <f t="shared" ref="D75:G75" si="33">((D36+D40+D41)/12)*5%</f>
        <v>11.3576529416667</v>
      </c>
      <c r="E75" s="94">
        <f t="shared" si="33"/>
        <v>10.7621767708333</v>
      </c>
      <c r="F75" s="94">
        <f t="shared" si="33"/>
        <v>10.6129439291667</v>
      </c>
      <c r="G75" s="94">
        <f t="shared" si="33"/>
        <v>7.20989320416667</v>
      </c>
      <c r="H75" s="94">
        <f t="shared" ref="H75:I75" si="34">((H36+H40+H41)/12)*5%</f>
        <v>10.6129439291667</v>
      </c>
      <c r="I75" s="138">
        <f t="shared" si="34"/>
        <v>11.5456742791667</v>
      </c>
    </row>
    <row r="76" spans="1:9">
      <c r="A76" s="92" t="s">
        <v>452</v>
      </c>
      <c r="B76" s="99" t="s">
        <v>496</v>
      </c>
      <c r="C76" s="99"/>
      <c r="D76" s="94">
        <f t="shared" ref="D76:G76" si="35">((D36+D40)/12)*5%*8%</f>
        <v>0.817320962</v>
      </c>
      <c r="E76" s="94">
        <f t="shared" si="35"/>
        <v>0.774469225</v>
      </c>
      <c r="F76" s="94">
        <f t="shared" si="35"/>
        <v>0.763730111</v>
      </c>
      <c r="G76" s="94">
        <f t="shared" si="35"/>
        <v>0.518839313</v>
      </c>
      <c r="H76" s="94">
        <f t="shared" ref="H76:I76" si="36">((H36+H40)/12)*5%*8%</f>
        <v>0.763730111</v>
      </c>
      <c r="I76" s="138">
        <f t="shared" si="36"/>
        <v>0.830851379</v>
      </c>
    </row>
    <row r="77" spans="1:9">
      <c r="A77" s="92" t="s">
        <v>454</v>
      </c>
      <c r="B77" s="99" t="s">
        <v>497</v>
      </c>
      <c r="C77" s="99"/>
      <c r="D77" s="94">
        <v>0</v>
      </c>
      <c r="E77" s="94">
        <v>0</v>
      </c>
      <c r="F77" s="94">
        <v>0</v>
      </c>
      <c r="G77" s="94">
        <v>0</v>
      </c>
      <c r="H77" s="94">
        <v>0</v>
      </c>
      <c r="I77" s="138">
        <v>0</v>
      </c>
    </row>
    <row r="78" spans="1:9">
      <c r="A78" s="92" t="s">
        <v>456</v>
      </c>
      <c r="B78" s="99" t="s">
        <v>498</v>
      </c>
      <c r="C78" s="99"/>
      <c r="D78" s="94">
        <f t="shared" ref="D78:G78" si="37">(((D36+D62)/30/12)*7)</f>
        <v>44.0109444444444</v>
      </c>
      <c r="E78" s="94">
        <f t="shared" si="37"/>
        <v>41.7034722222222</v>
      </c>
      <c r="F78" s="94">
        <f t="shared" si="37"/>
        <v>41.1251944444444</v>
      </c>
      <c r="G78" s="94">
        <f t="shared" si="37"/>
        <v>27.9383611111111</v>
      </c>
      <c r="H78" s="94">
        <f t="shared" ref="H78:I78" si="38">(((H36+H62)/30/12)*7)</f>
        <v>41.1251944444444</v>
      </c>
      <c r="I78" s="138">
        <f t="shared" si="38"/>
        <v>44.7395277777778</v>
      </c>
    </row>
    <row r="79" ht="24" customHeight="1" spans="1:9">
      <c r="A79" s="92" t="s">
        <v>458</v>
      </c>
      <c r="B79" s="99" t="s">
        <v>499</v>
      </c>
      <c r="C79" s="99"/>
      <c r="D79" s="94">
        <f t="shared" ref="D79:G79" si="39">(D36/30/12*7)*8%</f>
        <v>3.52087555555556</v>
      </c>
      <c r="E79" s="94">
        <f t="shared" si="39"/>
        <v>3.33627777777778</v>
      </c>
      <c r="F79" s="94">
        <f t="shared" si="39"/>
        <v>3.29001555555556</v>
      </c>
      <c r="G79" s="94">
        <f t="shared" si="39"/>
        <v>2.23506888888889</v>
      </c>
      <c r="H79" s="94">
        <f t="shared" ref="H79:I79" si="40">(H36/30/12*7)*8%</f>
        <v>3.29001555555556</v>
      </c>
      <c r="I79" s="138">
        <f t="shared" si="40"/>
        <v>3.57916222222222</v>
      </c>
    </row>
    <row r="80" spans="1:9">
      <c r="A80" s="92" t="s">
        <v>460</v>
      </c>
      <c r="B80" s="99" t="s">
        <v>500</v>
      </c>
      <c r="C80" s="99"/>
      <c r="D80" s="94">
        <f t="shared" ref="D80:G80" si="41">D36*4%</f>
        <v>90.5368</v>
      </c>
      <c r="E80" s="94">
        <f t="shared" si="41"/>
        <v>85.79</v>
      </c>
      <c r="F80" s="94">
        <f t="shared" si="41"/>
        <v>84.6004</v>
      </c>
      <c r="G80" s="94">
        <f t="shared" si="41"/>
        <v>57.4732</v>
      </c>
      <c r="H80" s="94">
        <f t="shared" ref="H80:I80" si="42">H36*4%</f>
        <v>84.6004</v>
      </c>
      <c r="I80" s="138">
        <f t="shared" si="42"/>
        <v>92.0356</v>
      </c>
    </row>
    <row r="81" ht="15.75" spans="1:9">
      <c r="A81" s="103"/>
      <c r="B81" s="154" t="s">
        <v>35</v>
      </c>
      <c r="C81" s="154"/>
      <c r="D81" s="129">
        <f t="shared" ref="D81:G81" si="43">SUM(D75:D80)</f>
        <v>150.243593903667</v>
      </c>
      <c r="E81" s="129">
        <f t="shared" si="43"/>
        <v>142.366395995833</v>
      </c>
      <c r="F81" s="129">
        <f t="shared" si="43"/>
        <v>140.392284040167</v>
      </c>
      <c r="G81" s="129">
        <f t="shared" si="43"/>
        <v>95.3753625171666</v>
      </c>
      <c r="H81" s="129">
        <f t="shared" ref="H81:I81" si="44">SUM(H75:H80)</f>
        <v>140.392284040167</v>
      </c>
      <c r="I81" s="145">
        <f t="shared" si="44"/>
        <v>152.730815658167</v>
      </c>
    </row>
    <row r="82" ht="15.75" spans="1:5">
      <c r="A82" s="52"/>
      <c r="B82" s="52"/>
      <c r="C82" s="52"/>
      <c r="D82" s="52"/>
      <c r="E82" s="85"/>
    </row>
    <row r="83" ht="25.5" spans="1:9">
      <c r="A83" s="107" t="s">
        <v>501</v>
      </c>
      <c r="B83" s="108"/>
      <c r="C83" s="108"/>
      <c r="D83" s="88" t="s">
        <v>29</v>
      </c>
      <c r="E83" s="88" t="s">
        <v>30</v>
      </c>
      <c r="F83" s="88" t="s">
        <v>31</v>
      </c>
      <c r="G83" s="88" t="s">
        <v>32</v>
      </c>
      <c r="H83" s="88" t="s">
        <v>33</v>
      </c>
      <c r="I83" s="136" t="s">
        <v>34</v>
      </c>
    </row>
    <row r="84" spans="1:9">
      <c r="A84" s="89" t="s">
        <v>502</v>
      </c>
      <c r="B84" s="153" t="s">
        <v>503</v>
      </c>
      <c r="C84" s="153"/>
      <c r="D84" s="121" t="s">
        <v>449</v>
      </c>
      <c r="E84" s="121" t="s">
        <v>449</v>
      </c>
      <c r="F84" s="121" t="s">
        <v>449</v>
      </c>
      <c r="G84" s="121" t="s">
        <v>449</v>
      </c>
      <c r="H84" s="121" t="s">
        <v>449</v>
      </c>
      <c r="I84" s="181" t="s">
        <v>491</v>
      </c>
    </row>
    <row r="85" spans="1:9">
      <c r="A85" s="92" t="s">
        <v>450</v>
      </c>
      <c r="B85" s="155" t="s">
        <v>504</v>
      </c>
      <c r="C85" s="155"/>
      <c r="D85" s="94">
        <v>0</v>
      </c>
      <c r="E85" s="94">
        <v>0</v>
      </c>
      <c r="F85" s="94">
        <v>0</v>
      </c>
      <c r="G85" s="94">
        <v>0</v>
      </c>
      <c r="H85" s="94">
        <v>0</v>
      </c>
      <c r="I85" s="138">
        <v>0</v>
      </c>
    </row>
    <row r="86" spans="1:9">
      <c r="A86" s="92" t="s">
        <v>452</v>
      </c>
      <c r="B86" s="155" t="s">
        <v>505</v>
      </c>
      <c r="C86" s="155"/>
      <c r="D86" s="94">
        <f>(((D36+D71+D81+D89+D110)-(D60-D61-D107-D108))/30*2.96)/12</f>
        <v>40.1146252158629</v>
      </c>
      <c r="E86" s="94">
        <f t="shared" ref="E86:G86" si="45">(((E36+E71+E81+E89+E110)-(E60-E61-E107-E108))/30*2.96)/12</f>
        <v>38.4054899995769</v>
      </c>
      <c r="F86" s="94">
        <f t="shared" si="45"/>
        <v>37.9781075755897</v>
      </c>
      <c r="G86" s="94">
        <f t="shared" si="45"/>
        <v>28.2097286250661</v>
      </c>
      <c r="H86" s="94">
        <f t="shared" ref="H86:I86" si="46">(((H36+H71+H81+H89+H110)-(H60-H61-H107-H108))/30*2.96)/12</f>
        <v>36.7232731311452</v>
      </c>
      <c r="I86" s="138">
        <f t="shared" si="46"/>
        <v>39.4003950153893</v>
      </c>
    </row>
    <row r="87" spans="1:9">
      <c r="A87" s="92" t="s">
        <v>454</v>
      </c>
      <c r="B87" s="155" t="s">
        <v>506</v>
      </c>
      <c r="C87" s="155"/>
      <c r="D87" s="94">
        <f t="shared" ref="D87:G87" si="47">(((D36+D71+D81+D89+D110)-(D60-D61-D107-D108))/30*5*1.5%)/12</f>
        <v>1.01641786864518</v>
      </c>
      <c r="E87" s="94">
        <f t="shared" si="47"/>
        <v>0.973112077691982</v>
      </c>
      <c r="F87" s="94">
        <f t="shared" si="47"/>
        <v>0.962283131138251</v>
      </c>
      <c r="G87" s="94">
        <f t="shared" si="47"/>
        <v>0.714773529351338</v>
      </c>
      <c r="H87" s="94">
        <f t="shared" ref="H87:I87" si="48">(((H36+H71+H81+H89+H110)-(H60-H61-H107-H108))/30*5*1.5%)/12</f>
        <v>0.930488339471585</v>
      </c>
      <c r="I87" s="138">
        <f t="shared" si="48"/>
        <v>0.998320819646688</v>
      </c>
    </row>
    <row r="88" spans="1:9">
      <c r="A88" s="92" t="s">
        <v>456</v>
      </c>
      <c r="B88" s="155" t="s">
        <v>507</v>
      </c>
      <c r="C88" s="155"/>
      <c r="D88" s="94">
        <f t="shared" ref="D88:G88" si="49">(((D36+D71+D81+D89+D110)-(D60-D61-D107-D108))/30*15*0.78%)/12</f>
        <v>1.58561187508647</v>
      </c>
      <c r="E88" s="94">
        <f t="shared" si="49"/>
        <v>1.51805484119949</v>
      </c>
      <c r="F88" s="94">
        <f t="shared" si="49"/>
        <v>1.50116168457567</v>
      </c>
      <c r="G88" s="94">
        <f t="shared" si="49"/>
        <v>1.11504670578809</v>
      </c>
      <c r="H88" s="94">
        <f t="shared" ref="H88:I88" si="50">(((H36+H71+H81+H89+H110)-(H60-H61-H107-H108))/30*15*0.78%)/12</f>
        <v>1.45156180957567</v>
      </c>
      <c r="I88" s="138">
        <f t="shared" si="50"/>
        <v>1.55738047864883</v>
      </c>
    </row>
    <row r="89" spans="1:9">
      <c r="A89" s="92" t="s">
        <v>458</v>
      </c>
      <c r="B89" s="155" t="s">
        <v>508</v>
      </c>
      <c r="C89" s="155"/>
      <c r="D89" s="94">
        <f t="shared" ref="D89:G89" si="51">(((D41*3.95/12)+(D62*3.95*1.02%))/12+((D36+D40)*39.8%*3.95)*1.02%/12)</f>
        <v>10.7890322598407</v>
      </c>
      <c r="E89" s="94">
        <f t="shared" si="51"/>
        <v>10.2233685923485</v>
      </c>
      <c r="F89" s="94">
        <f t="shared" si="51"/>
        <v>10.0816070901051</v>
      </c>
      <c r="G89" s="94">
        <f t="shared" si="51"/>
        <v>6.84893003592217</v>
      </c>
      <c r="H89" s="94">
        <f t="shared" ref="H89:I89" si="52">(((H41*3.95/12)+(H62*3.95*1.02%))/12+((H36+H40)*39.8%*3.95)*1.02%/12)</f>
        <v>10.0816070901051</v>
      </c>
      <c r="I89" s="138">
        <f t="shared" si="52"/>
        <v>10.9676403125999</v>
      </c>
    </row>
    <row r="90" spans="1:9">
      <c r="A90" s="92" t="s">
        <v>460</v>
      </c>
      <c r="B90" s="155" t="s">
        <v>509</v>
      </c>
      <c r="C90" s="155"/>
      <c r="D90" s="94">
        <v>0</v>
      </c>
      <c r="E90" s="94">
        <v>0</v>
      </c>
      <c r="F90" s="94">
        <v>0</v>
      </c>
      <c r="G90" s="94">
        <v>0</v>
      </c>
      <c r="H90" s="94">
        <v>0</v>
      </c>
      <c r="I90" s="138">
        <v>0</v>
      </c>
    </row>
    <row r="91" ht="15.75" spans="1:9">
      <c r="A91" s="103"/>
      <c r="B91" s="154" t="s">
        <v>35</v>
      </c>
      <c r="C91" s="154"/>
      <c r="D91" s="129">
        <f t="shared" ref="D91:G91" si="53">SUM(D85:D90)</f>
        <v>53.5056872194353</v>
      </c>
      <c r="E91" s="129">
        <f t="shared" si="53"/>
        <v>51.1200255108169</v>
      </c>
      <c r="F91" s="129">
        <f t="shared" si="53"/>
        <v>50.5231594814087</v>
      </c>
      <c r="G91" s="129">
        <f t="shared" si="53"/>
        <v>36.8884788961277</v>
      </c>
      <c r="H91" s="129">
        <f t="shared" ref="H91:I91" si="54">SUM(H85:H90)</f>
        <v>49.1869303702976</v>
      </c>
      <c r="I91" s="145">
        <f t="shared" si="54"/>
        <v>52.9237366262847</v>
      </c>
    </row>
    <row r="92" ht="15.75" spans="1:5">
      <c r="A92" s="130"/>
      <c r="B92" s="130"/>
      <c r="C92" s="130"/>
      <c r="D92" s="52"/>
      <c r="E92" s="85"/>
    </row>
    <row r="93" ht="25.5" spans="1:9">
      <c r="A93" s="156" t="s">
        <v>510</v>
      </c>
      <c r="B93" s="157"/>
      <c r="C93" s="157"/>
      <c r="D93" s="158" t="s">
        <v>29</v>
      </c>
      <c r="E93" s="158" t="s">
        <v>30</v>
      </c>
      <c r="F93" s="158" t="s">
        <v>31</v>
      </c>
      <c r="G93" s="158" t="s">
        <v>32</v>
      </c>
      <c r="H93" s="158" t="s">
        <v>33</v>
      </c>
      <c r="I93" s="136" t="s">
        <v>34</v>
      </c>
    </row>
    <row r="94" spans="1:9">
      <c r="A94" s="159" t="s">
        <v>511</v>
      </c>
      <c r="B94" s="160" t="s">
        <v>512</v>
      </c>
      <c r="C94" s="160"/>
      <c r="D94" s="161" t="s">
        <v>449</v>
      </c>
      <c r="E94" s="161" t="s">
        <v>449</v>
      </c>
      <c r="F94" s="161" t="s">
        <v>449</v>
      </c>
      <c r="G94" s="161" t="s">
        <v>449</v>
      </c>
      <c r="H94" s="161" t="s">
        <v>449</v>
      </c>
      <c r="I94" s="182" t="s">
        <v>491</v>
      </c>
    </row>
    <row r="95" spans="1:9">
      <c r="A95" s="162" t="s">
        <v>450</v>
      </c>
      <c r="B95" s="163" t="s">
        <v>513</v>
      </c>
      <c r="C95" s="163"/>
      <c r="D95" s="94">
        <v>0</v>
      </c>
      <c r="E95" s="94">
        <v>0</v>
      </c>
      <c r="F95" s="94">
        <v>0</v>
      </c>
      <c r="G95" s="94">
        <v>0</v>
      </c>
      <c r="H95" s="94">
        <v>0</v>
      </c>
      <c r="I95" s="138">
        <v>0</v>
      </c>
    </row>
    <row r="96" ht="15.75" spans="1:9">
      <c r="A96" s="164"/>
      <c r="B96" s="165" t="s">
        <v>35</v>
      </c>
      <c r="C96" s="165"/>
      <c r="D96" s="129">
        <v>0</v>
      </c>
      <c r="E96" s="129">
        <v>0</v>
      </c>
      <c r="F96" s="129">
        <v>0</v>
      </c>
      <c r="G96" s="129">
        <v>0</v>
      </c>
      <c r="H96" s="129">
        <v>0</v>
      </c>
      <c r="I96" s="145">
        <v>0</v>
      </c>
    </row>
    <row r="97" ht="15.75" spans="1:5">
      <c r="A97" s="130"/>
      <c r="B97" s="130"/>
      <c r="C97" s="130"/>
      <c r="D97" s="52"/>
      <c r="E97" s="85"/>
    </row>
    <row r="98" ht="25.5" spans="1:9">
      <c r="A98" s="107" t="s">
        <v>514</v>
      </c>
      <c r="B98" s="108"/>
      <c r="C98" s="108"/>
      <c r="D98" s="88" t="s">
        <v>29</v>
      </c>
      <c r="E98" s="88" t="s">
        <v>30</v>
      </c>
      <c r="F98" s="88" t="s">
        <v>31</v>
      </c>
      <c r="G98" s="88" t="s">
        <v>32</v>
      </c>
      <c r="H98" s="88" t="s">
        <v>33</v>
      </c>
      <c r="I98" s="136" t="s">
        <v>34</v>
      </c>
    </row>
    <row r="99" spans="1:9">
      <c r="A99" s="166">
        <v>4</v>
      </c>
      <c r="B99" s="90" t="s">
        <v>515</v>
      </c>
      <c r="C99" s="90"/>
      <c r="D99" s="150" t="s">
        <v>491</v>
      </c>
      <c r="E99" s="150" t="s">
        <v>491</v>
      </c>
      <c r="F99" s="150" t="s">
        <v>491</v>
      </c>
      <c r="G99" s="150" t="s">
        <v>491</v>
      </c>
      <c r="H99" s="150" t="s">
        <v>491</v>
      </c>
      <c r="I99" s="181" t="s">
        <v>491</v>
      </c>
    </row>
    <row r="100" spans="1:9">
      <c r="A100" s="149" t="s">
        <v>502</v>
      </c>
      <c r="B100" s="93" t="s">
        <v>516</v>
      </c>
      <c r="C100" s="93"/>
      <c r="D100" s="94">
        <f>D91</f>
        <v>53.5056872194353</v>
      </c>
      <c r="E100" s="94">
        <f t="shared" ref="E100:G100" si="55">E91</f>
        <v>51.1200255108169</v>
      </c>
      <c r="F100" s="94">
        <f t="shared" si="55"/>
        <v>50.5231594814087</v>
      </c>
      <c r="G100" s="94">
        <f t="shared" si="55"/>
        <v>36.8884788961277</v>
      </c>
      <c r="H100" s="94">
        <f t="shared" ref="H100:I100" si="56">H91</f>
        <v>49.1869303702976</v>
      </c>
      <c r="I100" s="138">
        <f t="shared" si="56"/>
        <v>52.9237366262847</v>
      </c>
    </row>
    <row r="101" spans="1:9">
      <c r="A101" s="149" t="s">
        <v>511</v>
      </c>
      <c r="B101" s="93" t="s">
        <v>512</v>
      </c>
      <c r="C101" s="93"/>
      <c r="D101" s="94">
        <v>0</v>
      </c>
      <c r="E101" s="94">
        <v>0</v>
      </c>
      <c r="F101" s="94">
        <v>0</v>
      </c>
      <c r="G101" s="94">
        <v>0</v>
      </c>
      <c r="H101" s="94">
        <v>0</v>
      </c>
      <c r="I101" s="138">
        <v>0</v>
      </c>
    </row>
    <row r="102" ht="15.75" spans="1:9">
      <c r="A102" s="103"/>
      <c r="B102" s="104" t="s">
        <v>398</v>
      </c>
      <c r="C102" s="104"/>
      <c r="D102" s="105">
        <f>SUM(D100:D101)</f>
        <v>53.5056872194353</v>
      </c>
      <c r="E102" s="105">
        <f t="shared" ref="E102:G102" si="57">SUM(E100:E101)</f>
        <v>51.1200255108169</v>
      </c>
      <c r="F102" s="105">
        <f t="shared" si="57"/>
        <v>50.5231594814087</v>
      </c>
      <c r="G102" s="105">
        <f t="shared" si="57"/>
        <v>36.8884788961277</v>
      </c>
      <c r="H102" s="105">
        <f t="shared" ref="H102:I102" si="58">SUM(H100:H101)</f>
        <v>49.1869303702976</v>
      </c>
      <c r="I102" s="140">
        <f t="shared" si="58"/>
        <v>52.9237366262847</v>
      </c>
    </row>
    <row r="103" ht="15.75" spans="1:5">
      <c r="A103" s="52"/>
      <c r="B103" s="52"/>
      <c r="C103" s="52"/>
      <c r="D103" s="52"/>
      <c r="E103" s="52"/>
    </row>
    <row r="104" ht="25.5" spans="1:9">
      <c r="A104" s="107" t="s">
        <v>517</v>
      </c>
      <c r="B104" s="108"/>
      <c r="C104" s="108"/>
      <c r="D104" s="88" t="s">
        <v>29</v>
      </c>
      <c r="E104" s="88" t="s">
        <v>30</v>
      </c>
      <c r="F104" s="88" t="s">
        <v>31</v>
      </c>
      <c r="G104" s="88" t="s">
        <v>32</v>
      </c>
      <c r="H104" s="88" t="s">
        <v>33</v>
      </c>
      <c r="I104" s="136" t="s">
        <v>34</v>
      </c>
    </row>
    <row r="105" spans="1:9">
      <c r="A105" s="167">
        <v>5</v>
      </c>
      <c r="B105" s="90" t="s">
        <v>518</v>
      </c>
      <c r="C105" s="90"/>
      <c r="D105" s="91" t="s">
        <v>449</v>
      </c>
      <c r="E105" s="91" t="s">
        <v>449</v>
      </c>
      <c r="F105" s="91" t="s">
        <v>449</v>
      </c>
      <c r="G105" s="91" t="s">
        <v>449</v>
      </c>
      <c r="H105" s="91" t="s">
        <v>449</v>
      </c>
      <c r="I105" s="181" t="s">
        <v>491</v>
      </c>
    </row>
    <row r="106" spans="1:9">
      <c r="A106" s="168" t="s">
        <v>450</v>
      </c>
      <c r="B106" s="93" t="s">
        <v>519</v>
      </c>
      <c r="C106" s="93"/>
      <c r="D106" s="94">
        <f>'An IIC Uniformes e Mat.'!G272</f>
        <v>234.095833333333</v>
      </c>
      <c r="E106" s="94">
        <f>'An IIC Uniformes e Mat.'!G272</f>
        <v>234.095833333333</v>
      </c>
      <c r="F106" s="94">
        <f>'An IIC Uniformes e Mat.'!G159</f>
        <v>234.210833333333</v>
      </c>
      <c r="G106" s="94">
        <f>'An IIC Uniformes e Mat.'!G272</f>
        <v>234.095833333333</v>
      </c>
      <c r="H106" s="94">
        <f>'An IIC Uniformes e Mat.'!F284</f>
        <v>81.5958333333333</v>
      </c>
      <c r="I106" s="138">
        <f>'An IIC Uniformes e Mat.'!F296</f>
        <v>81.5958333333333</v>
      </c>
    </row>
    <row r="107" ht="26.25" customHeight="1" spans="1:10">
      <c r="A107" s="168" t="s">
        <v>452</v>
      </c>
      <c r="B107" s="134" t="s">
        <v>520</v>
      </c>
      <c r="C107" s="134"/>
      <c r="D107" s="169"/>
      <c r="E107" s="169"/>
      <c r="F107" s="169"/>
      <c r="G107" s="169"/>
      <c r="H107" s="169"/>
      <c r="I107" s="183"/>
      <c r="J107" s="184"/>
    </row>
    <row r="108" spans="1:10">
      <c r="A108" s="168" t="s">
        <v>454</v>
      </c>
      <c r="B108" s="93" t="s">
        <v>521</v>
      </c>
      <c r="C108" s="93"/>
      <c r="D108" s="170"/>
      <c r="E108" s="170"/>
      <c r="F108" s="170"/>
      <c r="G108" s="170"/>
      <c r="H108" s="170"/>
      <c r="I108" s="185"/>
      <c r="J108" s="186"/>
    </row>
    <row r="109" spans="1:10">
      <c r="A109" s="168" t="s">
        <v>456</v>
      </c>
      <c r="B109" s="93" t="s">
        <v>522</v>
      </c>
      <c r="C109" s="93"/>
      <c r="D109" s="170">
        <v>0</v>
      </c>
      <c r="E109" s="170">
        <v>0</v>
      </c>
      <c r="F109" s="170">
        <v>0</v>
      </c>
      <c r="G109" s="170">
        <v>0</v>
      </c>
      <c r="H109" s="170">
        <v>0</v>
      </c>
      <c r="I109" s="185">
        <v>0</v>
      </c>
      <c r="J109" s="186"/>
    </row>
    <row r="110" ht="15.75" spans="1:9">
      <c r="A110" s="171"/>
      <c r="B110" s="104" t="s">
        <v>523</v>
      </c>
      <c r="C110" s="104"/>
      <c r="D110" s="129">
        <f>SUM(D106:D109)</f>
        <v>234.095833333333</v>
      </c>
      <c r="E110" s="129">
        <f t="shared" ref="E110:G110" si="59">SUM(E106:E109)</f>
        <v>234.095833333333</v>
      </c>
      <c r="F110" s="129">
        <f t="shared" si="59"/>
        <v>234.210833333333</v>
      </c>
      <c r="G110" s="129">
        <f t="shared" si="59"/>
        <v>234.095833333333</v>
      </c>
      <c r="H110" s="129">
        <f t="shared" ref="H110:I110" si="60">SUM(H106:H109)</f>
        <v>81.5958333333333</v>
      </c>
      <c r="I110" s="145">
        <f t="shared" si="60"/>
        <v>81.5958333333333</v>
      </c>
    </row>
    <row r="111" ht="15.75" spans="1:5">
      <c r="A111" s="172"/>
      <c r="B111" s="173"/>
      <c r="C111" s="174"/>
      <c r="D111" s="174"/>
      <c r="E111" s="52"/>
    </row>
    <row r="112" ht="25.5" spans="1:9">
      <c r="A112" s="107" t="s">
        <v>524</v>
      </c>
      <c r="B112" s="108"/>
      <c r="C112" s="175"/>
      <c r="D112" s="88" t="s">
        <v>29</v>
      </c>
      <c r="E112" s="88" t="s">
        <v>30</v>
      </c>
      <c r="F112" s="88" t="s">
        <v>31</v>
      </c>
      <c r="G112" s="88" t="s">
        <v>32</v>
      </c>
      <c r="H112" s="88" t="s">
        <v>33</v>
      </c>
      <c r="I112" s="136" t="s">
        <v>34</v>
      </c>
    </row>
    <row r="113" spans="1:9">
      <c r="A113" s="167">
        <v>6</v>
      </c>
      <c r="B113" s="120" t="s">
        <v>525</v>
      </c>
      <c r="C113" s="121" t="s">
        <v>470</v>
      </c>
      <c r="D113" s="121" t="s">
        <v>449</v>
      </c>
      <c r="E113" s="121" t="s">
        <v>449</v>
      </c>
      <c r="F113" s="121" t="s">
        <v>449</v>
      </c>
      <c r="G113" s="121" t="s">
        <v>449</v>
      </c>
      <c r="H113" s="121" t="s">
        <v>449</v>
      </c>
      <c r="I113" s="181" t="s">
        <v>491</v>
      </c>
    </row>
    <row r="114" spans="1:9">
      <c r="A114" s="168" t="s">
        <v>450</v>
      </c>
      <c r="B114" s="122" t="s">
        <v>526</v>
      </c>
      <c r="C114" s="176">
        <v>4.8</v>
      </c>
      <c r="D114" s="113">
        <f>(D131)*$C$114/100</f>
        <v>231.714298773909</v>
      </c>
      <c r="E114" s="113">
        <f t="shared" ref="E114:G114" si="61">(E131)*$C$114/100</f>
        <v>221.991054232319</v>
      </c>
      <c r="F114" s="113">
        <f t="shared" si="61"/>
        <v>219.559871129036</v>
      </c>
      <c r="G114" s="113">
        <f t="shared" si="61"/>
        <v>163.987521107838</v>
      </c>
      <c r="H114" s="113">
        <f t="shared" ref="H114:I114" si="62">(H131)*$C$114/100</f>
        <v>212.170212131702</v>
      </c>
      <c r="I114" s="141">
        <f t="shared" si="62"/>
        <v>227.400318269654</v>
      </c>
    </row>
    <row r="115" spans="1:9">
      <c r="A115" s="168" t="s">
        <v>452</v>
      </c>
      <c r="B115" s="122" t="s">
        <v>527</v>
      </c>
      <c r="C115" s="176">
        <v>3.92</v>
      </c>
      <c r="D115" s="113">
        <f>(D131+D114)*$C$115/100</f>
        <v>198.31654451063</v>
      </c>
      <c r="E115" s="113">
        <f t="shared" ref="E115:G115" si="63">(E131+E114)*$C$115/100</f>
        <v>189.994743615634</v>
      </c>
      <c r="F115" s="113">
        <f t="shared" si="63"/>
        <v>187.913975036971</v>
      </c>
      <c r="G115" s="113">
        <f t="shared" si="63"/>
        <v>140.351453065495</v>
      </c>
      <c r="H115" s="113">
        <f t="shared" ref="H115:I115" si="64">(H131+H114)*$C$115/100</f>
        <v>181.58941222312</v>
      </c>
      <c r="I115" s="141">
        <f t="shared" si="64"/>
        <v>194.624352396388</v>
      </c>
    </row>
    <row r="116" spans="1:9">
      <c r="A116" s="168" t="s">
        <v>454</v>
      </c>
      <c r="B116" s="122" t="s">
        <v>528</v>
      </c>
      <c r="C116" s="176"/>
      <c r="D116" s="113"/>
      <c r="E116" s="113"/>
      <c r="F116" s="113"/>
      <c r="G116" s="113"/>
      <c r="H116" s="113"/>
      <c r="I116" s="141"/>
    </row>
    <row r="117" spans="1:9">
      <c r="A117" s="168"/>
      <c r="B117" s="122" t="s">
        <v>529</v>
      </c>
      <c r="C117" s="176">
        <f>3+0.65</f>
        <v>3.65</v>
      </c>
      <c r="D117" s="113">
        <f>((D131+D114+D115)/(1-($C$117+$C$119)/100))*$C$117/100</f>
        <v>210.066273095288</v>
      </c>
      <c r="E117" s="113">
        <f t="shared" ref="E117:G117" si="65">((E131+E114+E115)/(1-($C$117+$C$119)/100))*$C$117/100</f>
        <v>201.251427597821</v>
      </c>
      <c r="F117" s="113">
        <f t="shared" si="65"/>
        <v>199.047379006856</v>
      </c>
      <c r="G117" s="113">
        <f t="shared" si="65"/>
        <v>148.666903922363</v>
      </c>
      <c r="H117" s="113">
        <f t="shared" ref="H117:I117" si="66">((H131+H114+H115)/(1-($C$117+$C$119)/100))*$C$117/100</f>
        <v>192.348102642693</v>
      </c>
      <c r="I117" s="141">
        <f t="shared" si="66"/>
        <v>206.155328403787</v>
      </c>
    </row>
    <row r="118" spans="1:9">
      <c r="A118" s="168"/>
      <c r="B118" s="122" t="s">
        <v>530</v>
      </c>
      <c r="C118" s="176"/>
      <c r="D118" s="113"/>
      <c r="E118" s="113"/>
      <c r="F118" s="113"/>
      <c r="G118" s="113"/>
      <c r="H118" s="113"/>
      <c r="I118" s="141"/>
    </row>
    <row r="119" spans="1:9">
      <c r="A119" s="168"/>
      <c r="B119" s="122" t="s">
        <v>531</v>
      </c>
      <c r="C119" s="177">
        <v>5</v>
      </c>
      <c r="D119" s="113">
        <f>((D131+D114+D115)/(1-($C$117+$C$119)/100))*$C$119/100</f>
        <v>287.762017938751</v>
      </c>
      <c r="E119" s="113">
        <f t="shared" ref="E119:G119" si="67">((E131+E114+E115)/(1-($C$117+$C$119)/100))*$C$119/100</f>
        <v>275.686887120303</v>
      </c>
      <c r="F119" s="113">
        <f t="shared" si="67"/>
        <v>272.667642475146</v>
      </c>
      <c r="G119" s="113">
        <f t="shared" si="67"/>
        <v>203.653293044333</v>
      </c>
      <c r="H119" s="113">
        <f t="shared" ref="H119:I119" si="68">((H131+H114+H115)/(1-($C$117+$C$119)/100))*$C$119/100</f>
        <v>263.490551565332</v>
      </c>
      <c r="I119" s="141">
        <f t="shared" si="68"/>
        <v>282.404559457243</v>
      </c>
    </row>
    <row r="120" spans="1:9">
      <c r="A120" s="168"/>
      <c r="B120" s="122" t="s">
        <v>532</v>
      </c>
      <c r="C120" s="176"/>
      <c r="D120" s="113"/>
      <c r="E120" s="113"/>
      <c r="F120" s="97"/>
      <c r="G120" s="97"/>
      <c r="H120" s="97"/>
      <c r="I120" s="139"/>
    </row>
    <row r="121" ht="15.75" spans="1:9">
      <c r="A121" s="178"/>
      <c r="B121" s="127" t="s">
        <v>35</v>
      </c>
      <c r="C121" s="50">
        <f>SUM(C114:C120)</f>
        <v>17.37</v>
      </c>
      <c r="D121" s="129">
        <f>SUM(D114:D120)</f>
        <v>927.859134318577</v>
      </c>
      <c r="E121" s="129">
        <f>SUM(E114:E120)</f>
        <v>888.924112566078</v>
      </c>
      <c r="F121" s="129">
        <f t="shared" ref="F121:G121" si="69">SUM(F114:F120)</f>
        <v>879.188867648009</v>
      </c>
      <c r="G121" s="129">
        <f t="shared" si="69"/>
        <v>656.659171140029</v>
      </c>
      <c r="H121" s="129">
        <f t="shared" ref="H121:I121" si="70">SUM(H114:H120)</f>
        <v>849.598278562847</v>
      </c>
      <c r="I121" s="145">
        <f t="shared" si="70"/>
        <v>910.584558527072</v>
      </c>
    </row>
    <row r="122" spans="1:5">
      <c r="A122" s="172"/>
      <c r="B122" s="173"/>
      <c r="C122" s="174"/>
      <c r="D122" s="174"/>
      <c r="E122" s="52"/>
    </row>
    <row r="123" ht="15.75" spans="1:9">
      <c r="A123" s="179" t="s">
        <v>533</v>
      </c>
      <c r="B123" s="179"/>
      <c r="C123" s="179"/>
      <c r="D123" s="179"/>
      <c r="E123" s="179"/>
      <c r="F123" s="179"/>
      <c r="G123" s="179"/>
      <c r="H123" s="179"/>
      <c r="I123" s="179"/>
    </row>
    <row r="124" ht="25.5" spans="1:9">
      <c r="A124" s="68" t="s">
        <v>534</v>
      </c>
      <c r="B124" s="69"/>
      <c r="C124" s="69"/>
      <c r="D124" s="88" t="s">
        <v>29</v>
      </c>
      <c r="E124" s="88" t="s">
        <v>30</v>
      </c>
      <c r="F124" s="88" t="s">
        <v>31</v>
      </c>
      <c r="G124" s="88" t="s">
        <v>32</v>
      </c>
      <c r="H124" s="88" t="s">
        <v>33</v>
      </c>
      <c r="I124" s="136" t="s">
        <v>34</v>
      </c>
    </row>
    <row r="125" customHeight="1" spans="1:9">
      <c r="A125" s="180"/>
      <c r="B125" s="153" t="s">
        <v>535</v>
      </c>
      <c r="C125" s="153"/>
      <c r="D125" s="121" t="s">
        <v>449</v>
      </c>
      <c r="E125" s="121" t="s">
        <v>449</v>
      </c>
      <c r="F125" s="121" t="s">
        <v>449</v>
      </c>
      <c r="G125" s="121" t="s">
        <v>449</v>
      </c>
      <c r="H125" s="121" t="s">
        <v>449</v>
      </c>
      <c r="I125" s="181" t="s">
        <v>491</v>
      </c>
    </row>
    <row r="126" spans="1:9">
      <c r="A126" s="180" t="s">
        <v>450</v>
      </c>
      <c r="B126" s="99" t="s">
        <v>536</v>
      </c>
      <c r="C126" s="99"/>
      <c r="D126" s="113">
        <f>D36</f>
        <v>2263.42</v>
      </c>
      <c r="E126" s="113">
        <f t="shared" ref="E126:G126" si="71">E36</f>
        <v>2144.75</v>
      </c>
      <c r="F126" s="113">
        <f t="shared" si="71"/>
        <v>2115.01</v>
      </c>
      <c r="G126" s="113">
        <f t="shared" si="71"/>
        <v>1436.83</v>
      </c>
      <c r="H126" s="113">
        <f t="shared" ref="H126:I126" si="72">H36</f>
        <v>2115.01</v>
      </c>
      <c r="I126" s="141">
        <f t="shared" si="72"/>
        <v>2300.89</v>
      </c>
    </row>
    <row r="127" spans="1:9">
      <c r="A127" s="180" t="s">
        <v>452</v>
      </c>
      <c r="B127" s="99" t="s">
        <v>537</v>
      </c>
      <c r="C127" s="99"/>
      <c r="D127" s="113">
        <f>D71</f>
        <v>2126.11611</v>
      </c>
      <c r="E127" s="113">
        <f t="shared" ref="E127:G127" si="73">E71</f>
        <v>2052.481375</v>
      </c>
      <c r="F127" s="113">
        <f t="shared" si="73"/>
        <v>2034.027705</v>
      </c>
      <c r="G127" s="113">
        <f t="shared" si="73"/>
        <v>1613.217015</v>
      </c>
      <c r="H127" s="113">
        <f t="shared" ref="H127:I127" si="74">H71</f>
        <v>2034.027705</v>
      </c>
      <c r="I127" s="141">
        <f t="shared" si="74"/>
        <v>2149.366245</v>
      </c>
    </row>
    <row r="128" spans="1:9">
      <c r="A128" s="180" t="s">
        <v>454</v>
      </c>
      <c r="B128" s="99" t="s">
        <v>538</v>
      </c>
      <c r="C128" s="99"/>
      <c r="D128" s="113">
        <f>D81</f>
        <v>150.243593903667</v>
      </c>
      <c r="E128" s="113">
        <f t="shared" ref="E128:G128" si="75">E81</f>
        <v>142.366395995833</v>
      </c>
      <c r="F128" s="113">
        <f t="shared" si="75"/>
        <v>140.392284040167</v>
      </c>
      <c r="G128" s="113">
        <f t="shared" si="75"/>
        <v>95.3753625171666</v>
      </c>
      <c r="H128" s="113">
        <f t="shared" ref="H128:I128" si="76">H81</f>
        <v>140.392284040167</v>
      </c>
      <c r="I128" s="141">
        <f t="shared" si="76"/>
        <v>152.730815658167</v>
      </c>
    </row>
    <row r="129" spans="1:9">
      <c r="A129" s="180" t="s">
        <v>456</v>
      </c>
      <c r="B129" s="99" t="s">
        <v>539</v>
      </c>
      <c r="C129" s="99"/>
      <c r="D129" s="113">
        <f>D102</f>
        <v>53.5056872194353</v>
      </c>
      <c r="E129" s="113">
        <f t="shared" ref="E129:G129" si="77">E102</f>
        <v>51.1200255108169</v>
      </c>
      <c r="F129" s="113">
        <f t="shared" si="77"/>
        <v>50.5231594814087</v>
      </c>
      <c r="G129" s="113">
        <f t="shared" si="77"/>
        <v>36.8884788961277</v>
      </c>
      <c r="H129" s="113">
        <f t="shared" ref="H129:I129" si="78">H102</f>
        <v>49.1869303702976</v>
      </c>
      <c r="I129" s="141">
        <f t="shared" si="78"/>
        <v>52.9237366262847</v>
      </c>
    </row>
    <row r="130" spans="1:9">
      <c r="A130" s="180" t="s">
        <v>458</v>
      </c>
      <c r="B130" s="99" t="s">
        <v>540</v>
      </c>
      <c r="C130" s="99"/>
      <c r="D130" s="113">
        <f>D110</f>
        <v>234.095833333333</v>
      </c>
      <c r="E130" s="113">
        <f t="shared" ref="E130:G130" si="79">E110</f>
        <v>234.095833333333</v>
      </c>
      <c r="F130" s="113">
        <f t="shared" si="79"/>
        <v>234.210833333333</v>
      </c>
      <c r="G130" s="113">
        <f t="shared" si="79"/>
        <v>234.095833333333</v>
      </c>
      <c r="H130" s="113">
        <f t="shared" ref="H130:I130" si="80">H110</f>
        <v>81.5958333333333</v>
      </c>
      <c r="I130" s="141">
        <f t="shared" si="80"/>
        <v>81.5958333333333</v>
      </c>
    </row>
    <row r="131" spans="1:9">
      <c r="A131" s="180"/>
      <c r="B131" s="153" t="s">
        <v>541</v>
      </c>
      <c r="C131" s="153"/>
      <c r="D131" s="114">
        <f>SUM(D126:D130)</f>
        <v>4827.38122445644</v>
      </c>
      <c r="E131" s="114">
        <f t="shared" ref="E131:G131" si="81">SUM(E126:E130)</f>
        <v>4624.81362983998</v>
      </c>
      <c r="F131" s="114">
        <f t="shared" si="81"/>
        <v>4574.16398185491</v>
      </c>
      <c r="G131" s="114">
        <f t="shared" si="81"/>
        <v>3416.40668974663</v>
      </c>
      <c r="H131" s="114">
        <f t="shared" ref="H131:I131" si="82">SUM(H126:H130)</f>
        <v>4420.2127527438</v>
      </c>
      <c r="I131" s="142">
        <f t="shared" si="82"/>
        <v>4737.50663061779</v>
      </c>
    </row>
    <row r="132" spans="1:9">
      <c r="A132" s="180" t="s">
        <v>460</v>
      </c>
      <c r="B132" s="99" t="s">
        <v>542</v>
      </c>
      <c r="C132" s="99"/>
      <c r="D132" s="113">
        <f>D121</f>
        <v>927.859134318577</v>
      </c>
      <c r="E132" s="113">
        <f t="shared" ref="E132:G132" si="83">E121</f>
        <v>888.924112566078</v>
      </c>
      <c r="F132" s="113">
        <f t="shared" si="83"/>
        <v>879.188867648009</v>
      </c>
      <c r="G132" s="113">
        <f t="shared" si="83"/>
        <v>656.659171140029</v>
      </c>
      <c r="H132" s="113">
        <f t="shared" ref="H132:I132" si="84">H121</f>
        <v>849.598278562847</v>
      </c>
      <c r="I132" s="141">
        <f t="shared" si="84"/>
        <v>910.584558527072</v>
      </c>
    </row>
    <row r="133" spans="1:9">
      <c r="A133" s="180"/>
      <c r="B133" s="153" t="s">
        <v>543</v>
      </c>
      <c r="C133" s="153"/>
      <c r="D133" s="114">
        <f>SUM(D131:D132)</f>
        <v>5755.24035877501</v>
      </c>
      <c r="E133" s="114">
        <f t="shared" ref="E133:G133" si="85">SUM(E131:E132)</f>
        <v>5513.73774240606</v>
      </c>
      <c r="F133" s="114">
        <f t="shared" si="85"/>
        <v>5453.35284950292</v>
      </c>
      <c r="G133" s="114">
        <f t="shared" si="85"/>
        <v>4073.06586088666</v>
      </c>
      <c r="H133" s="114">
        <f t="shared" ref="H133:I133" si="86">SUM(H131:H132)</f>
        <v>5269.81103130665</v>
      </c>
      <c r="I133" s="142">
        <f t="shared" si="86"/>
        <v>5648.09118914486</v>
      </c>
    </row>
    <row r="134" spans="1:9">
      <c r="A134" s="180"/>
      <c r="B134" s="153" t="s">
        <v>544</v>
      </c>
      <c r="C134" s="153"/>
      <c r="D134" s="114"/>
      <c r="E134" s="114">
        <f>2*E133</f>
        <v>11027.4754848121</v>
      </c>
      <c r="F134" s="114"/>
      <c r="G134" s="114"/>
      <c r="H134" s="114"/>
      <c r="I134" s="142"/>
    </row>
    <row r="135" ht="15.75" spans="1:9">
      <c r="A135" s="103"/>
      <c r="B135" s="154" t="s">
        <v>545</v>
      </c>
      <c r="C135" s="154"/>
      <c r="D135" s="128">
        <f>D133/D36</f>
        <v>2.54271869947911</v>
      </c>
      <c r="E135" s="128">
        <f t="shared" ref="E135:G135" si="87">E133/E36</f>
        <v>2.57080673384127</v>
      </c>
      <c r="F135" s="128">
        <f t="shared" si="87"/>
        <v>2.57840523189154</v>
      </c>
      <c r="G135" s="128">
        <f t="shared" si="87"/>
        <v>2.8347583645154</v>
      </c>
      <c r="H135" s="128">
        <f t="shared" ref="H135:I135" si="88">H133/H36</f>
        <v>2.49162464069042</v>
      </c>
      <c r="I135" s="192">
        <f t="shared" si="88"/>
        <v>2.45474194296331</v>
      </c>
    </row>
    <row r="136" spans="1:5">
      <c r="A136" s="52"/>
      <c r="B136" s="187"/>
      <c r="C136" s="52"/>
      <c r="D136" s="52"/>
      <c r="E136" s="52"/>
    </row>
    <row r="137" ht="15.75" spans="1:5">
      <c r="A137" s="52"/>
      <c r="B137" s="52"/>
      <c r="C137" s="52"/>
      <c r="D137" s="52"/>
      <c r="E137" s="52"/>
    </row>
    <row r="138" ht="25.5" spans="1:9">
      <c r="A138" s="107" t="s">
        <v>546</v>
      </c>
      <c r="B138" s="108"/>
      <c r="C138" s="175"/>
      <c r="D138" s="88" t="s">
        <v>29</v>
      </c>
      <c r="E138" s="88" t="s">
        <v>30</v>
      </c>
      <c r="F138" s="88" t="s">
        <v>31</v>
      </c>
      <c r="G138" s="88" t="s">
        <v>32</v>
      </c>
      <c r="H138" s="88" t="s">
        <v>33</v>
      </c>
      <c r="I138" s="136" t="s">
        <v>34</v>
      </c>
    </row>
    <row r="139" spans="1:9">
      <c r="A139" s="167">
        <v>6</v>
      </c>
      <c r="B139" s="120" t="s">
        <v>525</v>
      </c>
      <c r="C139" s="121" t="s">
        <v>470</v>
      </c>
      <c r="D139" s="121" t="s">
        <v>449</v>
      </c>
      <c r="E139" s="121" t="s">
        <v>449</v>
      </c>
      <c r="F139" s="121" t="s">
        <v>449</v>
      </c>
      <c r="G139" s="121" t="s">
        <v>449</v>
      </c>
      <c r="H139" s="121" t="s">
        <v>449</v>
      </c>
      <c r="I139" s="181" t="s">
        <v>491</v>
      </c>
    </row>
    <row r="140" spans="1:9">
      <c r="A140" s="168" t="s">
        <v>450</v>
      </c>
      <c r="B140" s="122" t="s">
        <v>526</v>
      </c>
      <c r="C140" s="176">
        <v>4.8</v>
      </c>
      <c r="D140" s="113">
        <f>(D157)*$C$140/100</f>
        <v>231.714298773909</v>
      </c>
      <c r="E140" s="113">
        <f t="shared" ref="E140:G140" si="89">(E157)*$C$140/100</f>
        <v>221.991054232319</v>
      </c>
      <c r="F140" s="113">
        <f t="shared" si="89"/>
        <v>219.559871129036</v>
      </c>
      <c r="G140" s="113">
        <f t="shared" si="89"/>
        <v>163.987521107838</v>
      </c>
      <c r="H140" s="113">
        <f t="shared" ref="H140:I140" si="90">(H157)*$C$140/100</f>
        <v>212.170212131702</v>
      </c>
      <c r="I140" s="141">
        <f t="shared" si="90"/>
        <v>227.400318269654</v>
      </c>
    </row>
    <row r="141" spans="1:9">
      <c r="A141" s="168" t="s">
        <v>452</v>
      </c>
      <c r="B141" s="122" t="s">
        <v>527</v>
      </c>
      <c r="C141" s="176">
        <v>3.92</v>
      </c>
      <c r="D141" s="113">
        <f>(D157+D140)*$C$141/100</f>
        <v>198.31654451063</v>
      </c>
      <c r="E141" s="113">
        <f t="shared" ref="E141:G141" si="91">(E157+E140)*$C$141/100</f>
        <v>189.994743615634</v>
      </c>
      <c r="F141" s="113">
        <f t="shared" si="91"/>
        <v>187.913975036971</v>
      </c>
      <c r="G141" s="113">
        <f t="shared" si="91"/>
        <v>140.351453065495</v>
      </c>
      <c r="H141" s="113">
        <f t="shared" ref="H141:I141" si="92">(H157+H140)*$C$141/100</f>
        <v>181.58941222312</v>
      </c>
      <c r="I141" s="141">
        <f t="shared" si="92"/>
        <v>194.624352396388</v>
      </c>
    </row>
    <row r="142" spans="1:9">
      <c r="A142" s="168" t="s">
        <v>454</v>
      </c>
      <c r="B142" s="122" t="s">
        <v>528</v>
      </c>
      <c r="C142" s="176"/>
      <c r="D142" s="113"/>
      <c r="E142" s="113"/>
      <c r="F142" s="113"/>
      <c r="G142" s="113"/>
      <c r="H142" s="113"/>
      <c r="I142" s="141"/>
    </row>
    <row r="143" spans="1:9">
      <c r="A143" s="168"/>
      <c r="B143" s="122" t="s">
        <v>547</v>
      </c>
      <c r="C143" s="123">
        <v>9.25</v>
      </c>
      <c r="D143" s="113">
        <f>((D157+D140+D141)/(1-($C$143+$C$145)/100))*$C$143/100</f>
        <v>567.126083109085</v>
      </c>
      <c r="E143" s="113">
        <f t="shared" ref="E143:G143" si="93">((E157+E140+E141)/(1-($C$143+$C$145)/100))*$C$143/100</f>
        <v>543.328218147095</v>
      </c>
      <c r="F143" s="113">
        <f t="shared" si="93"/>
        <v>537.377841506629</v>
      </c>
      <c r="G143" s="113">
        <f t="shared" si="93"/>
        <v>401.363234883494</v>
      </c>
      <c r="H143" s="113">
        <f t="shared" ref="H143:I143" si="94">((H157+H140+H141)/(1-($C$143+$C$145)/100))*$C$143/100</f>
        <v>519.291480911513</v>
      </c>
      <c r="I143" s="141">
        <f t="shared" si="94"/>
        <v>556.567516465019</v>
      </c>
    </row>
    <row r="144" spans="1:9">
      <c r="A144" s="168"/>
      <c r="B144" s="122" t="s">
        <v>530</v>
      </c>
      <c r="C144" s="176"/>
      <c r="D144" s="113"/>
      <c r="E144" s="113"/>
      <c r="F144" s="113"/>
      <c r="G144" s="113"/>
      <c r="H144" s="113"/>
      <c r="I144" s="141"/>
    </row>
    <row r="145" spans="1:9">
      <c r="A145" s="168"/>
      <c r="B145" s="122" t="s">
        <v>531</v>
      </c>
      <c r="C145" s="177">
        <v>5</v>
      </c>
      <c r="D145" s="113">
        <f>((D157+D140+D141)/(1-($C$143+$C$145)/100))*$C$145/100</f>
        <v>306.554639518424</v>
      </c>
      <c r="E145" s="113">
        <f t="shared" ref="E145:G145" si="95">((E157+E140+E141)/(1-($C$143+$C$145)/100))*$C$145/100</f>
        <v>293.69092872816</v>
      </c>
      <c r="F145" s="113">
        <f t="shared" si="95"/>
        <v>290.474508922502</v>
      </c>
      <c r="G145" s="113">
        <f t="shared" si="95"/>
        <v>216.953099937024</v>
      </c>
      <c r="H145" s="113">
        <f t="shared" ref="H145:I145" si="96">((H157+H140+H141)/(1-($C$143+$C$145)/100))*$C$145/100</f>
        <v>280.698097790007</v>
      </c>
      <c r="I145" s="141">
        <f t="shared" si="96"/>
        <v>300.847306197308</v>
      </c>
    </row>
    <row r="146" spans="1:9">
      <c r="A146" s="168"/>
      <c r="B146" s="122" t="s">
        <v>532</v>
      </c>
      <c r="C146" s="176"/>
      <c r="D146" s="113"/>
      <c r="E146" s="113"/>
      <c r="F146" s="113"/>
      <c r="G146" s="113"/>
      <c r="H146" s="113"/>
      <c r="I146" s="141"/>
    </row>
    <row r="147" ht="15.75" spans="1:9">
      <c r="A147" s="178"/>
      <c r="B147" s="127" t="s">
        <v>35</v>
      </c>
      <c r="C147" s="50">
        <f>SUM(C140:C146)</f>
        <v>22.97</v>
      </c>
      <c r="D147" s="129">
        <f>SUM(D140:D146)</f>
        <v>1303.71156591205</v>
      </c>
      <c r="E147" s="129">
        <f t="shared" ref="E147:G147" si="97">SUM(E140:E146)</f>
        <v>1249.00494472321</v>
      </c>
      <c r="F147" s="129">
        <f t="shared" si="97"/>
        <v>1235.32619659514</v>
      </c>
      <c r="G147" s="129">
        <f t="shared" si="97"/>
        <v>922.655308993851</v>
      </c>
      <c r="H147" s="129">
        <f t="shared" ref="H147:I147" si="98">SUM(H140:H146)</f>
        <v>1193.74920305634</v>
      </c>
      <c r="I147" s="145">
        <f t="shared" si="98"/>
        <v>1279.43949332837</v>
      </c>
    </row>
    <row r="148" spans="1:5">
      <c r="A148" s="130"/>
      <c r="B148" s="130"/>
      <c r="C148" s="130"/>
      <c r="D148" s="130"/>
      <c r="E148" s="52"/>
    </row>
    <row r="149" ht="15.75" spans="1:9">
      <c r="A149" s="179" t="s">
        <v>548</v>
      </c>
      <c r="B149" s="179"/>
      <c r="C149" s="179"/>
      <c r="D149" s="179"/>
      <c r="E149" s="179"/>
      <c r="F149" s="179"/>
      <c r="G149" s="179"/>
      <c r="H149" s="179"/>
      <c r="I149" s="179"/>
    </row>
    <row r="150" ht="25.5" spans="1:9">
      <c r="A150" s="188" t="s">
        <v>549</v>
      </c>
      <c r="B150" s="189"/>
      <c r="C150" s="189"/>
      <c r="D150" s="88" t="s">
        <v>29</v>
      </c>
      <c r="E150" s="88" t="s">
        <v>30</v>
      </c>
      <c r="F150" s="88" t="s">
        <v>31</v>
      </c>
      <c r="G150" s="88" t="s">
        <v>32</v>
      </c>
      <c r="H150" s="88" t="s">
        <v>33</v>
      </c>
      <c r="I150" s="136" t="s">
        <v>34</v>
      </c>
    </row>
    <row r="151" customHeight="1" spans="1:9">
      <c r="A151" s="180"/>
      <c r="B151" s="153" t="s">
        <v>535</v>
      </c>
      <c r="C151" s="153"/>
      <c r="D151" s="121" t="s">
        <v>449</v>
      </c>
      <c r="E151" s="121" t="s">
        <v>449</v>
      </c>
      <c r="F151" s="121" t="s">
        <v>449</v>
      </c>
      <c r="G151" s="121" t="s">
        <v>449</v>
      </c>
      <c r="H151" s="121" t="s">
        <v>449</v>
      </c>
      <c r="I151" s="181" t="s">
        <v>491</v>
      </c>
    </row>
    <row r="152" spans="1:9">
      <c r="A152" s="180" t="s">
        <v>450</v>
      </c>
      <c r="B152" s="99" t="s">
        <v>536</v>
      </c>
      <c r="C152" s="99"/>
      <c r="D152" s="113">
        <f>D126</f>
        <v>2263.42</v>
      </c>
      <c r="E152" s="113">
        <f t="shared" ref="E152:G156" si="99">E126</f>
        <v>2144.75</v>
      </c>
      <c r="F152" s="113">
        <f t="shared" si="99"/>
        <v>2115.01</v>
      </c>
      <c r="G152" s="113">
        <f t="shared" si="99"/>
        <v>1436.83</v>
      </c>
      <c r="H152" s="113">
        <f t="shared" ref="H152:I152" si="100">H126</f>
        <v>2115.01</v>
      </c>
      <c r="I152" s="141">
        <f t="shared" si="100"/>
        <v>2300.89</v>
      </c>
    </row>
    <row r="153" spans="1:9">
      <c r="A153" s="180" t="s">
        <v>452</v>
      </c>
      <c r="B153" s="99" t="s">
        <v>537</v>
      </c>
      <c r="C153" s="99"/>
      <c r="D153" s="113">
        <f>D127</f>
        <v>2126.11611</v>
      </c>
      <c r="E153" s="113">
        <f t="shared" si="99"/>
        <v>2052.481375</v>
      </c>
      <c r="F153" s="113">
        <f t="shared" si="99"/>
        <v>2034.027705</v>
      </c>
      <c r="G153" s="113">
        <f t="shared" si="99"/>
        <v>1613.217015</v>
      </c>
      <c r="H153" s="113">
        <f t="shared" ref="H153:I153" si="101">H127</f>
        <v>2034.027705</v>
      </c>
      <c r="I153" s="141">
        <f t="shared" si="101"/>
        <v>2149.366245</v>
      </c>
    </row>
    <row r="154" spans="1:9">
      <c r="A154" s="180" t="s">
        <v>454</v>
      </c>
      <c r="B154" s="99" t="s">
        <v>538</v>
      </c>
      <c r="C154" s="99"/>
      <c r="D154" s="113">
        <f>D128</f>
        <v>150.243593903667</v>
      </c>
      <c r="E154" s="113">
        <f t="shared" si="99"/>
        <v>142.366395995833</v>
      </c>
      <c r="F154" s="113">
        <f t="shared" si="99"/>
        <v>140.392284040167</v>
      </c>
      <c r="G154" s="113">
        <f t="shared" si="99"/>
        <v>95.3753625171666</v>
      </c>
      <c r="H154" s="113">
        <f t="shared" ref="H154:I154" si="102">H128</f>
        <v>140.392284040167</v>
      </c>
      <c r="I154" s="141">
        <f t="shared" si="102"/>
        <v>152.730815658167</v>
      </c>
    </row>
    <row r="155" spans="1:9">
      <c r="A155" s="180" t="s">
        <v>456</v>
      </c>
      <c r="B155" s="99" t="s">
        <v>539</v>
      </c>
      <c r="C155" s="99"/>
      <c r="D155" s="113">
        <f>D129</f>
        <v>53.5056872194353</v>
      </c>
      <c r="E155" s="113">
        <f t="shared" si="99"/>
        <v>51.1200255108169</v>
      </c>
      <c r="F155" s="113">
        <f t="shared" si="99"/>
        <v>50.5231594814087</v>
      </c>
      <c r="G155" s="113">
        <f t="shared" si="99"/>
        <v>36.8884788961277</v>
      </c>
      <c r="H155" s="113">
        <f t="shared" ref="H155:I155" si="103">H129</f>
        <v>49.1869303702976</v>
      </c>
      <c r="I155" s="141">
        <f t="shared" si="103"/>
        <v>52.9237366262847</v>
      </c>
    </row>
    <row r="156" spans="1:9">
      <c r="A156" s="180" t="s">
        <v>458</v>
      </c>
      <c r="B156" s="99" t="s">
        <v>540</v>
      </c>
      <c r="C156" s="99"/>
      <c r="D156" s="113">
        <f>D130</f>
        <v>234.095833333333</v>
      </c>
      <c r="E156" s="113">
        <f t="shared" si="99"/>
        <v>234.095833333333</v>
      </c>
      <c r="F156" s="113">
        <f t="shared" si="99"/>
        <v>234.210833333333</v>
      </c>
      <c r="G156" s="113">
        <f t="shared" si="99"/>
        <v>234.095833333333</v>
      </c>
      <c r="H156" s="113">
        <f t="shared" ref="H156:I156" si="104">H130</f>
        <v>81.5958333333333</v>
      </c>
      <c r="I156" s="141">
        <f t="shared" si="104"/>
        <v>81.5958333333333</v>
      </c>
    </row>
    <row r="157" spans="1:9">
      <c r="A157" s="180"/>
      <c r="B157" s="153" t="s">
        <v>541</v>
      </c>
      <c r="C157" s="153"/>
      <c r="D157" s="114">
        <f>SUM(D152:D156)</f>
        <v>4827.38122445644</v>
      </c>
      <c r="E157" s="114">
        <f t="shared" ref="E157:G157" si="105">SUM(E152:E156)</f>
        <v>4624.81362983998</v>
      </c>
      <c r="F157" s="114">
        <f t="shared" si="105"/>
        <v>4574.16398185491</v>
      </c>
      <c r="G157" s="114">
        <f t="shared" si="105"/>
        <v>3416.40668974663</v>
      </c>
      <c r="H157" s="114">
        <f t="shared" ref="H157:I157" si="106">SUM(H152:H156)</f>
        <v>4420.2127527438</v>
      </c>
      <c r="I157" s="142">
        <f t="shared" si="106"/>
        <v>4737.50663061779</v>
      </c>
    </row>
    <row r="158" spans="1:9">
      <c r="A158" s="180" t="s">
        <v>460</v>
      </c>
      <c r="B158" s="99" t="s">
        <v>542</v>
      </c>
      <c r="C158" s="99"/>
      <c r="D158" s="113">
        <f>D147</f>
        <v>1303.71156591205</v>
      </c>
      <c r="E158" s="113">
        <f t="shared" ref="E158:G158" si="107">E147</f>
        <v>1249.00494472321</v>
      </c>
      <c r="F158" s="113">
        <f t="shared" si="107"/>
        <v>1235.32619659514</v>
      </c>
      <c r="G158" s="113">
        <f t="shared" si="107"/>
        <v>922.655308993851</v>
      </c>
      <c r="H158" s="113">
        <f t="shared" ref="H158:I158" si="108">H147</f>
        <v>1193.74920305634</v>
      </c>
      <c r="I158" s="141">
        <f t="shared" si="108"/>
        <v>1279.43949332837</v>
      </c>
    </row>
    <row r="159" spans="1:9">
      <c r="A159" s="180"/>
      <c r="B159" s="153" t="s">
        <v>543</v>
      </c>
      <c r="C159" s="153"/>
      <c r="D159" s="114">
        <f>SUM(D157:D158)</f>
        <v>6131.09279036848</v>
      </c>
      <c r="E159" s="114">
        <f t="shared" ref="E159:G159" si="109">SUM(E157:E158)</f>
        <v>5873.81857456319</v>
      </c>
      <c r="F159" s="114">
        <f t="shared" si="109"/>
        <v>5809.49017845005</v>
      </c>
      <c r="G159" s="114">
        <f t="shared" si="109"/>
        <v>4339.06199874048</v>
      </c>
      <c r="H159" s="114">
        <f t="shared" ref="H159:I159" si="110">SUM(H157:H158)</f>
        <v>5613.96195580014</v>
      </c>
      <c r="I159" s="142">
        <f t="shared" si="110"/>
        <v>6016.94612394615</v>
      </c>
    </row>
    <row r="160" spans="1:9">
      <c r="A160" s="180"/>
      <c r="B160" s="153" t="s">
        <v>545</v>
      </c>
      <c r="C160" s="153"/>
      <c r="D160" s="190">
        <f>D159/D36</f>
        <v>2.70877379822061</v>
      </c>
      <c r="E160" s="190">
        <f t="shared" ref="E160:G160" si="111">E159/E36</f>
        <v>2.73869615319417</v>
      </c>
      <c r="F160" s="190">
        <f t="shared" si="111"/>
        <v>2.74679087968853</v>
      </c>
      <c r="G160" s="190">
        <f t="shared" si="111"/>
        <v>3.01988544138171</v>
      </c>
      <c r="H160" s="190">
        <f t="shared" ref="H160:I160" si="112">H159/H36</f>
        <v>2.65434298457224</v>
      </c>
      <c r="I160" s="193">
        <f t="shared" si="112"/>
        <v>2.61505162087112</v>
      </c>
    </row>
    <row r="161" ht="15.75" spans="1:9">
      <c r="A161" s="103"/>
      <c r="B161" s="154"/>
      <c r="C161" s="154"/>
      <c r="D161" s="191"/>
      <c r="E161" s="191"/>
      <c r="F161" s="191"/>
      <c r="G161" s="191"/>
      <c r="H161" s="191"/>
      <c r="I161" s="194"/>
    </row>
  </sheetData>
  <mergeCells count="110">
    <mergeCell ref="A1:G1"/>
    <mergeCell ref="A2:G2"/>
    <mergeCell ref="A4:G4"/>
    <mergeCell ref="A5:G5"/>
    <mergeCell ref="A6:G6"/>
    <mergeCell ref="A7:G7"/>
    <mergeCell ref="A8:B8"/>
    <mergeCell ref="C8:G8"/>
    <mergeCell ref="A9:B9"/>
    <mergeCell ref="C9:G9"/>
    <mergeCell ref="A11:G11"/>
    <mergeCell ref="A12:B12"/>
    <mergeCell ref="C12:G12"/>
    <mergeCell ref="A13:B13"/>
    <mergeCell ref="C13:G13"/>
    <mergeCell ref="A14:B14"/>
    <mergeCell ref="C14:G14"/>
    <mergeCell ref="A15:B15"/>
    <mergeCell ref="C15:G15"/>
    <mergeCell ref="A16:B16"/>
    <mergeCell ref="C16:G16"/>
    <mergeCell ref="A18:D18"/>
    <mergeCell ref="A28:C28"/>
    <mergeCell ref="B29:C29"/>
    <mergeCell ref="B30:C30"/>
    <mergeCell ref="B31:C31"/>
    <mergeCell ref="B32:C32"/>
    <mergeCell ref="B33:C33"/>
    <mergeCell ref="B34:C34"/>
    <mergeCell ref="B35:C35"/>
    <mergeCell ref="B36:C36"/>
    <mergeCell ref="B37:D37"/>
    <mergeCell ref="A38:C38"/>
    <mergeCell ref="A39:B39"/>
    <mergeCell ref="A45:C45"/>
    <mergeCell ref="A58:C58"/>
    <mergeCell ref="B59:C59"/>
    <mergeCell ref="B60:C60"/>
    <mergeCell ref="B61:C61"/>
    <mergeCell ref="B62:C62"/>
    <mergeCell ref="B63:C63"/>
    <mergeCell ref="B64:C64"/>
    <mergeCell ref="A66:C66"/>
    <mergeCell ref="B67:C67"/>
    <mergeCell ref="B68:C68"/>
    <mergeCell ref="B69:C69"/>
    <mergeCell ref="B70:C70"/>
    <mergeCell ref="B71:C71"/>
    <mergeCell ref="A73:C73"/>
    <mergeCell ref="B74:C74"/>
    <mergeCell ref="B75:C75"/>
    <mergeCell ref="B76:C76"/>
    <mergeCell ref="B77:C77"/>
    <mergeCell ref="B78:C78"/>
    <mergeCell ref="B79:C79"/>
    <mergeCell ref="B80:C80"/>
    <mergeCell ref="B81:C81"/>
    <mergeCell ref="A83:C83"/>
    <mergeCell ref="B84:C84"/>
    <mergeCell ref="B85:C85"/>
    <mergeCell ref="B86:C86"/>
    <mergeCell ref="B87:C87"/>
    <mergeCell ref="B88:C88"/>
    <mergeCell ref="B89:C89"/>
    <mergeCell ref="B90:C90"/>
    <mergeCell ref="B91:C91"/>
    <mergeCell ref="A93:C93"/>
    <mergeCell ref="B94:C94"/>
    <mergeCell ref="B95:C95"/>
    <mergeCell ref="B96:C96"/>
    <mergeCell ref="A98:C98"/>
    <mergeCell ref="B99:C99"/>
    <mergeCell ref="B100:C100"/>
    <mergeCell ref="B101:C101"/>
    <mergeCell ref="B102:C102"/>
    <mergeCell ref="A104:C104"/>
    <mergeCell ref="B105:C105"/>
    <mergeCell ref="B106:C106"/>
    <mergeCell ref="B107:C107"/>
    <mergeCell ref="B108:C108"/>
    <mergeCell ref="B109:C109"/>
    <mergeCell ref="B110:C110"/>
    <mergeCell ref="A112:B112"/>
    <mergeCell ref="A123:I123"/>
    <mergeCell ref="A124:C124"/>
    <mergeCell ref="B125:C125"/>
    <mergeCell ref="B126:C126"/>
    <mergeCell ref="B127:C127"/>
    <mergeCell ref="B128:C128"/>
    <mergeCell ref="B129:C129"/>
    <mergeCell ref="B130:C130"/>
    <mergeCell ref="B131:C131"/>
    <mergeCell ref="B132:C132"/>
    <mergeCell ref="B133:C133"/>
    <mergeCell ref="B134:C134"/>
    <mergeCell ref="B135:C135"/>
    <mergeCell ref="A138:B138"/>
    <mergeCell ref="A149:I149"/>
    <mergeCell ref="A150:C150"/>
    <mergeCell ref="B151:C151"/>
    <mergeCell ref="B152:C152"/>
    <mergeCell ref="B153:C153"/>
    <mergeCell ref="B154:C154"/>
    <mergeCell ref="B155:C155"/>
    <mergeCell ref="B156:C156"/>
    <mergeCell ref="B157:C157"/>
    <mergeCell ref="B158:C158"/>
    <mergeCell ref="B159:C159"/>
    <mergeCell ref="B160:C160"/>
    <mergeCell ref="B161:C161"/>
  </mergeCells>
  <pageMargins left="0.511811024" right="0.511811024" top="0.787401575" bottom="0.787401575" header="0.31496062" footer="0.31496062"/>
  <pageSetup paperSize="9" scale="73" orientation="landscape"/>
  <headerFooter>
    <oddHeader>&amp;L&amp;G&amp;CProcesso 23069.154758/2022-91
PE 57/2022&amp;R&amp;G</oddHeader>
    <oddFooter>&amp;L&amp;"-,Itálico"&amp;9&amp;A&amp;R&amp;"-,Itálico"&amp;9Página &amp;P de &amp;N</oddFooter>
  </headerFooter>
  <drawing r:id="rId1"/>
  <legacyDrawingHF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topLeftCell="A12" workbookViewId="0">
      <selection activeCell="F26" sqref="F26"/>
    </sheetView>
  </sheetViews>
  <sheetFormatPr defaultColWidth="9" defaultRowHeight="15" outlineLevelCol="7"/>
  <cols>
    <col min="1" max="1" width="5.28571428571429" customWidth="1"/>
    <col min="2" max="2" width="20.4285714285714" customWidth="1"/>
    <col min="3" max="3" width="8" customWidth="1"/>
    <col min="4" max="4" width="15.2857142857143" customWidth="1"/>
    <col min="5" max="5" width="16.2857142857143" customWidth="1"/>
    <col min="6" max="6" width="20.4285714285714" customWidth="1"/>
    <col min="7" max="7" width="20.5714285714286" customWidth="1"/>
    <col min="8" max="8" width="13.7142857142857" customWidth="1"/>
  </cols>
  <sheetData>
    <row r="1" ht="14.45" customHeight="1" spans="1:8">
      <c r="A1" s="1" t="s">
        <v>0</v>
      </c>
      <c r="B1" s="1"/>
      <c r="C1" s="1"/>
      <c r="D1" s="1"/>
      <c r="E1" s="1"/>
      <c r="F1" s="1"/>
      <c r="G1" s="1"/>
      <c r="H1" s="19"/>
    </row>
    <row r="2" ht="18.75" spans="1:8">
      <c r="A2" s="2" t="s">
        <v>1</v>
      </c>
      <c r="B2" s="2"/>
      <c r="C2" s="2"/>
      <c r="D2" s="2"/>
      <c r="E2" s="2"/>
      <c r="F2" s="2"/>
      <c r="G2" s="2"/>
      <c r="H2" s="20"/>
    </row>
    <row r="3" ht="18.75" spans="1:8">
      <c r="A3" s="2"/>
      <c r="B3" s="2"/>
      <c r="C3" s="2"/>
      <c r="D3" s="2"/>
      <c r="E3" s="2"/>
      <c r="F3" s="2"/>
      <c r="G3" s="2"/>
      <c r="H3" s="2"/>
    </row>
    <row r="4" ht="32.25" customHeight="1" spans="1:8">
      <c r="A4" s="3" t="s">
        <v>563</v>
      </c>
      <c r="B4" s="3"/>
      <c r="C4" s="3"/>
      <c r="D4" s="3"/>
      <c r="E4" s="3"/>
      <c r="F4" s="3"/>
      <c r="G4" s="3"/>
      <c r="H4" s="21"/>
    </row>
    <row r="5" ht="35.45" customHeight="1" spans="1:8">
      <c r="A5" s="4" t="s">
        <v>2</v>
      </c>
      <c r="B5" s="4"/>
      <c r="C5" s="4"/>
      <c r="D5" s="4"/>
      <c r="E5" s="4"/>
      <c r="F5" s="4"/>
      <c r="G5" s="4"/>
      <c r="H5" s="22"/>
    </row>
    <row r="6" ht="15.75"/>
    <row r="7" spans="1:7">
      <c r="A7" s="23" t="s">
        <v>564</v>
      </c>
      <c r="B7" s="24"/>
      <c r="C7" s="24"/>
      <c r="D7" s="24"/>
      <c r="E7" s="24"/>
      <c r="F7" s="24"/>
      <c r="G7" s="25"/>
    </row>
    <row r="8" ht="30" spans="1:7">
      <c r="A8" s="26" t="s">
        <v>5</v>
      </c>
      <c r="B8" s="27" t="s">
        <v>6</v>
      </c>
      <c r="C8" s="27" t="s">
        <v>17</v>
      </c>
      <c r="D8" s="27" t="s">
        <v>565</v>
      </c>
      <c r="E8" s="27" t="s">
        <v>566</v>
      </c>
      <c r="F8" s="27" t="s">
        <v>567</v>
      </c>
      <c r="G8" s="28" t="s">
        <v>568</v>
      </c>
    </row>
    <row r="9" ht="25.5" spans="1:7">
      <c r="A9" s="29">
        <v>1</v>
      </c>
      <c r="B9" s="30" t="s">
        <v>569</v>
      </c>
      <c r="C9" s="31">
        <f>'An IIA Distribuição Postos'!M8</f>
        <v>5</v>
      </c>
      <c r="D9" s="31">
        <f>C9</f>
        <v>5</v>
      </c>
      <c r="E9" s="32">
        <f>'An IIIA Postos 1'!D158</f>
        <v>9052.19954156097</v>
      </c>
      <c r="F9" s="32">
        <f>E9*C9</f>
        <v>45260.9977078049</v>
      </c>
      <c r="G9" s="33">
        <f>12*F9</f>
        <v>543131.972493658</v>
      </c>
    </row>
    <row r="10" ht="25.5" spans="1:7">
      <c r="A10" s="29">
        <v>2</v>
      </c>
      <c r="B10" s="30" t="s">
        <v>19</v>
      </c>
      <c r="C10" s="31">
        <f>'An IIA Distribuição Postos'!M9</f>
        <v>2</v>
      </c>
      <c r="D10" s="31">
        <v>2</v>
      </c>
      <c r="E10" s="32">
        <f>'An IIIA Postos 1'!E158</f>
        <v>7655.58420826422</v>
      </c>
      <c r="F10" s="32">
        <f t="shared" ref="F10:F25" si="0">E10*C10</f>
        <v>15311.1684165284</v>
      </c>
      <c r="G10" s="33">
        <f t="shared" ref="G10:G25" si="1">12*F10</f>
        <v>183734.020998341</v>
      </c>
    </row>
    <row r="11" ht="25.5" spans="1:7">
      <c r="A11" s="29">
        <v>3</v>
      </c>
      <c r="B11" s="30" t="s">
        <v>20</v>
      </c>
      <c r="C11" s="31">
        <f>'An IIA Distribuição Postos'!M10</f>
        <v>18</v>
      </c>
      <c r="D11" s="31">
        <f>C11</f>
        <v>18</v>
      </c>
      <c r="E11" s="32">
        <f>'An IIIA Postos 1'!F158</f>
        <v>5934.38878460903</v>
      </c>
      <c r="F11" s="32">
        <f t="shared" si="0"/>
        <v>106818.998122963</v>
      </c>
      <c r="G11" s="33">
        <f t="shared" si="1"/>
        <v>1281827.97747555</v>
      </c>
    </row>
    <row r="12" ht="38.25" spans="1:7">
      <c r="A12" s="29">
        <v>4</v>
      </c>
      <c r="B12" s="30" t="s">
        <v>21</v>
      </c>
      <c r="C12" s="31">
        <f>'An IIA Distribuição Postos'!M11</f>
        <v>1</v>
      </c>
      <c r="D12" s="30">
        <f>C12*2</f>
        <v>2</v>
      </c>
      <c r="E12" s="32">
        <f>'An IIIA Postos 1'!G159</f>
        <v>11612.4122058091</v>
      </c>
      <c r="F12" s="32">
        <f t="shared" si="0"/>
        <v>11612.4122058091</v>
      </c>
      <c r="G12" s="33">
        <f t="shared" si="1"/>
        <v>139348.946469709</v>
      </c>
    </row>
    <row r="13" ht="25.5" spans="1:7">
      <c r="A13" s="29">
        <v>5</v>
      </c>
      <c r="B13" s="34" t="s">
        <v>22</v>
      </c>
      <c r="C13" s="31">
        <f>'An IIA Distribuição Postos'!M12</f>
        <v>4</v>
      </c>
      <c r="D13" s="31">
        <f>C13</f>
        <v>4</v>
      </c>
      <c r="E13" s="32">
        <f>'An IIIA Postos 1'!H158</f>
        <v>4683.0739461621</v>
      </c>
      <c r="F13" s="32">
        <f t="shared" si="0"/>
        <v>18732.2957846484</v>
      </c>
      <c r="G13" s="33">
        <f t="shared" si="1"/>
        <v>224787.549415781</v>
      </c>
    </row>
    <row r="14" ht="25.5" spans="1:7">
      <c r="A14" s="29">
        <v>6</v>
      </c>
      <c r="B14" s="30" t="s">
        <v>23</v>
      </c>
      <c r="C14" s="31">
        <f>'An IIA Distribuição Postos'!M13</f>
        <v>18</v>
      </c>
      <c r="D14" s="31">
        <f>C14</f>
        <v>18</v>
      </c>
      <c r="E14" s="32">
        <f>'An IIIB Postos 2'!D160</f>
        <v>5819.13751007901</v>
      </c>
      <c r="F14" s="32">
        <f t="shared" si="0"/>
        <v>104744.475181422</v>
      </c>
      <c r="G14" s="33">
        <f t="shared" si="1"/>
        <v>1256933.70217707</v>
      </c>
    </row>
    <row r="15" ht="25.5" spans="1:7">
      <c r="A15" s="29">
        <v>7</v>
      </c>
      <c r="B15" s="30" t="s">
        <v>24</v>
      </c>
      <c r="C15" s="31">
        <f>'An IIA Distribuição Postos'!M14</f>
        <v>1</v>
      </c>
      <c r="D15" s="31">
        <v>2</v>
      </c>
      <c r="E15" s="32">
        <f>'An IIIB Postos 2'!E161</f>
        <v>11381.909656749</v>
      </c>
      <c r="F15" s="32">
        <f t="shared" si="0"/>
        <v>11381.909656749</v>
      </c>
      <c r="G15" s="33">
        <f t="shared" si="1"/>
        <v>136582.915880988</v>
      </c>
    </row>
    <row r="16" spans="1:7">
      <c r="A16" s="29">
        <v>8</v>
      </c>
      <c r="B16" s="30" t="s">
        <v>25</v>
      </c>
      <c r="C16" s="31">
        <f>'An IIA Distribuição Postos'!M15</f>
        <v>3</v>
      </c>
      <c r="D16" s="31">
        <f>C16</f>
        <v>3</v>
      </c>
      <c r="E16" s="32">
        <f>'An IIIB Postos 2'!F160</f>
        <v>5810.22686048015</v>
      </c>
      <c r="F16" s="32">
        <f t="shared" si="0"/>
        <v>17430.6805814404</v>
      </c>
      <c r="G16" s="33">
        <f t="shared" si="1"/>
        <v>209168.166977285</v>
      </c>
    </row>
    <row r="17" spans="1:7">
      <c r="A17" s="29">
        <v>9</v>
      </c>
      <c r="B17" s="30" t="s">
        <v>26</v>
      </c>
      <c r="C17" s="31">
        <f>'An IIA Distribuição Postos'!M16</f>
        <v>16</v>
      </c>
      <c r="D17" s="31">
        <f t="shared" ref="D17:D25" si="2">C17</f>
        <v>16</v>
      </c>
      <c r="E17" s="32">
        <f>'An IIIB Postos 2'!G160</f>
        <v>5810.22686048015</v>
      </c>
      <c r="F17" s="32">
        <f t="shared" si="0"/>
        <v>92963.6297676823</v>
      </c>
      <c r="G17" s="33">
        <f t="shared" si="1"/>
        <v>1115563.55721219</v>
      </c>
    </row>
    <row r="18" spans="1:7">
      <c r="A18" s="29">
        <v>10</v>
      </c>
      <c r="B18" s="30" t="s">
        <v>27</v>
      </c>
      <c r="C18" s="31">
        <v>1</v>
      </c>
      <c r="D18" s="31">
        <f t="shared" si="2"/>
        <v>1</v>
      </c>
      <c r="E18" s="32">
        <f>'An IIIB Postos 2'!H160</f>
        <v>5724.85181912227</v>
      </c>
      <c r="F18" s="32">
        <f t="shared" ref="F18" si="3">E18*C18</f>
        <v>5724.85181912227</v>
      </c>
      <c r="G18" s="33">
        <f t="shared" ref="G18" si="4">12*F18</f>
        <v>68698.2218294672</v>
      </c>
    </row>
    <row r="19" spans="1:7">
      <c r="A19" s="29">
        <v>11</v>
      </c>
      <c r="B19" s="30" t="s">
        <v>28</v>
      </c>
      <c r="C19" s="31">
        <f>'An IIA Distribuição Postos'!M18</f>
        <v>3</v>
      </c>
      <c r="D19" s="31">
        <f t="shared" si="2"/>
        <v>3</v>
      </c>
      <c r="E19" s="32">
        <f>'An IIIB Postos 2'!I160</f>
        <v>5809.34284204403</v>
      </c>
      <c r="F19" s="32">
        <f t="shared" si="0"/>
        <v>17428.0285261321</v>
      </c>
      <c r="G19" s="33">
        <f t="shared" si="1"/>
        <v>209136.342313585</v>
      </c>
    </row>
    <row r="20" spans="1:7">
      <c r="A20" s="29">
        <v>12</v>
      </c>
      <c r="B20" s="30" t="s">
        <v>29</v>
      </c>
      <c r="C20" s="31">
        <f>'An IIA Distribuição Postos'!M19</f>
        <v>1</v>
      </c>
      <c r="D20" s="31">
        <f t="shared" si="2"/>
        <v>1</v>
      </c>
      <c r="E20" s="32">
        <f>'An IIIC Postos 3'!D159</f>
        <v>6131.09279036848</v>
      </c>
      <c r="F20" s="32">
        <f t="shared" si="0"/>
        <v>6131.09279036848</v>
      </c>
      <c r="G20" s="33">
        <f t="shared" si="1"/>
        <v>73573.1134844218</v>
      </c>
    </row>
    <row r="21" ht="25.5" spans="1:7">
      <c r="A21" s="29">
        <v>13</v>
      </c>
      <c r="B21" s="30" t="s">
        <v>30</v>
      </c>
      <c r="C21" s="31">
        <f>'An IIA Distribuição Postos'!M20</f>
        <v>4</v>
      </c>
      <c r="D21" s="31">
        <f t="shared" si="2"/>
        <v>4</v>
      </c>
      <c r="E21" s="32">
        <f>'An IIIC Postos 3'!E159</f>
        <v>5873.81857456319</v>
      </c>
      <c r="F21" s="32">
        <f t="shared" si="0"/>
        <v>23495.2742982528</v>
      </c>
      <c r="G21" s="33">
        <f t="shared" si="1"/>
        <v>281943.291579033</v>
      </c>
    </row>
    <row r="22" spans="1:7">
      <c r="A22" s="29">
        <v>14</v>
      </c>
      <c r="B22" s="30" t="s">
        <v>31</v>
      </c>
      <c r="C22" s="31">
        <f>'An IIA Distribuição Postos'!M21</f>
        <v>6</v>
      </c>
      <c r="D22" s="31">
        <f t="shared" si="2"/>
        <v>6</v>
      </c>
      <c r="E22" s="32">
        <f>'An IIIC Postos 3'!F159</f>
        <v>5809.49017845005</v>
      </c>
      <c r="F22" s="32">
        <f t="shared" si="0"/>
        <v>34856.9410707003</v>
      </c>
      <c r="G22" s="33">
        <f t="shared" si="1"/>
        <v>418283.292848403</v>
      </c>
    </row>
    <row r="23" ht="25.5" spans="1:7">
      <c r="A23" s="29">
        <v>15</v>
      </c>
      <c r="B23" s="30" t="s">
        <v>32</v>
      </c>
      <c r="C23" s="31">
        <f>'An IIA Distribuição Postos'!M22</f>
        <v>25</v>
      </c>
      <c r="D23" s="31">
        <f t="shared" si="2"/>
        <v>25</v>
      </c>
      <c r="E23" s="32">
        <f>'An IIIC Postos 3'!G159</f>
        <v>4339.06199874048</v>
      </c>
      <c r="F23" s="32">
        <f t="shared" si="0"/>
        <v>108476.549968512</v>
      </c>
      <c r="G23" s="33">
        <f t="shared" si="1"/>
        <v>1301718.59962214</v>
      </c>
    </row>
    <row r="24" spans="1:7">
      <c r="A24" s="29">
        <v>16</v>
      </c>
      <c r="B24" s="30" t="s">
        <v>33</v>
      </c>
      <c r="C24" s="31">
        <f>'An IIA Distribuição Postos'!M23</f>
        <v>3</v>
      </c>
      <c r="D24" s="31">
        <f t="shared" si="2"/>
        <v>3</v>
      </c>
      <c r="E24" s="32">
        <f>'An IIIC Postos 3'!H159</f>
        <v>5613.96195580014</v>
      </c>
      <c r="F24" s="32">
        <f t="shared" si="0"/>
        <v>16841.8858674004</v>
      </c>
      <c r="G24" s="33">
        <f t="shared" si="1"/>
        <v>202102.630408805</v>
      </c>
    </row>
    <row r="25" ht="25.5" spans="1:7">
      <c r="A25" s="29">
        <v>17</v>
      </c>
      <c r="B25" s="30" t="s">
        <v>34</v>
      </c>
      <c r="C25" s="31">
        <f>'An IIA Distribuição Postos'!M24</f>
        <v>1</v>
      </c>
      <c r="D25" s="31">
        <f t="shared" si="2"/>
        <v>1</v>
      </c>
      <c r="E25" s="32">
        <f>'An IIIC Postos 3'!I159</f>
        <v>6016.94612394615</v>
      </c>
      <c r="F25" s="32">
        <f t="shared" si="0"/>
        <v>6016.94612394615</v>
      </c>
      <c r="G25" s="33">
        <f t="shared" si="1"/>
        <v>72203.3534873539</v>
      </c>
    </row>
    <row r="26" ht="15.75" spans="1:7">
      <c r="A26" s="35" t="s">
        <v>35</v>
      </c>
      <c r="B26" s="36"/>
      <c r="C26" s="37">
        <f>SUM(C9:C25)</f>
        <v>112</v>
      </c>
      <c r="D26" s="37">
        <f>SUM(D9:D25)</f>
        <v>114</v>
      </c>
      <c r="E26" s="38"/>
      <c r="F26" s="39">
        <f>SUM(F9:F25)</f>
        <v>643228.137889482</v>
      </c>
      <c r="G26" s="40">
        <f t="shared" ref="G26" si="5">12*F26</f>
        <v>7718737.65467378</v>
      </c>
    </row>
    <row r="27" spans="1:2">
      <c r="A27" s="5"/>
      <c r="B27" s="5"/>
    </row>
    <row r="28" spans="1:2">
      <c r="A28" s="5"/>
      <c r="B28" s="5"/>
    </row>
    <row r="29" spans="1:2">
      <c r="A29" s="5"/>
      <c r="B29" s="5"/>
    </row>
  </sheetData>
  <mergeCells count="6">
    <mergeCell ref="A1:G1"/>
    <mergeCell ref="A2:G2"/>
    <mergeCell ref="A4:G4"/>
    <mergeCell ref="A5:G5"/>
    <mergeCell ref="A7:G7"/>
    <mergeCell ref="A26:B26"/>
  </mergeCells>
  <pageMargins left="0.511811024" right="0.511811024" top="0.787401575" bottom="0.787401575" header="0.31496062" footer="0.31496062"/>
  <pageSetup paperSize="9" scale="83" fitToHeight="0" orientation="landscape"/>
  <headerFooter>
    <oddHeader>&amp;L&amp;G&amp;CProcesso 23069.154758/2022-91
PE 57/2022&amp;R&amp;G</oddHeader>
    <oddFooter>&amp;L&amp;"-,Itálico"&amp;9&amp;A&amp;R&amp;"-,Itálico"&amp;9Página &amp;P de &amp;N</oddFooter>
  </headerFooter>
  <colBreaks count="1" manualBreakCount="1">
    <brk id="7" max="1048575"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MENU PLANILHA</vt:lpstr>
      <vt:lpstr>An IIA Distribuição Postos</vt:lpstr>
      <vt:lpstr>An IIB Relação das Unidades</vt:lpstr>
      <vt:lpstr>An IIC Uniformes e Mat.</vt:lpstr>
      <vt:lpstr>An IID Equipamentos</vt:lpstr>
      <vt:lpstr>An IIIA Postos 1</vt:lpstr>
      <vt:lpstr>An IIIB Postos 2</vt:lpstr>
      <vt:lpstr>An IIIC Postos 3</vt:lpstr>
      <vt:lpstr>Anexo IV A Custos Mão de Obra</vt:lpstr>
      <vt:lpstr>Anexo IV B Custos Totais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Ramos</dc:creator>
  <cp:lastModifiedBy>JULY</cp:lastModifiedBy>
  <dcterms:created xsi:type="dcterms:W3CDTF">2021-10-25T18:50:00Z</dcterms:created>
  <cp:lastPrinted>2022-08-03T03:18:00Z</cp:lastPrinted>
  <dcterms:modified xsi:type="dcterms:W3CDTF">2022-08-05T19:20:52Z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32B60D6F67174E728979D980376C20C5</vt:lpwstr>
  </property>
  <property fmtid="{D5CDD505-2E9C-101B-9397-08002B2CF9AE}" pid="3" name="KSOProductBuildVer">
    <vt:lpwstr>1046-11.2.0.11191</vt:lpwstr>
  </property>
</Properties>
</file>