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15" firstSheet="2" activeTab="5"/>
  </bookViews>
  <sheets>
    <sheet name="MENU PLANILHA" sheetId="7" r:id="rId1"/>
    <sheet name="An IIA Relacao Postos" sheetId="3" r:id="rId2"/>
    <sheet name="An IIB Relacao Equip" sheetId="4" r:id="rId3"/>
    <sheet name="An IIC Uniformes e Mat." sheetId="6" r:id="rId4"/>
    <sheet name="An III Aux Biotério" sheetId="19" r:id="rId5"/>
    <sheet name="Anexo IV Custos Final" sheetId="1" r:id="rId6"/>
  </sheets>
  <definedNames>
    <definedName name="_xlnm._FilterDatabase" localSheetId="1" hidden="1">'An IIA Relacao Postos'!$A$7:$A$11</definedName>
    <definedName name="_xlnm.Print_Area" localSheetId="1">'An IIA Relacao Postos'!$A$1:$C$13</definedName>
    <definedName name="_xlnm.Print_Area" localSheetId="3">'An IIC Uniformes e Mat.'!$A$1:$H$62</definedName>
    <definedName name="_xlnm.Print_Area" localSheetId="5">'Anexo IV Custos Final'!$A$1:$H$10</definedName>
  </definedNames>
  <calcPr calcId="144525"/>
</workbook>
</file>

<file path=xl/sharedStrings.xml><?xml version="1.0" encoding="utf-8"?>
<sst xmlns="http://schemas.openxmlformats.org/spreadsheetml/2006/main" count="387" uniqueCount="226">
  <si>
    <t>PRÓ-REITORIA DE ADMINISTRAÇÃO</t>
  </si>
  <si>
    <t>COORDENAÇÃO DE CONTRATOS</t>
  </si>
  <si>
    <t>Contratação de empresa para prestação de serviços continuados de apoio aos Biotérios da RedeBio, com regime de dedicação exclusiva de mão de obra, com fornecimento de materiais de reposição e atendimento na Universidade Federal Fluminense</t>
  </si>
  <si>
    <t>dos Equipamentos (preenchimento licitante)</t>
  </si>
  <si>
    <r>
      <rPr>
        <b/>
        <sz val="11"/>
        <color rgb="FFFF0000"/>
        <rFont val="Calibri"/>
        <charset val="134"/>
        <scheme val="minor"/>
      </rPr>
      <t>Anexo II - A - RELAÇÃO DOS POSTOS POR UNIDADES UFF</t>
    </r>
    <r>
      <rPr>
        <sz val="11"/>
        <color rgb="FFFF0000"/>
        <rFont val="Calibri"/>
        <charset val="134"/>
        <scheme val="minor"/>
      </rPr>
      <t xml:space="preserve">		</t>
    </r>
  </si>
  <si>
    <t>CAMPUS</t>
  </si>
  <si>
    <t>ENDEREÇO</t>
  </si>
  <si>
    <t>Biotério do NAL</t>
  </si>
  <si>
    <t>Rua Professor Marcos Waldemar de Freitas Reis, s/nº, Campus de Gragoatá, São Domingos, Niterói. CEP: 24.210-200</t>
  </si>
  <si>
    <t>Biotério do Instituto de Biologia - Bloco M</t>
  </si>
  <si>
    <t>Biotério do Instituto Biomédico</t>
  </si>
  <si>
    <t>R. Prof. Hernani Melo, 101 São Domingos – Niterói – RJ 24210-130</t>
  </si>
  <si>
    <t>Biomédico da Faculdade de Nutrição</t>
  </si>
  <si>
    <t>Rua Mário Santos Braga, nº 30, 4º andar, Valonguinho, Centro - Niterói, RJ. CEP: 24020-140</t>
  </si>
  <si>
    <t>Anexo II - B - RELAÇÃO DE EQUIPAMENTOS</t>
  </si>
  <si>
    <t xml:space="preserve">ESTIMATIVA DE CUSTO DE EQUIPAMENTO </t>
  </si>
  <si>
    <t>ITEM</t>
  </si>
  <si>
    <t>VEÍCULOS / EQUIPAMENTOS</t>
  </si>
  <si>
    <t>UNIDADE</t>
  </si>
  <si>
    <t>QUANT.</t>
  </si>
  <si>
    <t>VALOR</t>
  </si>
  <si>
    <t>UNITÁRIO</t>
  </si>
  <si>
    <t>PARCIAL</t>
  </si>
  <si>
    <t>Relógio de ponto eletrônico</t>
  </si>
  <si>
    <t>unid.</t>
  </si>
  <si>
    <t>Depreciação do Relógio de Ponto Cód 8471 - 60 meses</t>
  </si>
  <si>
    <t>Total dos equipamentos por mês</t>
  </si>
  <si>
    <t>Custo por posto  = Soma da depreciação por 14 Auxiliares</t>
  </si>
  <si>
    <t>Depreciação com base na INSTRUÇÃO NORMATIVA RFB Nº 1700, DE 14 DE MARÇO DE 2017 da Secretaria da Receita Federal do Brasil</t>
  </si>
  <si>
    <t>Anexo II - C - RELAÇÃO DE UNIFORMES E MATERIAIS</t>
  </si>
  <si>
    <t>COMPOSIÇÃO DE CUSTO DE UNIFORME E EPIS PARA O CARGO DE AUXILIAR DE SERVIÇOS BIOTÉRIO</t>
  </si>
  <si>
    <t>DISCRIMINAÇÃO UNIFORME</t>
  </si>
  <si>
    <t>UNID.</t>
  </si>
  <si>
    <t>QT. INICIAL</t>
  </si>
  <si>
    <t>QT. SEMESTRE</t>
  </si>
  <si>
    <t>QUANT. ANUAL POR FUNCIONÁRIO</t>
  </si>
  <si>
    <t>VALOR UNITÁRIO</t>
  </si>
  <si>
    <t>VALOR TOTAL</t>
  </si>
  <si>
    <t>Calça comprida com elastico e cordão, tecido em brim profissional e resistente 100% (base 518 da Santista) Tamanhos P.M.G.GG, adequado ao padrão fisico do contratado</t>
  </si>
  <si>
    <t>Camisa manga curta, gola polo , 100% algodão, azul royal, com bolso frontal superior e logotipo da empresa</t>
  </si>
  <si>
    <t>Camiseta de manga curta, gola em V, 100% algodão, azul royal, com logotipo da empresa</t>
  </si>
  <si>
    <t>Jaqueta de moletom lisa, com zíper de metal, sem capuz, com bolsos, punho sanfonado, 100% algodão, cor azul royal.</t>
  </si>
  <si>
    <t>Meia sport branca, cano longo, 100% algodão</t>
  </si>
  <si>
    <t>par</t>
  </si>
  <si>
    <t>Crachá com cordão e fototransparente.</t>
  </si>
  <si>
    <t>Botina com solado poliuretano masculino e feminino. Couro especial extra macio, sola antiderrapante, palmilha anatomica, proteção de metal nos dedos ,sub-palmilha em E.V.A. sem cadarço na cor preta. Conforme regulamentação NBR 12594/1992 -</t>
  </si>
  <si>
    <t>Toalha de banho 100% algodão</t>
  </si>
  <si>
    <t>Máscara tripla descartável com elástico e clipe nasal, 100% polipropileno</t>
  </si>
  <si>
    <t>caixa com 50 unidades</t>
  </si>
  <si>
    <t>Luva  de latex para procedimento não cirurgico (unid)</t>
  </si>
  <si>
    <t>Pcte 100 unid</t>
  </si>
  <si>
    <t xml:space="preserve">Avental de segurança à base de PVC com forro de poliéster, impermeável; tipo açougueiro, cor branca – mínimo 1,50 m de comprimento. </t>
  </si>
  <si>
    <t>und</t>
  </si>
  <si>
    <t xml:space="preserve">Luva de latex forrada de algodão flocado - grande resistência a rasgos </t>
  </si>
  <si>
    <t>Luva de poliamida/borracha natural com revestimento de borracha natural forro de manta acrilica - proteção ao calor até 250 °C</t>
  </si>
  <si>
    <t>Protetor Facial WP96 com suspensão com catraca. Visor em policarbonato transparente. Ajuste da circunferência para melhor conforto.</t>
  </si>
  <si>
    <t xml:space="preserve">Touca descartável em TNT com elástico </t>
  </si>
  <si>
    <t>caixa com 100 und</t>
  </si>
  <si>
    <t>Máscara PFF-2: Respirador semi-facial descartável, PFF-2 (equivalente à N95 americana), valvulado, com Sistema anti-embaçante. Referencias: Marca 3M, modelo Aura 9320+BR Marca 3M, modelo 1860</t>
  </si>
  <si>
    <t>Óculos de segurança com lente em policarbonato, tratamento anti-risco, antiembaçante e UV, com protetor nasal e haste regulável.</t>
  </si>
  <si>
    <t>Luvas Nitrílicas, cano longo (46 cm), para procedimentos não cirúrgicos, sem talco, ambidestra, não estéril.</t>
  </si>
  <si>
    <t>Macacão autoclavável, impermeável em polietileno ou Tyvec, com proteção para membros superiores e inferiores. Com capuz, costura termoselada, lapela adesiva para proteção do zíper frontal e laços nos polegares. Com elástico no capuz, punhos e tornozelos. Com comprovada proteção química contra jatos líquidos (tipo 3), líquidos pulverizados (tipo 4) e contra aerossol de partículas sólidas (tipo 5). Com comprovada proteção para trabalho com materiais biológicos infectantes de acordo com normas internacionais (norma EM14126). Com certificado de aprovação (CA) válido e vigente</t>
  </si>
  <si>
    <t>Pró-pé descartável branco, não estéril, gramatura 30; formato anatômico; soldado eletronicamente por ultrassom; baixo desprendimento de partículas; 100% polipropileno; com elástico na boca.; Unid</t>
  </si>
  <si>
    <t>Avental de segurança térmico, impermeável, para proteção contra o risco de queimaduras. Resistente ao calor de 121°C de autoclave. Proporcionam elevado conforto e eficiente proteção contra o calor irradiado e projeções de líquidos quentes ou vapores. Confeccionado em couro, medindo 1,20cm de altura e 0,60cm de largura. Unid.</t>
  </si>
  <si>
    <t>Protetor auditivo de segurança circumauricular,leve, haste de metal constituído por 2 abafadores de ruído, redução 20 dB (unid)</t>
  </si>
  <si>
    <t>Valor anual por funcionário</t>
  </si>
  <si>
    <t>Valor mensal por funcionário</t>
  </si>
  <si>
    <t>COMPOSIÇÃO DE CUSTO DE MATERIAIS  PARA O CARGO DE AUXILIAR DE SERVIÇOS BIOTÉRIO</t>
  </si>
  <si>
    <t>Papel grau cirurgico - Rolo medindo 600mmX100metros (unid)</t>
  </si>
  <si>
    <t>ROLO</t>
  </si>
  <si>
    <t>Sacos plasticos de alta resistência para uso em autoclave - Pacotes com 20 unidades com capacidade para 100 litros</t>
  </si>
  <si>
    <t>PCT</t>
  </si>
  <si>
    <t>Fita de autoclave - Rolo medindo 19mm X 30 m (unid)</t>
  </si>
  <si>
    <t>Tecido não tecido (TNT) - Rolos de Tecido não tecido liso gramatura 100 medindo 1,40m x 50 mt</t>
  </si>
  <si>
    <t>Barbante de algodão cru - Rolo 100 metros</t>
  </si>
  <si>
    <t>Água sanitária - Água sanitária, germicida e bactericida</t>
  </si>
  <si>
    <t>Galão 5 Litros</t>
  </si>
  <si>
    <t>Álcool etílico na diluição de 70%</t>
  </si>
  <si>
    <t>Litro</t>
  </si>
  <si>
    <t>Detergente biodegradável, neutro</t>
  </si>
  <si>
    <t>Sabão de coco líquido para lavagem de uniformes</t>
  </si>
  <si>
    <t>Escada com 05 degraus</t>
  </si>
  <si>
    <t>Desinfetante de superfícies (Virkon®) - Desinfetante de superfícies (Virkon®) – Permite limpeza e desinfecção em única etapa. Não libera cloro, aplicável em estruturas metálicas sem causar danos.</t>
  </si>
  <si>
    <t>Esponja para lavar gaiolas - Esponja macia para lavar gaiolas em poliuretanono e Fibra de Poliester</t>
  </si>
  <si>
    <t>Pact 3 unidades</t>
  </si>
  <si>
    <t>Espátula plástica para raspagem - Medidas de 10 a 20 cm</t>
  </si>
  <si>
    <t>Panos de primeira qualidade para limpeza</t>
  </si>
  <si>
    <t>Papel alumínio (unid) - Rolo de papel aluminio 45 cm X 7,5 m</t>
  </si>
  <si>
    <t>Saco de linho cru (unid) - Saco de linho cru, absorvível, medida 75x60cm, peso líquido 150g, para enxugar piso</t>
  </si>
  <si>
    <t>Saco plástico cor preta (100 litros) - Saco plástico cor preta, para lixo, capacidade 100 litros, norma ABNT, medida 75x95cm, espessura 0,12</t>
  </si>
  <si>
    <t>Pact 100 unid.</t>
  </si>
  <si>
    <t>Saco plástico cor preta (50 litros) - Saco plástico cor preta, para lixo, capacidade 50 litros, medida 63x80cm, espessura 0,08</t>
  </si>
  <si>
    <t>Vassoura de plastico (unid)</t>
  </si>
  <si>
    <t>Escova para lavar bebedouros (unid) - Escova para lavar bebedouros  com cerdas em PET e cabo em poliestireno com orifício para que possa ser pendurado.</t>
  </si>
  <si>
    <t>Escova para limpar bico dos bebedouros (unid) - Escova para lavar buretas, encontrada em material de laboratório</t>
  </si>
  <si>
    <t>Pá de lixo cabo longo (unid) - Pá de lixo cabo longo confeccionada em plástico de boa qualidade medindo cerda de:  Pá – 26 x 25 x 8,5cm e o Cabo – 90 x 2,1 x 2,1cm</t>
  </si>
  <si>
    <t>Saco plástico cor branco leitoso (50 litros) - Saco plástico cor branco leitoso, para lixo, capacidade de 50 litros, norma ABNT, medida 75x95cm, espessura 0,12</t>
  </si>
  <si>
    <t>Anexo III  - FORMAÇÃO CUSTOS Auxiliar de Serviços Biotério - 44h</t>
  </si>
  <si>
    <t>ITEM 01</t>
  </si>
  <si>
    <t>MÃO-DE-OBRA VINCULADA À EXECUÇÃO CONTRATUAL</t>
  </si>
  <si>
    <t>Dados para composição dos custos referentes a mão de obra</t>
  </si>
  <si>
    <t>Tipo de serviço</t>
  </si>
  <si>
    <t>Auxiliar de Biotério - 44h</t>
  </si>
  <si>
    <t>Dias trabalhados por mês</t>
  </si>
  <si>
    <t>Classificação Brasileira de Ocupações (CBO)</t>
  </si>
  <si>
    <t>CBO 6230-20</t>
  </si>
  <si>
    <t>Salário Normativo da Categoria Profissional</t>
  </si>
  <si>
    <t>Entidade Sindical da Empresa</t>
  </si>
  <si>
    <t>Entidade Sindical dos Empregados</t>
  </si>
  <si>
    <t>Número de Registro</t>
  </si>
  <si>
    <t>Início e Fim Vigência</t>
  </si>
  <si>
    <t>Regime tributário da Licitante</t>
  </si>
  <si>
    <t>Documento Comprobatório *Anexar Comprovante</t>
  </si>
  <si>
    <t>MÓDULO 1 : COMPOSIÇÃO DA REMUNERAÇÃO</t>
  </si>
  <si>
    <t>Composição da Remuneração</t>
  </si>
  <si>
    <t>Valor(R$)</t>
  </si>
  <si>
    <t>A</t>
  </si>
  <si>
    <t>Salário Base</t>
  </si>
  <si>
    <t>B</t>
  </si>
  <si>
    <t>Adicional de Periculosidade</t>
  </si>
  <si>
    <t>C</t>
  </si>
  <si>
    <t>Adicional de Insalubridade - Grau Médio 20%</t>
  </si>
  <si>
    <t>D</t>
  </si>
  <si>
    <t>Adicional Noturno</t>
  </si>
  <si>
    <t>E</t>
  </si>
  <si>
    <t>Adicional de Hora Noturna Reduzida</t>
  </si>
  <si>
    <t>F</t>
  </si>
  <si>
    <t xml:space="preserve">Outros </t>
  </si>
  <si>
    <t>Total de Remuneração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</si>
  <si>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</si>
  <si>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</si>
  <si>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</si>
  <si>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</si>
  <si>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Valor (R$)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</si>
  <si>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</si>
  <si>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</si>
  <si>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</si>
  <si>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</si>
  <si>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</si>
  <si>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</si>
  <si>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</si>
  <si>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</si>
  <si>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</si>
  <si>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</si>
  <si>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</si>
  <si>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</si>
  <si>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</si>
  <si>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</si>
  <si>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</si>
  <si>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</si>
  <si>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</si>
  <si>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</si>
  <si>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TOTAL</t>
  </si>
  <si>
    <t>Itens não aplicáveis a Optantes do SIMPLES</t>
  </si>
  <si>
    <t>Submódulo 2.3 - Benefícios Mensais e Diários</t>
  </si>
  <si>
    <t>2.3</t>
  </si>
  <si>
    <t>Benefícios Mensais e Diários</t>
  </si>
  <si>
    <t>Transporte</t>
  </si>
  <si>
    <t>Ticket Alimentação</t>
  </si>
  <si>
    <t>Benefício Assistencial</t>
  </si>
  <si>
    <t>Outros (Social Familiar) - Cláusula 29ª da CCT</t>
  </si>
  <si>
    <t>Total de Benefícios Mensais e Diários</t>
  </si>
  <si>
    <t>Quadro-Resumo do Módulo 2 - Encargos e Benefícios anuais, mensais e diários</t>
  </si>
  <si>
    <t>Encargos e Benefícios Anuais,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</si>
  <si>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</si>
  <si>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</si>
  <si>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</si>
  <si>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</si>
  <si>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</si>
  <si>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</si>
  <si>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</si>
  <si>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</si>
  <si>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</si>
  <si>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</si>
  <si>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</si>
  <si>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</si>
  <si>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</si>
  <si>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</si>
  <si>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</si>
  <si>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</si>
  <si>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</si>
  <si>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</si>
  <si>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</si>
  <si>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</si>
  <si>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</si>
  <si>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</si>
  <si>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</si>
  <si>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</si>
  <si>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MÓDULO 5: INSUMOS DIVERSOS</t>
  </si>
  <si>
    <t>Insumos Diversos</t>
  </si>
  <si>
    <t>Uniformes E EPIS</t>
  </si>
  <si>
    <t xml:space="preserve">Materiais </t>
  </si>
  <si>
    <t>Equipamentos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</si>
  <si>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</si>
  <si>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</si>
  <si>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</si>
  <si>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</si>
  <si>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</si>
  <si>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</si>
  <si>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</si>
  <si>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</si>
  <si>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</si>
  <si>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</si>
  <si>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Quadro-resumo do Custo por Empregado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</si>
  <si>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</si>
  <si>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</si>
  <si>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</si>
  <si>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</si>
  <si>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</si>
  <si>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</si>
  <si>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</si>
  <si>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</si>
  <si>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</si>
  <si>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</si>
  <si>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</si>
  <si>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C.1) Tributos Federais (PIS = 1,65% e COFINS = 7,60%)</t>
  </si>
  <si>
    <r>
      <rPr>
        <b/>
        <sz val="9"/>
        <color rgb="FFFF0000"/>
        <rFont val="Verdana"/>
        <charset val="134"/>
      </rPr>
      <t>Anexo IV - PLANILHA DE COMPOSIÇÃO DE CUSTOS E FORMAÇÃO DE PREÇOS</t>
    </r>
    <r>
      <rPr>
        <sz val="9"/>
        <color rgb="FFFF0000"/>
        <rFont val="Verdana"/>
        <charset val="134"/>
      </rPr>
      <t xml:space="preserve"> (Anexo VII da I.N. da SLTI/MPOG n.º 5 de 26/Maio/2017			</t>
    </r>
  </si>
  <si>
    <t>LOTE 1 - Custo total da contratação</t>
  </si>
  <si>
    <t>CATSER</t>
  </si>
  <si>
    <t>DISCRIMINAÇÃO DO POSTO</t>
  </si>
  <si>
    <t>POSTOS</t>
  </si>
  <si>
    <t>FUNCIONÁRIOS</t>
  </si>
  <si>
    <t>VALOR MENSAL POR POSTO</t>
  </si>
  <si>
    <t>TOTAL MENSAL</t>
  </si>
  <si>
    <t>TOTAL ANUAL</t>
  </si>
  <si>
    <t>Auxiliar Serviços Biotério</t>
  </si>
</sst>
</file>

<file path=xl/styles.xml><?xml version="1.0" encoding="utf-8"?>
<styleSheet xmlns="http://schemas.openxmlformats.org/spreadsheetml/2006/main">
  <numFmts count="10">
    <numFmt numFmtId="176" formatCode="_-* #,##0_-;\-* #,##0_-;_-* &quot;-&quot;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d/m/yyyy"/>
    <numFmt numFmtId="180" formatCode="_-&quot;R$&quot;\ * #,##0_-;\-&quot;R$&quot;\ * #,##0_-;_-&quot;R$&quot;\ * &quot;-&quot;_-;_-@_-"/>
    <numFmt numFmtId="181" formatCode="&quot;R$&quot;\ #,##0.00"/>
    <numFmt numFmtId="182" formatCode="_-* #,##0.000000_-;\-* #,##0.000000_-;_-* &quot;-&quot;??_-;_-@_-"/>
    <numFmt numFmtId="183" formatCode="&quot;R$&quot;\ #,##0.00;[Red]\-&quot;R$&quot;\ #,##0.00"/>
    <numFmt numFmtId="184" formatCode="#,##0.00_);\(#,##0.00\)"/>
    <numFmt numFmtId="185" formatCode="_-&quot;R$&quot;\ * #,##0.00_-;\-&quot;R$&quot;\ * #,##0.00_-;_-&quot;R$&quot;\ * &quot;-&quot;??_-;_-@"/>
  </numFmts>
  <fonts count="71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9"/>
      <color rgb="FFFF0000"/>
      <name val="Verdana"/>
      <charset val="134"/>
    </font>
    <font>
      <b/>
      <sz val="9"/>
      <name val="Verdana"/>
      <charset val="134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9" tint="-0.24997711111789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name val="Calibri"/>
      <charset val="134"/>
      <scheme val="minor"/>
    </font>
    <font>
      <b/>
      <sz val="10"/>
      <name val="Arial"/>
      <charset val="134"/>
    </font>
    <font>
      <b/>
      <sz val="10"/>
      <name val="Arial"/>
      <charset val="1"/>
    </font>
    <font>
      <b/>
      <sz val="10"/>
      <color rgb="FFFF0000"/>
      <name val="Arial"/>
      <charset val="134"/>
    </font>
    <font>
      <b/>
      <sz val="10"/>
      <color rgb="FFFF0000"/>
      <name val="Arial"/>
      <charset val="134"/>
    </font>
    <font>
      <sz val="10"/>
      <color indexed="8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9"/>
      <color indexed="8"/>
      <name val="Arial"/>
      <charset val="134"/>
    </font>
    <font>
      <sz val="9"/>
      <color indexed="20"/>
      <name val="Arial"/>
      <charset val="134"/>
    </font>
    <font>
      <b/>
      <sz val="9"/>
      <color indexed="8"/>
      <name val="Arial"/>
      <charset val="134"/>
    </font>
    <font>
      <sz val="9"/>
      <name val="Arial"/>
      <charset val="134"/>
    </font>
    <font>
      <b/>
      <sz val="9"/>
      <name val="Arial"/>
      <charset val="1"/>
    </font>
    <font>
      <sz val="9"/>
      <name val="Arial"/>
      <charset val="1"/>
    </font>
    <font>
      <sz val="9"/>
      <color indexed="8"/>
      <name val="Arial"/>
      <charset val="1"/>
    </font>
    <font>
      <sz val="11"/>
      <color indexed="8"/>
      <name val="Calibri"/>
      <charset val="1"/>
    </font>
    <font>
      <sz val="9"/>
      <color rgb="FFFF0000"/>
      <name val="Arial"/>
      <charset val="134"/>
    </font>
    <font>
      <b/>
      <sz val="11"/>
      <color theme="1"/>
      <name val="Calibri"/>
      <charset val="134"/>
      <scheme val="minor"/>
    </font>
    <font>
      <sz val="10"/>
      <color rgb="FF000000"/>
      <name val="Calibri"/>
      <charset val="134"/>
    </font>
    <font>
      <sz val="10"/>
      <color rgb="FF000000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Arial"/>
      <charset val="134"/>
    </font>
    <font>
      <b/>
      <sz val="11"/>
      <color theme="1"/>
      <name val="Calibri"/>
      <charset val="134"/>
    </font>
    <font>
      <b/>
      <sz val="11"/>
      <color rgb="FF000000"/>
      <name val="Calibri"/>
      <charset val="134"/>
    </font>
    <font>
      <sz val="11"/>
      <name val="Arial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sz val="11"/>
      <name val="Calibri"/>
      <charset val="134"/>
    </font>
    <font>
      <b/>
      <sz val="11"/>
      <name val="Calibri"/>
      <charset val="134"/>
    </font>
    <font>
      <b/>
      <sz val="11"/>
      <color rgb="FFFF0000"/>
      <name val="Calibri"/>
      <charset val="134"/>
    </font>
    <font>
      <b/>
      <sz val="12"/>
      <color rgb="FFFFFFFF"/>
      <name val="Calibri"/>
      <charset val="134"/>
    </font>
    <font>
      <sz val="12"/>
      <color theme="1"/>
      <name val="Calibri"/>
      <charset val="134"/>
    </font>
    <font>
      <sz val="8"/>
      <color rgb="FF3D372D"/>
      <name val="Verdana"/>
      <charset val="134"/>
    </font>
    <font>
      <b/>
      <sz val="14"/>
      <color theme="1"/>
      <name val="Calibri"/>
      <charset val="134"/>
      <scheme val="minor"/>
    </font>
    <font>
      <b/>
      <sz val="12"/>
      <color rgb="FFFFFFFF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0"/>
      <name val="Arial"/>
      <charset val="134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9"/>
      <name val="Verdana"/>
      <charset val="134"/>
    </font>
    <font>
      <sz val="9"/>
      <color rgb="FFFF0000"/>
      <name val="Verdana"/>
      <charset val="134"/>
    </font>
    <font>
      <sz val="11"/>
      <color rgb="FFFF0000"/>
      <name val="Calibri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B4C6E7"/>
        <bgColor rgb="FFB4C6E7"/>
      </patternFill>
    </fill>
    <fill>
      <patternFill patternType="solid">
        <fgColor rgb="FF1F497D"/>
        <bgColor rgb="FF1F497D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77" fontId="51" fillId="0" borderId="0" applyFont="0" applyFill="0" applyBorder="0" applyAlignment="0" applyProtection="0">
      <alignment vertical="center"/>
    </xf>
    <xf numFmtId="176" fontId="51" fillId="0" borderId="0" applyFon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4" fillId="0" borderId="51" applyNumberFormat="0" applyFill="0" applyAlignment="0" applyProtection="0">
      <alignment vertical="center"/>
    </xf>
    <xf numFmtId="0" fontId="49" fillId="9" borderId="47" applyNumberFormat="0" applyAlignment="0" applyProtection="0">
      <alignment vertical="center"/>
    </xf>
    <xf numFmtId="0" fontId="7" fillId="0" borderId="0"/>
    <xf numFmtId="180" fontId="51" fillId="0" borderId="0" applyFont="0" applyFill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178" fontId="5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2" fillId="18" borderId="0" applyNumberFormat="0" applyBorder="0" applyAlignment="0" applyProtection="0">
      <alignment vertical="center"/>
    </xf>
    <xf numFmtId="0" fontId="51" fillId="13" borderId="50" applyNumberFormat="0" applyFont="0" applyAlignment="0" applyProtection="0">
      <alignment vertical="center"/>
    </xf>
    <xf numFmtId="0" fontId="33" fillId="0" borderId="0"/>
    <xf numFmtId="0" fontId="52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0" borderId="46" applyNumberFormat="0" applyFill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47" fillId="0" borderId="46" applyNumberFormat="0" applyFill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10" borderId="48" applyNumberFormat="0" applyAlignment="0" applyProtection="0">
      <alignment vertical="center"/>
    </xf>
    <xf numFmtId="0" fontId="56" fillId="15" borderId="52" applyNumberFormat="0" applyAlignment="0" applyProtection="0">
      <alignment vertical="center"/>
    </xf>
    <xf numFmtId="0" fontId="58" fillId="15" borderId="48" applyNumberFormat="0" applyAlignment="0" applyProtection="0">
      <alignment vertical="center"/>
    </xf>
    <xf numFmtId="0" fontId="63" fillId="0" borderId="53" applyNumberFormat="0" applyFill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2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0" borderId="0"/>
    <xf numFmtId="0" fontId="68" fillId="0" borderId="0"/>
    <xf numFmtId="0" fontId="37" fillId="0" borderId="0"/>
  </cellStyleXfs>
  <cellXfs count="25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distributed" wrapText="1" shrinkToFit="1" readingOrder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81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81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distributed" wrapText="1" shrinkToFit="1" readingOrder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Alignment="1">
      <alignment horizontal="center" vertical="distributed" wrapText="1" shrinkToFit="1" readingOrder="1"/>
    </xf>
    <xf numFmtId="0" fontId="9" fillId="0" borderId="0" xfId="0" applyFont="1" applyAlignment="1">
      <alignment horizontal="center" vertical="distributed" wrapText="1" shrinkToFit="1" readingOrder="1"/>
    </xf>
    <xf numFmtId="0" fontId="10" fillId="0" borderId="0" xfId="0" applyFont="1" applyAlignment="1">
      <alignment vertical="distributed" wrapText="1" shrinkToFit="1" readingOrder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8" fontId="15" fillId="5" borderId="7" xfId="36" applyFont="1" applyFill="1" applyBorder="1" applyAlignment="1" applyProtection="1">
      <alignment vertical="center"/>
    </xf>
    <xf numFmtId="178" fontId="15" fillId="5" borderId="8" xfId="36" applyFont="1" applyFill="1" applyBorder="1" applyAlignment="1" applyProtection="1">
      <alignment vertical="center"/>
    </xf>
    <xf numFmtId="178" fontId="15" fillId="5" borderId="9" xfId="36" applyFont="1" applyFill="1" applyBorder="1" applyAlignment="1" applyProtection="1">
      <alignment vertical="center"/>
    </xf>
    <xf numFmtId="0" fontId="7" fillId="5" borderId="7" xfId="0" applyFont="1" applyFill="1" applyBorder="1" applyAlignment="1">
      <alignment horizontal="center" vertical="center"/>
    </xf>
    <xf numFmtId="0" fontId="0" fillId="0" borderId="7" xfId="12" applyNumberFormat="1" applyFont="1" applyFill="1" applyBorder="1" applyAlignment="1" applyProtection="1">
      <alignment horizontal="center"/>
    </xf>
    <xf numFmtId="0" fontId="0" fillId="0" borderId="8" xfId="12" applyNumberFormat="1" applyFont="1" applyFill="1" applyBorder="1" applyAlignment="1" applyProtection="1">
      <alignment horizontal="center"/>
    </xf>
    <xf numFmtId="0" fontId="0" fillId="0" borderId="9" xfId="12" applyNumberFormat="1" applyFont="1" applyFill="1" applyBorder="1" applyAlignment="1" applyProtection="1">
      <alignment horizontal="center"/>
    </xf>
    <xf numFmtId="179" fontId="0" fillId="5" borderId="7" xfId="0" applyNumberFormat="1" applyFill="1" applyBorder="1" applyAlignment="1">
      <alignment horizontal="center" vertical="center"/>
    </xf>
    <xf numFmtId="179" fontId="0" fillId="5" borderId="8" xfId="0" applyNumberFormat="1" applyFill="1" applyBorder="1" applyAlignment="1">
      <alignment horizontal="center" vertical="center"/>
    </xf>
    <xf numFmtId="179" fontId="0" fillId="5" borderId="9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179" fontId="7" fillId="5" borderId="11" xfId="0" applyNumberFormat="1" applyFont="1" applyFill="1" applyBorder="1" applyAlignment="1">
      <alignment horizontal="center" vertical="center"/>
    </xf>
    <xf numFmtId="179" fontId="0" fillId="5" borderId="12" xfId="0" applyNumberFormat="1" applyFill="1" applyBorder="1" applyAlignment="1">
      <alignment horizontal="center" vertical="center"/>
    </xf>
    <xf numFmtId="179" fontId="0" fillId="5" borderId="13" xfId="0" applyNumberForma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8" fillId="5" borderId="20" xfId="0" applyFont="1" applyFill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vertical="center"/>
      <protection locked="0"/>
    </xf>
    <xf numFmtId="0" fontId="19" fillId="5" borderId="20" xfId="0" applyFont="1" applyFill="1" applyBorder="1" applyAlignment="1">
      <alignment horizontal="center" vertical="center"/>
    </xf>
    <xf numFmtId="0" fontId="19" fillId="0" borderId="21" xfId="0" applyFont="1" applyBorder="1" applyAlignment="1" applyProtection="1">
      <alignment vertical="center"/>
      <protection locked="0"/>
    </xf>
    <xf numFmtId="178" fontId="20" fillId="0" borderId="22" xfId="36" applyFont="1" applyFill="1" applyBorder="1" applyAlignment="1" applyProtection="1">
      <alignment vertical="center"/>
    </xf>
    <xf numFmtId="178" fontId="20" fillId="0" borderId="22" xfId="36" applyFont="1" applyFill="1" applyBorder="1" applyAlignment="1" applyProtection="1">
      <alignment vertical="center"/>
      <protection locked="0"/>
    </xf>
    <xf numFmtId="0" fontId="19" fillId="0" borderId="21" xfId="0" applyFont="1" applyBorder="1" applyAlignment="1">
      <alignment vertical="center" wrapText="1"/>
    </xf>
    <xf numFmtId="0" fontId="19" fillId="4" borderId="21" xfId="0" applyFont="1" applyFill="1" applyBorder="1" applyAlignment="1">
      <alignment vertical="center" wrapText="1"/>
    </xf>
    <xf numFmtId="178" fontId="20" fillId="4" borderId="22" xfId="36" applyFont="1" applyFill="1" applyBorder="1" applyAlignment="1" applyProtection="1">
      <alignment vertical="center"/>
      <protection locked="0"/>
    </xf>
    <xf numFmtId="0" fontId="19" fillId="5" borderId="23" xfId="0" applyFont="1" applyFill="1" applyBorder="1" applyAlignment="1">
      <alignment vertical="center"/>
    </xf>
    <xf numFmtId="0" fontId="18" fillId="0" borderId="24" xfId="0" applyFont="1" applyBorder="1" applyAlignment="1" applyProtection="1">
      <alignment vertical="center"/>
      <protection locked="0"/>
    </xf>
    <xf numFmtId="178" fontId="18" fillId="0" borderId="25" xfId="36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26" xfId="0" applyFill="1" applyBorder="1" applyAlignment="1">
      <alignment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19" fillId="5" borderId="20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178" fontId="20" fillId="5" borderId="22" xfId="36" applyFont="1" applyFill="1" applyBorder="1" applyAlignment="1" applyProtection="1">
      <alignment vertical="center"/>
    </xf>
    <xf numFmtId="182" fontId="0" fillId="5" borderId="0" xfId="0" applyNumberFormat="1" applyFill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178" fontId="18" fillId="5" borderId="30" xfId="36" applyFont="1" applyFill="1" applyBorder="1" applyAlignment="1" applyProtection="1">
      <alignment vertical="center"/>
    </xf>
    <xf numFmtId="177" fontId="0" fillId="5" borderId="0" xfId="0" applyNumberFormat="1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78" fontId="20" fillId="5" borderId="1" xfId="36" applyFont="1" applyFill="1" applyBorder="1" applyAlignment="1" applyProtection="1">
      <alignment vertical="center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5" borderId="32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justify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vertical="center" wrapText="1"/>
    </xf>
    <xf numFmtId="0" fontId="19" fillId="5" borderId="32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justify" vertical="center" wrapText="1"/>
    </xf>
    <xf numFmtId="2" fontId="19" fillId="5" borderId="36" xfId="0" applyNumberFormat="1" applyFont="1" applyFill="1" applyBorder="1" applyAlignment="1">
      <alignment horizontal="center" vertical="center"/>
    </xf>
    <xf numFmtId="178" fontId="20" fillId="5" borderId="27" xfId="36" applyFont="1" applyFill="1" applyBorder="1" applyAlignment="1" applyProtection="1">
      <alignment vertical="center"/>
    </xf>
    <xf numFmtId="0" fontId="21" fillId="0" borderId="20" xfId="0" applyFont="1" applyBorder="1" applyAlignment="1">
      <alignment horizontal="justify" vertical="center" wrapText="1"/>
    </xf>
    <xf numFmtId="2" fontId="21" fillId="5" borderId="21" xfId="0" applyNumberFormat="1" applyFont="1" applyFill="1" applyBorder="1" applyAlignment="1">
      <alignment horizontal="center" vertical="center"/>
    </xf>
    <xf numFmtId="178" fontId="21" fillId="5" borderId="22" xfId="36" applyFont="1" applyFill="1" applyBorder="1" applyAlignment="1" applyProtection="1">
      <alignment vertical="center"/>
    </xf>
    <xf numFmtId="0" fontId="19" fillId="0" borderId="20" xfId="0" applyFont="1" applyBorder="1" applyAlignment="1">
      <alignment horizontal="justify" vertical="center" wrapText="1"/>
    </xf>
    <xf numFmtId="2" fontId="19" fillId="5" borderId="21" xfId="0" applyNumberFormat="1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vertical="center"/>
    </xf>
    <xf numFmtId="0" fontId="18" fillId="0" borderId="23" xfId="0" applyFont="1" applyBorder="1" applyAlignment="1">
      <alignment horizontal="justify" vertical="center" wrapText="1"/>
    </xf>
    <xf numFmtId="2" fontId="18" fillId="5" borderId="24" xfId="0" applyNumberFormat="1" applyFont="1" applyFill="1" applyBorder="1" applyAlignment="1">
      <alignment horizontal="center" vertical="center"/>
    </xf>
    <xf numFmtId="178" fontId="18" fillId="5" borderId="25" xfId="36" applyFont="1" applyFill="1" applyBorder="1" applyAlignment="1" applyProtection="1">
      <alignment vertical="center"/>
    </xf>
    <xf numFmtId="0" fontId="19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9" fillId="5" borderId="26" xfId="0" applyFont="1" applyFill="1" applyBorder="1" applyAlignment="1">
      <alignment vertical="center"/>
    </xf>
    <xf numFmtId="0" fontId="22" fillId="5" borderId="36" xfId="0" applyFont="1" applyFill="1" applyBorder="1" applyAlignment="1">
      <alignment vertical="center"/>
    </xf>
    <xf numFmtId="0" fontId="22" fillId="5" borderId="27" xfId="0" applyFont="1" applyFill="1" applyBorder="1" applyAlignment="1">
      <alignment vertical="center"/>
    </xf>
    <xf numFmtId="0" fontId="23" fillId="5" borderId="20" xfId="0" applyFont="1" applyFill="1" applyBorder="1" applyAlignment="1">
      <alignment horizontal="center" vertical="center"/>
    </xf>
    <xf numFmtId="0" fontId="23" fillId="0" borderId="21" xfId="0" applyFont="1" applyBorder="1" applyAlignment="1" applyProtection="1">
      <alignment vertical="center" wrapText="1"/>
      <protection locked="0"/>
    </xf>
    <xf numFmtId="178" fontId="23" fillId="0" borderId="22" xfId="36" applyFont="1" applyFill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vertical="center"/>
      <protection locked="0"/>
    </xf>
    <xf numFmtId="183" fontId="23" fillId="0" borderId="22" xfId="36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84" fontId="18" fillId="0" borderId="0" xfId="0" applyNumberFormat="1" applyFont="1" applyAlignment="1">
      <alignment horizontal="center" vertical="center"/>
    </xf>
    <xf numFmtId="184" fontId="12" fillId="0" borderId="0" xfId="0" applyNumberFormat="1" applyFont="1" applyAlignment="1">
      <alignment horizontal="center" vertical="center"/>
    </xf>
    <xf numFmtId="0" fontId="18" fillId="0" borderId="36" xfId="0" applyFont="1" applyBorder="1" applyAlignment="1" applyProtection="1">
      <alignment vertical="center"/>
      <protection locked="0"/>
    </xf>
    <xf numFmtId="0" fontId="18" fillId="0" borderId="27" xfId="0" applyFont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vertical="center"/>
      <protection locked="0"/>
    </xf>
    <xf numFmtId="184" fontId="18" fillId="0" borderId="22" xfId="0" applyNumberFormat="1" applyFont="1" applyBorder="1" applyAlignment="1">
      <alignment vertical="center"/>
    </xf>
    <xf numFmtId="0" fontId="18" fillId="0" borderId="2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5" borderId="33" xfId="0" applyFill="1" applyBorder="1" applyAlignment="1">
      <alignment vertical="center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vertical="center"/>
      <protection locked="0"/>
    </xf>
    <xf numFmtId="0" fontId="24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4" fontId="26" fillId="0" borderId="1" xfId="36" applyNumberFormat="1" applyFont="1" applyFill="1" applyBorder="1" applyAlignment="1" applyProtection="1">
      <alignment vertical="center"/>
    </xf>
    <xf numFmtId="4" fontId="26" fillId="5" borderId="1" xfId="36" applyNumberFormat="1" applyFont="1" applyFill="1" applyBorder="1" applyAlignment="1" applyProtection="1">
      <alignment vertical="center"/>
    </xf>
    <xf numFmtId="2" fontId="25" fillId="5" borderId="1" xfId="15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178" fontId="24" fillId="5" borderId="1" xfId="36" applyFont="1" applyFill="1" applyBorder="1" applyAlignment="1" applyProtection="1">
      <alignment vertical="center"/>
    </xf>
    <xf numFmtId="0" fontId="12" fillId="0" borderId="36" xfId="0" applyFont="1" applyBorder="1" applyAlignment="1" applyProtection="1">
      <alignment horizontal="center" vertical="center"/>
      <protection locked="0"/>
    </xf>
    <xf numFmtId="2" fontId="12" fillId="0" borderId="27" xfId="0" applyNumberFormat="1" applyFont="1" applyBorder="1" applyAlignment="1" applyProtection="1">
      <alignment vertical="center"/>
      <protection locked="0"/>
    </xf>
    <xf numFmtId="0" fontId="17" fillId="5" borderId="0" xfId="0" applyFont="1" applyFill="1" applyAlignment="1">
      <alignment horizontal="left" vertical="center"/>
    </xf>
    <xf numFmtId="0" fontId="18" fillId="0" borderId="21" xfId="0" applyFont="1" applyBorder="1" applyAlignment="1">
      <alignment horizontal="justify" vertical="center" wrapText="1"/>
    </xf>
    <xf numFmtId="0" fontId="18" fillId="0" borderId="22" xfId="0" applyFont="1" applyBorder="1" applyAlignment="1">
      <alignment vertical="center" wrapText="1"/>
    </xf>
    <xf numFmtId="0" fontId="19" fillId="0" borderId="39" xfId="15" applyFont="1" applyBorder="1" applyAlignment="1">
      <alignment horizontal="justify" vertical="center" wrapText="1"/>
    </xf>
    <xf numFmtId="4" fontId="20" fillId="5" borderId="40" xfId="36" applyNumberFormat="1" applyFont="1" applyFill="1" applyBorder="1" applyAlignment="1" applyProtection="1">
      <alignment vertical="center"/>
    </xf>
    <xf numFmtId="0" fontId="19" fillId="0" borderId="41" xfId="15" applyFont="1" applyBorder="1" applyAlignment="1">
      <alignment horizontal="justify" vertical="center" wrapText="1"/>
    </xf>
    <xf numFmtId="0" fontId="18" fillId="0" borderId="24" xfId="0" applyFont="1" applyBorder="1" applyAlignment="1">
      <alignment horizontal="justify" vertical="center" wrapText="1"/>
    </xf>
    <xf numFmtId="0" fontId="19" fillId="5" borderId="26" xfId="0" applyFont="1" applyFill="1" applyBorder="1" applyAlignment="1">
      <alignment horizontal="center" vertical="center"/>
    </xf>
    <xf numFmtId="0" fontId="18" fillId="0" borderId="27" xfId="0" applyFont="1" applyBorder="1" applyAlignment="1" applyProtection="1">
      <alignment horizontal="left" vertical="center"/>
      <protection locked="0"/>
    </xf>
    <xf numFmtId="0" fontId="19" fillId="5" borderId="21" xfId="0" applyFont="1" applyFill="1" applyBorder="1" applyAlignment="1">
      <alignment vertical="center"/>
    </xf>
    <xf numFmtId="2" fontId="18" fillId="5" borderId="22" xfId="0" applyNumberFormat="1" applyFont="1" applyFill="1" applyBorder="1" applyAlignment="1">
      <alignment vertical="center"/>
    </xf>
    <xf numFmtId="0" fontId="19" fillId="5" borderId="23" xfId="0" applyFont="1" applyFill="1" applyBorder="1" applyAlignment="1">
      <alignment horizontal="center" vertical="center"/>
    </xf>
    <xf numFmtId="2" fontId="18" fillId="5" borderId="25" xfId="0" applyNumberFormat="1" applyFont="1" applyFill="1" applyBorder="1" applyAlignment="1">
      <alignment vertical="center"/>
    </xf>
    <xf numFmtId="9" fontId="27" fillId="5" borderId="0" xfId="4" applyFont="1" applyFill="1" applyBorder="1" applyAlignment="1" applyProtection="1">
      <alignment horizontal="center" vertical="center"/>
    </xf>
    <xf numFmtId="184" fontId="0" fillId="5" borderId="0" xfId="0" applyNumberFormat="1" applyFill="1" applyAlignment="1">
      <alignment horizontal="center" vertical="center"/>
    </xf>
    <xf numFmtId="184" fontId="0" fillId="5" borderId="0" xfId="0" applyNumberFormat="1" applyFill="1" applyAlignment="1">
      <alignment vertical="center"/>
    </xf>
    <xf numFmtId="0" fontId="0" fillId="0" borderId="26" xfId="0" applyBorder="1" applyAlignment="1">
      <alignment vertical="center"/>
    </xf>
    <xf numFmtId="0" fontId="12" fillId="0" borderId="27" xfId="0" applyFont="1" applyBorder="1" applyAlignment="1" applyProtection="1">
      <alignment vertical="center"/>
      <protection locked="0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23" fillId="0" borderId="21" xfId="0" applyFont="1" applyBorder="1" applyAlignment="1" applyProtection="1">
      <alignment horizontal="left" vertical="center"/>
      <protection locked="0"/>
    </xf>
    <xf numFmtId="181" fontId="20" fillId="0" borderId="22" xfId="36" applyNumberFormat="1" applyFont="1" applyFill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181" fontId="28" fillId="0" borderId="22" xfId="36" applyNumberFormat="1" applyFont="1" applyFill="1" applyBorder="1" applyAlignment="1" applyProtection="1">
      <alignment vertical="center"/>
      <protection locked="0"/>
    </xf>
    <xf numFmtId="177" fontId="0" fillId="5" borderId="0" xfId="0" applyNumberFormat="1" applyFill="1" applyAlignment="1">
      <alignment vertical="center"/>
    </xf>
    <xf numFmtId="0" fontId="19" fillId="0" borderId="21" xfId="0" applyFont="1" applyBorder="1" applyAlignment="1" applyProtection="1">
      <alignment horizontal="left" vertical="center"/>
      <protection locked="0"/>
    </xf>
    <xf numFmtId="178" fontId="20" fillId="6" borderId="22" xfId="36" applyFont="1" applyFill="1" applyBorder="1" applyAlignment="1" applyProtection="1">
      <alignment vertical="center"/>
      <protection locked="0"/>
    </xf>
    <xf numFmtId="0" fontId="19" fillId="0" borderId="28" xfId="0" applyFont="1" applyBorder="1" applyAlignment="1">
      <alignment horizontal="center" vertical="center"/>
    </xf>
    <xf numFmtId="0" fontId="23" fillId="0" borderId="29" xfId="0" applyFont="1" applyBorder="1" applyAlignment="1" applyProtection="1">
      <alignment horizontal="left" vertical="center"/>
      <protection locked="0"/>
    </xf>
    <xf numFmtId="178" fontId="20" fillId="6" borderId="30" xfId="36" applyFont="1" applyFill="1" applyBorder="1" applyAlignment="1" applyProtection="1">
      <alignment vertical="center"/>
      <protection locked="0"/>
    </xf>
    <xf numFmtId="0" fontId="19" fillId="0" borderId="23" xfId="0" applyFont="1" applyBorder="1" applyAlignment="1">
      <alignment vertical="center"/>
    </xf>
    <xf numFmtId="0" fontId="18" fillId="0" borderId="24" xfId="0" applyFont="1" applyBorder="1" applyAlignment="1" applyProtection="1">
      <alignment horizontal="left" vertical="center"/>
      <protection locked="0"/>
    </xf>
    <xf numFmtId="181" fontId="18" fillId="0" borderId="25" xfId="36" applyNumberFormat="1" applyFont="1" applyFill="1" applyBorder="1" applyAlignment="1" applyProtection="1">
      <alignment vertical="center"/>
      <protection locked="0"/>
    </xf>
    <xf numFmtId="181" fontId="0" fillId="5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justify" vertical="center" wrapText="1"/>
    </xf>
    <xf numFmtId="2" fontId="12" fillId="5" borderId="0" xfId="0" applyNumberFormat="1" applyFont="1" applyFill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center" wrapText="1"/>
    </xf>
    <xf numFmtId="0" fontId="19" fillId="5" borderId="21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8" fillId="0" borderId="36" xfId="0" applyFont="1" applyBorder="1" applyAlignment="1">
      <alignment horizontal="justify" vertical="center" wrapText="1"/>
    </xf>
    <xf numFmtId="0" fontId="18" fillId="0" borderId="27" xfId="0" applyFont="1" applyBorder="1" applyAlignment="1">
      <alignment vertical="center" wrapText="1"/>
    </xf>
    <xf numFmtId="178" fontId="18" fillId="5" borderId="22" xfId="36" applyFont="1" applyFill="1" applyBorder="1" applyAlignment="1" applyProtection="1">
      <alignment vertical="center"/>
    </xf>
    <xf numFmtId="0" fontId="18" fillId="0" borderId="24" xfId="0" applyFont="1" applyBorder="1" applyAlignment="1">
      <alignment horizontal="center" vertical="center" wrapText="1"/>
    </xf>
    <xf numFmtId="2" fontId="18" fillId="5" borderId="25" xfId="0" applyNumberFormat="1" applyFont="1" applyFill="1" applyBorder="1" applyAlignment="1">
      <alignment horizontal="center" vertical="center"/>
    </xf>
    <xf numFmtId="0" fontId="23" fillId="0" borderId="21" xfId="0" applyFont="1" applyBorder="1" applyAlignment="1">
      <alignment horizontal="justify" vertical="center" wrapText="1"/>
    </xf>
    <xf numFmtId="0" fontId="18" fillId="2" borderId="0" xfId="0" applyFont="1" applyFill="1" applyAlignment="1">
      <alignment horizontal="center" vertical="center"/>
    </xf>
    <xf numFmtId="184" fontId="19" fillId="5" borderId="0" xfId="0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4" fillId="0" borderId="0" xfId="0" applyFont="1" applyAlignment="1">
      <alignment horizontal="center" vertical="distributed" wrapText="1" shrinkToFit="1" readingOrder="1"/>
    </xf>
    <xf numFmtId="0" fontId="10" fillId="0" borderId="0" xfId="0" applyFont="1" applyAlignment="1">
      <alignment horizontal="center" vertical="distributed" wrapText="1" shrinkToFit="1" readingOrder="1"/>
    </xf>
    <xf numFmtId="0" fontId="16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52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0" fontId="5" fillId="4" borderId="1" xfId="52" applyFont="1" applyFill="1" applyBorder="1" applyAlignment="1">
      <alignment horizontal="left" vertical="center" wrapText="1"/>
    </xf>
    <xf numFmtId="0" fontId="7" fillId="0" borderId="1" xfId="7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wrapText="1"/>
    </xf>
    <xf numFmtId="0" fontId="29" fillId="3" borderId="1" xfId="0" applyFont="1" applyFill="1" applyBorder="1" applyAlignment="1">
      <alignment wrapText="1"/>
    </xf>
    <xf numFmtId="181" fontId="29" fillId="3" borderId="1" xfId="0" applyNumberFormat="1" applyFont="1" applyFill="1" applyBorder="1" applyAlignment="1">
      <alignment wrapText="1"/>
    </xf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/>
    <xf numFmtId="181" fontId="29" fillId="3" borderId="1" xfId="0" applyNumberFormat="1" applyFont="1" applyFill="1" applyBorder="1" applyAlignment="1"/>
    <xf numFmtId="0" fontId="7" fillId="0" borderId="1" xfId="7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/>
    </xf>
    <xf numFmtId="0" fontId="7" fillId="0" borderId="1" xfId="7" applyBorder="1" applyAlignment="1">
      <alignment horizontal="center" vertical="center"/>
    </xf>
    <xf numFmtId="0" fontId="7" fillId="0" borderId="1" xfId="7" applyFill="1" applyBorder="1" applyAlignment="1">
      <alignment horizontal="center" vertical="center"/>
    </xf>
    <xf numFmtId="0" fontId="9" fillId="0" borderId="0" xfId="0" applyFont="1" applyAlignment="1">
      <alignment vertical="distributed" wrapText="1" shrinkToFit="1" readingOrder="1"/>
    </xf>
    <xf numFmtId="0" fontId="32" fillId="0" borderId="0" xfId="15" applyFont="1" applyAlignment="1">
      <alignment horizontal="center"/>
    </xf>
    <xf numFmtId="0" fontId="33" fillId="0" borderId="0" xfId="15" applyFont="1" applyAlignment="1"/>
    <xf numFmtId="0" fontId="34" fillId="7" borderId="2" xfId="15" applyFont="1" applyFill="1" applyBorder="1" applyAlignment="1">
      <alignment horizontal="center" vertical="center" wrapText="1"/>
    </xf>
    <xf numFmtId="0" fontId="35" fillId="7" borderId="42" xfId="15" applyFont="1" applyFill="1" applyBorder="1" applyAlignment="1">
      <alignment horizontal="center" vertical="center" wrapText="1"/>
    </xf>
    <xf numFmtId="0" fontId="34" fillId="7" borderId="42" xfId="15" applyFont="1" applyFill="1" applyBorder="1" applyAlignment="1">
      <alignment horizontal="center" vertical="center" wrapText="1"/>
    </xf>
    <xf numFmtId="0" fontId="34" fillId="7" borderId="42" xfId="15" applyFont="1" applyFill="1" applyBorder="1" applyAlignment="1">
      <alignment horizontal="center"/>
    </xf>
    <xf numFmtId="0" fontId="36" fillId="0" borderId="43" xfId="15" applyFont="1" applyBorder="1"/>
    <xf numFmtId="0" fontId="36" fillId="0" borderId="6" xfId="15" applyFont="1" applyBorder="1"/>
    <xf numFmtId="0" fontId="36" fillId="0" borderId="1" xfId="15" applyFont="1" applyBorder="1"/>
    <xf numFmtId="0" fontId="34" fillId="7" borderId="1" xfId="15" applyFont="1" applyFill="1" applyBorder="1" applyAlignment="1">
      <alignment horizontal="center"/>
    </xf>
    <xf numFmtId="0" fontId="34" fillId="7" borderId="14" xfId="15" applyFont="1" applyFill="1" applyBorder="1" applyAlignment="1">
      <alignment horizontal="center"/>
    </xf>
    <xf numFmtId="0" fontId="37" fillId="0" borderId="6" xfId="15" applyFont="1" applyBorder="1" applyAlignment="1">
      <alignment horizontal="center" vertical="center" wrapText="1"/>
    </xf>
    <xf numFmtId="0" fontId="38" fillId="0" borderId="1" xfId="15" applyFont="1" applyBorder="1" applyAlignment="1">
      <alignment vertical="center" wrapText="1"/>
    </xf>
    <xf numFmtId="0" fontId="38" fillId="0" borderId="1" xfId="15" applyFont="1" applyBorder="1" applyAlignment="1">
      <alignment horizontal="center" vertical="center"/>
    </xf>
    <xf numFmtId="0" fontId="38" fillId="0" borderId="1" xfId="15" applyFont="1" applyBorder="1" applyAlignment="1">
      <alignment horizontal="center" vertical="center" wrapText="1"/>
    </xf>
    <xf numFmtId="185" fontId="38" fillId="0" borderId="1" xfId="15" applyNumberFormat="1" applyFont="1" applyBorder="1" applyAlignment="1">
      <alignment horizontal="right" vertical="center"/>
    </xf>
    <xf numFmtId="185" fontId="38" fillId="0" borderId="14" xfId="15" applyNumberFormat="1" applyFont="1" applyBorder="1" applyAlignment="1">
      <alignment vertical="center"/>
    </xf>
    <xf numFmtId="181" fontId="39" fillId="0" borderId="6" xfId="15" applyNumberFormat="1" applyFont="1" applyBorder="1" applyAlignment="1">
      <alignment horizontal="center" wrapText="1"/>
    </xf>
    <xf numFmtId="181" fontId="39" fillId="0" borderId="14" xfId="15" applyNumberFormat="1" applyFont="1" applyBorder="1" applyAlignment="1">
      <alignment horizontal="center" wrapText="1"/>
    </xf>
    <xf numFmtId="0" fontId="40" fillId="0" borderId="6" xfId="15" applyFont="1" applyBorder="1" applyAlignment="1">
      <alignment horizontal="center" vertical="center" wrapText="1"/>
    </xf>
    <xf numFmtId="181" fontId="39" fillId="0" borderId="14" xfId="15" applyNumberFormat="1" applyFont="1" applyBorder="1" applyAlignment="1">
      <alignment horizontal="center" vertical="center" wrapText="1"/>
    </xf>
    <xf numFmtId="0" fontId="39" fillId="0" borderId="15" xfId="15" applyFont="1" applyBorder="1" applyAlignment="1">
      <alignment horizontal="center" vertical="center" wrapText="1"/>
    </xf>
    <xf numFmtId="0" fontId="39" fillId="0" borderId="44" xfId="15" applyFont="1" applyBorder="1" applyAlignment="1">
      <alignment horizontal="center" vertical="center" wrapText="1"/>
    </xf>
    <xf numFmtId="0" fontId="39" fillId="0" borderId="45" xfId="15" applyFont="1" applyBorder="1" applyAlignment="1">
      <alignment horizontal="center" vertical="center" wrapText="1"/>
    </xf>
    <xf numFmtId="0" fontId="41" fillId="0" borderId="0" xfId="15" applyFont="1" applyBorder="1" applyAlignment="1">
      <alignment horizontal="center" vertical="center" wrapText="1"/>
    </xf>
    <xf numFmtId="0" fontId="36" fillId="0" borderId="0" xfId="15" applyFont="1" applyBorder="1"/>
    <xf numFmtId="181" fontId="41" fillId="0" borderId="0" xfId="15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2" fillId="8" borderId="1" xfId="54" applyFont="1" applyFill="1" applyBorder="1" applyAlignment="1">
      <alignment vertical="center" wrapText="1"/>
    </xf>
    <xf numFmtId="0" fontId="43" fillId="0" borderId="1" xfId="0" applyFont="1" applyBorder="1" applyAlignment="1">
      <alignment wrapText="1"/>
    </xf>
    <xf numFmtId="0" fontId="43" fillId="0" borderId="1" xfId="0" applyFont="1" applyBorder="1"/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46" fillId="0" borderId="0" xfId="0" applyFont="1"/>
  </cellXfs>
  <cellStyles count="55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Normal 5" xfId="7"/>
    <cellStyle name="Moeda [0]" xfId="8" builtinId="7"/>
    <cellStyle name="20% - Ênfase 3" xfId="9" builtinId="38"/>
    <cellStyle name="Moeda" xfId="10" builtinId="4"/>
    <cellStyle name="Hyperlink seguido" xfId="11" builtinId="9"/>
    <cellStyle name="Hyperlink" xfId="12" builtinId="8"/>
    <cellStyle name="40% - Ênfase 2" xfId="13" builtinId="35"/>
    <cellStyle name="Observação" xfId="14" builtinId="10"/>
    <cellStyle name="Normal 2" xfId="15"/>
    <cellStyle name="40% - Ênfase 6" xfId="16" builtinId="51"/>
    <cellStyle name="Texto de Aviso" xfId="17" builtinId="11"/>
    <cellStyle name="Título" xfId="18" builtinId="15"/>
    <cellStyle name="Texto Explicativo" xfId="19" builtinId="53"/>
    <cellStyle name="Ênfase 3" xfId="20" builtinId="37"/>
    <cellStyle name="Título 1" xfId="21" builtinId="16"/>
    <cellStyle name="Ênfase 4" xfId="22" builtinId="41"/>
    <cellStyle name="Título 2" xfId="23" builtinId="17"/>
    <cellStyle name="Ênfase 5" xfId="24" builtinId="45"/>
    <cellStyle name="Título 3" xfId="25" builtinId="18"/>
    <cellStyle name="Ênfase 6" xfId="26" builtinId="49"/>
    <cellStyle name="Título 4" xfId="27" builtinId="19"/>
    <cellStyle name="Entrada" xfId="28" builtinId="20"/>
    <cellStyle name="Saída" xfId="29" builtinId="21"/>
    <cellStyle name="Cálculo" xfId="30" builtinId="22"/>
    <cellStyle name="Total" xfId="31" builtinId="25"/>
    <cellStyle name="40% - Ênfase 1" xfId="32" builtinId="31"/>
    <cellStyle name="Bom" xfId="33" builtinId="26"/>
    <cellStyle name="Ruim" xfId="34" builtinId="27"/>
    <cellStyle name="Neutro" xfId="35" builtinId="28"/>
    <cellStyle name="Moeda 2" xfId="36"/>
    <cellStyle name="20% - Ênfase 5" xfId="37" builtinId="46"/>
    <cellStyle name="Ênfase 1" xfId="38" builtinId="29"/>
    <cellStyle name="20% - Ênfase 1" xfId="39" builtinId="30"/>
    <cellStyle name="60% - Ênfase 1" xfId="40" builtinId="32"/>
    <cellStyle name="20% - Ênfase 6" xfId="41" builtinId="50"/>
    <cellStyle name="Ênfase 2" xfId="42" builtinId="33"/>
    <cellStyle name="20% - Ênfase 2" xfId="43" builtinId="34"/>
    <cellStyle name="60% - Ênfase 2" xfId="44" builtinId="36"/>
    <cellStyle name="40% - Ênfase 3" xfId="45" builtinId="39"/>
    <cellStyle name="60% - Ênfase 3" xfId="46" builtinId="40"/>
    <cellStyle name="20% - Ênfase 4" xfId="47" builtinId="42"/>
    <cellStyle name="60% - Ênfase 4" xfId="48" builtinId="44"/>
    <cellStyle name="40% - Ênfase 5" xfId="49" builtinId="47"/>
    <cellStyle name="60% - Ênfase 5" xfId="50" builtinId="48"/>
    <cellStyle name="60% - Ênfase 6" xfId="51" builtinId="52"/>
    <cellStyle name="Normal 2 2" xfId="52"/>
    <cellStyle name="Normal 3" xfId="53"/>
    <cellStyle name="Normal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hyperlink" Target="#'Anexo IV Custos Final'!A1"/><Relationship Id="rId4" Type="http://schemas.openxmlformats.org/officeDocument/2006/relationships/hyperlink" Target="#'An III Aux Biot&#233;rio'!A1"/><Relationship Id="rId3" Type="http://schemas.openxmlformats.org/officeDocument/2006/relationships/hyperlink" Target="#'An IIC Uniformes e Mat.'!A1"/><Relationship Id="rId2" Type="http://schemas.openxmlformats.org/officeDocument/2006/relationships/hyperlink" Target="#'An IIB Relacao Equip'!A1"/><Relationship Id="rId1" Type="http://schemas.openxmlformats.org/officeDocument/2006/relationships/hyperlink" Target="#'An IIA Relacao Pos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371475</xdr:colOff>
      <xdr:row>11</xdr:row>
      <xdr:rowOff>47625</xdr:rowOff>
    </xdr:to>
    <xdr:sp>
      <xdr:nvSpPr>
        <xdr:cNvPr id="2" name="Retângulo de cantos arredondados 3">
          <a:hlinkClick xmlns:r="http://schemas.openxmlformats.org/officeDocument/2006/relationships" r:id="rId1"/>
        </xdr:cNvPr>
        <xdr:cNvSpPr/>
      </xdr:nvSpPr>
      <xdr:spPr>
        <a:xfrm>
          <a:off x="0" y="162687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Relação dos Postos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685800</xdr:colOff>
      <xdr:row>7</xdr:row>
      <xdr:rowOff>7620</xdr:rowOff>
    </xdr:from>
    <xdr:to>
      <xdr:col>4</xdr:col>
      <xdr:colOff>653415</xdr:colOff>
      <xdr:row>11</xdr:row>
      <xdr:rowOff>55245</xdr:rowOff>
    </xdr:to>
    <xdr:sp>
      <xdr:nvSpPr>
        <xdr:cNvPr id="3" name="Retângulo de cantos arredondados 3">
          <a:hlinkClick xmlns:r="http://schemas.openxmlformats.org/officeDocument/2006/relationships" r:id="rId2"/>
        </xdr:cNvPr>
        <xdr:cNvSpPr/>
      </xdr:nvSpPr>
      <xdr:spPr>
        <a:xfrm>
          <a:off x="2705100" y="1634490"/>
          <a:ext cx="238696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Relação dos Equipamentos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114300</xdr:colOff>
      <xdr:row>7</xdr:row>
      <xdr:rowOff>0</xdr:rowOff>
    </xdr:from>
    <xdr:to>
      <xdr:col>9</xdr:col>
      <xdr:colOff>20955</xdr:colOff>
      <xdr:row>11</xdr:row>
      <xdr:rowOff>47625</xdr:rowOff>
    </xdr:to>
    <xdr:sp>
      <xdr:nvSpPr>
        <xdr:cNvPr id="5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5372100" y="162687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C - Relação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dos Uniformes, EPIS e Materiais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182880</xdr:rowOff>
    </xdr:from>
    <xdr:to>
      <xdr:col>2</xdr:col>
      <xdr:colOff>371475</xdr:colOff>
      <xdr:row>17</xdr:row>
      <xdr:rowOff>24765</xdr:rowOff>
    </xdr:to>
    <xdr:sp>
      <xdr:nvSpPr>
        <xdr:cNvPr id="6" name="Retângulo de cantos arredondados 3">
          <a:hlinkClick xmlns:r="http://schemas.openxmlformats.org/officeDocument/2006/relationships" r:id="rId4"/>
        </xdr:cNvPr>
        <xdr:cNvSpPr/>
      </xdr:nvSpPr>
      <xdr:spPr>
        <a:xfrm>
          <a:off x="0" y="2762250"/>
          <a:ext cx="2390775" cy="803910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- Custo Auxiliar Serviços Biotério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750570</xdr:colOff>
      <xdr:row>13</xdr:row>
      <xdr:rowOff>26670</xdr:rowOff>
    </xdr:from>
    <xdr:to>
      <xdr:col>4</xdr:col>
      <xdr:colOff>712470</xdr:colOff>
      <xdr:row>17</xdr:row>
      <xdr:rowOff>64770</xdr:rowOff>
    </xdr:to>
    <xdr:sp>
      <xdr:nvSpPr>
        <xdr:cNvPr id="15" name="Retângulo de cantos arredondados 3">
          <a:hlinkClick xmlns:r="http://schemas.openxmlformats.org/officeDocument/2006/relationships" r:id="rId5"/>
        </xdr:cNvPr>
        <xdr:cNvSpPr/>
      </xdr:nvSpPr>
      <xdr:spPr>
        <a:xfrm>
          <a:off x="2769870" y="2796540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- Composição custos final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3534832</xdr:colOff>
      <xdr:row>0</xdr:row>
      <xdr:rowOff>0</xdr:rowOff>
    </xdr:from>
    <xdr:to>
      <xdr:col>2</xdr:col>
      <xdr:colOff>437826</xdr:colOff>
      <xdr:row>3</xdr:row>
      <xdr:rowOff>81218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5210" y="0"/>
          <a:ext cx="1151255" cy="7378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373380</xdr:colOff>
      <xdr:row>0</xdr:row>
      <xdr:rowOff>0</xdr:rowOff>
    </xdr:from>
    <xdr:to>
      <xdr:col>5</xdr:col>
      <xdr:colOff>568425</xdr:colOff>
      <xdr:row>3</xdr:row>
      <xdr:rowOff>81218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07305" y="0"/>
          <a:ext cx="1128395" cy="737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243840</xdr:colOff>
      <xdr:row>0</xdr:row>
      <xdr:rowOff>0</xdr:rowOff>
    </xdr:from>
    <xdr:to>
      <xdr:col>7</xdr:col>
      <xdr:colOff>629385</xdr:colOff>
      <xdr:row>3</xdr:row>
      <xdr:rowOff>81218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87490" y="0"/>
          <a:ext cx="1109345" cy="7473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274320</xdr:colOff>
      <xdr:row>0</xdr:row>
      <xdr:rowOff>0</xdr:rowOff>
    </xdr:from>
    <xdr:to>
      <xdr:col>4</xdr:col>
      <xdr:colOff>701140</xdr:colOff>
      <xdr:row>3</xdr:row>
      <xdr:rowOff>81218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89320" y="0"/>
          <a:ext cx="1141095" cy="7378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100965</xdr:colOff>
      <xdr:row>0</xdr:row>
      <xdr:rowOff>0</xdr:rowOff>
    </xdr:from>
    <xdr:to>
      <xdr:col>7</xdr:col>
      <xdr:colOff>1009650</xdr:colOff>
      <xdr:row>2</xdr:row>
      <xdr:rowOff>180910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82765" y="0"/>
          <a:ext cx="908685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A1:J1"/>
    </sheetView>
  </sheetViews>
  <sheetFormatPr defaultColWidth="8.85714285714286" defaultRowHeight="15"/>
  <cols>
    <col min="2" max="2" width="21.4285714285714" customWidth="1"/>
    <col min="3" max="3" width="17.2857142857143" customWidth="1"/>
    <col min="4" max="4" width="19" customWidth="1"/>
    <col min="5" max="5" width="12.2857142857143" customWidth="1"/>
    <col min="6" max="6" width="8.42857142857143" customWidth="1"/>
    <col min="7" max="7" width="10.8571428571429" customWidth="1"/>
  </cols>
  <sheetData>
    <row r="1" ht="18" customHeight="1" spans="1:14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17"/>
      <c r="L1" s="17"/>
      <c r="M1" s="17"/>
      <c r="N1" s="17"/>
    </row>
    <row r="2" ht="18.7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18"/>
      <c r="L2" s="18"/>
      <c r="M2" s="18"/>
      <c r="N2" s="18"/>
    </row>
    <row r="4" ht="14.45" customHeight="1" spans="1:8">
      <c r="A4" s="202"/>
      <c r="B4" s="202"/>
      <c r="C4" s="202"/>
      <c r="D4" s="202"/>
      <c r="E4" s="202"/>
      <c r="F4" s="202"/>
      <c r="G4" s="202"/>
      <c r="H4" s="14"/>
    </row>
    <row r="5" ht="31.9" customHeight="1" spans="1:14">
      <c r="A5" s="252" t="s">
        <v>2</v>
      </c>
      <c r="B5" s="252"/>
      <c r="C5" s="252"/>
      <c r="D5" s="252"/>
      <c r="E5" s="252"/>
      <c r="F5" s="252"/>
      <c r="G5" s="252"/>
      <c r="H5" s="252"/>
      <c r="I5" s="252"/>
      <c r="J5" s="252"/>
      <c r="K5" s="23"/>
      <c r="L5" s="23"/>
      <c r="M5" s="23"/>
      <c r="N5" s="23"/>
    </row>
    <row r="16" ht="15.75" spans="5:5">
      <c r="E16" s="258" t="s">
        <v>3</v>
      </c>
    </row>
  </sheetData>
  <mergeCells count="4">
    <mergeCell ref="A1:J1"/>
    <mergeCell ref="A2:J2"/>
    <mergeCell ref="A4:G4"/>
    <mergeCell ref="A5:J5"/>
  </mergeCells>
  <pageMargins left="0.511811024" right="0.511811024" top="0.787401575" bottom="0.787401575" header="0.31496062" footer="0.31496062"/>
  <pageSetup paperSize="9" scale="84" orientation="landscape"/>
  <headerFooter>
    <oddHeader>&amp;L&amp;G&amp;CProcesso 23069.151697/2022-19
PE xxx/2022&amp;R&amp;G</oddHead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zoomScaleSheetLayoutView="90" workbookViewId="0">
      <selection activeCell="F8" sqref="F8"/>
    </sheetView>
  </sheetViews>
  <sheetFormatPr defaultColWidth="9" defaultRowHeight="15" outlineLevelCol="2"/>
  <cols>
    <col min="1" max="1" width="38.8571428571429" customWidth="1"/>
    <col min="2" max="2" width="63.7142857142857" customWidth="1"/>
  </cols>
  <sheetData>
    <row r="1" ht="18" customHeight="1" spans="1:2">
      <c r="A1" s="1" t="s">
        <v>0</v>
      </c>
      <c r="B1" s="1"/>
    </row>
    <row r="2" ht="18.75" spans="1:2">
      <c r="A2" s="2" t="s">
        <v>1</v>
      </c>
      <c r="B2" s="2"/>
    </row>
    <row r="4" ht="14.45" customHeight="1" spans="1:3">
      <c r="A4" s="20" t="s">
        <v>4</v>
      </c>
      <c r="B4" s="20"/>
      <c r="C4" s="14"/>
    </row>
    <row r="5" ht="55.9" customHeight="1" spans="1:3">
      <c r="A5" s="252" t="s">
        <v>2</v>
      </c>
      <c r="B5" s="22"/>
      <c r="C5" s="15"/>
    </row>
    <row r="7" ht="31.9" customHeight="1" spans="1:2">
      <c r="A7" s="253" t="s">
        <v>5</v>
      </c>
      <c r="B7" s="253" t="s">
        <v>6</v>
      </c>
    </row>
    <row r="8" ht="44.45" customHeight="1" spans="1:2">
      <c r="A8" s="254" t="s">
        <v>7</v>
      </c>
      <c r="B8" s="254" t="s">
        <v>8</v>
      </c>
    </row>
    <row r="9" ht="31.5" spans="1:2">
      <c r="A9" s="254" t="s">
        <v>9</v>
      </c>
      <c r="B9" s="254" t="s">
        <v>8</v>
      </c>
    </row>
    <row r="10" ht="14.45" customHeight="1" spans="1:2">
      <c r="A10" s="254" t="s">
        <v>10</v>
      </c>
      <c r="B10" s="255" t="s">
        <v>11</v>
      </c>
    </row>
    <row r="11" ht="14.45" customHeight="1" spans="1:2">
      <c r="A11" s="254" t="s">
        <v>12</v>
      </c>
      <c r="B11" s="254" t="s">
        <v>13</v>
      </c>
    </row>
    <row r="12" spans="2:2">
      <c r="B12" s="256"/>
    </row>
  </sheetData>
  <mergeCells count="4">
    <mergeCell ref="A1:B1"/>
    <mergeCell ref="A2:B2"/>
    <mergeCell ref="A4:B4"/>
    <mergeCell ref="A5:B5"/>
  </mergeCells>
  <pageMargins left="0.511811024" right="0.511811024" top="0.787401575" bottom="0.787401575" header="0.31496062" footer="0.31496062"/>
  <pageSetup paperSize="9" scale="82" orientation="portrait"/>
  <headerFooter>
    <oddHeader>&amp;L&amp;G&amp;CProcesso 23069.151697/2022-19
PE XXX/2022&amp;R&amp;G</oddHeader>
  </headerFooter>
  <colBreaks count="1" manualBreakCount="1">
    <brk id="3" max="1048575" man="1"/>
  </colBreaks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8" sqref="A8:F15"/>
    </sheetView>
  </sheetViews>
  <sheetFormatPr defaultColWidth="9" defaultRowHeight="15" outlineLevelCol="7"/>
  <cols>
    <col min="2" max="2" width="35.2857142857143" customWidth="1"/>
    <col min="3" max="3" width="16.2857142857143" customWidth="1"/>
    <col min="4" max="4" width="10.4285714285714" customWidth="1"/>
    <col min="5" max="6" width="14" customWidth="1"/>
    <col min="7" max="7" width="10.8571428571429" customWidth="1"/>
  </cols>
  <sheetData>
    <row r="1" ht="18" customHeight="1" spans="1:7">
      <c r="A1" s="1" t="s">
        <v>0</v>
      </c>
      <c r="B1" s="1"/>
      <c r="C1" s="1"/>
      <c r="D1" s="1"/>
      <c r="E1" s="1"/>
      <c r="F1" s="1"/>
      <c r="G1" s="17"/>
    </row>
    <row r="2" ht="18.75" spans="1:7">
      <c r="A2" s="2" t="s">
        <v>1</v>
      </c>
      <c r="B2" s="2"/>
      <c r="C2" s="2"/>
      <c r="D2" s="2"/>
      <c r="E2" s="2"/>
      <c r="F2" s="2"/>
      <c r="G2" s="18"/>
    </row>
    <row r="4" ht="14.45" customHeight="1" spans="1:8">
      <c r="A4" s="20" t="s">
        <v>14</v>
      </c>
      <c r="B4" s="20"/>
      <c r="C4" s="20"/>
      <c r="D4" s="20"/>
      <c r="E4" s="20"/>
      <c r="F4" s="20"/>
      <c r="G4" s="224"/>
      <c r="H4" s="14"/>
    </row>
    <row r="5" ht="38.45" customHeight="1" spans="1:8">
      <c r="A5" s="22" t="s">
        <v>2</v>
      </c>
      <c r="B5" s="22"/>
      <c r="C5" s="22"/>
      <c r="D5" s="22"/>
      <c r="E5" s="22"/>
      <c r="F5" s="22"/>
      <c r="G5" s="23"/>
      <c r="H5" s="15"/>
    </row>
    <row r="8" ht="15.75" spans="1:6">
      <c r="A8" s="225" t="s">
        <v>15</v>
      </c>
      <c r="B8" s="226"/>
      <c r="C8" s="226"/>
      <c r="D8" s="226"/>
      <c r="E8" s="226"/>
      <c r="F8" s="226"/>
    </row>
    <row r="9" spans="1:6">
      <c r="A9" s="227" t="s">
        <v>16</v>
      </c>
      <c r="B9" s="228" t="s">
        <v>17</v>
      </c>
      <c r="C9" s="229" t="s">
        <v>18</v>
      </c>
      <c r="D9" s="229" t="s">
        <v>19</v>
      </c>
      <c r="E9" s="230" t="s">
        <v>20</v>
      </c>
      <c r="F9" s="231"/>
    </row>
    <row r="10" spans="1:6">
      <c r="A10" s="232"/>
      <c r="B10" s="233"/>
      <c r="C10" s="233"/>
      <c r="D10" s="233"/>
      <c r="E10" s="234" t="s">
        <v>21</v>
      </c>
      <c r="F10" s="235" t="s">
        <v>22</v>
      </c>
    </row>
    <row r="11" spans="1:6">
      <c r="A11" s="236">
        <v>1</v>
      </c>
      <c r="B11" s="237" t="s">
        <v>23</v>
      </c>
      <c r="C11" s="238" t="s">
        <v>24</v>
      </c>
      <c r="D11" s="239">
        <v>2</v>
      </c>
      <c r="E11" s="240">
        <v>1249.58</v>
      </c>
      <c r="F11" s="241">
        <f t="shared" ref="F11" si="0">E11*D11</f>
        <v>2499.16</v>
      </c>
    </row>
    <row r="12" spans="1:6">
      <c r="A12" s="242" t="s">
        <v>25</v>
      </c>
      <c r="B12" s="233"/>
      <c r="C12" s="233"/>
      <c r="D12" s="233"/>
      <c r="E12" s="233"/>
      <c r="F12" s="243">
        <f>F11/6</f>
        <v>416.526666666667</v>
      </c>
    </row>
    <row r="13" spans="1:6">
      <c r="A13" s="242" t="s">
        <v>26</v>
      </c>
      <c r="B13" s="233"/>
      <c r="C13" s="233"/>
      <c r="D13" s="233"/>
      <c r="E13" s="233"/>
      <c r="F13" s="243">
        <f>SUM(F12:F12)</f>
        <v>416.526666666667</v>
      </c>
    </row>
    <row r="14" spans="1:6">
      <c r="A14" s="244" t="s">
        <v>27</v>
      </c>
      <c r="B14" s="233"/>
      <c r="C14" s="233"/>
      <c r="D14" s="233"/>
      <c r="E14" s="233"/>
      <c r="F14" s="245">
        <f>F13/14</f>
        <v>29.7519047619048</v>
      </c>
    </row>
    <row r="15" ht="27.6" customHeight="1" spans="1:6">
      <c r="A15" s="246" t="s">
        <v>28</v>
      </c>
      <c r="B15" s="247"/>
      <c r="C15" s="247"/>
      <c r="D15" s="247"/>
      <c r="E15" s="247"/>
      <c r="F15" s="248"/>
    </row>
    <row r="16" spans="1:6">
      <c r="A16" s="249"/>
      <c r="B16" s="250"/>
      <c r="C16" s="250"/>
      <c r="D16" s="250"/>
      <c r="E16" s="250"/>
      <c r="F16" s="251"/>
    </row>
    <row r="17" spans="1:6">
      <c r="A17" s="226"/>
      <c r="B17" s="226"/>
      <c r="C17" s="226"/>
      <c r="D17" s="226"/>
      <c r="E17" s="226"/>
      <c r="F17" s="226"/>
    </row>
  </sheetData>
  <mergeCells count="14">
    <mergeCell ref="A1:F1"/>
    <mergeCell ref="A2:F2"/>
    <mergeCell ref="A4:F4"/>
    <mergeCell ref="A5:F5"/>
    <mergeCell ref="A8:F8"/>
    <mergeCell ref="E9:F9"/>
    <mergeCell ref="A12:E12"/>
    <mergeCell ref="A13:E13"/>
    <mergeCell ref="A14:E14"/>
    <mergeCell ref="A15:F15"/>
    <mergeCell ref="A9:A10"/>
    <mergeCell ref="B9:B10"/>
    <mergeCell ref="C9:C10"/>
    <mergeCell ref="D9:D10"/>
  </mergeCells>
  <pageMargins left="0.511811024" right="0.511811024" top="0.787401575" bottom="0.787401575" header="0.31496062" footer="0.31496062"/>
  <pageSetup paperSize="9" scale="93" orientation="portrait"/>
  <headerFooter>
    <oddHeader>&amp;L&amp;G&amp;CProcesso 23069.151697/2022-19 
PE XXX/2022&amp;R&amp;G</oddHeader>
  </headerFooter>
  <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workbookViewId="0">
      <selection activeCell="I57" sqref="I57"/>
    </sheetView>
  </sheetViews>
  <sheetFormatPr defaultColWidth="8.85714285714286" defaultRowHeight="15" outlineLevelCol="7"/>
  <cols>
    <col min="1" max="1" width="5.28571428571429" customWidth="1"/>
    <col min="2" max="2" width="46.8571428571429" customWidth="1"/>
    <col min="3" max="3" width="6" customWidth="1"/>
    <col min="4" max="4" width="10.5714285714286" customWidth="1"/>
    <col min="5" max="5" width="12.2857142857143" customWidth="1"/>
    <col min="6" max="6" width="14.1428571428571" customWidth="1"/>
    <col min="7" max="7" width="10.8571428571429" customWidth="1"/>
    <col min="8" max="8" width="12.5714285714286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2"/>
      <c r="C2" s="2"/>
      <c r="D2" s="2"/>
      <c r="E2" s="2"/>
      <c r="F2" s="2"/>
      <c r="G2" s="2"/>
      <c r="H2" s="2"/>
    </row>
    <row r="4" spans="1:8">
      <c r="A4" s="201" t="s">
        <v>29</v>
      </c>
      <c r="B4" s="202"/>
      <c r="C4" s="202"/>
      <c r="D4" s="202"/>
      <c r="E4" s="202"/>
      <c r="F4" s="202"/>
      <c r="G4" s="202"/>
      <c r="H4" s="202"/>
    </row>
    <row r="5" ht="36" customHeight="1" spans="1:8">
      <c r="A5" s="22" t="s">
        <v>2</v>
      </c>
      <c r="B5" s="22"/>
      <c r="C5" s="22"/>
      <c r="D5" s="22"/>
      <c r="E5" s="22"/>
      <c r="F5" s="22"/>
      <c r="G5" s="22"/>
      <c r="H5" s="22"/>
    </row>
    <row r="7" spans="1:8">
      <c r="A7" s="203" t="s">
        <v>30</v>
      </c>
      <c r="B7" s="204"/>
      <c r="C7" s="204"/>
      <c r="D7" s="204"/>
      <c r="E7" s="204"/>
      <c r="F7" s="204"/>
      <c r="G7" s="204"/>
      <c r="H7" s="204"/>
    </row>
    <row r="8" ht="45" spans="1:8">
      <c r="A8" s="204" t="s">
        <v>16</v>
      </c>
      <c r="B8" s="204" t="s">
        <v>31</v>
      </c>
      <c r="C8" s="204" t="s">
        <v>32</v>
      </c>
      <c r="D8" s="204" t="s">
        <v>33</v>
      </c>
      <c r="E8" s="204" t="s">
        <v>34</v>
      </c>
      <c r="F8" s="204" t="s">
        <v>35</v>
      </c>
      <c r="G8" s="204" t="s">
        <v>36</v>
      </c>
      <c r="H8" s="204" t="s">
        <v>37</v>
      </c>
    </row>
    <row r="9" ht="60" spans="1:8">
      <c r="A9" s="205">
        <v>1</v>
      </c>
      <c r="B9" s="206" t="s">
        <v>38</v>
      </c>
      <c r="C9" s="207" t="s">
        <v>32</v>
      </c>
      <c r="D9" s="208">
        <v>3</v>
      </c>
      <c r="E9" s="208">
        <v>1</v>
      </c>
      <c r="F9" s="209">
        <f>SUM(D9:E9)</f>
        <v>4</v>
      </c>
      <c r="G9" s="210">
        <v>42</v>
      </c>
      <c r="H9" s="210">
        <f>G9*F9</f>
        <v>168</v>
      </c>
    </row>
    <row r="10" ht="45" spans="1:8">
      <c r="A10" s="209">
        <v>2</v>
      </c>
      <c r="B10" s="211" t="s">
        <v>39</v>
      </c>
      <c r="C10" s="207" t="s">
        <v>32</v>
      </c>
      <c r="D10" s="208">
        <v>4</v>
      </c>
      <c r="E10" s="208">
        <v>2</v>
      </c>
      <c r="F10" s="209">
        <f t="shared" ref="F10:F30" si="0">SUM(D10:E10)</f>
        <v>6</v>
      </c>
      <c r="G10" s="210">
        <v>34.1</v>
      </c>
      <c r="H10" s="210">
        <f>G10*F10</f>
        <v>204.6</v>
      </c>
    </row>
    <row r="11" ht="30" spans="1:8">
      <c r="A11" s="205">
        <v>3</v>
      </c>
      <c r="B11" s="211" t="s">
        <v>40</v>
      </c>
      <c r="C11" s="207" t="s">
        <v>32</v>
      </c>
      <c r="D11" s="208">
        <v>4</v>
      </c>
      <c r="E11" s="208">
        <v>2</v>
      </c>
      <c r="F11" s="209">
        <f t="shared" si="0"/>
        <v>6</v>
      </c>
      <c r="G11" s="210">
        <v>31.5</v>
      </c>
      <c r="H11" s="210">
        <f t="shared" ref="H11:H30" si="1">G11*F11</f>
        <v>189</v>
      </c>
    </row>
    <row r="12" ht="45" spans="1:8">
      <c r="A12" s="209">
        <v>4</v>
      </c>
      <c r="B12" s="206" t="s">
        <v>41</v>
      </c>
      <c r="C12" s="207" t="s">
        <v>32</v>
      </c>
      <c r="D12" s="208">
        <v>1</v>
      </c>
      <c r="E12" s="208">
        <v>0</v>
      </c>
      <c r="F12" s="209">
        <f t="shared" si="0"/>
        <v>1</v>
      </c>
      <c r="G12" s="210">
        <v>55.39</v>
      </c>
      <c r="H12" s="210">
        <f t="shared" si="1"/>
        <v>55.39</v>
      </c>
    </row>
    <row r="13" spans="1:8">
      <c r="A13" s="205">
        <v>5</v>
      </c>
      <c r="B13" s="206" t="s">
        <v>42</v>
      </c>
      <c r="C13" s="207" t="s">
        <v>43</v>
      </c>
      <c r="D13" s="208">
        <v>8</v>
      </c>
      <c r="E13" s="208">
        <v>4</v>
      </c>
      <c r="F13" s="209">
        <f t="shared" si="0"/>
        <v>12</v>
      </c>
      <c r="G13" s="210">
        <v>3.75</v>
      </c>
      <c r="H13" s="210">
        <f t="shared" si="1"/>
        <v>45</v>
      </c>
    </row>
    <row r="14" spans="1:8">
      <c r="A14" s="209">
        <v>6</v>
      </c>
      <c r="B14" s="206" t="s">
        <v>44</v>
      </c>
      <c r="C14" s="207" t="s">
        <v>32</v>
      </c>
      <c r="D14" s="208">
        <v>1</v>
      </c>
      <c r="E14" s="208">
        <v>0</v>
      </c>
      <c r="F14" s="209">
        <f t="shared" si="0"/>
        <v>1</v>
      </c>
      <c r="G14" s="210">
        <v>1.58</v>
      </c>
      <c r="H14" s="210">
        <f t="shared" si="1"/>
        <v>1.58</v>
      </c>
    </row>
    <row r="15" ht="90" spans="1:8">
      <c r="A15" s="205">
        <v>7</v>
      </c>
      <c r="B15" s="206" t="s">
        <v>45</v>
      </c>
      <c r="C15" s="207" t="s">
        <v>43</v>
      </c>
      <c r="D15" s="208">
        <v>2</v>
      </c>
      <c r="E15" s="208">
        <v>1</v>
      </c>
      <c r="F15" s="209">
        <f t="shared" si="0"/>
        <v>3</v>
      </c>
      <c r="G15" s="210">
        <v>53.52</v>
      </c>
      <c r="H15" s="210">
        <f t="shared" si="1"/>
        <v>160.56</v>
      </c>
    </row>
    <row r="16" spans="1:8">
      <c r="A16" s="209">
        <v>8</v>
      </c>
      <c r="B16" s="206" t="s">
        <v>46</v>
      </c>
      <c r="C16" s="207" t="s">
        <v>32</v>
      </c>
      <c r="D16" s="208">
        <v>2</v>
      </c>
      <c r="E16" s="208">
        <v>1</v>
      </c>
      <c r="F16" s="209">
        <f t="shared" si="0"/>
        <v>3</v>
      </c>
      <c r="G16" s="210">
        <v>18.75</v>
      </c>
      <c r="H16" s="210">
        <f t="shared" si="1"/>
        <v>56.25</v>
      </c>
    </row>
    <row r="17" ht="63.75" spans="1:8">
      <c r="A17" s="205">
        <v>9</v>
      </c>
      <c r="B17" s="206" t="s">
        <v>47</v>
      </c>
      <c r="C17" s="207" t="s">
        <v>48</v>
      </c>
      <c r="D17" s="208">
        <v>3</v>
      </c>
      <c r="E17" s="208">
        <v>3</v>
      </c>
      <c r="F17" s="209">
        <f t="shared" si="0"/>
        <v>6</v>
      </c>
      <c r="G17" s="210">
        <v>8.17</v>
      </c>
      <c r="H17" s="210">
        <f t="shared" si="1"/>
        <v>49.02</v>
      </c>
    </row>
    <row r="18" ht="38.25" spans="1:8">
      <c r="A18" s="209">
        <v>10</v>
      </c>
      <c r="B18" s="206" t="s">
        <v>49</v>
      </c>
      <c r="C18" s="207" t="s">
        <v>50</v>
      </c>
      <c r="D18" s="208">
        <v>5</v>
      </c>
      <c r="E18" s="208">
        <v>5</v>
      </c>
      <c r="F18" s="209">
        <f t="shared" si="0"/>
        <v>10</v>
      </c>
      <c r="G18" s="210">
        <v>21.71</v>
      </c>
      <c r="H18" s="210">
        <f t="shared" si="1"/>
        <v>217.1</v>
      </c>
    </row>
    <row r="19" ht="45" spans="1:8">
      <c r="A19" s="205">
        <v>11</v>
      </c>
      <c r="B19" s="206" t="s">
        <v>51</v>
      </c>
      <c r="C19" s="207" t="s">
        <v>52</v>
      </c>
      <c r="D19" s="208">
        <v>2</v>
      </c>
      <c r="E19" s="208">
        <v>1</v>
      </c>
      <c r="F19" s="209">
        <f t="shared" si="0"/>
        <v>3</v>
      </c>
      <c r="G19" s="210">
        <v>20.96</v>
      </c>
      <c r="H19" s="210">
        <f t="shared" si="1"/>
        <v>62.88</v>
      </c>
    </row>
    <row r="20" ht="30" spans="1:8">
      <c r="A20" s="209">
        <v>12</v>
      </c>
      <c r="B20" s="206" t="s">
        <v>53</v>
      </c>
      <c r="C20" s="207" t="s">
        <v>43</v>
      </c>
      <c r="D20" s="208">
        <v>6</v>
      </c>
      <c r="E20" s="208">
        <v>6</v>
      </c>
      <c r="F20" s="209">
        <f t="shared" si="0"/>
        <v>12</v>
      </c>
      <c r="G20" s="210">
        <v>6.3</v>
      </c>
      <c r="H20" s="210">
        <f t="shared" si="1"/>
        <v>75.6</v>
      </c>
    </row>
    <row r="21" ht="45" spans="1:8">
      <c r="A21" s="205">
        <v>13</v>
      </c>
      <c r="B21" s="206" t="s">
        <v>54</v>
      </c>
      <c r="C21" s="207" t="s">
        <v>43</v>
      </c>
      <c r="D21" s="208">
        <v>6</v>
      </c>
      <c r="E21" s="208">
        <v>6</v>
      </c>
      <c r="F21" s="209">
        <f t="shared" si="0"/>
        <v>12</v>
      </c>
      <c r="G21" s="210">
        <v>8.6</v>
      </c>
      <c r="H21" s="210">
        <f t="shared" si="1"/>
        <v>103.2</v>
      </c>
    </row>
    <row r="22" ht="45" spans="1:8">
      <c r="A22" s="209">
        <v>14</v>
      </c>
      <c r="B22" s="206" t="s">
        <v>55</v>
      </c>
      <c r="C22" s="207" t="s">
        <v>32</v>
      </c>
      <c r="D22" s="208">
        <v>4</v>
      </c>
      <c r="E22" s="208">
        <v>4</v>
      </c>
      <c r="F22" s="209">
        <f t="shared" si="0"/>
        <v>8</v>
      </c>
      <c r="G22" s="210">
        <v>13.34</v>
      </c>
      <c r="H22" s="210">
        <f t="shared" si="1"/>
        <v>106.72</v>
      </c>
    </row>
    <row r="23" ht="51" spans="1:8">
      <c r="A23" s="205">
        <v>15</v>
      </c>
      <c r="B23" s="206" t="s">
        <v>56</v>
      </c>
      <c r="C23" s="207" t="s">
        <v>57</v>
      </c>
      <c r="D23" s="208">
        <v>4</v>
      </c>
      <c r="E23" s="208">
        <v>4</v>
      </c>
      <c r="F23" s="209">
        <f t="shared" si="0"/>
        <v>8</v>
      </c>
      <c r="G23" s="210">
        <v>11.12</v>
      </c>
      <c r="H23" s="210">
        <f t="shared" si="1"/>
        <v>88.96</v>
      </c>
    </row>
    <row r="24" ht="60" spans="1:8">
      <c r="A24" s="209">
        <v>16</v>
      </c>
      <c r="B24" s="206" t="s">
        <v>58</v>
      </c>
      <c r="C24" s="207" t="s">
        <v>52</v>
      </c>
      <c r="D24" s="208">
        <v>200</v>
      </c>
      <c r="E24" s="208">
        <v>200</v>
      </c>
      <c r="F24" s="209">
        <f t="shared" si="0"/>
        <v>400</v>
      </c>
      <c r="G24" s="210">
        <v>2.11</v>
      </c>
      <c r="H24" s="210">
        <f t="shared" si="1"/>
        <v>844</v>
      </c>
    </row>
    <row r="25" ht="45" spans="1:8">
      <c r="A25" s="205">
        <v>17</v>
      </c>
      <c r="B25" s="206" t="s">
        <v>59</v>
      </c>
      <c r="C25" s="207" t="s">
        <v>52</v>
      </c>
      <c r="D25" s="208">
        <v>2</v>
      </c>
      <c r="E25" s="208">
        <v>2</v>
      </c>
      <c r="F25" s="209">
        <f t="shared" si="0"/>
        <v>4</v>
      </c>
      <c r="G25" s="210">
        <v>4.99</v>
      </c>
      <c r="H25" s="210">
        <f t="shared" si="1"/>
        <v>19.96</v>
      </c>
    </row>
    <row r="26" ht="51" spans="1:8">
      <c r="A26" s="209">
        <v>18</v>
      </c>
      <c r="B26" s="206" t="s">
        <v>60</v>
      </c>
      <c r="C26" s="207" t="s">
        <v>57</v>
      </c>
      <c r="D26" s="208">
        <v>4</v>
      </c>
      <c r="E26" s="208">
        <v>4</v>
      </c>
      <c r="F26" s="209">
        <f t="shared" si="0"/>
        <v>8</v>
      </c>
      <c r="G26" s="210">
        <v>37.87</v>
      </c>
      <c r="H26" s="210">
        <f t="shared" si="1"/>
        <v>302.96</v>
      </c>
    </row>
    <row r="27" ht="180" spans="1:8">
      <c r="A27" s="205">
        <v>19</v>
      </c>
      <c r="B27" s="206" t="s">
        <v>61</v>
      </c>
      <c r="C27" s="207" t="s">
        <v>52</v>
      </c>
      <c r="D27" s="208">
        <v>2</v>
      </c>
      <c r="E27" s="208">
        <v>2</v>
      </c>
      <c r="F27" s="209">
        <f t="shared" si="0"/>
        <v>4</v>
      </c>
      <c r="G27" s="210">
        <v>13.98</v>
      </c>
      <c r="H27" s="210">
        <f t="shared" si="1"/>
        <v>55.92</v>
      </c>
    </row>
    <row r="28" ht="60" spans="1:8">
      <c r="A28" s="209">
        <v>20</v>
      </c>
      <c r="B28" s="206" t="s">
        <v>62</v>
      </c>
      <c r="C28" s="207" t="s">
        <v>57</v>
      </c>
      <c r="D28" s="208">
        <v>3</v>
      </c>
      <c r="E28" s="208">
        <v>3</v>
      </c>
      <c r="F28" s="209">
        <f t="shared" si="0"/>
        <v>6</v>
      </c>
      <c r="G28" s="210">
        <v>13.63</v>
      </c>
      <c r="H28" s="210">
        <f t="shared" si="1"/>
        <v>81.78</v>
      </c>
    </row>
    <row r="29" ht="105" spans="1:8">
      <c r="A29" s="205">
        <v>21</v>
      </c>
      <c r="B29" s="212" t="s">
        <v>63</v>
      </c>
      <c r="C29" s="207" t="s">
        <v>32</v>
      </c>
      <c r="D29" s="208">
        <v>2</v>
      </c>
      <c r="E29" s="208">
        <v>1</v>
      </c>
      <c r="F29" s="209">
        <f t="shared" si="0"/>
        <v>3</v>
      </c>
      <c r="G29" s="210">
        <v>53.56</v>
      </c>
      <c r="H29" s="210">
        <f t="shared" si="1"/>
        <v>160.68</v>
      </c>
    </row>
    <row r="30" ht="45" spans="1:8">
      <c r="A30" s="209">
        <v>22</v>
      </c>
      <c r="B30" s="206" t="s">
        <v>64</v>
      </c>
      <c r="C30" s="207" t="s">
        <v>32</v>
      </c>
      <c r="D30" s="208">
        <v>1</v>
      </c>
      <c r="E30" s="208">
        <v>1</v>
      </c>
      <c r="F30" s="209">
        <f t="shared" si="0"/>
        <v>2</v>
      </c>
      <c r="G30" s="210">
        <v>33.65</v>
      </c>
      <c r="H30" s="210">
        <f t="shared" si="1"/>
        <v>67.3</v>
      </c>
    </row>
    <row r="31" ht="14.45" customHeight="1" spans="1:8">
      <c r="A31" s="213" t="s">
        <v>65</v>
      </c>
      <c r="B31" s="213"/>
      <c r="C31" s="213"/>
      <c r="D31" s="213"/>
      <c r="E31" s="213"/>
      <c r="F31" s="213"/>
      <c r="G31" s="214"/>
      <c r="H31" s="215">
        <f>SUM(H9:H30)</f>
        <v>3116.46</v>
      </c>
    </row>
    <row r="32" spans="1:8">
      <c r="A32" s="216" t="s">
        <v>66</v>
      </c>
      <c r="B32" s="216"/>
      <c r="C32" s="216"/>
      <c r="D32" s="216"/>
      <c r="E32" s="216"/>
      <c r="F32" s="216"/>
      <c r="G32" s="217"/>
      <c r="H32" s="218">
        <f>H31/12</f>
        <v>259.705</v>
      </c>
    </row>
    <row r="35" customHeight="1" spans="1:8">
      <c r="A35" s="203" t="s">
        <v>67</v>
      </c>
      <c r="B35" s="204"/>
      <c r="C35" s="204"/>
      <c r="D35" s="204"/>
      <c r="E35" s="204"/>
      <c r="F35" s="204"/>
      <c r="G35" s="204"/>
      <c r="H35" s="204"/>
    </row>
    <row r="36" ht="45" spans="1:8">
      <c r="A36" s="204" t="s">
        <v>16</v>
      </c>
      <c r="B36" s="204" t="s">
        <v>31</v>
      </c>
      <c r="C36" s="204" t="s">
        <v>32</v>
      </c>
      <c r="D36" s="204" t="s">
        <v>33</v>
      </c>
      <c r="E36" s="204" t="s">
        <v>34</v>
      </c>
      <c r="F36" s="204" t="s">
        <v>35</v>
      </c>
      <c r="G36" s="204" t="s">
        <v>36</v>
      </c>
      <c r="H36" s="204" t="s">
        <v>37</v>
      </c>
    </row>
    <row r="37" ht="30" spans="1:8">
      <c r="A37" s="205">
        <v>1</v>
      </c>
      <c r="B37" s="219" t="s">
        <v>68</v>
      </c>
      <c r="C37" s="207" t="s">
        <v>69</v>
      </c>
      <c r="D37" s="207">
        <v>3</v>
      </c>
      <c r="E37" s="208">
        <v>3</v>
      </c>
      <c r="F37" s="209">
        <f>SUM(D37:E37)</f>
        <v>6</v>
      </c>
      <c r="G37" s="210">
        <v>34.69</v>
      </c>
      <c r="H37" s="210">
        <f>G37*F37</f>
        <v>208.14</v>
      </c>
    </row>
    <row r="38" ht="45" spans="1:8">
      <c r="A38" s="205">
        <v>2</v>
      </c>
      <c r="B38" s="219" t="s">
        <v>70</v>
      </c>
      <c r="C38" s="207" t="s">
        <v>71</v>
      </c>
      <c r="D38" s="207">
        <v>6</v>
      </c>
      <c r="E38" s="208">
        <v>6</v>
      </c>
      <c r="F38" s="209">
        <f t="shared" ref="F38:F59" si="2">SUM(D38:E38)</f>
        <v>12</v>
      </c>
      <c r="G38" s="210">
        <v>20.46</v>
      </c>
      <c r="H38" s="210">
        <f t="shared" ref="H38:H59" si="3">G38*F38</f>
        <v>245.52</v>
      </c>
    </row>
    <row r="39" ht="30" spans="1:8">
      <c r="A39" s="205">
        <v>3</v>
      </c>
      <c r="B39" s="219" t="s">
        <v>72</v>
      </c>
      <c r="C39" s="207" t="s">
        <v>32</v>
      </c>
      <c r="D39" s="207">
        <v>6</v>
      </c>
      <c r="E39" s="208">
        <v>6</v>
      </c>
      <c r="F39" s="209">
        <f t="shared" si="2"/>
        <v>12</v>
      </c>
      <c r="G39" s="210">
        <v>3.36</v>
      </c>
      <c r="H39" s="210">
        <f t="shared" si="3"/>
        <v>40.32</v>
      </c>
    </row>
    <row r="40" ht="30" spans="1:8">
      <c r="A40" s="205">
        <v>4</v>
      </c>
      <c r="B40" s="219" t="s">
        <v>73</v>
      </c>
      <c r="C40" s="208" t="s">
        <v>69</v>
      </c>
      <c r="D40" s="207">
        <v>2</v>
      </c>
      <c r="E40" s="208">
        <v>2</v>
      </c>
      <c r="F40" s="209">
        <f t="shared" si="2"/>
        <v>4</v>
      </c>
      <c r="G40" s="210">
        <v>77.42</v>
      </c>
      <c r="H40" s="210">
        <f t="shared" si="3"/>
        <v>309.68</v>
      </c>
    </row>
    <row r="41" spans="1:8">
      <c r="A41" s="205">
        <v>5</v>
      </c>
      <c r="B41" s="219" t="s">
        <v>74</v>
      </c>
      <c r="C41" s="207" t="s">
        <v>69</v>
      </c>
      <c r="D41" s="207">
        <v>4</v>
      </c>
      <c r="E41" s="208">
        <v>4</v>
      </c>
      <c r="F41" s="209">
        <f t="shared" si="2"/>
        <v>8</v>
      </c>
      <c r="G41" s="210">
        <v>5.44</v>
      </c>
      <c r="H41" s="210">
        <f t="shared" si="3"/>
        <v>43.52</v>
      </c>
    </row>
    <row r="42" ht="38.25" spans="1:8">
      <c r="A42" s="205">
        <v>6</v>
      </c>
      <c r="B42" s="219" t="s">
        <v>75</v>
      </c>
      <c r="C42" s="207" t="s">
        <v>76</v>
      </c>
      <c r="D42" s="220">
        <v>6</v>
      </c>
      <c r="E42" s="208">
        <v>6</v>
      </c>
      <c r="F42" s="209">
        <f t="shared" si="2"/>
        <v>12</v>
      </c>
      <c r="G42" s="210">
        <v>7.07</v>
      </c>
      <c r="H42" s="210">
        <f t="shared" si="3"/>
        <v>84.84</v>
      </c>
    </row>
    <row r="43" spans="1:8">
      <c r="A43" s="205">
        <v>7</v>
      </c>
      <c r="B43" s="219" t="s">
        <v>77</v>
      </c>
      <c r="C43" s="207" t="s">
        <v>78</v>
      </c>
      <c r="D43" s="220">
        <v>12</v>
      </c>
      <c r="E43" s="208">
        <v>12</v>
      </c>
      <c r="F43" s="209">
        <f t="shared" si="2"/>
        <v>24</v>
      </c>
      <c r="G43" s="210">
        <v>7.76</v>
      </c>
      <c r="H43" s="210">
        <f t="shared" si="3"/>
        <v>186.24</v>
      </c>
    </row>
    <row r="44" ht="38.25" spans="1:8">
      <c r="A44" s="205">
        <v>8</v>
      </c>
      <c r="B44" s="220" t="s">
        <v>79</v>
      </c>
      <c r="C44" s="207" t="s">
        <v>76</v>
      </c>
      <c r="D44" s="220">
        <v>6</v>
      </c>
      <c r="E44" s="208">
        <v>6</v>
      </c>
      <c r="F44" s="209">
        <f t="shared" si="2"/>
        <v>12</v>
      </c>
      <c r="G44" s="210">
        <v>9.01</v>
      </c>
      <c r="H44" s="210">
        <f t="shared" si="3"/>
        <v>108.12</v>
      </c>
    </row>
    <row r="45" spans="1:8">
      <c r="A45" s="205">
        <v>9</v>
      </c>
      <c r="B45" s="219" t="s">
        <v>80</v>
      </c>
      <c r="C45" s="207" t="s">
        <v>78</v>
      </c>
      <c r="D45" s="220">
        <v>6</v>
      </c>
      <c r="E45" s="208">
        <v>6</v>
      </c>
      <c r="F45" s="209">
        <f t="shared" si="2"/>
        <v>12</v>
      </c>
      <c r="G45" s="210">
        <v>20.38</v>
      </c>
      <c r="H45" s="210">
        <f t="shared" si="3"/>
        <v>244.56</v>
      </c>
    </row>
    <row r="46" spans="1:8">
      <c r="A46" s="205">
        <v>10</v>
      </c>
      <c r="B46" s="219" t="s">
        <v>81</v>
      </c>
      <c r="C46" s="207" t="s">
        <v>32</v>
      </c>
      <c r="D46" s="221">
        <v>1</v>
      </c>
      <c r="E46" s="208">
        <v>0</v>
      </c>
      <c r="F46" s="209">
        <f t="shared" si="2"/>
        <v>1</v>
      </c>
      <c r="G46" s="210">
        <v>216.48</v>
      </c>
      <c r="H46" s="210">
        <f t="shared" si="3"/>
        <v>216.48</v>
      </c>
    </row>
    <row r="47" ht="75" spans="1:8">
      <c r="A47" s="205">
        <v>11</v>
      </c>
      <c r="B47" s="219" t="s">
        <v>82</v>
      </c>
      <c r="C47" s="207" t="s">
        <v>78</v>
      </c>
      <c r="D47" s="222">
        <v>6</v>
      </c>
      <c r="E47" s="208">
        <v>6</v>
      </c>
      <c r="F47" s="209">
        <f t="shared" si="2"/>
        <v>12</v>
      </c>
      <c r="G47" s="210">
        <v>30.27</v>
      </c>
      <c r="H47" s="210">
        <f t="shared" si="3"/>
        <v>363.24</v>
      </c>
    </row>
    <row r="48" ht="38.25" spans="1:8">
      <c r="A48" s="205">
        <v>12</v>
      </c>
      <c r="B48" s="219" t="s">
        <v>83</v>
      </c>
      <c r="C48" s="207" t="s">
        <v>84</v>
      </c>
      <c r="D48" s="222">
        <v>12</v>
      </c>
      <c r="E48" s="208">
        <v>12</v>
      </c>
      <c r="F48" s="209">
        <f t="shared" si="2"/>
        <v>24</v>
      </c>
      <c r="G48" s="210">
        <v>1.78</v>
      </c>
      <c r="H48" s="210">
        <f t="shared" si="3"/>
        <v>42.72</v>
      </c>
    </row>
    <row r="49" ht="30" spans="1:8">
      <c r="A49" s="205">
        <v>13</v>
      </c>
      <c r="B49" s="219" t="s">
        <v>85</v>
      </c>
      <c r="C49" s="207" t="s">
        <v>32</v>
      </c>
      <c r="D49" s="222">
        <v>6</v>
      </c>
      <c r="E49" s="208">
        <v>6</v>
      </c>
      <c r="F49" s="209">
        <f t="shared" si="2"/>
        <v>12</v>
      </c>
      <c r="G49" s="210">
        <v>4.78</v>
      </c>
      <c r="H49" s="210">
        <f t="shared" si="3"/>
        <v>57.36</v>
      </c>
    </row>
    <row r="50" spans="1:8">
      <c r="A50" s="205">
        <v>14</v>
      </c>
      <c r="B50" s="219" t="s">
        <v>86</v>
      </c>
      <c r="C50" s="207" t="s">
        <v>32</v>
      </c>
      <c r="D50" s="222">
        <v>12</v>
      </c>
      <c r="E50" s="208">
        <v>12</v>
      </c>
      <c r="F50" s="209">
        <f t="shared" si="2"/>
        <v>24</v>
      </c>
      <c r="G50" s="210">
        <v>4.92</v>
      </c>
      <c r="H50" s="210">
        <f t="shared" si="3"/>
        <v>118.08</v>
      </c>
    </row>
    <row r="51" ht="30" spans="1:8">
      <c r="A51" s="205">
        <v>15</v>
      </c>
      <c r="B51" s="219" t="s">
        <v>87</v>
      </c>
      <c r="C51" s="207" t="s">
        <v>69</v>
      </c>
      <c r="D51" s="222">
        <v>12</v>
      </c>
      <c r="E51" s="208">
        <v>12</v>
      </c>
      <c r="F51" s="209">
        <f t="shared" si="2"/>
        <v>24</v>
      </c>
      <c r="G51" s="210">
        <v>4.41</v>
      </c>
      <c r="H51" s="210">
        <f t="shared" si="3"/>
        <v>105.84</v>
      </c>
    </row>
    <row r="52" ht="45" spans="1:8">
      <c r="A52" s="205">
        <v>16</v>
      </c>
      <c r="B52" s="219" t="s">
        <v>88</v>
      </c>
      <c r="C52" s="207" t="s">
        <v>32</v>
      </c>
      <c r="D52" s="222">
        <v>12</v>
      </c>
      <c r="E52" s="208">
        <v>12</v>
      </c>
      <c r="F52" s="209">
        <f t="shared" si="2"/>
        <v>24</v>
      </c>
      <c r="G52" s="210">
        <v>5.79</v>
      </c>
      <c r="H52" s="210">
        <f t="shared" si="3"/>
        <v>138.96</v>
      </c>
    </row>
    <row r="53" ht="45" spans="1:8">
      <c r="A53" s="205">
        <v>17</v>
      </c>
      <c r="B53" s="219" t="s">
        <v>89</v>
      </c>
      <c r="C53" s="207" t="s">
        <v>90</v>
      </c>
      <c r="D53" s="222">
        <v>6</v>
      </c>
      <c r="E53" s="208">
        <v>6</v>
      </c>
      <c r="F53" s="209">
        <f t="shared" si="2"/>
        <v>12</v>
      </c>
      <c r="G53" s="210">
        <v>22.74</v>
      </c>
      <c r="H53" s="210">
        <f t="shared" si="3"/>
        <v>272.88</v>
      </c>
    </row>
    <row r="54" ht="45" spans="1:8">
      <c r="A54" s="205">
        <v>18</v>
      </c>
      <c r="B54" s="219" t="s">
        <v>91</v>
      </c>
      <c r="C54" s="207" t="s">
        <v>90</v>
      </c>
      <c r="D54" s="222">
        <v>6</v>
      </c>
      <c r="E54" s="208">
        <v>6</v>
      </c>
      <c r="F54" s="209">
        <f t="shared" si="2"/>
        <v>12</v>
      </c>
      <c r="G54" s="210">
        <v>7.99</v>
      </c>
      <c r="H54" s="210">
        <f t="shared" si="3"/>
        <v>95.88</v>
      </c>
    </row>
    <row r="55" spans="1:8">
      <c r="A55" s="205">
        <v>19</v>
      </c>
      <c r="B55" s="219" t="s">
        <v>92</v>
      </c>
      <c r="C55" s="207" t="s">
        <v>32</v>
      </c>
      <c r="D55" s="223">
        <v>3</v>
      </c>
      <c r="E55" s="208">
        <v>3</v>
      </c>
      <c r="F55" s="209">
        <f t="shared" si="2"/>
        <v>6</v>
      </c>
      <c r="G55" s="210">
        <v>6.44</v>
      </c>
      <c r="H55" s="210">
        <f t="shared" si="3"/>
        <v>38.64</v>
      </c>
    </row>
    <row r="56" ht="60" spans="1:8">
      <c r="A56" s="205">
        <v>20</v>
      </c>
      <c r="B56" s="219" t="s">
        <v>93</v>
      </c>
      <c r="C56" s="207" t="s">
        <v>32</v>
      </c>
      <c r="D56" s="223">
        <v>6</v>
      </c>
      <c r="E56" s="208">
        <v>6</v>
      </c>
      <c r="F56" s="209">
        <f t="shared" si="2"/>
        <v>12</v>
      </c>
      <c r="G56" s="210">
        <v>2.11</v>
      </c>
      <c r="H56" s="210">
        <f t="shared" si="3"/>
        <v>25.32</v>
      </c>
    </row>
    <row r="57" ht="45" spans="1:8">
      <c r="A57" s="205">
        <v>21</v>
      </c>
      <c r="B57" s="219" t="s">
        <v>94</v>
      </c>
      <c r="C57" s="207" t="s">
        <v>32</v>
      </c>
      <c r="D57" s="222">
        <v>6</v>
      </c>
      <c r="E57" s="208">
        <v>6</v>
      </c>
      <c r="F57" s="209">
        <f t="shared" si="2"/>
        <v>12</v>
      </c>
      <c r="G57" s="210">
        <v>8.16</v>
      </c>
      <c r="H57" s="210">
        <f t="shared" si="3"/>
        <v>97.92</v>
      </c>
    </row>
    <row r="58" ht="60" spans="1:8">
      <c r="A58" s="205">
        <v>22</v>
      </c>
      <c r="B58" s="219" t="s">
        <v>95</v>
      </c>
      <c r="C58" s="207" t="s">
        <v>32</v>
      </c>
      <c r="D58" s="222">
        <v>6</v>
      </c>
      <c r="E58" s="208">
        <v>6</v>
      </c>
      <c r="F58" s="209">
        <f t="shared" si="2"/>
        <v>12</v>
      </c>
      <c r="G58" s="210">
        <v>4.14</v>
      </c>
      <c r="H58" s="210">
        <f t="shared" si="3"/>
        <v>49.68</v>
      </c>
    </row>
    <row r="59" ht="60" spans="1:8">
      <c r="A59" s="205">
        <v>23</v>
      </c>
      <c r="B59" s="219" t="s">
        <v>96</v>
      </c>
      <c r="C59" s="207" t="s">
        <v>90</v>
      </c>
      <c r="D59" s="222">
        <v>6</v>
      </c>
      <c r="E59" s="208">
        <v>6</v>
      </c>
      <c r="F59" s="209">
        <f t="shared" si="2"/>
        <v>12</v>
      </c>
      <c r="G59" s="210">
        <v>21.15</v>
      </c>
      <c r="H59" s="210">
        <f t="shared" si="3"/>
        <v>253.8</v>
      </c>
    </row>
    <row r="60" spans="1:8">
      <c r="A60" s="213" t="s">
        <v>65</v>
      </c>
      <c r="B60" s="213"/>
      <c r="C60" s="213"/>
      <c r="D60" s="213"/>
      <c r="E60" s="213"/>
      <c r="F60" s="213"/>
      <c r="G60" s="214"/>
      <c r="H60" s="215">
        <f>SUM(H37:H59)</f>
        <v>3347.74</v>
      </c>
    </row>
    <row r="61" spans="1:8">
      <c r="A61" s="216" t="s">
        <v>66</v>
      </c>
      <c r="B61" s="216"/>
      <c r="C61" s="216"/>
      <c r="D61" s="216"/>
      <c r="E61" s="216"/>
      <c r="F61" s="216"/>
      <c r="G61" s="217"/>
      <c r="H61" s="218">
        <f>H60/12</f>
        <v>278.978333333333</v>
      </c>
    </row>
  </sheetData>
  <mergeCells count="10">
    <mergeCell ref="A1:H1"/>
    <mergeCell ref="A2:H2"/>
    <mergeCell ref="A4:H4"/>
    <mergeCell ref="A5:H5"/>
    <mergeCell ref="A7:H7"/>
    <mergeCell ref="A31:F31"/>
    <mergeCell ref="A32:F32"/>
    <mergeCell ref="A35:H35"/>
    <mergeCell ref="A60:F60"/>
    <mergeCell ref="A61:F61"/>
  </mergeCells>
  <pageMargins left="0.511811024" right="0.511811024" top="0.787401575" bottom="0.787401575" header="0.31496062" footer="0.31496062"/>
  <pageSetup paperSize="9" scale="93" orientation="landscape"/>
  <headerFooter>
    <oddHeader>&amp;L&amp;G&amp;CProcesso 23069.151697/2022-19
PE XXX/2022&amp;R&amp;G</oddHead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"/>
  <sheetViews>
    <sheetView topLeftCell="A13" workbookViewId="0">
      <selection activeCell="H11" sqref="H11"/>
    </sheetView>
  </sheetViews>
  <sheetFormatPr defaultColWidth="8.85714285714286" defaultRowHeight="15" outlineLevelCol="7"/>
  <cols>
    <col min="2" max="2" width="64.5714285714286" customWidth="1"/>
    <col min="3" max="3" width="12.2857142857143" customWidth="1"/>
    <col min="4" max="4" width="10.7142857142857" customWidth="1"/>
    <col min="5" max="5" width="12.8571428571429" customWidth="1"/>
    <col min="6" max="6" width="14" customWidth="1"/>
    <col min="7" max="7" width="10.8571428571429" customWidth="1"/>
  </cols>
  <sheetData>
    <row r="1" ht="18" customHeight="1" spans="1:7">
      <c r="A1" s="1" t="s">
        <v>0</v>
      </c>
      <c r="B1" s="1"/>
      <c r="C1" s="1"/>
      <c r="D1" s="1"/>
      <c r="E1" s="1"/>
      <c r="F1" s="17"/>
      <c r="G1" s="17"/>
    </row>
    <row r="2" ht="18.75" spans="1:7">
      <c r="A2" s="2" t="s">
        <v>1</v>
      </c>
      <c r="B2" s="2"/>
      <c r="C2" s="2"/>
      <c r="D2" s="2"/>
      <c r="E2" s="2"/>
      <c r="F2" s="18"/>
      <c r="G2" s="18"/>
    </row>
    <row r="4" ht="14.45" customHeight="1" spans="1:8">
      <c r="A4" s="19" t="s">
        <v>97</v>
      </c>
      <c r="B4" s="20"/>
      <c r="C4" s="20"/>
      <c r="D4" s="20"/>
      <c r="E4" s="20"/>
      <c r="F4" s="21"/>
      <c r="G4" s="21"/>
      <c r="H4" s="14"/>
    </row>
    <row r="5" ht="38.45" customHeight="1" spans="1:8">
      <c r="A5" s="22" t="s">
        <v>2</v>
      </c>
      <c r="B5" s="22"/>
      <c r="C5" s="22"/>
      <c r="D5" s="22"/>
      <c r="E5" s="22"/>
      <c r="F5" s="23"/>
      <c r="G5" s="23"/>
      <c r="H5" s="15"/>
    </row>
    <row r="7" spans="1:5">
      <c r="A7" s="24"/>
      <c r="B7" s="25" t="s">
        <v>98</v>
      </c>
      <c r="C7" s="26"/>
      <c r="D7" s="26"/>
      <c r="E7" s="26"/>
    </row>
    <row r="8" spans="1:5">
      <c r="A8" s="24"/>
      <c r="B8" s="24"/>
      <c r="C8" s="24"/>
      <c r="D8" s="24"/>
      <c r="E8" s="24"/>
    </row>
    <row r="9" spans="1:5">
      <c r="A9" s="24"/>
      <c r="B9" s="27" t="s">
        <v>99</v>
      </c>
      <c r="C9" s="27"/>
      <c r="D9" s="27"/>
      <c r="E9" s="27"/>
    </row>
    <row r="10" ht="15.75" spans="1:5">
      <c r="A10" s="24"/>
      <c r="B10" s="28" t="s">
        <v>100</v>
      </c>
      <c r="C10" s="29"/>
      <c r="D10" s="29"/>
      <c r="E10" s="29"/>
    </row>
    <row r="11" spans="1:5">
      <c r="A11" s="24"/>
      <c r="B11" s="30" t="s">
        <v>101</v>
      </c>
      <c r="C11" s="31" t="s">
        <v>102</v>
      </c>
      <c r="D11" s="32"/>
      <c r="E11" s="33"/>
    </row>
    <row r="12" spans="1:5">
      <c r="A12" s="24"/>
      <c r="B12" s="34" t="s">
        <v>103</v>
      </c>
      <c r="C12" s="35">
        <v>20.88</v>
      </c>
      <c r="D12" s="36"/>
      <c r="E12" s="37"/>
    </row>
    <row r="13" spans="1:5">
      <c r="A13" s="24"/>
      <c r="B13" s="34" t="s">
        <v>104</v>
      </c>
      <c r="C13" s="38" t="s">
        <v>105</v>
      </c>
      <c r="D13" s="39"/>
      <c r="E13" s="40"/>
    </row>
    <row r="14" spans="1:5">
      <c r="A14" s="24"/>
      <c r="B14" s="34" t="s">
        <v>106</v>
      </c>
      <c r="C14" s="41">
        <v>1301</v>
      </c>
      <c r="D14" s="42"/>
      <c r="E14" s="43"/>
    </row>
    <row r="15" spans="1:5">
      <c r="A15" s="24"/>
      <c r="B15" s="34" t="s">
        <v>107</v>
      </c>
      <c r="C15" s="44"/>
      <c r="D15" s="36"/>
      <c r="E15" s="37"/>
    </row>
    <row r="16" spans="1:5">
      <c r="A16" s="24"/>
      <c r="B16" s="34" t="s">
        <v>108</v>
      </c>
      <c r="C16" s="45"/>
      <c r="D16" s="46"/>
      <c r="E16" s="47"/>
    </row>
    <row r="17" spans="1:5">
      <c r="A17" s="24"/>
      <c r="B17" s="34" t="s">
        <v>109</v>
      </c>
      <c r="C17" s="48"/>
      <c r="D17" s="49"/>
      <c r="E17" s="50"/>
    </row>
    <row r="18" spans="1:5">
      <c r="A18" s="24"/>
      <c r="B18" s="51" t="s">
        <v>110</v>
      </c>
      <c r="C18" s="52"/>
      <c r="D18" s="53"/>
      <c r="E18" s="54"/>
    </row>
    <row r="19" ht="36" customHeight="1" spans="1:5">
      <c r="A19" s="24"/>
      <c r="B19" s="55" t="s">
        <v>111</v>
      </c>
      <c r="C19" s="56" t="s">
        <v>112</v>
      </c>
      <c r="D19" s="56"/>
      <c r="E19" s="57"/>
    </row>
    <row r="20" ht="36" customHeight="1" spans="1:5">
      <c r="A20" s="24"/>
      <c r="B20" s="58"/>
      <c r="C20" s="59"/>
      <c r="D20" s="60"/>
      <c r="E20" s="61"/>
    </row>
    <row r="21" ht="15.75" spans="1:5">
      <c r="A21" s="24"/>
      <c r="B21" s="24"/>
      <c r="C21" s="62"/>
      <c r="D21" s="62"/>
      <c r="E21" s="62"/>
    </row>
    <row r="22" spans="1:5">
      <c r="A22" s="63" t="s">
        <v>113</v>
      </c>
      <c r="B22" s="63"/>
      <c r="C22" s="63"/>
      <c r="D22" s="62"/>
      <c r="E22" s="62"/>
    </row>
    <row r="23" spans="1:5">
      <c r="A23" s="64">
        <v>1</v>
      </c>
      <c r="B23" s="65" t="s">
        <v>114</v>
      </c>
      <c r="C23" s="66" t="s">
        <v>115</v>
      </c>
      <c r="D23" s="62"/>
      <c r="E23" s="62"/>
    </row>
    <row r="24" spans="1:5">
      <c r="A24" s="67" t="s">
        <v>116</v>
      </c>
      <c r="B24" s="68" t="s">
        <v>117</v>
      </c>
      <c r="C24" s="69">
        <f>C14</f>
        <v>1301</v>
      </c>
      <c r="D24" s="62"/>
      <c r="E24" s="62"/>
    </row>
    <row r="25" spans="1:5">
      <c r="A25" s="67" t="s">
        <v>118</v>
      </c>
      <c r="B25" s="68" t="s">
        <v>119</v>
      </c>
      <c r="C25" s="70"/>
      <c r="D25" s="62"/>
      <c r="E25" s="62"/>
    </row>
    <row r="26" spans="1:5">
      <c r="A26" s="67" t="s">
        <v>120</v>
      </c>
      <c r="B26" s="68" t="s">
        <v>121</v>
      </c>
      <c r="C26" s="70">
        <f>20%*C24</f>
        <v>260.2</v>
      </c>
      <c r="D26" s="62"/>
      <c r="E26" s="24"/>
    </row>
    <row r="27" spans="1:5">
      <c r="A27" s="67" t="s">
        <v>122</v>
      </c>
      <c r="B27" s="71" t="s">
        <v>123</v>
      </c>
      <c r="C27" s="70"/>
      <c r="D27" s="62"/>
      <c r="E27" s="24"/>
    </row>
    <row r="28" spans="1:5">
      <c r="A28" s="67" t="s">
        <v>124</v>
      </c>
      <c r="B28" s="71" t="s">
        <v>125</v>
      </c>
      <c r="C28" s="70"/>
      <c r="D28" s="62"/>
      <c r="E28" s="24"/>
    </row>
    <row r="29" spans="1:5">
      <c r="A29" s="67" t="s">
        <v>126</v>
      </c>
      <c r="B29" s="72" t="s">
        <v>127</v>
      </c>
      <c r="C29" s="73"/>
      <c r="D29" s="62"/>
      <c r="E29" s="24"/>
    </row>
    <row r="30" ht="15.75" spans="1:5">
      <c r="A30" s="74"/>
      <c r="B30" s="75" t="s">
        <v>128</v>
      </c>
      <c r="C30" s="76">
        <f>SUM(C24:C29)</f>
        <v>1561.2</v>
      </c>
      <c r="D30" s="62"/>
      <c r="E30" s="24"/>
    </row>
    <row r="31" ht="15.75" spans="1:5">
      <c r="A31" s="24"/>
      <c r="B31" s="77"/>
      <c r="C31" s="77"/>
      <c r="D31" s="77"/>
      <c r="E31" s="62"/>
    </row>
    <row r="32" spans="1:5">
      <c r="A32" s="78"/>
      <c r="B32" s="79" t="s">
        <v>129</v>
      </c>
      <c r="C32" s="79"/>
      <c r="D32" s="62"/>
      <c r="E32" s="24"/>
    </row>
    <row r="33" spans="1:5">
      <c r="A33" s="80"/>
      <c r="B33" s="81" t="s">
        <v>130</v>
      </c>
      <c r="C33" s="81"/>
      <c r="D33" s="62"/>
      <c r="E33" s="24"/>
    </row>
    <row r="34" spans="1:5">
      <c r="A34" s="64" t="s">
        <v>131</v>
      </c>
      <c r="B34" s="82" t="s">
        <v>132</v>
      </c>
      <c r="C34" s="66" t="s">
        <v>133</v>
      </c>
      <c r="D34" s="62"/>
      <c r="E34" s="24"/>
    </row>
    <row r="35" spans="1:5">
      <c r="A35" s="67" t="s">
        <v>116</v>
      </c>
      <c r="B35" s="83" t="s">
        <v>134</v>
      </c>
      <c r="C35" s="84">
        <f>C30*8.33%</f>
        <v>130.04796</v>
      </c>
      <c r="D35" s="62"/>
      <c r="E35" s="24"/>
    </row>
    <row r="36" spans="1:5">
      <c r="A36" s="67" t="s">
        <v>118</v>
      </c>
      <c r="B36" s="83" t="s">
        <v>135</v>
      </c>
      <c r="C36" s="84">
        <f>C30*12.1%</f>
        <v>188.9052</v>
      </c>
      <c r="D36" s="85"/>
      <c r="E36" s="24"/>
    </row>
    <row r="37" spans="1:5">
      <c r="A37" s="86"/>
      <c r="B37" s="87" t="s">
        <v>136</v>
      </c>
      <c r="C37" s="88">
        <f>SUM(C35:C36)</f>
        <v>318.95316</v>
      </c>
      <c r="D37" s="89"/>
      <c r="E37" s="24"/>
    </row>
    <row r="38" ht="36" spans="1:5">
      <c r="A38" s="90" t="s">
        <v>120</v>
      </c>
      <c r="B38" s="91" t="s">
        <v>137</v>
      </c>
      <c r="C38" s="92">
        <f>C30*7.82%</f>
        <v>122.08584</v>
      </c>
      <c r="D38" s="89"/>
      <c r="E38" s="24"/>
    </row>
    <row r="39" ht="15.75" spans="1:5">
      <c r="A39" s="24"/>
      <c r="B39" s="24"/>
      <c r="C39" s="24"/>
      <c r="D39" s="24"/>
      <c r="E39" s="62"/>
    </row>
    <row r="40" ht="32.45" customHeight="1" spans="1:5">
      <c r="A40" s="93" t="s">
        <v>138</v>
      </c>
      <c r="B40" s="93"/>
      <c r="C40" s="93"/>
      <c r="D40" s="93"/>
      <c r="E40" s="62"/>
    </row>
    <row r="41" ht="15.75" spans="1:5">
      <c r="A41" s="94" t="s">
        <v>139</v>
      </c>
      <c r="B41" s="95" t="s">
        <v>140</v>
      </c>
      <c r="C41" s="96" t="s">
        <v>141</v>
      </c>
      <c r="D41" s="97" t="s">
        <v>115</v>
      </c>
      <c r="E41" s="62"/>
    </row>
    <row r="42" spans="1:5">
      <c r="A42" s="98" t="s">
        <v>116</v>
      </c>
      <c r="B42" s="99" t="s">
        <v>142</v>
      </c>
      <c r="C42" s="100">
        <v>20</v>
      </c>
      <c r="D42" s="101">
        <f>(C$30*(C42/100))</f>
        <v>312.24</v>
      </c>
      <c r="E42" s="62"/>
    </row>
    <row r="43" ht="15.75" spans="1:5">
      <c r="A43" s="98" t="s">
        <v>118</v>
      </c>
      <c r="B43" s="102" t="s">
        <v>143</v>
      </c>
      <c r="C43" s="103">
        <v>2.5</v>
      </c>
      <c r="D43" s="104">
        <f>(C30*(C43/100))</f>
        <v>39.03</v>
      </c>
      <c r="E43" s="62"/>
    </row>
    <row r="44" ht="15.75" spans="1:5">
      <c r="A44" s="98" t="s">
        <v>120</v>
      </c>
      <c r="B44" s="105" t="s">
        <v>144</v>
      </c>
      <c r="C44" s="106">
        <v>6</v>
      </c>
      <c r="D44" s="101">
        <f t="shared" ref="D44:D49" si="0">(C$30*(C44/100))</f>
        <v>93.672</v>
      </c>
      <c r="E44" s="62"/>
    </row>
    <row r="45" ht="15.75" spans="1:5">
      <c r="A45" s="98" t="s">
        <v>122</v>
      </c>
      <c r="B45" s="102" t="s">
        <v>145</v>
      </c>
      <c r="C45" s="103">
        <v>1.5</v>
      </c>
      <c r="D45" s="101">
        <f t="shared" si="0"/>
        <v>23.418</v>
      </c>
      <c r="E45" s="62"/>
    </row>
    <row r="46" ht="15.75" spans="1:5">
      <c r="A46" s="98" t="s">
        <v>124</v>
      </c>
      <c r="B46" s="102" t="s">
        <v>146</v>
      </c>
      <c r="C46" s="103">
        <v>1</v>
      </c>
      <c r="D46" s="101">
        <f t="shared" si="0"/>
        <v>15.612</v>
      </c>
      <c r="E46" s="62"/>
    </row>
    <row r="47" ht="15.75" spans="1:5">
      <c r="A47" s="98" t="s">
        <v>126</v>
      </c>
      <c r="B47" s="102" t="s">
        <v>147</v>
      </c>
      <c r="C47" s="103">
        <v>0.6</v>
      </c>
      <c r="D47" s="101">
        <f t="shared" si="0"/>
        <v>9.3672</v>
      </c>
      <c r="E47" s="62"/>
    </row>
    <row r="48" ht="15.75" spans="1:5">
      <c r="A48" s="98" t="s">
        <v>148</v>
      </c>
      <c r="B48" s="102" t="s">
        <v>149</v>
      </c>
      <c r="C48" s="103">
        <v>0.2</v>
      </c>
      <c r="D48" s="101">
        <f t="shared" si="0"/>
        <v>3.1224</v>
      </c>
      <c r="E48" s="62"/>
    </row>
    <row r="49" spans="1:5">
      <c r="A49" s="98" t="s">
        <v>150</v>
      </c>
      <c r="B49" s="105" t="s">
        <v>151</v>
      </c>
      <c r="C49" s="106">
        <v>8</v>
      </c>
      <c r="D49" s="101">
        <f t="shared" si="0"/>
        <v>124.896</v>
      </c>
      <c r="E49" s="62"/>
    </row>
    <row r="50" ht="15.75" spans="1:5">
      <c r="A50" s="107"/>
      <c r="B50" s="108" t="s">
        <v>152</v>
      </c>
      <c r="C50" s="109">
        <f>SUM(C42:C49)</f>
        <v>39.8</v>
      </c>
      <c r="D50" s="110">
        <f>SUM(D42:D49)</f>
        <v>621.3576</v>
      </c>
      <c r="E50" s="62"/>
    </row>
    <row r="51" spans="1:5">
      <c r="A51" s="111"/>
      <c r="B51" s="112" t="s">
        <v>153</v>
      </c>
      <c r="C51" s="111"/>
      <c r="D51" s="111"/>
      <c r="E51" s="62"/>
    </row>
    <row r="52" ht="15.75" spans="1:5">
      <c r="A52" s="111"/>
      <c r="B52" s="112"/>
      <c r="C52" s="111"/>
      <c r="D52" s="111"/>
      <c r="E52" s="62"/>
    </row>
    <row r="53" spans="1:5">
      <c r="A53" s="113"/>
      <c r="B53" s="114" t="s">
        <v>154</v>
      </c>
      <c r="C53" s="115"/>
      <c r="D53" s="62"/>
      <c r="E53" s="24"/>
    </row>
    <row r="54" spans="1:5">
      <c r="A54" s="64" t="s">
        <v>155</v>
      </c>
      <c r="B54" s="65" t="s">
        <v>156</v>
      </c>
      <c r="C54" s="66" t="s">
        <v>115</v>
      </c>
      <c r="D54" s="62"/>
      <c r="E54" s="24"/>
    </row>
    <row r="55" spans="1:5">
      <c r="A55" s="116" t="s">
        <v>116</v>
      </c>
      <c r="B55" s="117" t="s">
        <v>157</v>
      </c>
      <c r="C55" s="118">
        <f>(4.05*4*C12)-6%*C14</f>
        <v>260.196</v>
      </c>
      <c r="D55" s="62"/>
      <c r="E55" s="24"/>
    </row>
    <row r="56" spans="1:5">
      <c r="A56" s="116" t="s">
        <v>118</v>
      </c>
      <c r="B56" s="119" t="s">
        <v>158</v>
      </c>
      <c r="C56" s="120">
        <f>(19.5*C12)-10%*C14</f>
        <v>277.06</v>
      </c>
      <c r="D56" s="62"/>
      <c r="E56" s="24"/>
    </row>
    <row r="57" spans="1:5">
      <c r="A57" s="116" t="s">
        <v>120</v>
      </c>
      <c r="B57" s="119" t="s">
        <v>159</v>
      </c>
      <c r="C57" s="118">
        <v>0</v>
      </c>
      <c r="D57" s="62"/>
      <c r="E57" s="24"/>
    </row>
    <row r="58" spans="1:5">
      <c r="A58" s="116" t="s">
        <v>122</v>
      </c>
      <c r="B58" s="119" t="s">
        <v>160</v>
      </c>
      <c r="C58" s="118">
        <v>16</v>
      </c>
      <c r="D58" s="62"/>
      <c r="E58" s="24"/>
    </row>
    <row r="59" ht="15.75" spans="1:5">
      <c r="A59" s="74"/>
      <c r="B59" s="75" t="s">
        <v>161</v>
      </c>
      <c r="C59" s="76">
        <f>SUM(C55:C58)</f>
        <v>553.256</v>
      </c>
      <c r="D59" s="62"/>
      <c r="E59" s="24"/>
    </row>
    <row r="60" ht="15.75" spans="1:5">
      <c r="A60" s="111"/>
      <c r="B60" s="121"/>
      <c r="C60" s="122"/>
      <c r="D60" s="123"/>
      <c r="E60" s="62"/>
    </row>
    <row r="61" spans="1:5">
      <c r="A61" s="113"/>
      <c r="B61" s="124" t="s">
        <v>162</v>
      </c>
      <c r="C61" s="125"/>
      <c r="D61" s="62"/>
      <c r="E61" s="24"/>
    </row>
    <row r="62" spans="1:5">
      <c r="A62" s="67">
        <v>2</v>
      </c>
      <c r="B62" s="126" t="s">
        <v>163</v>
      </c>
      <c r="C62" s="127" t="s">
        <v>133</v>
      </c>
      <c r="D62" s="62"/>
      <c r="E62" s="24"/>
    </row>
    <row r="63" spans="1:5">
      <c r="A63" s="67" t="s">
        <v>131</v>
      </c>
      <c r="B63" s="68" t="s">
        <v>132</v>
      </c>
      <c r="C63" s="69">
        <f>C37</f>
        <v>318.95316</v>
      </c>
      <c r="D63" s="62"/>
      <c r="E63" s="24"/>
    </row>
    <row r="64" spans="1:5">
      <c r="A64" s="67" t="s">
        <v>139</v>
      </c>
      <c r="B64" s="68" t="s">
        <v>140</v>
      </c>
      <c r="C64" s="69">
        <f>D50+C38</f>
        <v>743.44344</v>
      </c>
      <c r="D64" s="62"/>
      <c r="E64" s="24"/>
    </row>
    <row r="65" spans="1:5">
      <c r="A65" s="67" t="s">
        <v>155</v>
      </c>
      <c r="B65" s="68" t="s">
        <v>156</v>
      </c>
      <c r="C65" s="69">
        <f>C59</f>
        <v>553.256</v>
      </c>
      <c r="D65" s="62"/>
      <c r="E65" s="24"/>
    </row>
    <row r="66" ht="15.75" spans="1:5">
      <c r="A66" s="74"/>
      <c r="B66" s="128" t="s">
        <v>136</v>
      </c>
      <c r="C66" s="76">
        <f>SUM(C63:C65)</f>
        <v>1615.6526</v>
      </c>
      <c r="D66" s="62"/>
      <c r="E66" s="24"/>
    </row>
    <row r="67" ht="15.75" spans="1:5">
      <c r="A67" s="24"/>
      <c r="B67" s="129"/>
      <c r="C67" s="123"/>
      <c r="D67" s="123"/>
      <c r="E67" s="62"/>
    </row>
    <row r="68" spans="1:5">
      <c r="A68" s="130"/>
      <c r="B68" s="131" t="s">
        <v>164</v>
      </c>
      <c r="C68" s="132"/>
      <c r="D68" s="62"/>
      <c r="E68" s="24"/>
    </row>
    <row r="69" spans="1:5">
      <c r="A69" s="133">
        <v>3</v>
      </c>
      <c r="B69" s="134" t="s">
        <v>165</v>
      </c>
      <c r="C69" s="135" t="s">
        <v>115</v>
      </c>
      <c r="D69" s="62"/>
      <c r="E69" s="24"/>
    </row>
    <row r="70" spans="1:5">
      <c r="A70" s="136" t="s">
        <v>116</v>
      </c>
      <c r="B70" s="137" t="s">
        <v>166</v>
      </c>
      <c r="C70" s="138">
        <f>((C30+C35+C36)/12)*5%</f>
        <v>7.8339715</v>
      </c>
      <c r="D70" s="62"/>
      <c r="E70" s="24"/>
    </row>
    <row r="71" spans="1:5">
      <c r="A71" s="136" t="s">
        <v>118</v>
      </c>
      <c r="B71" s="137" t="s">
        <v>167</v>
      </c>
      <c r="C71" s="139">
        <f>((C30+C35)/12)*5%*8%</f>
        <v>0.56374932</v>
      </c>
      <c r="D71" s="62"/>
      <c r="E71" s="24"/>
    </row>
    <row r="72" spans="1:5">
      <c r="A72" s="136" t="s">
        <v>120</v>
      </c>
      <c r="B72" s="137" t="s">
        <v>168</v>
      </c>
      <c r="C72" s="139">
        <v>0</v>
      </c>
      <c r="D72" s="62"/>
      <c r="E72" s="24"/>
    </row>
    <row r="73" spans="1:5">
      <c r="A73" s="136" t="s">
        <v>122</v>
      </c>
      <c r="B73" s="137" t="s">
        <v>169</v>
      </c>
      <c r="C73" s="139">
        <f>(((C30+C57)/30/12)*7)</f>
        <v>30.3566666666667</v>
      </c>
      <c r="D73" s="62"/>
      <c r="E73" s="24"/>
    </row>
    <row r="74" spans="1:5">
      <c r="A74" s="136" t="s">
        <v>124</v>
      </c>
      <c r="B74" s="137" t="s">
        <v>170</v>
      </c>
      <c r="C74" s="140">
        <f>(C30/30/12*7)*8%</f>
        <v>2.42853333333333</v>
      </c>
      <c r="D74" s="62"/>
      <c r="E74" s="24"/>
    </row>
    <row r="75" spans="1:5">
      <c r="A75" s="136" t="s">
        <v>126</v>
      </c>
      <c r="B75" s="137" t="s">
        <v>171</v>
      </c>
      <c r="C75" s="139">
        <f>C30*4%</f>
        <v>62.448</v>
      </c>
      <c r="D75" s="62"/>
      <c r="E75" s="24"/>
    </row>
    <row r="76" spans="1:5">
      <c r="A76" s="141"/>
      <c r="B76" s="134" t="s">
        <v>152</v>
      </c>
      <c r="C76" s="142">
        <f>SUM(C70:C75)</f>
        <v>103.63092082</v>
      </c>
      <c r="D76" s="62"/>
      <c r="E76" s="24"/>
    </row>
    <row r="77" ht="15.75" spans="1:5">
      <c r="A77" s="24"/>
      <c r="B77" s="24"/>
      <c r="C77" s="24"/>
      <c r="D77" s="24"/>
      <c r="E77" s="62"/>
    </row>
    <row r="78" spans="1:5">
      <c r="A78" s="78"/>
      <c r="B78" s="143" t="s">
        <v>172</v>
      </c>
      <c r="C78" s="144"/>
      <c r="D78" s="145"/>
      <c r="E78" s="24"/>
    </row>
    <row r="79" spans="1:5">
      <c r="A79" s="80"/>
      <c r="B79" s="126" t="s">
        <v>173</v>
      </c>
      <c r="C79" s="66"/>
      <c r="D79" s="62"/>
      <c r="E79" s="24"/>
    </row>
    <row r="80" spans="1:5">
      <c r="A80" s="64" t="s">
        <v>174</v>
      </c>
      <c r="B80" s="146" t="s">
        <v>175</v>
      </c>
      <c r="C80" s="147" t="s">
        <v>115</v>
      </c>
      <c r="D80" s="62"/>
      <c r="E80" s="24"/>
    </row>
    <row r="81" spans="1:5">
      <c r="A81" s="67" t="s">
        <v>116</v>
      </c>
      <c r="B81" s="148" t="s">
        <v>176</v>
      </c>
      <c r="C81" s="149">
        <v>0</v>
      </c>
      <c r="D81" s="62"/>
      <c r="E81" s="24"/>
    </row>
    <row r="82" spans="1:5">
      <c r="A82" s="67" t="s">
        <v>118</v>
      </c>
      <c r="B82" s="148" t="s">
        <v>177</v>
      </c>
      <c r="C82" s="149">
        <f>(((C30+C66+C76+C85+C106)-(C55-C56-C103-C104))/30*2.96)/12</f>
        <v>34.3849613671865</v>
      </c>
      <c r="D82" s="62"/>
      <c r="E82" s="24"/>
    </row>
    <row r="83" spans="1:5">
      <c r="A83" s="67" t="s">
        <v>120</v>
      </c>
      <c r="B83" s="148" t="s">
        <v>178</v>
      </c>
      <c r="C83" s="149">
        <f>(((C30+C66+C76+C85+C106)-(C55-C56-C103-C104))/30*5*1.5%)/12</f>
        <v>0.871240575182091</v>
      </c>
      <c r="D83" s="62"/>
      <c r="E83" s="24"/>
    </row>
    <row r="84" spans="1:5">
      <c r="A84" s="67" t="s">
        <v>122</v>
      </c>
      <c r="B84" s="148" t="s">
        <v>179</v>
      </c>
      <c r="C84" s="149">
        <f>(((C30+C66+C76+C85+C106)-(C55-C56-C103-C104))/30*15*0.78%)/12</f>
        <v>1.35913529728406</v>
      </c>
      <c r="D84" s="62"/>
      <c r="E84" s="24"/>
    </row>
    <row r="85" spans="1:5">
      <c r="A85" s="67" t="s">
        <v>124</v>
      </c>
      <c r="B85" s="148" t="s">
        <v>180</v>
      </c>
      <c r="C85" s="149">
        <f>(((C36*3.95/12)+(C57*3.95*1.02%))/12+((C30+C35)*39.8%*3.95)*1.02%/12)</f>
        <v>7.44176386356193</v>
      </c>
      <c r="D85" s="89"/>
      <c r="E85" s="24"/>
    </row>
    <row r="86" spans="1:5">
      <c r="A86" s="67" t="s">
        <v>126</v>
      </c>
      <c r="B86" s="150" t="s">
        <v>181</v>
      </c>
      <c r="C86" s="149">
        <v>0</v>
      </c>
      <c r="D86" s="62"/>
      <c r="E86" s="24"/>
    </row>
    <row r="87" ht="15.75" spans="1:5">
      <c r="A87" s="74"/>
      <c r="B87" s="151" t="s">
        <v>152</v>
      </c>
      <c r="C87" s="110">
        <f>SUM(C81:C86)</f>
        <v>44.0571011032146</v>
      </c>
      <c r="D87" s="62"/>
      <c r="E87" s="24"/>
    </row>
    <row r="88" ht="15.75" spans="1:5">
      <c r="A88" s="111"/>
      <c r="B88" s="111"/>
      <c r="C88" s="111"/>
      <c r="D88" s="24"/>
      <c r="E88" s="62"/>
    </row>
    <row r="89" spans="1:5">
      <c r="A89" s="152"/>
      <c r="B89" s="153" t="s">
        <v>182</v>
      </c>
      <c r="C89" s="153"/>
      <c r="D89" s="62"/>
      <c r="E89" s="24"/>
    </row>
    <row r="90" spans="1:5">
      <c r="A90" s="64" t="s">
        <v>183</v>
      </c>
      <c r="B90" s="146" t="s">
        <v>184</v>
      </c>
      <c r="C90" s="147" t="s">
        <v>115</v>
      </c>
      <c r="D90" s="62"/>
      <c r="E90" s="24"/>
    </row>
    <row r="91" spans="1:5">
      <c r="A91" s="67" t="s">
        <v>116</v>
      </c>
      <c r="B91" s="154" t="s">
        <v>185</v>
      </c>
      <c r="C91" s="155">
        <v>0</v>
      </c>
      <c r="D91" s="62"/>
      <c r="E91" s="24"/>
    </row>
    <row r="92" ht="15.75" spans="1:5">
      <c r="A92" s="156"/>
      <c r="B92" s="151" t="s">
        <v>152</v>
      </c>
      <c r="C92" s="157">
        <v>0</v>
      </c>
      <c r="D92" s="158"/>
      <c r="E92" s="24"/>
    </row>
    <row r="93" ht="15.75" spans="1:5">
      <c r="A93" s="111"/>
      <c r="B93" s="111"/>
      <c r="C93" s="111"/>
      <c r="D93" s="24"/>
      <c r="E93" s="62"/>
    </row>
    <row r="94" spans="1:5">
      <c r="A94" s="113"/>
      <c r="B94" s="124" t="s">
        <v>186</v>
      </c>
      <c r="C94" s="125"/>
      <c r="D94" s="62"/>
      <c r="E94" s="24"/>
    </row>
    <row r="95" spans="1:5">
      <c r="A95" s="64">
        <v>4</v>
      </c>
      <c r="B95" s="126" t="s">
        <v>187</v>
      </c>
      <c r="C95" s="127" t="s">
        <v>133</v>
      </c>
      <c r="D95" s="62"/>
      <c r="E95" s="24"/>
    </row>
    <row r="96" spans="1:5">
      <c r="A96" s="67" t="s">
        <v>174</v>
      </c>
      <c r="B96" s="68" t="s">
        <v>175</v>
      </c>
      <c r="C96" s="69">
        <f>C87</f>
        <v>44.0571011032146</v>
      </c>
      <c r="D96" s="159"/>
      <c r="E96" s="160"/>
    </row>
    <row r="97" spans="1:5">
      <c r="A97" s="67" t="s">
        <v>183</v>
      </c>
      <c r="B97" s="68" t="s">
        <v>184</v>
      </c>
      <c r="C97" s="69">
        <v>0</v>
      </c>
      <c r="D97" s="62"/>
      <c r="E97" s="24"/>
    </row>
    <row r="98" ht="15.75" spans="1:5">
      <c r="A98" s="74"/>
      <c r="B98" s="128" t="s">
        <v>136</v>
      </c>
      <c r="C98" s="76">
        <f>SUM(C96:C97)</f>
        <v>44.0571011032146</v>
      </c>
      <c r="D98" s="62"/>
      <c r="E98" s="24"/>
    </row>
    <row r="99" ht="15.75" spans="1:5">
      <c r="A99" s="24"/>
      <c r="B99" s="24"/>
      <c r="C99" s="24"/>
      <c r="D99" s="24"/>
      <c r="E99" s="24"/>
    </row>
    <row r="100" spans="1:5">
      <c r="A100" s="161"/>
      <c r="B100" s="143" t="s">
        <v>188</v>
      </c>
      <c r="C100" s="162"/>
      <c r="D100" s="24"/>
      <c r="E100" s="24"/>
    </row>
    <row r="101" spans="1:5">
      <c r="A101" s="163">
        <v>5</v>
      </c>
      <c r="B101" s="164" t="s">
        <v>189</v>
      </c>
      <c r="C101" s="66" t="s">
        <v>115</v>
      </c>
      <c r="D101" s="24"/>
      <c r="E101" s="24"/>
    </row>
    <row r="102" spans="1:5">
      <c r="A102" s="165" t="s">
        <v>116</v>
      </c>
      <c r="B102" s="166" t="s">
        <v>190</v>
      </c>
      <c r="C102" s="167">
        <f>'An IIC Uniformes e Mat.'!H32</f>
        <v>259.705</v>
      </c>
      <c r="D102" s="24"/>
      <c r="E102" s="24"/>
    </row>
    <row r="103" spans="1:5">
      <c r="A103" s="165" t="s">
        <v>118</v>
      </c>
      <c r="B103" s="168" t="s">
        <v>191</v>
      </c>
      <c r="C103" s="169">
        <f>'An IIC Uniformes e Mat.'!H61</f>
        <v>278.978333333333</v>
      </c>
      <c r="D103" s="170"/>
      <c r="E103" s="170"/>
    </row>
    <row r="104" spans="1:5">
      <c r="A104" s="165" t="s">
        <v>120</v>
      </c>
      <c r="B104" s="171" t="s">
        <v>192</v>
      </c>
      <c r="C104" s="172">
        <f>'An IIB Relacao Equip'!F14</f>
        <v>29.7519047619048</v>
      </c>
      <c r="D104" s="170"/>
      <c r="E104" s="24"/>
    </row>
    <row r="105" spans="1:5">
      <c r="A105" s="173" t="s">
        <v>122</v>
      </c>
      <c r="B105" s="174" t="s">
        <v>127</v>
      </c>
      <c r="C105" s="175">
        <v>0</v>
      </c>
      <c r="D105" s="24"/>
      <c r="E105" s="24"/>
    </row>
    <row r="106" ht="15.75" spans="1:5">
      <c r="A106" s="176"/>
      <c r="B106" s="177" t="s">
        <v>193</v>
      </c>
      <c r="C106" s="178">
        <f>C102+C103+C104</f>
        <v>568.435238095238</v>
      </c>
      <c r="D106" s="179"/>
      <c r="E106" s="24"/>
    </row>
    <row r="107" ht="15.75" spans="1:5">
      <c r="A107" s="180"/>
      <c r="B107" s="181"/>
      <c r="C107" s="182"/>
      <c r="D107" s="182"/>
      <c r="E107" s="24"/>
    </row>
    <row r="108" spans="1:5">
      <c r="A108" s="183"/>
      <c r="B108" s="79" t="s">
        <v>194</v>
      </c>
      <c r="C108" s="79"/>
      <c r="D108" s="79"/>
      <c r="E108" s="24"/>
    </row>
    <row r="109" spans="1:5">
      <c r="A109" s="163">
        <v>6</v>
      </c>
      <c r="B109" s="146" t="s">
        <v>195</v>
      </c>
      <c r="C109" s="184" t="s">
        <v>141</v>
      </c>
      <c r="D109" s="147" t="s">
        <v>115</v>
      </c>
      <c r="E109" s="24"/>
    </row>
    <row r="110" spans="1:5">
      <c r="A110" s="165" t="s">
        <v>116</v>
      </c>
      <c r="B110" s="185" t="s">
        <v>196</v>
      </c>
      <c r="C110" s="186">
        <v>4.47</v>
      </c>
      <c r="D110" s="84">
        <f>(C127)*C110/100</f>
        <v>174.016020942825</v>
      </c>
      <c r="E110" s="24"/>
    </row>
    <row r="111" spans="1:5">
      <c r="A111" s="165" t="s">
        <v>118</v>
      </c>
      <c r="B111" s="185" t="s">
        <v>197</v>
      </c>
      <c r="C111" s="186">
        <v>3.06</v>
      </c>
      <c r="D111" s="84">
        <f>(C127+D110)*C111/100</f>
        <v>124.449951557415</v>
      </c>
      <c r="E111" s="24"/>
    </row>
    <row r="112" spans="1:5">
      <c r="A112" s="165" t="s">
        <v>120</v>
      </c>
      <c r="B112" s="185" t="s">
        <v>198</v>
      </c>
      <c r="C112" s="186"/>
      <c r="D112" s="84"/>
      <c r="E112" s="24"/>
    </row>
    <row r="113" spans="1:5">
      <c r="A113" s="165"/>
      <c r="B113" s="185" t="s">
        <v>199</v>
      </c>
      <c r="C113" s="186">
        <f>3+0.65</f>
        <v>3.65</v>
      </c>
      <c r="D113" s="84">
        <f>((C127+D110+D111)/(1-(C113+C115)/100))*C113/100</f>
        <v>167.474139996642</v>
      </c>
      <c r="E113" s="24"/>
    </row>
    <row r="114" spans="1:5">
      <c r="A114" s="165"/>
      <c r="B114" s="185" t="s">
        <v>200</v>
      </c>
      <c r="C114" s="186"/>
      <c r="D114" s="84"/>
      <c r="E114" s="24"/>
    </row>
    <row r="115" spans="1:5">
      <c r="A115" s="165"/>
      <c r="B115" s="185" t="s">
        <v>201</v>
      </c>
      <c r="C115" s="187">
        <v>5</v>
      </c>
      <c r="D115" s="84">
        <f>((C127+D110+D111)/(1-(C113+C115)/100))*C115/100</f>
        <v>229.416630132386</v>
      </c>
      <c r="E115" s="24"/>
    </row>
    <row r="116" spans="1:5">
      <c r="A116" s="165"/>
      <c r="B116" s="185" t="s">
        <v>202</v>
      </c>
      <c r="C116" s="186"/>
      <c r="D116" s="84"/>
      <c r="E116" s="24"/>
    </row>
    <row r="117" ht="15.75" spans="1:5">
      <c r="A117" s="188"/>
      <c r="B117" s="151" t="s">
        <v>152</v>
      </c>
      <c r="C117" s="189">
        <f>SUM(C110:C116)</f>
        <v>16.18</v>
      </c>
      <c r="D117" s="110">
        <f>SUM(D110:D116)</f>
        <v>695.356742629268</v>
      </c>
      <c r="E117" s="24"/>
    </row>
    <row r="118" spans="1:5">
      <c r="A118" s="180"/>
      <c r="B118" s="181"/>
      <c r="C118" s="182"/>
      <c r="D118" s="182"/>
      <c r="E118" s="24"/>
    </row>
    <row r="119" spans="1:5">
      <c r="A119" s="190" t="s">
        <v>203</v>
      </c>
      <c r="B119" s="190"/>
      <c r="C119" s="190"/>
      <c r="D119" s="191"/>
      <c r="E119" s="160"/>
    </row>
    <row r="120" ht="15.75" spans="1:5">
      <c r="A120" s="24"/>
      <c r="B120" s="191"/>
      <c r="C120" s="24"/>
      <c r="D120" s="24"/>
      <c r="E120" s="160"/>
    </row>
    <row r="121" spans="1:5">
      <c r="A121" s="113"/>
      <c r="B121" s="192" t="s">
        <v>204</v>
      </c>
      <c r="C121" s="193" t="s">
        <v>115</v>
      </c>
      <c r="D121" s="160"/>
      <c r="E121" s="160"/>
    </row>
    <row r="122" spans="1:5">
      <c r="A122" s="80" t="s">
        <v>116</v>
      </c>
      <c r="B122" s="185" t="s">
        <v>205</v>
      </c>
      <c r="C122" s="84">
        <f>C30</f>
        <v>1561.2</v>
      </c>
      <c r="D122" s="160"/>
      <c r="E122" s="160"/>
    </row>
    <row r="123" spans="1:5">
      <c r="A123" s="80" t="s">
        <v>118</v>
      </c>
      <c r="B123" s="185" t="s">
        <v>206</v>
      </c>
      <c r="C123" s="84">
        <f>C66</f>
        <v>1615.6526</v>
      </c>
      <c r="D123" s="160"/>
      <c r="E123" s="160"/>
    </row>
    <row r="124" spans="1:5">
      <c r="A124" s="80" t="s">
        <v>120</v>
      </c>
      <c r="B124" s="185" t="s">
        <v>207</v>
      </c>
      <c r="C124" s="84">
        <f>C76</f>
        <v>103.63092082</v>
      </c>
      <c r="D124" s="160"/>
      <c r="E124" s="160"/>
    </row>
    <row r="125" spans="1:5">
      <c r="A125" s="80" t="s">
        <v>122</v>
      </c>
      <c r="B125" s="185" t="s">
        <v>208</v>
      </c>
      <c r="C125" s="84">
        <f>C98</f>
        <v>44.0571011032146</v>
      </c>
      <c r="D125" s="160"/>
      <c r="E125" s="160"/>
    </row>
    <row r="126" spans="1:5">
      <c r="A126" s="80" t="s">
        <v>124</v>
      </c>
      <c r="B126" s="185" t="s">
        <v>209</v>
      </c>
      <c r="C126" s="84">
        <f>C106</f>
        <v>568.435238095238</v>
      </c>
      <c r="D126" s="160"/>
      <c r="E126" s="160"/>
    </row>
    <row r="127" spans="1:5">
      <c r="A127" s="80"/>
      <c r="B127" s="184" t="s">
        <v>210</v>
      </c>
      <c r="C127" s="194">
        <f>SUM(C122:C126)</f>
        <v>3892.97586001845</v>
      </c>
      <c r="D127" s="160"/>
      <c r="E127" s="160"/>
    </row>
    <row r="128" spans="1:5">
      <c r="A128" s="80" t="s">
        <v>126</v>
      </c>
      <c r="B128" s="185" t="s">
        <v>211</v>
      </c>
      <c r="C128" s="84">
        <f>D117</f>
        <v>695.356742629268</v>
      </c>
      <c r="D128" s="160"/>
      <c r="E128" s="160"/>
    </row>
    <row r="129" spans="1:5">
      <c r="A129" s="80"/>
      <c r="B129" s="146" t="s">
        <v>212</v>
      </c>
      <c r="C129" s="194">
        <f>SUM(C127:C128)</f>
        <v>4588.33260264772</v>
      </c>
      <c r="D129" s="160"/>
      <c r="E129" s="160"/>
    </row>
    <row r="130" ht="15.75" spans="1:5">
      <c r="A130" s="74"/>
      <c r="B130" s="195" t="s">
        <v>213</v>
      </c>
      <c r="C130" s="196">
        <f>C129/C30</f>
        <v>2.93897809546997</v>
      </c>
      <c r="D130" s="160"/>
      <c r="E130" s="160"/>
    </row>
    <row r="131" spans="1:5">
      <c r="A131" s="24"/>
      <c r="B131" s="191"/>
      <c r="C131" s="24"/>
      <c r="D131" s="24"/>
      <c r="E131" s="24"/>
    </row>
    <row r="132" ht="15.75" spans="1:5">
      <c r="A132" s="24"/>
      <c r="B132" s="24"/>
      <c r="C132" s="24"/>
      <c r="D132" s="24"/>
      <c r="E132" s="24"/>
    </row>
    <row r="133" spans="1:5">
      <c r="A133" s="183"/>
      <c r="B133" s="79" t="s">
        <v>214</v>
      </c>
      <c r="C133" s="79"/>
      <c r="D133" s="79"/>
      <c r="E133" s="24"/>
    </row>
    <row r="134" spans="1:5">
      <c r="A134" s="163">
        <v>6</v>
      </c>
      <c r="B134" s="146" t="s">
        <v>195</v>
      </c>
      <c r="C134" s="184" t="s">
        <v>141</v>
      </c>
      <c r="D134" s="147" t="s">
        <v>115</v>
      </c>
      <c r="E134" s="24"/>
    </row>
    <row r="135" spans="1:5">
      <c r="A135" s="165" t="s">
        <v>116</v>
      </c>
      <c r="B135" s="185" t="s">
        <v>196</v>
      </c>
      <c r="C135" s="186">
        <v>4.47</v>
      </c>
      <c r="D135" s="84">
        <f>(C152)*C135/100</f>
        <v>174.016020942825</v>
      </c>
      <c r="E135" s="24"/>
    </row>
    <row r="136" spans="1:5">
      <c r="A136" s="165" t="s">
        <v>118</v>
      </c>
      <c r="B136" s="185" t="s">
        <v>197</v>
      </c>
      <c r="C136" s="186">
        <v>3.06</v>
      </c>
      <c r="D136" s="84">
        <f>(C152+D135)*C136/100</f>
        <v>124.449951557415</v>
      </c>
      <c r="E136" s="24"/>
    </row>
    <row r="137" spans="1:5">
      <c r="A137" s="165" t="s">
        <v>120</v>
      </c>
      <c r="B137" s="185" t="s">
        <v>198</v>
      </c>
      <c r="C137" s="186"/>
      <c r="D137" s="84"/>
      <c r="E137" s="24"/>
    </row>
    <row r="138" spans="1:5">
      <c r="A138" s="165"/>
      <c r="B138" s="197" t="s">
        <v>215</v>
      </c>
      <c r="C138" s="106">
        <v>9.25</v>
      </c>
      <c r="D138" s="84">
        <f>((C152+D135+D136)/(1-(C138+C140)/100))*C138/100</f>
        <v>452.138040242541</v>
      </c>
      <c r="E138" s="24"/>
    </row>
    <row r="139" spans="1:5">
      <c r="A139" s="165"/>
      <c r="B139" s="185" t="s">
        <v>200</v>
      </c>
      <c r="C139" s="186"/>
      <c r="D139" s="84"/>
      <c r="E139" s="24"/>
    </row>
    <row r="140" spans="1:5">
      <c r="A140" s="165"/>
      <c r="B140" s="185" t="s">
        <v>201</v>
      </c>
      <c r="C140" s="187">
        <v>5</v>
      </c>
      <c r="D140" s="84">
        <f>((C152+D135+D136)/(1-(C138+C140)/100))*C140/100</f>
        <v>244.398940671644</v>
      </c>
      <c r="E140" s="24"/>
    </row>
    <row r="141" spans="1:5">
      <c r="A141" s="165"/>
      <c r="B141" s="185" t="s">
        <v>202</v>
      </c>
      <c r="C141" s="186"/>
      <c r="D141" s="84"/>
      <c r="E141" s="24"/>
    </row>
    <row r="142" ht="15.75" spans="1:5">
      <c r="A142" s="188"/>
      <c r="B142" s="151" t="s">
        <v>152</v>
      </c>
      <c r="C142" s="189">
        <f>SUM(C135:C141)</f>
        <v>21.78</v>
      </c>
      <c r="D142" s="110">
        <f>SUM(D135:D141)</f>
        <v>995.002953414425</v>
      </c>
      <c r="E142" s="24"/>
    </row>
    <row r="143" spans="1:5">
      <c r="A143" s="111"/>
      <c r="B143" s="111"/>
      <c r="C143" s="111"/>
      <c r="D143" s="111"/>
      <c r="E143" s="24"/>
    </row>
    <row r="144" spans="1:5">
      <c r="A144" s="198" t="s">
        <v>203</v>
      </c>
      <c r="B144" s="198"/>
      <c r="C144" s="198"/>
      <c r="D144" s="199"/>
      <c r="E144" s="24"/>
    </row>
    <row r="145" ht="15.75" spans="1:5">
      <c r="A145" s="111"/>
      <c r="B145" s="200"/>
      <c r="C145" s="111"/>
      <c r="D145" s="199"/>
      <c r="E145" s="24"/>
    </row>
    <row r="146" spans="1:5">
      <c r="A146" s="113"/>
      <c r="B146" s="192" t="s">
        <v>204</v>
      </c>
      <c r="C146" s="193" t="s">
        <v>115</v>
      </c>
      <c r="D146" s="199"/>
      <c r="E146" s="24"/>
    </row>
    <row r="147" spans="1:5">
      <c r="A147" s="80" t="s">
        <v>116</v>
      </c>
      <c r="B147" s="185" t="s">
        <v>205</v>
      </c>
      <c r="C147" s="84">
        <f>C122</f>
        <v>1561.2</v>
      </c>
      <c r="D147" s="199"/>
      <c r="E147" s="24"/>
    </row>
    <row r="148" spans="1:5">
      <c r="A148" s="80" t="s">
        <v>118</v>
      </c>
      <c r="B148" s="185" t="s">
        <v>206</v>
      </c>
      <c r="C148" s="84">
        <f>C123</f>
        <v>1615.6526</v>
      </c>
      <c r="D148" s="199"/>
      <c r="E148" s="24"/>
    </row>
    <row r="149" spans="1:5">
      <c r="A149" s="80" t="s">
        <v>120</v>
      </c>
      <c r="B149" s="185" t="s">
        <v>207</v>
      </c>
      <c r="C149" s="84">
        <f>C124</f>
        <v>103.63092082</v>
      </c>
      <c r="D149" s="199"/>
      <c r="E149" s="24"/>
    </row>
    <row r="150" spans="1:5">
      <c r="A150" s="80" t="s">
        <v>122</v>
      </c>
      <c r="B150" s="185" t="s">
        <v>208</v>
      </c>
      <c r="C150" s="84">
        <f>C125</f>
        <v>44.0571011032146</v>
      </c>
      <c r="D150" s="199"/>
      <c r="E150" s="24"/>
    </row>
    <row r="151" spans="1:5">
      <c r="A151" s="80" t="s">
        <v>124</v>
      </c>
      <c r="B151" s="185" t="s">
        <v>209</v>
      </c>
      <c r="C151" s="84">
        <f>C126</f>
        <v>568.435238095238</v>
      </c>
      <c r="D151" s="199"/>
      <c r="E151" s="24"/>
    </row>
    <row r="152" spans="1:5">
      <c r="A152" s="80"/>
      <c r="B152" s="184" t="s">
        <v>210</v>
      </c>
      <c r="C152" s="194">
        <f>SUM(C147:C151)</f>
        <v>3892.97586001845</v>
      </c>
      <c r="D152" s="199"/>
      <c r="E152" s="24"/>
    </row>
    <row r="153" spans="1:5">
      <c r="A153" s="80" t="s">
        <v>126</v>
      </c>
      <c r="B153" s="185" t="s">
        <v>211</v>
      </c>
      <c r="C153" s="84">
        <f>D142</f>
        <v>995.002953414425</v>
      </c>
      <c r="D153" s="199"/>
      <c r="E153" s="24"/>
    </row>
    <row r="154" spans="1:5">
      <c r="A154" s="80"/>
      <c r="B154" s="146" t="s">
        <v>212</v>
      </c>
      <c r="C154" s="194">
        <f>SUM(C152:C153)</f>
        <v>4887.97881343288</v>
      </c>
      <c r="D154" s="199"/>
      <c r="E154" s="24"/>
    </row>
    <row r="155" ht="15.75" spans="1:5">
      <c r="A155" s="74"/>
      <c r="B155" s="195" t="s">
        <v>213</v>
      </c>
      <c r="C155" s="196">
        <f>C154/C30</f>
        <v>3.1309113588476</v>
      </c>
      <c r="D155" s="199"/>
      <c r="E155" s="24"/>
    </row>
  </sheetData>
  <mergeCells count="26">
    <mergeCell ref="A1:E1"/>
    <mergeCell ref="A2:E2"/>
    <mergeCell ref="A4:E4"/>
    <mergeCell ref="A5:E5"/>
    <mergeCell ref="B7:E7"/>
    <mergeCell ref="B9:E9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A22:C22"/>
    <mergeCell ref="B31:D31"/>
    <mergeCell ref="B32:C32"/>
    <mergeCell ref="B33:C33"/>
    <mergeCell ref="A40:D40"/>
    <mergeCell ref="B89:C89"/>
    <mergeCell ref="B108:D108"/>
    <mergeCell ref="A119:C119"/>
    <mergeCell ref="B133:D133"/>
    <mergeCell ref="A144:C144"/>
  </mergeCells>
  <pageMargins left="0.511811024" right="0.511811024" top="0.787401575" bottom="0.787401575" header="0.31496062" footer="0.31496062"/>
  <pageSetup paperSize="9" scale="84" orientation="portrait"/>
  <headerFooter>
    <oddHeader>&amp;L&amp;G&amp;CProcesso 23069.151697/2022-19
PE XX/2022&amp;R&amp;G</oddHead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G16" sqref="G16"/>
    </sheetView>
  </sheetViews>
  <sheetFormatPr defaultColWidth="9" defaultRowHeight="15"/>
  <cols>
    <col min="1" max="1" width="5.28571428571429" customWidth="1"/>
    <col min="2" max="2" width="7.42857142857143" customWidth="1"/>
    <col min="3" max="3" width="27.5714285714286" customWidth="1"/>
    <col min="4" max="4" width="8.57142857142857" customWidth="1"/>
    <col min="5" max="5" width="16.1428571428571" customWidth="1"/>
    <col min="6" max="6" width="16.2857142857143" customWidth="1"/>
    <col min="7" max="7" width="20.4285714285714" customWidth="1"/>
    <col min="8" max="8" width="15.2857142857143" customWidth="1"/>
    <col min="9" max="9" width="13.7142857142857" customWidth="1"/>
  </cols>
  <sheetData>
    <row r="1" ht="14.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8.75" spans="1:9">
      <c r="A3" s="2"/>
      <c r="B3" s="2"/>
      <c r="C3" s="2"/>
      <c r="D3" s="2"/>
      <c r="E3" s="2"/>
      <c r="F3" s="2"/>
      <c r="G3" s="2"/>
      <c r="H3" s="2"/>
      <c r="I3" s="2"/>
    </row>
    <row r="4" ht="14.45" customHeight="1" spans="1:9">
      <c r="A4" s="3" t="s">
        <v>216</v>
      </c>
      <c r="B4" s="3"/>
      <c r="C4" s="3"/>
      <c r="D4" s="3"/>
      <c r="E4" s="3"/>
      <c r="F4" s="3"/>
      <c r="G4" s="3"/>
      <c r="H4" s="3"/>
      <c r="I4" s="14"/>
    </row>
    <row r="5" ht="35.45" customHeight="1" spans="1:9">
      <c r="A5" s="4" t="s">
        <v>2</v>
      </c>
      <c r="B5" s="4"/>
      <c r="C5" s="4"/>
      <c r="D5" s="4"/>
      <c r="E5" s="4"/>
      <c r="F5" s="4"/>
      <c r="G5" s="4"/>
      <c r="H5" s="4"/>
      <c r="I5" s="15"/>
    </row>
    <row r="7" spans="1:8">
      <c r="A7" s="5" t="s">
        <v>217</v>
      </c>
      <c r="B7" s="5"/>
      <c r="C7" s="5"/>
      <c r="D7" s="5"/>
      <c r="E7" s="5"/>
      <c r="F7" s="5"/>
      <c r="G7" s="5"/>
      <c r="H7" s="5"/>
    </row>
    <row r="8" ht="30" spans="1:8">
      <c r="A8" s="6" t="s">
        <v>16</v>
      </c>
      <c r="B8" s="6" t="s">
        <v>218</v>
      </c>
      <c r="C8" s="6" t="s">
        <v>219</v>
      </c>
      <c r="D8" s="6" t="s">
        <v>220</v>
      </c>
      <c r="E8" s="6" t="s">
        <v>221</v>
      </c>
      <c r="F8" s="6" t="s">
        <v>222</v>
      </c>
      <c r="G8" s="6" t="s">
        <v>223</v>
      </c>
      <c r="H8" s="6" t="s">
        <v>224</v>
      </c>
    </row>
    <row r="9" spans="1:9">
      <c r="A9" s="7">
        <v>1</v>
      </c>
      <c r="B9" s="8">
        <v>25631</v>
      </c>
      <c r="C9" s="9" t="s">
        <v>225</v>
      </c>
      <c r="D9" s="8">
        <v>14</v>
      </c>
      <c r="E9" s="8">
        <v>14</v>
      </c>
      <c r="F9" s="10">
        <f>'An III Aux Biotério'!C154</f>
        <v>4887.97881343288</v>
      </c>
      <c r="G9" s="10">
        <f>F9*E9</f>
        <v>68431.7033880603</v>
      </c>
      <c r="H9" s="10">
        <f>12*G9</f>
        <v>821180.440656724</v>
      </c>
      <c r="I9" s="16"/>
    </row>
    <row r="10" spans="1:8">
      <c r="A10" s="11" t="s">
        <v>152</v>
      </c>
      <c r="B10" s="11"/>
      <c r="C10" s="11"/>
      <c r="D10" s="6">
        <f>SUM(D9:D9)</f>
        <v>14</v>
      </c>
      <c r="E10" s="6">
        <f>SUM(E9:E9)</f>
        <v>14</v>
      </c>
      <c r="F10" s="12"/>
      <c r="G10" s="12">
        <f>SUM(G9:G9)</f>
        <v>68431.7033880603</v>
      </c>
      <c r="H10" s="12">
        <f t="shared" ref="H10" si="0">12*G10</f>
        <v>821180.440656724</v>
      </c>
    </row>
    <row r="11" spans="1:2">
      <c r="A11" s="13"/>
      <c r="B11" s="13"/>
    </row>
    <row r="12" spans="1:2">
      <c r="A12" s="13"/>
      <c r="B12" s="13"/>
    </row>
    <row r="13" spans="1:2">
      <c r="A13" s="13"/>
      <c r="B13" s="13"/>
    </row>
  </sheetData>
  <mergeCells count="6">
    <mergeCell ref="A1:I1"/>
    <mergeCell ref="A2:I2"/>
    <mergeCell ref="A4:H4"/>
    <mergeCell ref="A5:H5"/>
    <mergeCell ref="A7:H7"/>
    <mergeCell ref="A10:C10"/>
  </mergeCells>
  <pageMargins left="0.511811023622047" right="0.511811023622047" top="0.866141732283464" bottom="0.78740157480315" header="0.31496062992126" footer="0.31496062992126"/>
  <pageSetup paperSize="9" scale="99" orientation="landscape"/>
  <headerFooter>
    <oddHeader>&amp;L&amp;G&amp;CProcesso 23069.151697/2022-19
PE XX/2022&amp;R&amp;G</oddHeader>
    <oddFooter>&amp;R&amp;P/&amp;N</oddFooter>
  </headerFooter>
  <colBreaks count="1" manualBreakCount="1">
    <brk id="8" max="1048575" man="1"/>
  </col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MENU PLANILHA</vt:lpstr>
      <vt:lpstr>An IIA Relacao Postos</vt:lpstr>
      <vt:lpstr>An IIB Relacao Equip</vt:lpstr>
      <vt:lpstr>An IIC Uniformes e Mat.</vt:lpstr>
      <vt:lpstr>An III Aux Biotério</vt:lpstr>
      <vt:lpstr>Anexo IV Custos Final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Ramos</dc:creator>
  <cp:lastModifiedBy>Juliana Borsoi</cp:lastModifiedBy>
  <dcterms:created xsi:type="dcterms:W3CDTF">2021-10-25T18:50:00Z</dcterms:created>
  <cp:lastPrinted>2022-02-06T05:00:00Z</cp:lastPrinted>
  <dcterms:modified xsi:type="dcterms:W3CDTF">2022-02-23T15:35:02Z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32B60D6F67174E728979D980376C20C5</vt:lpwstr>
  </property>
  <property fmtid="{D5CDD505-2E9C-101B-9397-08002B2CF9AE}" pid="3" name="KSOProductBuildVer">
    <vt:lpwstr>1046-11.2.0.10463</vt:lpwstr>
  </property>
</Properties>
</file>